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updateLinks="never" codeName="ThisWorkbook" autoCompressPictures="0"/>
  <bookViews>
    <workbookView xWindow="0" yWindow="60" windowWidth="12240" windowHeight="9180" tabRatio="861" firstSheet="1" activeTab="1"/>
  </bookViews>
  <sheets>
    <sheet name="Setup" sheetId="15" r:id="rId1"/>
    <sheet name="Detailed Budget" sheetId="1" r:id="rId2"/>
    <sheet name="Data Sheet" sheetId="75" state="veryHidden" r:id="rId3"/>
    <sheet name="Admin Sheet" sheetId="77" state="veryHidden" r:id="rId4"/>
    <sheet name="Recipient sheet" sheetId="76" state="veryHidden" r:id="rId5"/>
    <sheet name="Currencies" sheetId="20" state="veryHidden" r:id="rId6"/>
    <sheet name="Translations" sheetId="17" state="veryHidden" r:id="rId7"/>
    <sheet name="Budget Summary" sheetId="51" state="veryHidden" r:id="rId8"/>
    <sheet name="Budget Summary En" sheetId="80" r:id="rId9"/>
    <sheet name="Summary by Intervention" sheetId="60" r:id="rId10"/>
    <sheet name="Summary by Cost Input" sheetId="61" r:id="rId11"/>
    <sheet name="AdditionalFundingRequestInfo" sheetId="81" r:id="rId12"/>
    <sheet name="Assumptions HR" sheetId="66" r:id="rId13"/>
    <sheet name="Assumptions TRC" sheetId="67" r:id="rId14"/>
    <sheet name="Assumptions Other" sheetId="68" r:id="rId15"/>
    <sheet name="Free sheet-enter what you need" sheetId="57" r:id="rId16"/>
    <sheet name="Free pivot table" sheetId="58" r:id="rId17"/>
    <sheet name="Financial Triggers - Budget" sheetId="65" r:id="rId18"/>
    <sheet name="apttusmetadata" sheetId="69" state="veryHidden" r:id="rId19"/>
  </sheets>
  <externalReferences>
    <externalReference r:id="rId20"/>
    <externalReference r:id="rId21"/>
    <externalReference r:id="rId22"/>
  </externalReferences>
  <definedNames>
    <definedName name="_00014306_e053_4d2f_a03b_11d5316f6214">'Admin Sheet'!$G$19</definedName>
    <definedName name="_00c35e70_58e5_4930_ba9e_ebafffba2527">'Admin Sheet'!$U$69</definedName>
    <definedName name="_015c8523_100e_43c9_ab46_84a271015723">'Admin Sheet'!$J$4</definedName>
    <definedName name="_0241193b_f00c_4f04_9e53_b7598e513d43">'Admin Sheet'!$I$19</definedName>
    <definedName name="_02574099_4190_4970_b9b7_f2af805d74f9">'Data Sheet'!$B$191</definedName>
    <definedName name="_02630c05_ad59_4431_9c99_46229c108b0a">'Admin Sheet'!$W$69</definedName>
    <definedName name="_0293a1a0_baf2_472c_bb95_74678e966e39">'Admin Sheet'!$E$64</definedName>
    <definedName name="_02aa6af0_1791_48c5_8fe7_e231ea2af947">'Admin Sheet'!$A$19</definedName>
    <definedName name="_02b38c0a_d119_414d_b934_8def132dac5a">'Admin Sheet'!$M$54</definedName>
    <definedName name="_02fcf189_20c2_44a3_a2b7_74754bbb6925">'Admin Sheet'!$I$44</definedName>
    <definedName name="_02fe8d3f_2231_403e_bf23_dc9ac86f4e66">'Admin Sheet'!$F$34</definedName>
    <definedName name="_030e392c_83b9_446c_a20a_878895df0e80">'Admin Sheet'!$B$69</definedName>
    <definedName name="_037173a5_9196_4099_a18a_d4f3a222fdde">'Admin Sheet'!$G$79</definedName>
    <definedName name="_0420018b_fcd7_4f24_bf5d_fe9810c50a22">'Admin Sheet'!$Q$74</definedName>
    <definedName name="_04aadb37_73db_4f32_bff6_7cb997aef0e0">'Admin Sheet'!$G$24</definedName>
    <definedName name="_0628074d_be97_416b_af4e_f9e9a74b76cd">'Admin Sheet'!$I$79</definedName>
    <definedName name="_064c976f_dc27_4320_b681_1339b2fe8ab4" localSheetId="8">#REF!</definedName>
    <definedName name="_064c976f_dc27_4320_b681_1339b2fe8ab4">#REF!</definedName>
    <definedName name="_06d25ecf_ee4d_4cfa_a3c9_e69530688806">'Admin Sheet'!$M$24</definedName>
    <definedName name="_07bad9b4_afa6_4ae5_b056_49e33d12f3fe" comment="Save Map">'Admin Sheet'!$A$33:$W$33</definedName>
    <definedName name="_07ece160_70c0_47f0_9a71_6b3086b3b526">'Admin Sheet'!$M$9</definedName>
    <definedName name="_0861aad7_0016_4555_b151_d72378469ce2">'Admin Sheet'!$T$49</definedName>
    <definedName name="_092506f7_e423_4a1e_8908_c1949efefab4">'Admin Sheet'!$S$9</definedName>
    <definedName name="_0a54ea9f_6551_4517_a878_c152fb55f9a1" localSheetId="8">'Recipient sheet'!#REF!</definedName>
    <definedName name="_0a54ea9f_6551_4517_a878_c152fb55f9a1">'Recipient sheet'!#REF!</definedName>
    <definedName name="_0a78ba4f_5e53_48a6_9484_d2f58366b7a0">'Admin Sheet'!$G$59</definedName>
    <definedName name="_0b4b4ca9_e5b7_4ef2_ace5_f20c8dd52ee4">'Admin Sheet'!$Q$69</definedName>
    <definedName name="_0c5e07c1_a427_4a29_967d_db94606ecb12">'Admin Sheet'!$H$59</definedName>
    <definedName name="_0d0de004_1d22_41de_ab61_12ebe0c6ec88">'Admin Sheet'!$L$14</definedName>
    <definedName name="_0d52b731_ffe4_406f_93c8_e2a799bda008">'Data Sheet'!$C$29</definedName>
    <definedName name="_0d64d549_80dc_4b49_b138_beb2245c0b75">'Admin Sheet'!$R$29</definedName>
    <definedName name="_0e22f398_ccff_4dfa_b55f_52bacedd5d10">'Admin Sheet'!$N$14</definedName>
    <definedName name="_0e76caeb_9e0e_4dc5_bf7d_23619327684e">'Admin Sheet'!$C$24</definedName>
    <definedName name="_0eee0dbf_584d_4e64_91cb_a12077ec0f6a">'Data Sheet'!$C$195:$C$196</definedName>
    <definedName name="_0eff4366_c93f_4be5_b3d3_ef90501c5483">'Admin Sheet'!$J$34</definedName>
    <definedName name="_0f4a9b4d_3e29_40eb_9b36_74cf2e74c9ac">'Admin Sheet'!$L$19</definedName>
    <definedName name="_0f6011f8_dc6f_49cf_b2a0_817fddabee5b">'Admin Sheet'!$I$9</definedName>
    <definedName name="_136b9ce8_8209_4df2_9c64_41b69bdeb0b2">'Admin Sheet'!$I$14</definedName>
    <definedName name="_137ac50c_e2fb_40e6_8435_18b378fce7e4">'Admin Sheet'!$R$44</definedName>
    <definedName name="_1465441b_8cd4_486a_a82e_2b0671f4b0bf">'Admin Sheet'!$J$49</definedName>
    <definedName name="_149e1136_054e_4a7e_8f21_904cbec9ecc8">'Admin Sheet'!$G$34</definedName>
    <definedName name="_1779513c_d51b_4d1b_8b11_3c55f98e227d">'Admin Sheet'!$P$79</definedName>
    <definedName name="_18500cba_9470_41f5_8230_48f2f24407c7">'Admin Sheet'!$T$29</definedName>
    <definedName name="_199b9147_9b1b_4fdd_ad4b_f0c3cdc80ec8">'Admin Sheet'!$Q$4</definedName>
    <definedName name="_19bf1525_e625_44ca_8501_cdc22fb2760d">'Admin Sheet'!$Q$19</definedName>
    <definedName name="_19c1d485_2b5b_4986_aa4b_c4841981804b">'Admin Sheet'!$S$54</definedName>
    <definedName name="_19c46fa4_3baa_4aa0_a366_b3ddede6094a">'Admin Sheet'!$J$64</definedName>
    <definedName name="_19f40266_368b_4974_ad8b_4e617977b060">'Admin Sheet'!$S$34</definedName>
    <definedName name="_1a284e20_9a7c_4716_bcae_ae8f440dd5b7">'Admin Sheet'!$U$39</definedName>
    <definedName name="_1a8a4bd4_31d6_456a_87e3_030f6f423c20">'Data Sheet'!$B$195</definedName>
    <definedName name="_1ba52aa8_2688_4bb5_963a_e16752281857">'Admin Sheet'!$B$54</definedName>
    <definedName name="_1bb2406f_8121_4bde_bdbb_94037ea76608">'Admin Sheet'!$F$79</definedName>
    <definedName name="_1bbb08d9_4375_4830_bf28_f931ab65eb61">'Admin Sheet'!$I$64</definedName>
    <definedName name="_1bda0005_c52b_46cc_b349_56b484ec8764">Setup!$A$12:$A$14</definedName>
    <definedName name="_1c0c0adf_3e55_48df_9490_7ee3ae74ffa2">'Admin Sheet'!$B$34</definedName>
    <definedName name="_1c902844_a9f0_4c7a_9694_687273c801e4">'Admin Sheet'!$E$59</definedName>
    <definedName name="_1cae6d00_5d3e_47e4_be7d_258c457150b2">'Admin Sheet'!$O$74</definedName>
    <definedName name="_1d0188c7_3e76_40a1_bd1f_7775471db247" localSheetId="8">#REF!</definedName>
    <definedName name="_1d0188c7_3e76_40a1_bd1f_7775471db247">#REF!</definedName>
    <definedName name="_1d02fec2_1430_4165_8aeb_3c7da0adcbb1">'Admin Sheet'!$L$74</definedName>
    <definedName name="_1d9924d0_3d7d_4b9d_af01_16543a518aca" comment="Save Map">'Admin Sheet'!$A$18:$W$18</definedName>
    <definedName name="_1efe6e9b_4436_42af_a41e_04cd69d2746c">'Admin Sheet'!$M$79</definedName>
    <definedName name="_1f5240cb_34ea_4af0_9a8f_f34360e25953">'Admin Sheet'!$Q$79</definedName>
    <definedName name="_1f5e7b97_aa70_4db7_bab8_83ac524de5a2">'Admin Sheet'!$F$24</definedName>
    <definedName name="_20c061ed_90ad_4b62_a8c5_ea0563127ce8">'Admin Sheet'!$H$49</definedName>
    <definedName name="_21424801_df1d_4e21_b438_220262d5d533">'Recipient sheet'!$D$2</definedName>
    <definedName name="_227628d7_30f4_4b2c_9956_f0850a36aaaa">'Admin Sheet'!$C$14</definedName>
    <definedName name="_22fcabbc_e990_467e_8de4_83630b31d9c4">'Admin Sheet'!$K$59</definedName>
    <definedName name="_23849d59_a3b0_4683_863c_46d8f7dd6c0a">'Admin Sheet'!$K$9</definedName>
    <definedName name="_23e882d0_cdf5_4f57_9447_3e85f7b4d0f6">'Admin Sheet'!$C$74</definedName>
    <definedName name="_23fd14cc_fc5b_435a_9caa_21fcc468823b">'Admin Sheet'!$Q$9</definedName>
    <definedName name="_24b9af2b_2862_4a4b_8da5_24fcf2ab5c21">'Admin Sheet'!$C$54</definedName>
    <definedName name="_251d3909_b293_492d_825e_87ce02b50b6d">'Admin Sheet'!$M$74</definedName>
    <definedName name="_25424f26_53f7_43c8_8e11_df68d32248e7">'Admin Sheet'!$H$54</definedName>
    <definedName name="_2615b7e8_cc5f_48a0_b414_21b20f6ad84b">'Data Sheet'!$A$199</definedName>
    <definedName name="_26556d11_9bb3_4812_a154_e5c14dba3aca">'Data Sheet'!$A$195</definedName>
    <definedName name="_2766a577_52aa_4fa8_9791_76a6873ac125">Setup!$C$5</definedName>
    <definedName name="_27b1bc44_02c4_4df4_9e7c_e9bb9325f3ee">'Admin Sheet'!$M$59</definedName>
    <definedName name="_28494807_7fc9_44b8_bce0_aee0c2dadccb">'Admin Sheet'!$F$74</definedName>
    <definedName name="_290e3aec_540b_4e20_a027_2e42aa36a9f4">'Admin Sheet'!$D$14</definedName>
    <definedName name="_2a35a9cb_b0bc_48ee_bcfc_5fc782f5b6a5">'Data Sheet'!$D$3</definedName>
    <definedName name="_2abc5cf5_ba5d_47ad_ad63_970b1602fdef">'Admin Sheet'!$C$64</definedName>
    <definedName name="_2b545529_161e_4ac1_9362_d6a10d266e17" localSheetId="8">#REF!</definedName>
    <definedName name="_2b545529_161e_4ac1_9362_d6a10d266e17">#REF!</definedName>
    <definedName name="_2b55e7c6_3f95_4cbb_b0e4_b40e4a86f435" localSheetId="8">#REF!</definedName>
    <definedName name="_2b55e7c6_3f95_4cbb_b0e4_b40e4a86f435">#REF!</definedName>
    <definedName name="_2b6c6913_2106_48b8_b780_651a223ed149">'Admin Sheet'!$G$29</definedName>
    <definedName name="_2c5574cb_28ce_402c_8f28_bdedcaf26c63">'Admin Sheet'!$H$74</definedName>
    <definedName name="_2dc0cdc2_facb_4934_8688_528cdfec953a">'Admin Sheet'!$D$74</definedName>
    <definedName name="_2de0407e_b227_495e_b597_203f64144940">'Admin Sheet'!$W$4</definedName>
    <definedName name="_2ff23564_2814_463a_82a0_feb34e93af7e">'Admin Sheet'!$N$54</definedName>
    <definedName name="_303bb236_a13b_4eff_99ee_5fe0f30225d4">'Data Sheet'!$D$199</definedName>
    <definedName name="_30fb4fdb_756b_4ac8_af86_3835b5e8255b">'Admin Sheet'!$P$49</definedName>
    <definedName name="_30fee82c_14f4_4a5f_a453_cb18954a7ebc" localSheetId="8">#REF!</definedName>
    <definedName name="_30fee82c_14f4_4a5f_a453_cb18954a7ebc">#REF!</definedName>
    <definedName name="_313f91c5_0fa2_4fed_a7b5_6961798f3b78">'Admin Sheet'!$M$14</definedName>
    <definedName name="_31c092f7_54d2_4a2e_bf4f_99b8b030c2cf">'Admin Sheet'!$S$64</definedName>
    <definedName name="_320a5e46_c35a_4ad0_9dce_24304240690e">'Admin Sheet'!$L$9</definedName>
    <definedName name="_321caffb_4326_4ac3_a6d0_21f04e0b4942" comment="Save Map">'Admin Sheet'!$A$28:$W$28</definedName>
    <definedName name="_329fd648_43f7_41d3_bee9_8ba9de528383" localSheetId="8">#REF!</definedName>
    <definedName name="_329fd648_43f7_41d3_bee9_8ba9de528383">#REF!</definedName>
    <definedName name="_3386fb25_6f93_4caf_8fb6_f1d046b7927f">'Admin Sheet'!$E$69</definedName>
    <definedName name="_34a556c5_f12d_497f_8f57_de2376c54211">'Admin Sheet'!$L$59</definedName>
    <definedName name="_36ce6b71_99bc_49da_ae33_3d8bd8154614">'Admin Sheet'!$A$44</definedName>
    <definedName name="_37226c6d_70fd_437c_a91f_f0a90513ac0b">'Admin Sheet'!$J$29</definedName>
    <definedName name="_373c8607_f9fb_47bf_8015_4407bf0d0a88">'Admin Sheet'!$S$19</definedName>
    <definedName name="_375d778b_8f60_42c3_8eb5_0b0993a0c7c4">'Admin Sheet'!$S$79</definedName>
    <definedName name="_37bff342_00d1_4e90_9ab2_f062c1ef5822">'Admin Sheet'!$N$24</definedName>
    <definedName name="_383627f4_0d08_47c1_9870_759b81bc1569">'Admin Sheet'!$U$49</definedName>
    <definedName name="_38b4038c_a00a_42d2_8376_083e7c1c0c0b">'Admin Sheet'!$G$74</definedName>
    <definedName name="_39ac6bf4_dcf4_4783_88cd_5895f19c82d7">'Admin Sheet'!$C$19</definedName>
    <definedName name="_39fe7ee6_5d44_4f46_b0c9_7c027c40aad9">'Admin Sheet'!$W$74</definedName>
    <definedName name="_3a05d51c_d27a_4e4e_9a01_9742ce335275">'Admin Sheet'!$B$14</definedName>
    <definedName name="_3aca96d3_0cd2_434c_be61_7ddd23e1a71c">'Admin Sheet'!$R$79</definedName>
    <definedName name="_3b5d2805_5233_410e_bbd4_1361ca147bbd">'Admin Sheet'!$C$4</definedName>
    <definedName name="_3d31132f_2452_45b8_9362_ead620ee5a05">'Admin Sheet'!$A$49</definedName>
    <definedName name="_3d7e64c0_5a99_44e1_8142_111884fe7144">'Admin Sheet'!$W$19</definedName>
    <definedName name="_3dbf69b5_323b_4fd9_815f_c1e4c825670f">'Admin Sheet'!$K$29</definedName>
    <definedName name="_3dfe07b7_7307_409d_b7de_34dc04ee2d47">'Admin Sheet'!$W$14</definedName>
    <definedName name="_3e11dc47_92ce_4907_aaa5_c10102443e26">'Admin Sheet'!$O$79</definedName>
    <definedName name="_3ec4b970_f5b6_485c_9f9f_cd4a36e29228" comment="Save Map">'Admin Sheet'!$A$13:$W$13</definedName>
    <definedName name="_3f3c3606_367b_487e_b66b_907795d422b4">'Data Sheet'!$C$195</definedName>
    <definedName name="_3f51feca_4f0b_40a2_8703_1e9f0f3896a7">'Admin Sheet'!$B$44</definedName>
    <definedName name="_3f69f771_04d7_42ce_b42d_2829634b92c3">'Admin Sheet'!$R$9</definedName>
    <definedName name="_3fe0ba01_b5db_45a8_930a_1b57f3fe0b01">'Admin Sheet'!$J$79</definedName>
    <definedName name="_4057e5bf_0d99_4fb6_8278_c2e06564c963">'Data Sheet'!$E$199</definedName>
    <definedName name="_40e9daac_ea45_4655_a12a_3a0fea2926c5">'Admin Sheet'!$T$69</definedName>
    <definedName name="_416b1b25_a4f8_4285_954b_e7ba059161d1">'Admin Sheet'!$B$74</definedName>
    <definedName name="_41e8cacb_2b90_42d5_9de4_169990011044">Setup!$B$14:$B$17</definedName>
    <definedName name="_43285d61_6202_4459_bba7_c91def129299">'Admin Sheet'!$C$39</definedName>
    <definedName name="_471266be_2e55_4ff2_8044_5b7ef268dc03">'Admin Sheet'!$D$49</definedName>
    <definedName name="_47ac9a9c_acd3_4913_a0d2_ef175c33588d">'Data Sheet'!$B$276</definedName>
    <definedName name="_47d84129_9b30_4228_a5d8_b743be5549b2">'Admin Sheet'!$P$44</definedName>
    <definedName name="_481f1df6_15f5_493a_a761_5347f7653f04">'Admin Sheet'!$U$9</definedName>
    <definedName name="_48455ad6_749a_4549_9765_06ba400a19cd">'Admin Sheet'!$N$39</definedName>
    <definedName name="_489c8708_ba46_4243_adf7_6489cf5e59f7" localSheetId="8">#REF!</definedName>
    <definedName name="_489c8708_ba46_4243_adf7_6489cf5e59f7">#REF!</definedName>
    <definedName name="_48ac8350_de87_4980_9c27_786d26753fbe">'Admin Sheet'!$S$39</definedName>
    <definedName name="_49415d03_c0cb_4e4d_924b_ee50ad85b363" comment="Save Map">'Admin Sheet'!$A$73:$W$73</definedName>
    <definedName name="_494a54d4_701e_40cf_8d44_f231bca860bc">'Admin Sheet'!$M$39</definedName>
    <definedName name="_495ebc3c_36ec_4c89_8b4a_6bb84f1140f8">'Admin Sheet'!$A$4</definedName>
    <definedName name="_49fd2731_f4ae_4deb_80dc_854f4e1ac66e">'Admin Sheet'!$W$9</definedName>
    <definedName name="_4c07235d_cc00_4f64_836c_122803b68cda">'Admin Sheet'!$P$59</definedName>
    <definedName name="_4d003277_c2f4_4122_90b0_abb08884576e">'Admin Sheet'!$D$19</definedName>
    <definedName name="_4d86e007_e704_439f_a5bb_21c58cf55922">'Admin Sheet'!$A$59</definedName>
    <definedName name="_4dedea7b_1933_4ced_a8a0_ab554ba5c241">'Admin Sheet'!$A$74</definedName>
    <definedName name="_4f121f97_9207_4a2b_8abf_b06a7522743e">'Admin Sheet'!$H$14</definedName>
    <definedName name="_4f8d47fa_7eb4_4fb4_9db4_28483c7e72f4">'Admin Sheet'!$W$64</definedName>
    <definedName name="_50066798_81bf_40d3_a065_f632a51a24be">'Admin Sheet'!$L$29</definedName>
    <definedName name="_50330a42_d678_4410_8fd0_697dfad95391">'Admin Sheet'!$F$14</definedName>
    <definedName name="_50469944_4621_4b8e_8d12_d5c6452cddb2">'Data Sheet'!$E$29</definedName>
    <definedName name="_5069a0fe_60fe_42fb_9b0a_b94c79e372f2">'Admin Sheet'!$T$9</definedName>
    <definedName name="_50f8e249_0348_4ca0_9e02_9b4e66585a59">'Admin Sheet'!$G$49</definedName>
    <definedName name="_51e1c750_1220_40a9_8344_6984e1ade8be">'Admin Sheet'!$A$39</definedName>
    <definedName name="_529ca412_cb2c_4131_a10b_124b1ee494f8">'Admin Sheet'!$D$34</definedName>
    <definedName name="_52e59192_0e12_4d48_ab86_aa5795563e55" comment="Save Map">'Admin Sheet'!$A$3:$W$3</definedName>
    <definedName name="_537a90ad_293c_4c5f_ab8d_e16ae3cc6f25" comment="Display Map">Setup!$A$11:$B$13</definedName>
    <definedName name="_550e4b31_8328_48f2_b90f_c42b571fab2c">'Admin Sheet'!$R$59</definedName>
    <definedName name="_55196ad8_eb49_4312_b065_86f00def31a7" localSheetId="8">#REF!</definedName>
    <definedName name="_55196ad8_eb49_4312_b065_86f00def31a7">#REF!</definedName>
    <definedName name="_558daf63_5427_4e94_ae05_120c0194d367">'Admin Sheet'!$G$9</definedName>
    <definedName name="_55ea5428_86e5_4b51_aef9_c4fea30808de">'Admin Sheet'!$D$9</definedName>
    <definedName name="_56606da0_43a9_4f8e_8753_a6ae0af018cb">'Admin Sheet'!$D$39</definedName>
    <definedName name="_5727b709_bfc3_4663_8482_a06cb5b36d36">'Admin Sheet'!$C$59</definedName>
    <definedName name="_5756030e_1ac9_4d85_a490_4f4b09e4e089">'Admin Sheet'!$N$49</definedName>
    <definedName name="_58111fff_f8af_48fc_a333_bb419858ac27">'Admin Sheet'!$L$24</definedName>
    <definedName name="_5a2aed55_1f57_4ae6_bb58_7dc6d870d2ad">'Admin Sheet'!$U$4</definedName>
    <definedName name="_5a2bf18b_1f14_4a15_849a_1188c4eff3c0">Setup!$C$8</definedName>
    <definedName name="_5a5e0fbf_823e_4f53_8f92_389e8b9eed10">'Data Sheet'!$C$26</definedName>
    <definedName name="_5a6bb86e_8ea5_4f32_a7af_fce8d3be8593">'Admin Sheet'!$M$49</definedName>
    <definedName name="_5b57394c_9ebc_4bec_a730_542fea512a56" comment="Save Map">'Admin Sheet'!$A$23:$W$23</definedName>
    <definedName name="_5b7dcb43_c5c0_4eec_88d8_de84ed65f732">'Admin Sheet'!$K$49</definedName>
    <definedName name="_5ba84441_1dc5_4be4_85c9_cd54144c27b9">'Admin Sheet'!$W$59</definedName>
    <definedName name="_5bb6a22d_3174_4360_8267_950fba484a89">'Admin Sheet'!$F$39</definedName>
    <definedName name="_5cbfb405_bc63_42bb_85d3_ed9904c591bb">'Data Sheet'!$D$190</definedName>
    <definedName name="_5e850797_e972_45d1_9ab0_b096a1c5bfdf">'Admin Sheet'!$L$44</definedName>
    <definedName name="_5e94fdaf_7969_49ff_b9e9_17ada3f862d8">'Admin Sheet'!$F$49</definedName>
    <definedName name="_5f06196a_ffcc_4d84_84df_2730c45054f9">'Admin Sheet'!$M$4</definedName>
    <definedName name="_5f121f56_f976_4f5d_9d93_6be294f087ee">'Admin Sheet'!$I$24</definedName>
    <definedName name="_5f12910c_10da_4edd_845b_b6a28e735e97">'Admin Sheet'!$C$9</definedName>
    <definedName name="_5ff7892c_e417_4006_a8d1_2f1d55f78ed0">'Admin Sheet'!$T$44</definedName>
    <definedName name="_6120d102_c4bf_4f61_8150_12aa8b95cba4">'Admin Sheet'!$N$29</definedName>
    <definedName name="_61eb91c2_6602_4abf_9912_b2539449c4a6">'Admin Sheet'!$B$64</definedName>
    <definedName name="_62009a8a_cb7a_4858_bde8_2b0001123ec9">'Admin Sheet'!$H$4</definedName>
    <definedName name="_621fa43e_2149_41e5_b4fd_d972d45eaf12">'Admin Sheet'!$A$14</definedName>
    <definedName name="_62815cb4_8380_4f46_af3e_05292aa0e712">'Admin Sheet'!$A$24</definedName>
    <definedName name="_635dace6_0f43_41ef_88c1_746a9d9e4e68">'Admin Sheet'!$H$29</definedName>
    <definedName name="_649ad647_654c_4e96_bb13_65360c307a1f">'Admin Sheet'!$D$29</definedName>
    <definedName name="_64aa86d0_5320_49e9_be4d_a735186aac20">'Admin Sheet'!$O$29</definedName>
    <definedName name="_65b49451_3215_469b_a9b8_1c7aed73c04d">'Data Sheet'!$B$3</definedName>
    <definedName name="_66479354_b114_452d_a88f_3c06a98dd2cd">'Admin Sheet'!$P$4</definedName>
    <definedName name="_67c93d34_f094_4421_b577_4fef2310f8d7">'Admin Sheet'!$R$39</definedName>
    <definedName name="_68ab3cc7_44fe_4dca_9c9a_cfd6b95d1884">'Admin Sheet'!$Q$24</definedName>
    <definedName name="_68fc4999_8263_48a8_b68b_9417ef78afcd">'Admin Sheet'!$Q$29</definedName>
    <definedName name="_6984bb19_6d44_47e3_a6ed_9c149468c788">'Admin Sheet'!$H$9</definedName>
    <definedName name="_6ad27568_8f0f_4d43_a17d_59459dd30f31">'Admin Sheet'!$G$39</definedName>
    <definedName name="_6b1f3c7b_a26b_4ad9_bb30_74ea70c1b358">'Admin Sheet'!$T$59</definedName>
    <definedName name="_6bbcea6e_e4d3_45c6_a6b7_800111651b71">'Admin Sheet'!$T$19</definedName>
    <definedName name="_6c237802_62f6_4139_afd2_14162579a1bf">'Admin Sheet'!$J$74</definedName>
    <definedName name="_6cfe6851_3eb2_4163_9801_b78cac8c4e41">'Admin Sheet'!$F$29</definedName>
    <definedName name="_6d661af8_29d6_4e8e_a5b0_cc84ee4eb720">Setup!$C$6</definedName>
    <definedName name="_6e57c845_44c0_46e4_887d_bec006c6ea9f">'Admin Sheet'!$D$24</definedName>
    <definedName name="_6f67cf15_4702_4c47_a424_1c1585ad72b1" comment="Save Map" localSheetId="8">#REF!</definedName>
    <definedName name="_6f67cf15_4702_4c47_a424_1c1585ad72b1" comment="Save Map">#REF!</definedName>
    <definedName name="_6f897ea2_32ca_407f_9249_74be7386ad17">'Admin Sheet'!$N$19</definedName>
    <definedName name="_70b6967b_13d6_4d18_8449_2352689fb19b">'Admin Sheet'!$T$74</definedName>
    <definedName name="_7327d7ad_8047_4022_8c44_30e0f7be4707">'Admin Sheet'!$D$54</definedName>
    <definedName name="_73b9c2ab_dcbe_40c3_aa5d_5155aca56588">'Data Sheet'!$B$289</definedName>
    <definedName name="_7419e3ba_dd94_40e4_aa3e_ce3f67f6e4f7">'Admin Sheet'!$U$34</definedName>
    <definedName name="_7530e07f_3ebf_4eed_9c69_d167429377e6">'Admin Sheet'!$N$64</definedName>
    <definedName name="_760aadbd_677f_40e2_a6a2_41b2762f47b1">'Admin Sheet'!$T$54</definedName>
    <definedName name="_7656d9cf_f2cb_49ba_b463_e35afb95281b">'Admin Sheet'!$A$54</definedName>
    <definedName name="_7737a758_6e12_48a1_b80b_3fb101010dc4">'Admin Sheet'!$G$54</definedName>
    <definedName name="_774dd9e5_48a1_454c_9fba_673e36c42942">'Admin Sheet'!$I$54</definedName>
    <definedName name="_77c9d67b_f23b_41d5_aca4_4f80df1321b4">'Admin Sheet'!$J$9</definedName>
    <definedName name="_780b4e94_fb9c_495d_8a69_34c6d68a3c32">'Admin Sheet'!$L$34</definedName>
    <definedName name="_784968f2_57ca_4a10_b733_e7f9c93d1c3b">'Admin Sheet'!$I$29</definedName>
    <definedName name="_787e97be_1a5d_436c_a74f_41e07b973ee3">'Admin Sheet'!$W$24</definedName>
    <definedName name="_78932e60_246e_4aec_90dc_4db07f63e459">'Admin Sheet'!$G$4</definedName>
    <definedName name="_79449196_77e6_41c7_906c_21626fc4ec73">'Admin Sheet'!$H$34</definedName>
    <definedName name="_7c6fbd41_2277_4dd5_803c_0a1b5327c793">'Admin Sheet'!$E$44</definedName>
    <definedName name="_7cfac35a_87e0_40ae_bab3_f899b27ea202">'Admin Sheet'!$J$14</definedName>
    <definedName name="_7e891f54_7fdc_44af_b1d2_b12e77b5c952">'Admin Sheet'!$I$4</definedName>
    <definedName name="_7ead6b92_0891_4931_aaeb_50e3ff30049a">'Admin Sheet'!$O$64</definedName>
    <definedName name="_813962bc_3a7b_4489_af08_2ee50beb679a" comment="Save Map">'Admin Sheet'!$A$53:$W$53</definedName>
    <definedName name="_81ab7b88_c47f_44b7_8ad6_de94abe5f8fd">'Admin Sheet'!$R$74</definedName>
    <definedName name="_81f0ed53_61e1_4f16_b4db_b16798a34f56">'Admin Sheet'!$K$34</definedName>
    <definedName name="_82d3dfd9_2e07_4b89_b705_92cc9308284c">'Admin Sheet'!$C$79</definedName>
    <definedName name="_830528a9_db84_4fc0_9b6a_c3171e4dd35c">'Admin Sheet'!$J$39</definedName>
    <definedName name="_83364f44_3f1e_412e_b5e4_ec8fdd2633e3">'Admin Sheet'!$G$14</definedName>
    <definedName name="_834f37ef_9ac7_42dc_93ee_07d0574ae530">'Data Sheet'!$I$199</definedName>
    <definedName name="_83e345cb_8da3_4b61_af08_03c1a6e5dfda">'Admin Sheet'!$O$59</definedName>
    <definedName name="_843bbfaf_f0d9_49c7_8ae5_ba9296701635">'Admin Sheet'!$B$29</definedName>
    <definedName name="_84d4018b_d723_46e8_96c0_193fc2e458b4">'Admin Sheet'!$M$69</definedName>
    <definedName name="_84de2c28_39e5_4f86_b6b4_ef670374a004">'Admin Sheet'!$Q$14</definedName>
    <definedName name="_85203bf3_9159_43b9_8a8a_d795a4ad9ca0" localSheetId="8">#REF!</definedName>
    <definedName name="_85203bf3_9159_43b9_8a8a_d795a4ad9ca0">#REF!</definedName>
    <definedName name="_857cfc01_4587_4296_a9a6_0ef3e1ea5260">Setup!$A$12</definedName>
    <definedName name="_86905cad_af18_4ee3_8d24_fb40b0dfb75d">'Admin Sheet'!$D$64</definedName>
    <definedName name="_8735eaea_99e5_41d1_845a_6601e0937595">'Admin Sheet'!$F$69</definedName>
    <definedName name="_876523bd_5aef_4a26_a5b2_d6283fed6bee">'Data Sheet'!$C$26:$C$28</definedName>
    <definedName name="_87f39b4a_6b31_4940_b9bf_eb82ea06f64d">'Admin Sheet'!$D$59</definedName>
    <definedName name="_88babac7_72f1_4e95_8a0d_1cc998122653">'Admin Sheet'!$A$69</definedName>
    <definedName name="_88c7c6d7_2d65_43f3_84e5_a4092acc84d7" comment="Save Map">'Admin Sheet'!$A$38:$W$38</definedName>
    <definedName name="_8aa7501c_246e_4382_8e66_5716a08af401">'Admin Sheet'!$L$79</definedName>
    <definedName name="_8b309ef0_e67a_4500_9a06_45c1ee324871">'Admin Sheet'!$Q$59</definedName>
    <definedName name="_8c9d94fd_a6ea_4e49_8439_2de36db9e81b">'Admin Sheet'!$W$49</definedName>
    <definedName name="_8cbc4cd8_7c7c_41f5_b583_0aa0b647fe19">'Admin Sheet'!$N$74</definedName>
    <definedName name="_8cdb1766_29e4_4fa4_be15_7f1b8e1ebe5b">'Admin Sheet'!$G$64</definedName>
    <definedName name="_8e0f5535_0bb1_447e_9dce_0056601db388">'Admin Sheet'!$F$64</definedName>
    <definedName name="_8ebec4a0_ec9e_4f62_b655_2d9aea69d3ca">'Admin Sheet'!$S$4</definedName>
    <definedName name="_8f9eef8b_d98e_4b9e_bb2e_b941f25e75e0" localSheetId="8">#REF!</definedName>
    <definedName name="_8f9eef8b_d98e_4b9e_bb2e_b941f25e75e0">#REF!</definedName>
    <definedName name="_909da30c_1043_4d96_9383_21d765badb47">'Admin Sheet'!$A$64</definedName>
    <definedName name="_90a6aa48_4818_4ad4_9226_6e553d9077a3">'Admin Sheet'!$O$9</definedName>
    <definedName name="_90e119dc_49dd_4603_ad5d_416d7d54ff8f">'Admin Sheet'!$F$44</definedName>
    <definedName name="_90ecf5bd_7c9a_403f_b589_3b383fac36ce">'Admin Sheet'!$S$14</definedName>
    <definedName name="_915af145_90ba_4caa_9402_2fff215e668d">'Admin Sheet'!$O$39</definedName>
    <definedName name="_915dcde0_fe0d_478b_b4c0_6306a0412734">'Admin Sheet'!$B$24</definedName>
    <definedName name="_91d82761_69bb_4448_98e8_e9d77350a942">'Admin Sheet'!$U$24</definedName>
    <definedName name="_91fb8e45_0e64_4c68_a304_5acd2e96c207">'Admin Sheet'!$C$29</definedName>
    <definedName name="_923c2fc6_273d_4a11_8ddd_1343baf9f260">'Admin Sheet'!$P$34</definedName>
    <definedName name="_92491d21_5acf_4863_9392_5f3ac9cd76b0">'Admin Sheet'!$W$44</definedName>
    <definedName name="_926710e3_ee5e_40d1_a297_4bcee75de00e" comment="Save Map">'Admin Sheet'!$A$48:$W$48</definedName>
    <definedName name="_92797c1d_2eb8_4d52_bac6_9551ade95572">'Admin Sheet'!$A$9</definedName>
    <definedName name="_9409bf09_5eb1_4332_bf42_e44b8399d028">'Admin Sheet'!$B$59</definedName>
    <definedName name="_9442837f_5007_4866_b120_994ef921580c">'Recipient sheet'!$A$27</definedName>
    <definedName name="_9447e68e_02ff_45df_b304_49aa8364fd83">'Admin Sheet'!$K$64</definedName>
    <definedName name="_9479c3a8_3a98_4b0e_bb8c_376fe7788da5" localSheetId="8">#REF!</definedName>
    <definedName name="_9479c3a8_3a98_4b0e_bb8c_376fe7788da5">#REF!</definedName>
    <definedName name="_95545550_03f9_45ef_9e78_cbf591c56950">'Admin Sheet'!$T$39</definedName>
    <definedName name="_973b23e7_cd31_40db_b565_06bff732d0e5">'Admin Sheet'!$R$49</definedName>
    <definedName name="_97db5e86_284d_4ae2_ba6c_d13835ce06db">'Admin Sheet'!$B$79</definedName>
    <definedName name="_983dfc88_bb65_4fb2_b3f5_a33205b48f06">'Admin Sheet'!$I$59</definedName>
    <definedName name="_98d0c29e_f336_428c_ab38_10d598d4267d">'Admin Sheet'!$J$24</definedName>
    <definedName name="_9907f168_6552_49df_8574_530b63a692f3">'Admin Sheet'!$B$4</definedName>
    <definedName name="_9a132129_8ae1_42cc_bbc1_aea9b1ffc65c">'Admin Sheet'!$E$9</definedName>
    <definedName name="_9bbad406_890d_49c5_a0f0_3967a9937cac">'Admin Sheet'!$O$49</definedName>
    <definedName name="_9bd5e2ce_40a8_459a_befd_201d8631eb5e">'Admin Sheet'!$S$44</definedName>
    <definedName name="_9bdd360c_14f3_4d6b_b023_ae8e1e3b3463">'Admin Sheet'!$P$9</definedName>
    <definedName name="_9c88c49a_dae1_4610_bc04_dc8c0cff472b">'Data Sheet'!$B$290</definedName>
    <definedName name="_9cd3002f_a007_47b3_8e60_d95baf80104c">'Admin Sheet'!$E$24</definedName>
    <definedName name="_9e0197e8_9fb5_4a2b_aa98_409086a4f039" comment="Display Map">'Data Sheet'!$B$28:$G$173</definedName>
    <definedName name="_9e4064b7_e62c_4abc_9af4_69421f2f4da2" localSheetId="8">#REF!</definedName>
    <definedName name="_9e4064b7_e62c_4abc_9af4_69421f2f4da2">#REF!</definedName>
    <definedName name="_9ee0e020_bddf_47e7_8465_94af50d14d54">'Admin Sheet'!$O$19</definedName>
    <definedName name="_9f074ebe_a4aa_4aaa_acbd_02e94157972d">'Admin Sheet'!$Q$39</definedName>
    <definedName name="_9fc2742e_2c2e_4126_8f60_7655b1bed8da">'Admin Sheet'!$E$29</definedName>
    <definedName name="_a01147c2_3dfa_4eda_a98c_e2b6a7aea5d2">'Data Sheet'!$B$29</definedName>
    <definedName name="_a1e974f1_98d0_4ab5_ad07_283c58f49522">'Admin Sheet'!$Q$34</definedName>
    <definedName name="_a1f5d101_d930_4c9b_a303_b59c76eef4b5" localSheetId="8">#REF!</definedName>
    <definedName name="_a1f5d101_d930_4c9b_a303_b59c76eef4b5">#REF!</definedName>
    <definedName name="_a1f91564_5a93_42b9_89d0_64ab570c5875">'Recipient sheet'!$D$27</definedName>
    <definedName name="_a21e1f6c_9d80_4029_a062_5a2936040cde">'Admin Sheet'!$H$44</definedName>
    <definedName name="_a2252abd_4fc1_48bc_9da6_a709170703f2">'Admin Sheet'!$L$64</definedName>
    <definedName name="_a23ec5ef_bd8e_4bfe_8894_8230062f7b01">'Admin Sheet'!$T$14</definedName>
    <definedName name="_a33ad721_4839_41d5_a193_cf04831c30a4" localSheetId="8">#REF!</definedName>
    <definedName name="_a33ad721_4839_41d5_a193_cf04831c30a4">#REF!</definedName>
    <definedName name="_a44587f5_73da_458a_8064_fcd3a2d89cb2">'Admin Sheet'!$S$29</definedName>
    <definedName name="_a4843f16_c731_4952_99af_554f0f5b4582">'Admin Sheet'!$F$9</definedName>
    <definedName name="_a4c8478f_6a1e_481e_a8d5_8406897db5a4">'Admin Sheet'!$W$79</definedName>
    <definedName name="_a4f1091a_7b5c_45ed_8e14_88414db8f444" localSheetId="8">#REF!</definedName>
    <definedName name="_a4f1091a_7b5c_45ed_8e14_88414db8f444">#REF!</definedName>
    <definedName name="_a5b9b4f2_9c00_4e31_87bb_61b1a7eef852">'Admin Sheet'!$U$59</definedName>
    <definedName name="_a5c2f19a_5d22_4eaa_8da1_c87792f82f00">'Admin Sheet'!$G$44</definedName>
    <definedName name="_a68be984_8a92_48f8_820f_c237cbe65fb1">'Admin Sheet'!$E$74</definedName>
    <definedName name="_a6ea64e4_0634_4ced_8d24_2c97d4fde94b">'Admin Sheet'!$C$49</definedName>
    <definedName name="_a7423df1_a9fd_461c_a440_fdf7a9b7ad9f">'Admin Sheet'!$S$49</definedName>
    <definedName name="_a790de2c_5229_49a4_88ea_c1b97bea515b">'Admin Sheet'!$J$59</definedName>
    <definedName name="_a81653be_67f6_48de_984b_a6e610a19cfb">'Admin Sheet'!$E$19</definedName>
    <definedName name="_a83dcac5_150a_43ef_ae64_797de1ed1e3c">'Admin Sheet'!$L$4</definedName>
    <definedName name="_a84e4450_7573_434e_b7f7_3ad1368d206f">'Admin Sheet'!$L$39</definedName>
    <definedName name="_a920fced_f974_4ef8_9745_959efedccd84">'Admin Sheet'!$M$29</definedName>
    <definedName name="_aa2e1306_dd05_4864_af69_6d25d6af7264">'Admin Sheet'!$D$79</definedName>
    <definedName name="_aac47cda_85a8_427d_a643_30b0f56afa55" localSheetId="8">'Recipient sheet'!#REF!</definedName>
    <definedName name="_aac47cda_85a8_427d_a643_30b0f56afa55">'Recipient sheet'!#REF!</definedName>
    <definedName name="_ab01b111_a891_4e4d_b08d_7f21d8b936e0">'Admin Sheet'!$E$4</definedName>
    <definedName name="_ab8d76c0_a1cb_4434_b416_06a4c462924e">'Admin Sheet'!$K$19</definedName>
    <definedName name="_abea09ee_a218_42a5_90ee_961e46f9be79">'Admin Sheet'!$O$24</definedName>
    <definedName name="_ada6f6a7_401d_4b3c_b586_64f26600c7b6">'Admin Sheet'!$B$49</definedName>
    <definedName name="_af05181d_7330_4950_b4de_f2112e93a3a3">'Admin Sheet'!$U$79</definedName>
    <definedName name="_af1c330f_b9db_48c3_84be_e4dbed1439a1">'Admin Sheet'!$J$69</definedName>
    <definedName name="_afd1526e_1c12_46cf_890c_e37639bfeb9f">'Admin Sheet'!$M$19</definedName>
    <definedName name="_b0807573_6c82_40bf_ad66_92e1be0b33f9" comment="Save Map">'Admin Sheet'!$A$63:$W$63</definedName>
    <definedName name="_b0c537c2_79c4_4794_bc05_92ad710d2762">'Admin Sheet'!$N$69</definedName>
    <definedName name="_b1e54fdd_ef4b_4345_baec_76738512e403">'Admin Sheet'!$R$69</definedName>
    <definedName name="_b20a4b7e_81a8_4e2d_9fcf_afd6eae2ec1f">'Admin Sheet'!$E$34</definedName>
    <definedName name="_b22e4eb0_8f58_4cfc_9a93_308d638b7882">'Admin Sheet'!$H$79</definedName>
    <definedName name="_b267eceb_4ed8_41f2_998e_1932dfaf0d6c">'Admin Sheet'!$P$19</definedName>
    <definedName name="_b2b7da3e_86e7_4904_b0e8_4c458cbfb46d" localSheetId="8">#REF!</definedName>
    <definedName name="_b2b7da3e_86e7_4904_b0e8_4c458cbfb46d">#REF!</definedName>
    <definedName name="_b2c19972_3f90_4368_a5f5_89f890ea7ba7">'Admin Sheet'!$O$44</definedName>
    <definedName name="_b33dd721_fd74_4b19_ac8e_8ff4398e1f4b">'Admin Sheet'!$F$59</definedName>
    <definedName name="_b366183f_bf47_47ef_80b2_62f5a643178a">'Admin Sheet'!$B$9</definedName>
    <definedName name="_b36cddb5_5882_4b74_920f_95c8c4e35420">'Admin Sheet'!$A$79</definedName>
    <definedName name="_b479abbc_1348_47ce_8984_40a995f58905" localSheetId="8">#REF!</definedName>
    <definedName name="_b479abbc_1348_47ce_8984_40a995f58905">#REF!</definedName>
    <definedName name="_b4ecd4a4_bce1_4958_b519_b0dc2ec31821">'Admin Sheet'!$T$64</definedName>
    <definedName name="_b5826942_2f64_4689_82df_d4dec5e4b996">'Admin Sheet'!$P$24</definedName>
    <definedName name="_b5dec808_aba7_4426_9234_7f9708ca58b2">'Admin Sheet'!$H$39</definedName>
    <definedName name="_b5e9cc4d_7006_4373_a506_c7e7e63a9cf1">'Admin Sheet'!$K$39</definedName>
    <definedName name="_b77da7bf_82d9_4512_8bbb_4cc5df2d2dc8">'Admin Sheet'!$P$39</definedName>
    <definedName name="_b7bfa0d9_029b_48f4_b3c3_2b7b8bfae850">'Admin Sheet'!$P$69</definedName>
    <definedName name="_b807489d_3dea_4c11_9941_e543594a7585">'Admin Sheet'!$M$34</definedName>
    <definedName name="_b9230bac_39ac_427d_bd0f_d44b3a686bb2" comment="Display Map">'Data Sheet'!$A$198:$I$274</definedName>
    <definedName name="_b9ac1525_a338_4e54_9fab_ce0b7b6318fd" comment="Save Map" localSheetId="8">#REF!</definedName>
    <definedName name="_b9ac1525_a338_4e54_9fab_ce0b7b6318fd" comment="Save Map">#REF!</definedName>
    <definedName name="_b9becd89_a6fd_4ec5_953a_80bb4a386805">'Admin Sheet'!$Q$49</definedName>
    <definedName name="_bbaf14e6_541a_4d5a_9263_ae12c3fab039">'Admin Sheet'!$I$69</definedName>
    <definedName name="_bc235992_cdbd_4e74_b767_68e6b2ac8d58">'Admin Sheet'!$L$49</definedName>
    <definedName name="_bc85d5cd_ef66_4b8e_b88c_9f3767cc7f6b">'Admin Sheet'!$T$4</definedName>
    <definedName name="_bd0be139_d555_41ca_96f6_c90195205251">'Admin Sheet'!$M$44</definedName>
    <definedName name="_bd534cbe_3f52_4e6a_b4ec_b05d5f9ebb01">'Admin Sheet'!$B$39</definedName>
    <definedName name="_bdc95953_cd01_4843_a09f_d61c6fd11d6b">'Admin Sheet'!$W$39</definedName>
    <definedName name="_be96783c_d318_487c_8bda_f968ce58e459">'Admin Sheet'!$K$74</definedName>
    <definedName name="_bee9760c_1094_4d78_9dfc_e20cccbdea1c">'Admin Sheet'!$L$69</definedName>
    <definedName name="_bf3cacdf_bc7f_4173_8f84_f13ee0b5c719" localSheetId="8">#REF!</definedName>
    <definedName name="_bf3cacdf_bc7f_4173_8f84_f13ee0b5c719">#REF!</definedName>
    <definedName name="_bf616a3b_b72f_44a7_a972_3e0d30dd8e9b">Setup!$C$7</definedName>
    <definedName name="_bfb16c5a_bc64_4eb6_95f7_302c744b7738">'Admin Sheet'!$S$74</definedName>
    <definedName name="_bff58b41_2bbe_470a_826a_288c87e3af10">'Admin Sheet'!$E$49</definedName>
    <definedName name="_c21889b0_2d86_4f9a_8b56_5007e9417ab5">'Admin Sheet'!$D$69</definedName>
    <definedName name="_c273ec4e_742e_4a77_b1d6_3fa450c6d028">'Admin Sheet'!$Q$44</definedName>
    <definedName name="_c35bff0d_642f_40df_8d5f_bbcb0534e23b" localSheetId="8">#REF!</definedName>
    <definedName name="_c35bff0d_642f_40df_8d5f_bbcb0534e23b">#REF!</definedName>
    <definedName name="_c3618027_5237_477f_bc9e_1c10f2ac9581">'Admin Sheet'!$O$14</definedName>
    <definedName name="_c4a6627e_3c0b_40fe_9717_c63f93b4a7d8">'Admin Sheet'!$A$34</definedName>
    <definedName name="_c4d0adda_8b5d_40d6_bf5c_2777fe99d51c">'Admin Sheet'!$N$44</definedName>
    <definedName name="_c5513c70_6f61_4550_a11a_2cafd2955e09">'Admin Sheet'!$R$54</definedName>
    <definedName name="_c5608ccd_f554_4c1e_ab30_66815fe1b9ff">'Admin Sheet'!$O$54</definedName>
    <definedName name="_c59e0bac_0e8c_467b_b26e_02b05312dd58">'Data Sheet'!$B$3:$B$26</definedName>
    <definedName name="_c5cacf8f_3dda_4ba8_8f8a_91899a40851f">'Admin Sheet'!$J$54</definedName>
    <definedName name="_c7b71d99_eeb2_40d1_aeb4_76abed9c4585">'Admin Sheet'!$I$39</definedName>
    <definedName name="_c8260a96_b7f3_4fd8_8cbb_c269b4e5d6d2">'Data Sheet'!$B$190</definedName>
    <definedName name="_c97ffbad_78a9_4558_8573_7c0291767d25" comment="Save Map">'Admin Sheet'!$A$58:$W$58</definedName>
    <definedName name="_cbd72e7c_a9f2_418f_ab7f_1c74aedcf62c">'Admin Sheet'!$F$54</definedName>
    <definedName name="_cc0cc47a_c055_42b1_8882_4eb499a5f0e9">'Admin Sheet'!$W$34</definedName>
    <definedName name="_cc15cf2d_1cea_4443_9c90_6f4e5a84976e" localSheetId="8">#REF!</definedName>
    <definedName name="_cc15cf2d_1cea_4443_9c90_6f4e5a84976e">#REF!</definedName>
    <definedName name="_cc62bf55_cf85_4b01_8785_2cc808d4dbd7">'Admin Sheet'!$Q$54</definedName>
    <definedName name="_ccbbac50_4106_4285_86d7_8d936aff1156">'Admin Sheet'!$T$24</definedName>
    <definedName name="_ce22259c_4382_4095_a0ad_adcea496fac9" localSheetId="8">#REF!</definedName>
    <definedName name="_ce22259c_4382_4095_a0ad_adcea496fac9">#REF!</definedName>
    <definedName name="_ce7f5aae_0db1_44e8_b879_6fb7ee0c4e7c" comment="Save Map">'Admin Sheet'!$A$8:$W$8</definedName>
    <definedName name="_cef96f31_8847_42b0_b2cb_94a6a6b36b2f">'Admin Sheet'!$U$54</definedName>
    <definedName name="_cf5c730e_9d52_42f1_a669_fc37325ebf1f">'Admin Sheet'!$K$24</definedName>
    <definedName name="_cf97189c_0ef2_456c_b141_4b7da828a7b8">'Admin Sheet'!$H$24</definedName>
    <definedName name="_cfa047d6_4ddc_4b7c_b25f_d24966c57ac7" comment="Display Map">'Data Sheet'!$A$194:$C$194</definedName>
    <definedName name="_cfb553dd_2c32_4b32_8aa6_0005d884e23b">'Admin Sheet'!$R$64</definedName>
    <definedName name="_d0b37e04_328f_46ce_a469_cc73410fb065">'Data Sheet'!$B$199</definedName>
    <definedName name="_d138b872_f6f8_4e9b_a8ef_bb6c0e66f9c2" localSheetId="8">#REF!</definedName>
    <definedName name="_d138b872_f6f8_4e9b_a8ef_bb6c0e66f9c2">#REF!</definedName>
    <definedName name="_d17274d5_2f30_44c9_9f4b_3c0bfd25c9d0">'Admin Sheet'!$J$19</definedName>
    <definedName name="_d1e49137_9d83_4937_9f6f_519f9e13e479">'Admin Sheet'!$U$64</definedName>
    <definedName name="_d2453dc3_cbc1_4170_a600_2ecb40bba922">'Data Sheet'!$C$276</definedName>
    <definedName name="_d2d2d864_9b03_45ca_b37d_616ec497e900">'Admin Sheet'!$N$4</definedName>
    <definedName name="_d325e530_89ff_48b3_90ca_35f4ae55bfbf" comment="Display Map">'Recipient sheet'!$A$26:$D$29</definedName>
    <definedName name="_d3ff0b7e_5537_4c63_9eb5_d61ec85f16da">'Admin Sheet'!$P$54</definedName>
    <definedName name="_d447e57f_bbc6_4a3b_9ab5_a781d4383a26">Setup!$B$12:$B$14</definedName>
    <definedName name="_d44cfa06_9089_473c_9d17_206731533e82">'Data Sheet'!$C$3:$C$26</definedName>
    <definedName name="_d48a07cb_210d_43ec_b6e0_da83771791db">'Admin Sheet'!$A$29</definedName>
    <definedName name="_d5c71f5d_2ae7_4828_8d08_20531afa3dc0">'Admin Sheet'!$T$79</definedName>
    <definedName name="_d68f4baf_42e7_4c20_8083_b68b07c7162f">'Admin Sheet'!$G$69</definedName>
    <definedName name="_d6ae41a6_b226_4c8a_b70f_0272fdf2983b">'Admin Sheet'!$F$19</definedName>
    <definedName name="_d7345976_4523_4207_9c30_c120143b922d">Setup!$C$4</definedName>
    <definedName name="_d77ebbab_4679_4822_a7ca_a0eaedc17015">'Admin Sheet'!$P$74</definedName>
    <definedName name="_d8019bdf_0399_4f2f_8ab6_c8bc320d363f">'Admin Sheet'!$P$14</definedName>
    <definedName name="_d8803fac_51ca_4210_b72e_20dc8456f867">'Admin Sheet'!$K$44</definedName>
    <definedName name="_d8d8326d_01cf_4143_b845_b540b08580fe">'Data Sheet'!$D$191</definedName>
    <definedName name="_d91c78a7_f0c1_457f_9def_32e04fd4a479" localSheetId="8">#REF!</definedName>
    <definedName name="_d91c78a7_f0c1_457f_9def_32e04fd4a479">#REF!</definedName>
    <definedName name="_db188359_6902_4a8a_86c0_3acc28f33d6b">'Admin Sheet'!$U$14</definedName>
    <definedName name="_db577edc_0d58_42e3_acb2_662bd337633a">'Admin Sheet'!$I$49</definedName>
    <definedName name="_dbae0a8b_3bcc_4842_a1ca_77545866f9b5">'Admin Sheet'!$E$14</definedName>
    <definedName name="_dbd0c918_8140_4043_bdab_cece939ff74a" localSheetId="8">#REF!</definedName>
    <definedName name="_dbd0c918_8140_4043_bdab_cece939ff74a">#REF!</definedName>
    <definedName name="_dc76ebf0_48f4_4579_a17a_651b3649877d">'Data Sheet'!$A$3</definedName>
    <definedName name="_dcb49011_4a55_47b1_8b1d_fe1093c85a41">Setup!$C$9</definedName>
    <definedName name="_dd058416_0a99_4785_808c_5ed1df8cd28e" comment="Display Map">'Data Sheet'!$A$2:$D$25</definedName>
    <definedName name="_dd598c82_73c4_4fcc_bc64_564d012a6068">'Admin Sheet'!$R$24</definedName>
    <definedName name="_dd9b19c1_8566_4b27_a28d_e895912395f3">'Admin Sheet'!$C$44</definedName>
    <definedName name="_ddd4e649_9768_4668_9c3a_e7a47f9904c2" comment="Display Map">'Recipient sheet'!$A$1:$D$9</definedName>
    <definedName name="_de01575c_3097_499d_9977_70f8b5e7ab13" localSheetId="8">#REF!</definedName>
    <definedName name="_de01575c_3097_499d_9977_70f8b5e7ab13">#REF!</definedName>
    <definedName name="_de9e66c2_9404_4d6a_ad12_2b09781e9a98">'Admin Sheet'!$N$59</definedName>
    <definedName name="_df42c16a_5f39_4886_84be_3de6c432ab8c">'Admin Sheet'!$H$19</definedName>
    <definedName name="_dfa43edd_b437_4182_972c_5b67da53d693">'Admin Sheet'!$R$34</definedName>
    <definedName name="_dff613f8_32ad_4fd2_8852_bf8df5ad4147">'Admin Sheet'!$S$24</definedName>
    <definedName name="_dffd1dfc_0650_4e3f_949c_6c6486003bf4">'Admin Sheet'!$L$54</definedName>
    <definedName name="_e0504a3c_5aad_4b26_bd6e_cb646f2e8c60">'Admin Sheet'!$N$34</definedName>
    <definedName name="_e0d3716b_f826_447c_bccd_adabe3fc5b91">'Admin Sheet'!$D$44</definedName>
    <definedName name="_e0fd6490_1ddf_4de7_ac83_7e7f46001245">'Admin Sheet'!$K$79</definedName>
    <definedName name="_e17b392d_d035_41af_b013_a285d62fc593">'Admin Sheet'!$O$34</definedName>
    <definedName name="_e1c7c0dc_3945_4693_9f8b_69ca3beca880">'Admin Sheet'!$I$34</definedName>
    <definedName name="_e1e8ed42_893f_4e14_a197_046c7a580a7b">'Admin Sheet'!$T$34</definedName>
    <definedName name="_e2b72c2a_5cf9_4802_ab67_4a20a9693aeb">'Admin Sheet'!$C$34</definedName>
    <definedName name="_e2cafed7_8515_414d_9f79_f8de1f6fdfa0" comment="Save Map">'Admin Sheet'!$A$68:$W$68</definedName>
    <definedName name="_e3c2ead6_6c34_462b_a702_c160a5df118a" localSheetId="8">#REF!</definedName>
    <definedName name="_e3c2ead6_6c34_462b_a702_c160a5df118a">#REF!</definedName>
    <definedName name="_e51e7c02_2ce6_4d9a_80a4_93735c04941e">'Admin Sheet'!$D$4</definedName>
    <definedName name="_e7afc1f1_782e_45ba_8cdc_e2fc43cdaea6">'Admin Sheet'!$N$9</definedName>
    <definedName name="_e7e7b9f9_1482_4a32_b282_58cff150a8c8">'Admin Sheet'!$E$79</definedName>
    <definedName name="_e80f2ab8_a807_493b_b087_af411f4fc4e0">Setup!$B$12</definedName>
    <definedName name="_e8aaf1e6_61eb_40f1_82c7_c364ea5cb53b" localSheetId="8">#REF!</definedName>
    <definedName name="_e8aaf1e6_61eb_40f1_82c7_c364ea5cb53b">#REF!</definedName>
    <definedName name="_e8ba9312_4baa_4c3b_a885_9a1a159b0c92">'Admin Sheet'!$R$4</definedName>
    <definedName name="_e9377785_ebef_47c7_bd40_2d50d6b54812">'Admin Sheet'!$S$59</definedName>
    <definedName name="_e9682cc3_eb7a_4d7b_a7e9_c990d66a6d08">'Data Sheet'!$G$29</definedName>
    <definedName name="_e9ab91cf_1bf6_4dc7_b7fc_74e968c90c75">'Admin Sheet'!$R$14</definedName>
    <definedName name="_ea24185f_0eb1_4608_b60d_5f9d7ba559f5">'Recipient sheet'!$A$2</definedName>
    <definedName name="_eadd4f45_d417_433a_bcd3_be5d4ef7cf3c" comment="Save Map">'Admin Sheet'!$A$43:$W$43</definedName>
    <definedName name="_eaf814ce_d4c5_48e9_9275_5a49216c8ff2">'Admin Sheet'!$P$64</definedName>
    <definedName name="_eafc2fbe_6c57_41b2_9ec2_6e1adf6473e3">'Admin Sheet'!$E$39</definedName>
    <definedName name="_eb427bca_6dff_4ac8_b151_936263635805">'Admin Sheet'!$O$4</definedName>
    <definedName name="_eb589fc9_4efb_44c3_9b5a_4e9cedf2f153">'Admin Sheet'!$W$29</definedName>
    <definedName name="_eb839e16_fc9c_413c_8908_cad80e757e24" comment="Display Map" localSheetId="8">'Recipient sheet'!#REF!</definedName>
    <definedName name="_eb839e16_fc9c_413c_8908_cad80e757e24" comment="Display Map">'Recipient sheet'!#REF!</definedName>
    <definedName name="_ec2b3c66_da78_46d2_8486_1afa6ea8a607">'Admin Sheet'!$W$54</definedName>
    <definedName name="_ec6f09a0_2e8d_421d_9f61_6b29505eb2f4">'Admin Sheet'!$E$54</definedName>
    <definedName name="_eea37f06_9fd0_49ce_8eb9_65ca9723ba3c">'Admin Sheet'!$K$54</definedName>
    <definedName name="_eea3b01d_57e6_4093_bee9_7d75171b0049">'Admin Sheet'!$H$64</definedName>
    <definedName name="_eea6d800_a19c_459c_8708_606c8a7dd52a">'Admin Sheet'!$C$69</definedName>
    <definedName name="_eecfcf1a_e847_4960_b871_ebab6a0562a7" localSheetId="8">#REF!</definedName>
    <definedName name="_eecfcf1a_e847_4960_b871_ebab6a0562a7">#REF!</definedName>
    <definedName name="_ef24dff4_3d95_4a73_a2db_e9c05f22de2e">'Admin Sheet'!$R$19</definedName>
    <definedName name="_ef50e006_6b65_4f30_86b5_b9fbd92dbee7">'Admin Sheet'!$K$14</definedName>
    <definedName name="_f383e712_d83b_4d37_8b71_79ee7060b68a">'Admin Sheet'!$H$69</definedName>
    <definedName name="_f4e3e136_1b7b_4cc5_8cce_93485c48152f">'Admin Sheet'!$S$69</definedName>
    <definedName name="_f5100367_6b58_4e4e_ae29_aeca7214787d" comment="Save Map">'Admin Sheet'!$A$78:$W$78</definedName>
    <definedName name="_f5cfe8bd_290b_4004_90df_bcd3f2d65626">'Admin Sheet'!$K$4</definedName>
    <definedName name="_f713dbfc_53fb_4f7c_89b7_45d5119b117a">'Admin Sheet'!$U$19</definedName>
    <definedName name="_f78b1d38_a28d_4d54_b976_b695aa06c15c">'Admin Sheet'!$U$44</definedName>
    <definedName name="_f7a73e3b_8878_44ec_980d_83a59426a26a">'Admin Sheet'!$K$69</definedName>
    <definedName name="_f7c2f17c_9c1d_4fc5_a3ce_94aaeaa30a0f">'Admin Sheet'!$N$79</definedName>
    <definedName name="_f8f110bd_e238_4b0b_be96_0b286d6e8fe5">'Admin Sheet'!$U$74</definedName>
    <definedName name="_f94f5b59_c61b_455b_8d4c_6ff65699a922">'Admin Sheet'!$O$69</definedName>
    <definedName name="_fa23a5e5_5d3d_4a03_b6a2_63891bd76fab">'Admin Sheet'!$Q$64</definedName>
    <definedName name="_fac63272_f42e_4147_ac3d_14981643e85a">'Admin Sheet'!$M$64</definedName>
    <definedName name="_facb351a_e223_48f6_90b1_5f249f294f3c">'Admin Sheet'!$P$29</definedName>
    <definedName name="_fae4e0e7_d6d3_4c9d_9014_421e4fd2262b">'Admin Sheet'!$B$19</definedName>
    <definedName name="_fc0c6e8c_f172_4f90_950c_13a41aa01c57">'Admin Sheet'!$F$4</definedName>
    <definedName name="_fc3f044f_4ad1_4fb5_912d_7e1beab3857b">'Admin Sheet'!$J$44</definedName>
    <definedName name="_fc965a75_6188_43be_b78b_fad9a862f94d">'Admin Sheet'!$U$29</definedName>
    <definedName name="_fd972c3d_0ba4_42e7_8446_2150735dea19" localSheetId="8">#REF!</definedName>
    <definedName name="_fd972c3d_0ba4_42e7_8446_2150735dea19">#REF!</definedName>
    <definedName name="_fde20c02_1828_4292_8edb_dbc372c4c7a9">'Data Sheet'!$C$199</definedName>
    <definedName name="_fe786939_80d9_4d9f_bcc0_717e7cb0b1f0">'Admin Sheet'!$I$74</definedName>
    <definedName name="_fedcd7d3_8063_490d_9a62_15657214dfaa" localSheetId="8">#REF!</definedName>
    <definedName name="_fedcd7d3_8063_490d_9a62_15657214dfaa">#REF!</definedName>
    <definedName name="_xlnm._FilterDatabase" localSheetId="11" hidden="1">AdditionalFundingRequestInfo!$A$4:$C$4</definedName>
    <definedName name="_xlnm._FilterDatabase" localSheetId="7" hidden="1">'Budget Summary'!$C$54:$X$54</definedName>
    <definedName name="_xlnm._FilterDatabase" localSheetId="8" hidden="1">'Budget Summary En'!$C$64:$X$64</definedName>
    <definedName name="_xlnm._FilterDatabase" localSheetId="5" hidden="1">Currencies!$A$1:$K$245</definedName>
    <definedName name="_xlnm._FilterDatabase" localSheetId="1" hidden="1">'Detailed Budget'!$A$4:$CJ$1005</definedName>
    <definedName name="_xlnm._FilterDatabase" localSheetId="17" hidden="1">'Financial Triggers - Budget'!$A$5:$J$5</definedName>
    <definedName name="_xlnm._FilterDatabase" localSheetId="10" hidden="1">'Summary by Cost Input'!$A$16:$X$16</definedName>
    <definedName name="_xlnm._FilterDatabase" localSheetId="9" hidden="1">'Summary by Intervention'!$C$16:$X$107</definedName>
    <definedName name="AccountRole">IF('Data Sheet'!$D$190&lt;&gt;"",OFFSET('Recipient sheet'!$B$2,1,0,MATCH(" ",'Recipient sheet'!$B$2:$B$10,-1)-1,1), OFFSET('Recipient sheet'!$B$27,1,0,MATCH(" ",'Recipient sheet'!$B$27:$B$30,-1)-1,1))</definedName>
    <definedName name="AIM_Cost_Grouping__c.AIM_Unit_Cost_Definition__c">apttusmetadata!$AG$2:$AG$23</definedName>
    <definedName name="AIM_Detailed_Budget_Line__c.AIM_Currency__c">apttusmetadata!$AA$2:$AA$158</definedName>
    <definedName name="AIM_Detailed_Budget_Line__c.AIM_Payment_currency__c">apttusmetadata!$AF$2:$AF$158</definedName>
    <definedName name="AIM_Detailed_Budget_Line__c.AIM_Quarter__c">apttusmetadata!$AB$2:$AB$5</definedName>
    <definedName name="AIM_Detailed_Budget_Line__c.AIM_Recipient_Type__c">apttusmetadata!$AD$2:$AD$4</definedName>
    <definedName name="AIM_Detailed_Budget_Line__c.AIM_Type_of_Implementing_Entity__c">apttusmetadata!$AE$2:$AE$15</definedName>
    <definedName name="AIM_Detailed_Budget_Line__c.AIM_Unit_of_Measure__c">[1]apttusmetadata!$AC$2:$AC$9</definedName>
    <definedName name="AIM_Detailed_Budget_Line__c.AIM_Year__c">apttusmetadata!$AC$2:$AC$11</definedName>
    <definedName name="AssumptionList" localSheetId="8">#REF!</definedName>
    <definedName name="AssumptionList">#REF!</definedName>
    <definedName name="BLCount">COUNT('Detailed Budget'!A1:A500)</definedName>
    <definedName name="Budget_PivotRange">'Detailed Budget'!$A$4:$CA$2004</definedName>
    <definedName name="BudgetLineNumbers" localSheetId="8">#REF!:INDEX(#REF!,COUNT(#REF!,"?*"))</definedName>
    <definedName name="BudgetLineNumbers">#REF!:INDEX(#REF!,COUNT(#REF!,"?*"))</definedName>
    <definedName name="CmpAcroSelected" localSheetId="8">INDIRECT(ADDRESS('Budget Summary En'!CmpSelectedOnRow,2,1,TRUE,"CatCmp"))</definedName>
    <definedName name="CmpAcroSelected">INDIRECT(ADDRESS(CmpSelectedOnRow,2,1,TRUE,"CatCmp"))</definedName>
    <definedName name="CmpIdSelected" localSheetId="8">INDIRECT(ADDRESS('Budget Summary En'!CmpSelectedOnRow,1,1,TRUE,"CatCmp"))</definedName>
    <definedName name="CmpIdSelected">INDIRECT(ADDRESS(CmpSelectedOnRow,1,1,TRUE,"CatCmp"))</definedName>
    <definedName name="CmpSelectedOnRow" localSheetId="8">IFERROR(MATCH([0]!ComponentSelected,#REF!,0),"")</definedName>
    <definedName name="CmpSelectedOnRow">IFERROR(MATCH(ComponentSelected,#REF!,0),"")</definedName>
    <definedName name="ComponentConcatenation">CONCATENATE(Setup!A1, Setup!A2,", ",Setup!A3,", ",Setup!A4,", ",Setup!A5)</definedName>
    <definedName name="ComponentList">Setup!$A$12:$A$14</definedName>
    <definedName name="ComponentSelected">Setup!$L$3</definedName>
    <definedName name="CostInpNoList">'Detailed Budget'!$L$5:$L$1005</definedName>
    <definedName name="CostInput">OFFSET('Data Sheet'!$F$199,1,0,MATCH(" ",'Data Sheet'!$F$199:$F$275,-1)-1,1)</definedName>
    <definedName name="CostInputs" localSheetId="8">OFFSET(#REF!,0,VLOOKUP([0]!ComponentSelected,#REF!,6,FALSE),#REF!,1)</definedName>
    <definedName name="CostInputs">OFFSET(#REF!,0,VLOOKUP(ComponentSelected,#REF!,6,FALSE),#REF!,1)</definedName>
    <definedName name="Country" localSheetId="8">OFFSET(#REF!,0,0,COUNTA(#REF!),1)</definedName>
    <definedName name="Country">OFFSET(#REF!,0,0,COUNTA(#REF!),1)</definedName>
    <definedName name="Currencies">Setup!$C$30:$C$41</definedName>
    <definedName name="DetailedBudget_PivotRange">'Detailed Budget'!$A$4:$CA$304</definedName>
    <definedName name="Geographylocation">Setup!$A$73:$A$91</definedName>
    <definedName name="IntIdList">'Detailed Budget'!$F$5:$F$1005</definedName>
    <definedName name="LangOffset">Translations!$C$1</definedName>
    <definedName name="Language">Setup!$J$2</definedName>
    <definedName name="LocalCurrency">IF(NOT(Setup!$C$4=""),VLOOKUP(Setup!$C$4,Currencies!$B$2:$G$250, 6, FALSE),"")</definedName>
    <definedName name="ModuleColumn">'Data Sheet'!$B$29:$B$174</definedName>
    <definedName name="ModuleIdList">'Detailed Budget'!$D$5:$D$1005</definedName>
    <definedName name="ModulesInCmp" localSheetId="8">OFFSET(#REF!,0,0,'Budget Summary En'!NbrOfModulesInCmp,1)</definedName>
    <definedName name="ModulesInCmp">OFFSET(#REF!,0,0,NbrOfModulesInCmp,1)</definedName>
    <definedName name="ModuleStart">Intervention[Module]</definedName>
    <definedName name="NbrOfModulesInCmp" localSheetId="8">COUNT(#REF!)</definedName>
    <definedName name="NbrOfModulesInCmp">COUNT(#REF!)</definedName>
    <definedName name="NbrOfPRsSelected" localSheetId="8">COUNTA(Setup!#REF!)</definedName>
    <definedName name="NbrOfPRsSelected">COUNTA(Setup!#REF!)</definedName>
    <definedName name="Pharma">OFFSET('[2]Pharma CIs'!$C$2,0,0,COUNTA('[2]Pharma CIs'!$C$2:$C$11),1)</definedName>
    <definedName name="PICKLISTKEYVALUEPAIR">apttusmetadata!$Y$1:$Z$2</definedName>
    <definedName name="PRAcronym" localSheetId="8">#REF!:INDEX(#REF!,COUNTIF(#REF!,"?*"))</definedName>
    <definedName name="PRAcronym">#REF!:INDEX(#REF!,COUNTIF(#REF!,"?*"))</definedName>
    <definedName name="_xlnm.Print_Area" localSheetId="0">Setup!$A$1:$J$91</definedName>
    <definedName name="PRsInCountry" localSheetId="8">OFFSET(#REF!,MATCH(Setup!$C$4,#REF!,0)-1,0,COUNTIF(#REF!,Setup!$C$4),1)</definedName>
    <definedName name="PRsInCountry">OFFSET(#REF!,MATCH(Setup!$C$4,#REF!,0)-1,0,COUNTIF(#REF!,Setup!$C$4),1)</definedName>
    <definedName name="PSM">OFFSET(PSM [3]CIs!$A$2,0,0,COUNTA([0]!PSM [3]CIs!$A$2:$A$11),1)</definedName>
    <definedName name="Recipient">OFFSET(Setup!$K$43,1,0,MATCH(" ",Setup!$K$43:$K$103,-1)-1,1)</definedName>
    <definedName name="RecipientIdList">'Detailed Budget'!$N$936:$N$1005</definedName>
    <definedName name="RecipientList">Setup!$K$44:$K$70</definedName>
    <definedName name="Res">OFFSET('Recipient sheet'!$B$2,1,0,MATCH("*",'Recipient sheet'!$B$2:$B$10,-1)-1,1)</definedName>
    <definedName name="Test">'Data Sheet'!$E$177:$E$193</definedName>
    <definedName name="Uniques" localSheetId="8">'Budget Summary En'!$C$16:$C$32</definedName>
    <definedName name="Uniques">'Budget Summary'!$C$16:$C$32</definedName>
    <definedName name="XAuthorInvalidPicklistData">apttusmetadata!$B$1</definedName>
    <definedName name="YesNo">'Financial Triggers - Budget'!$R$3:$R$4</definedName>
    <definedName name="ZZZ" localSheetId="8">#REF!:INDEX(#REF!,COUNT(#REF!,"?*"))</definedName>
    <definedName name="ZZZ">#REF!:INDEX(#REF!,COUNT(#REF!,"?*"))</definedName>
  </definedNames>
  <calcPr calcId="144525"/>
  <pivotCaches>
    <pivotCache cacheId="1" r:id="rId23"/>
  </pivotCaches>
</workbook>
</file>

<file path=xl/calcChain.xml><?xml version="1.0" encoding="utf-8"?>
<calcChain xmlns="http://schemas.openxmlformats.org/spreadsheetml/2006/main">
  <c r="AX84" i="1" l="1"/>
  <c r="AX83" i="1"/>
  <c r="BB84" i="1"/>
  <c r="BB83" i="1"/>
  <c r="D653" i="67"/>
  <c r="D464" i="67"/>
  <c r="G630" i="67"/>
  <c r="E631" i="67"/>
  <c r="G631" i="67"/>
  <c r="G632" i="67"/>
  <c r="E633" i="67"/>
  <c r="G633" i="67"/>
  <c r="E635" i="67"/>
  <c r="F635" i="67"/>
  <c r="G635" i="67"/>
  <c r="E636" i="67"/>
  <c r="F636" i="67"/>
  <c r="G636" i="67"/>
  <c r="E637" i="67"/>
  <c r="F637" i="67"/>
  <c r="G637" i="67"/>
  <c r="E638" i="67"/>
  <c r="F638" i="67"/>
  <c r="G638" i="67"/>
  <c r="G639" i="67"/>
  <c r="G640" i="67"/>
  <c r="G641" i="67"/>
  <c r="G642" i="67"/>
  <c r="G643" i="67"/>
  <c r="G644" i="67"/>
  <c r="G645" i="67"/>
  <c r="G647" i="67"/>
  <c r="G650" i="67"/>
  <c r="G651" i="67"/>
  <c r="G652" i="67"/>
  <c r="G653" i="67"/>
  <c r="G654" i="67"/>
  <c r="G656" i="67"/>
  <c r="G659" i="67"/>
  <c r="G660" i="67"/>
  <c r="G661" i="67"/>
  <c r="G662" i="67"/>
  <c r="G663" i="67"/>
  <c r="G664" i="67"/>
  <c r="G665" i="67"/>
  <c r="G666" i="67"/>
  <c r="D668" i="67"/>
  <c r="G668" i="67"/>
  <c r="D669" i="67"/>
  <c r="G669" i="67"/>
  <c r="D670" i="67"/>
  <c r="G670" i="67"/>
  <c r="D671" i="67"/>
  <c r="G671" i="67"/>
  <c r="D672" i="67"/>
  <c r="G672" i="67"/>
  <c r="F673" i="67"/>
  <c r="G673" i="67"/>
  <c r="G674" i="67"/>
  <c r="F675" i="67"/>
  <c r="G675" i="67"/>
  <c r="F676" i="67"/>
  <c r="G676" i="67"/>
  <c r="F677" i="67"/>
  <c r="G677" i="67"/>
  <c r="G678" i="67"/>
  <c r="G679" i="67"/>
  <c r="G681" i="67"/>
  <c r="G684" i="67"/>
  <c r="G685" i="67"/>
  <c r="G686" i="67"/>
  <c r="G687" i="67"/>
  <c r="G688" i="67"/>
  <c r="G689" i="67"/>
  <c r="G690" i="67"/>
  <c r="G691" i="67"/>
  <c r="G692" i="67"/>
  <c r="G693" i="67"/>
  <c r="G694" i="67"/>
  <c r="G695" i="67"/>
  <c r="G696" i="67"/>
  <c r="G697" i="67"/>
  <c r="G698" i="67"/>
  <c r="G699" i="67"/>
  <c r="G700" i="67"/>
  <c r="G701" i="67"/>
  <c r="G702" i="67"/>
  <c r="G703" i="67"/>
  <c r="G704" i="67"/>
  <c r="G705" i="67"/>
  <c r="G706" i="67"/>
  <c r="G707" i="67"/>
  <c r="G710" i="67"/>
  <c r="G713" i="67"/>
  <c r="G714" i="67"/>
  <c r="G715" i="67"/>
  <c r="G717" i="67"/>
  <c r="G720" i="67"/>
  <c r="G721" i="67"/>
  <c r="E722" i="67"/>
  <c r="G722" i="67"/>
  <c r="G723" i="67"/>
  <c r="G724" i="67"/>
  <c r="G726" i="67"/>
  <c r="G729" i="67"/>
  <c r="G730" i="67"/>
  <c r="G731" i="67"/>
  <c r="F733" i="67"/>
  <c r="G733" i="67"/>
  <c r="F734" i="67"/>
  <c r="G734" i="67"/>
  <c r="F735" i="67"/>
  <c r="G735" i="67"/>
  <c r="G736" i="67"/>
  <c r="E732" i="67"/>
  <c r="E737" i="67"/>
  <c r="G737" i="67"/>
  <c r="E738" i="67"/>
  <c r="G738" i="67"/>
  <c r="G739" i="67"/>
  <c r="G741" i="67"/>
  <c r="D744" i="67"/>
  <c r="G744" i="67"/>
  <c r="D745" i="67"/>
  <c r="G745" i="67"/>
  <c r="D746" i="67"/>
  <c r="G746" i="67"/>
  <c r="G748" i="67"/>
  <c r="G750" i="67"/>
  <c r="G751" i="67"/>
  <c r="E708" i="67"/>
  <c r="E667" i="67"/>
  <c r="E634" i="67"/>
  <c r="G369" i="67"/>
  <c r="G370" i="67"/>
  <c r="G371" i="67"/>
  <c r="G372" i="67"/>
  <c r="G373" i="67"/>
  <c r="G374" i="67"/>
  <c r="G375" i="67"/>
  <c r="G376" i="67"/>
  <c r="G377" i="67"/>
  <c r="G378" i="67"/>
  <c r="G379" i="67"/>
  <c r="G380" i="67"/>
  <c r="G381" i="67"/>
  <c r="G383" i="67"/>
  <c r="G386" i="67"/>
  <c r="G387" i="67"/>
  <c r="G388" i="67"/>
  <c r="G389" i="67"/>
  <c r="G390" i="67"/>
  <c r="G391" i="67"/>
  <c r="G392" i="67"/>
  <c r="G393" i="67"/>
  <c r="G394" i="67"/>
  <c r="G395" i="67"/>
  <c r="G396" i="67"/>
  <c r="G397" i="67"/>
  <c r="G398" i="67"/>
  <c r="G399" i="67"/>
  <c r="G400" i="67"/>
  <c r="G401" i="67"/>
  <c r="G402" i="67"/>
  <c r="G403" i="67"/>
  <c r="G404" i="67"/>
  <c r="G405" i="67"/>
  <c r="G406" i="67"/>
  <c r="G407" i="67"/>
  <c r="G408" i="67"/>
  <c r="G409" i="67"/>
  <c r="G411" i="67"/>
  <c r="E410" i="67"/>
  <c r="E412" i="67"/>
  <c r="G412" i="67"/>
  <c r="E413" i="67"/>
  <c r="G413" i="67"/>
  <c r="G414" i="67"/>
  <c r="G416" i="67"/>
  <c r="G419" i="67"/>
  <c r="G420" i="67"/>
  <c r="G421" i="67"/>
  <c r="G422" i="67"/>
  <c r="G423" i="67"/>
  <c r="G424" i="67"/>
  <c r="G425" i="67"/>
  <c r="G426" i="67"/>
  <c r="G427" i="67"/>
  <c r="G428" i="67"/>
  <c r="G429" i="67"/>
  <c r="G430" i="67"/>
  <c r="G431" i="67"/>
  <c r="G432" i="67"/>
  <c r="G433" i="67"/>
  <c r="G434" i="67"/>
  <c r="G435" i="67"/>
  <c r="G436" i="67"/>
  <c r="G439" i="67"/>
  <c r="E440" i="67"/>
  <c r="G440" i="67"/>
  <c r="G441" i="67"/>
  <c r="G442" i="67"/>
  <c r="E443" i="67"/>
  <c r="G443" i="67"/>
  <c r="E445" i="67"/>
  <c r="F445" i="67"/>
  <c r="G445" i="67"/>
  <c r="E446" i="67"/>
  <c r="F446" i="67"/>
  <c r="G446" i="67"/>
  <c r="E447" i="67"/>
  <c r="F447" i="67"/>
  <c r="G447" i="67"/>
  <c r="E448" i="67"/>
  <c r="F448" i="67"/>
  <c r="G448" i="67"/>
  <c r="E449" i="67"/>
  <c r="F449" i="67"/>
  <c r="G449" i="67"/>
  <c r="E450" i="67"/>
  <c r="F450" i="67"/>
  <c r="G450" i="67"/>
  <c r="G451" i="67"/>
  <c r="G452" i="67"/>
  <c r="G453" i="67"/>
  <c r="G454" i="67"/>
  <c r="G455" i="67"/>
  <c r="G456" i="67"/>
  <c r="G457" i="67"/>
  <c r="G459" i="67"/>
  <c r="G462" i="67"/>
  <c r="G463" i="67"/>
  <c r="G464" i="67"/>
  <c r="G465" i="67"/>
  <c r="G467" i="67"/>
  <c r="G470" i="67"/>
  <c r="G471" i="67"/>
  <c r="G472" i="67"/>
  <c r="G473" i="67"/>
  <c r="G474" i="67"/>
  <c r="G475" i="67"/>
  <c r="G476" i="67"/>
  <c r="G477" i="67"/>
  <c r="G478" i="67"/>
  <c r="G479" i="67"/>
  <c r="D481" i="67"/>
  <c r="G481" i="67"/>
  <c r="D482" i="67"/>
  <c r="G482" i="67"/>
  <c r="D483" i="67"/>
  <c r="G483" i="67"/>
  <c r="D484" i="67"/>
  <c r="G484" i="67"/>
  <c r="D485" i="67"/>
  <c r="G485" i="67"/>
  <c r="D486" i="67"/>
  <c r="G486" i="67"/>
  <c r="D487" i="67"/>
  <c r="G487" i="67"/>
  <c r="F488" i="67"/>
  <c r="G488" i="67"/>
  <c r="F489" i="67"/>
  <c r="G489" i="67"/>
  <c r="F490" i="67"/>
  <c r="G490" i="67"/>
  <c r="G491" i="67"/>
  <c r="F492" i="67"/>
  <c r="G492" i="67"/>
  <c r="G493" i="67"/>
  <c r="F494" i="67"/>
  <c r="G494" i="67"/>
  <c r="F495" i="67"/>
  <c r="G495" i="67"/>
  <c r="F496" i="67"/>
  <c r="G496" i="67"/>
  <c r="G497" i="67"/>
  <c r="G498" i="67"/>
  <c r="G500" i="67"/>
  <c r="G503" i="67"/>
  <c r="G504" i="67"/>
  <c r="G505" i="67"/>
  <c r="G506" i="67"/>
  <c r="G507" i="67"/>
  <c r="G508" i="67"/>
  <c r="G509" i="67"/>
  <c r="G510" i="67"/>
  <c r="G511" i="67"/>
  <c r="G512" i="67"/>
  <c r="G513" i="67"/>
  <c r="G514" i="67"/>
  <c r="G515" i="67"/>
  <c r="G516" i="67"/>
  <c r="G517" i="67"/>
  <c r="G518" i="67"/>
  <c r="G519" i="67"/>
  <c r="G520" i="67"/>
  <c r="G521" i="67"/>
  <c r="G522" i="67"/>
  <c r="G523" i="67"/>
  <c r="G524" i="67"/>
  <c r="G525" i="67"/>
  <c r="G526" i="67"/>
  <c r="G527" i="67"/>
  <c r="G528" i="67"/>
  <c r="G529" i="67"/>
  <c r="G530" i="67"/>
  <c r="G531" i="67"/>
  <c r="G532" i="67"/>
  <c r="G533" i="67"/>
  <c r="G534" i="67"/>
  <c r="G535" i="67"/>
  <c r="G536" i="67"/>
  <c r="G537" i="67"/>
  <c r="G538" i="67"/>
  <c r="G539" i="67"/>
  <c r="G542" i="67"/>
  <c r="G545" i="67"/>
  <c r="G546" i="67"/>
  <c r="G547" i="67"/>
  <c r="G549" i="67"/>
  <c r="G552" i="67"/>
  <c r="G553" i="67"/>
  <c r="E554" i="67"/>
  <c r="G554" i="67"/>
  <c r="G555" i="67"/>
  <c r="G556" i="67"/>
  <c r="G558" i="67"/>
  <c r="G561" i="67"/>
  <c r="G562" i="67"/>
  <c r="G563" i="67"/>
  <c r="G564" i="67"/>
  <c r="F566" i="67"/>
  <c r="G566" i="67"/>
  <c r="F567" i="67"/>
  <c r="G567" i="67"/>
  <c r="F568" i="67"/>
  <c r="G568" i="67"/>
  <c r="F569" i="67"/>
  <c r="G569" i="67"/>
  <c r="F570" i="67"/>
  <c r="G570" i="67"/>
  <c r="G571" i="67"/>
  <c r="E565" i="67"/>
  <c r="E572" i="67"/>
  <c r="G572" i="67"/>
  <c r="E573" i="67"/>
  <c r="G573" i="67"/>
  <c r="G574" i="67"/>
  <c r="G576" i="67"/>
  <c r="G579" i="67"/>
  <c r="G580" i="67"/>
  <c r="G581" i="67"/>
  <c r="G582" i="67"/>
  <c r="G584" i="67"/>
  <c r="G585" i="67"/>
  <c r="G586" i="67"/>
  <c r="G587" i="67"/>
  <c r="G588" i="67"/>
  <c r="G589" i="67"/>
  <c r="G590" i="67"/>
  <c r="G591" i="67"/>
  <c r="G592" i="67"/>
  <c r="G593" i="67"/>
  <c r="G594" i="67"/>
  <c r="G595" i="67"/>
  <c r="G596" i="67"/>
  <c r="G598" i="67"/>
  <c r="G599" i="67"/>
  <c r="G600" i="67"/>
  <c r="G601" i="67"/>
  <c r="G602" i="67"/>
  <c r="G603" i="67"/>
  <c r="G604" i="67"/>
  <c r="G605" i="67"/>
  <c r="G606" i="67"/>
  <c r="G607" i="67"/>
  <c r="G608" i="67"/>
  <c r="G609" i="67"/>
  <c r="E610" i="67"/>
  <c r="G610" i="67"/>
  <c r="E611" i="67"/>
  <c r="F611" i="67"/>
  <c r="G611" i="67"/>
  <c r="F612" i="67"/>
  <c r="G612" i="67"/>
  <c r="F613" i="67"/>
  <c r="G613" i="67"/>
  <c r="F614" i="67"/>
  <c r="G614" i="67"/>
  <c r="F615" i="67"/>
  <c r="G615" i="67"/>
  <c r="F616" i="67"/>
  <c r="G616" i="67"/>
  <c r="F617" i="67"/>
  <c r="G617" i="67"/>
  <c r="G618" i="67"/>
  <c r="G619" i="67"/>
  <c r="G620" i="67"/>
  <c r="G621" i="67"/>
  <c r="G623" i="67"/>
  <c r="G625" i="67"/>
  <c r="G626" i="67"/>
  <c r="E540" i="67"/>
  <c r="E480" i="67"/>
  <c r="E444" i="67"/>
  <c r="AK30" i="1"/>
  <c r="X30" i="1"/>
  <c r="AX24" i="1"/>
  <c r="AK24" i="1"/>
  <c r="X24" i="1"/>
  <c r="H49" i="66"/>
  <c r="H50" i="66"/>
  <c r="H51" i="66"/>
  <c r="H52" i="66"/>
  <c r="H53" i="66"/>
  <c r="H48" i="66"/>
  <c r="H54" i="66"/>
  <c r="G49" i="66"/>
  <c r="G50" i="66"/>
  <c r="G51" i="66"/>
  <c r="G52" i="66"/>
  <c r="G53" i="66"/>
  <c r="G48" i="66"/>
  <c r="G54" i="66"/>
  <c r="H56" i="66"/>
  <c r="X46" i="1"/>
  <c r="D48" i="66"/>
  <c r="D49" i="66"/>
  <c r="D50" i="66"/>
  <c r="D51" i="66"/>
  <c r="D52" i="66"/>
  <c r="D53" i="66"/>
  <c r="G82" i="67"/>
  <c r="G83" i="67"/>
  <c r="G84" i="67"/>
  <c r="G86" i="67"/>
  <c r="G88" i="67"/>
  <c r="X13" i="1"/>
  <c r="G15" i="68"/>
  <c r="G11" i="68"/>
  <c r="D11" i="68"/>
  <c r="X15" i="1"/>
  <c r="D31" i="66"/>
  <c r="H31" i="66"/>
  <c r="D32" i="66"/>
  <c r="H32" i="66"/>
  <c r="D33" i="66"/>
  <c r="H33" i="66"/>
  <c r="D34" i="66"/>
  <c r="H34" i="66"/>
  <c r="D35" i="66"/>
  <c r="H35" i="66"/>
  <c r="D36" i="66"/>
  <c r="H36" i="66"/>
  <c r="D37" i="66"/>
  <c r="H37" i="66"/>
  <c r="D38" i="66"/>
  <c r="H38" i="66"/>
  <c r="D39" i="66"/>
  <c r="H39" i="66"/>
  <c r="H41" i="66"/>
  <c r="G32" i="66"/>
  <c r="G33" i="66"/>
  <c r="G34" i="66"/>
  <c r="G35" i="66"/>
  <c r="G36" i="66"/>
  <c r="G37" i="66"/>
  <c r="G38" i="66"/>
  <c r="G31" i="66"/>
  <c r="G39" i="66"/>
  <c r="G41" i="66"/>
  <c r="H43" i="66"/>
  <c r="X19" i="1"/>
  <c r="F41" i="66"/>
  <c r="G176" i="67"/>
  <c r="G171" i="67"/>
  <c r="G172" i="67"/>
  <c r="G173" i="67"/>
  <c r="G174" i="67"/>
  <c r="G175" i="67"/>
  <c r="G177" i="67"/>
  <c r="D178" i="67"/>
  <c r="E168" i="67"/>
  <c r="E178" i="67"/>
  <c r="F168" i="67"/>
  <c r="F178" i="67"/>
  <c r="G178" i="67"/>
  <c r="C152" i="67"/>
  <c r="BF45" i="1"/>
  <c r="BB45" i="1"/>
  <c r="AS45" i="1"/>
  <c r="AO45" i="1"/>
  <c r="AF45" i="1"/>
  <c r="AB45" i="1"/>
  <c r="X45" i="1"/>
  <c r="G158" i="67"/>
  <c r="G159" i="67"/>
  <c r="G160" i="67"/>
  <c r="G161" i="67"/>
  <c r="G162" i="67"/>
  <c r="G163" i="67"/>
  <c r="G164" i="67"/>
  <c r="G165" i="67"/>
  <c r="G166" i="67"/>
  <c r="G167" i="67"/>
  <c r="D168" i="67"/>
  <c r="G168" i="67"/>
  <c r="X44" i="1"/>
  <c r="BF44" i="1"/>
  <c r="AS44" i="1"/>
  <c r="AF44" i="1"/>
  <c r="BF42" i="1"/>
  <c r="BD42" i="1"/>
  <c r="BB42" i="1"/>
  <c r="AZ42" i="1"/>
  <c r="AS42" i="1"/>
  <c r="AQ42" i="1"/>
  <c r="AO42" i="1"/>
  <c r="AM42" i="1"/>
  <c r="AF42" i="1"/>
  <c r="AD42" i="1"/>
  <c r="AB42" i="1"/>
  <c r="Z42" i="1"/>
  <c r="G144" i="67"/>
  <c r="G145" i="67"/>
  <c r="G146" i="67"/>
  <c r="G136" i="67"/>
  <c r="G137" i="67"/>
  <c r="G138" i="67"/>
  <c r="G139" i="67"/>
  <c r="G140" i="67"/>
  <c r="G141" i="67"/>
  <c r="G142" i="67"/>
  <c r="G143" i="67"/>
  <c r="G147" i="67"/>
  <c r="D148" i="67"/>
  <c r="E148" i="67"/>
  <c r="F148" i="67"/>
  <c r="G148" i="67"/>
  <c r="X42" i="1"/>
  <c r="G126" i="67"/>
  <c r="G127" i="67"/>
  <c r="G128" i="67"/>
  <c r="G129" i="67"/>
  <c r="G130" i="67"/>
  <c r="G131" i="67"/>
  <c r="G132" i="67"/>
  <c r="D133" i="67"/>
  <c r="E133" i="67"/>
  <c r="F133" i="67"/>
  <c r="G133" i="67"/>
  <c r="X23" i="1"/>
  <c r="BF8" i="1"/>
  <c r="BD8" i="1"/>
  <c r="BB8" i="1"/>
  <c r="AZ8" i="1"/>
  <c r="AS8" i="1"/>
  <c r="AQ8" i="1"/>
  <c r="AO8" i="1"/>
  <c r="AM8" i="1"/>
  <c r="AF8" i="1"/>
  <c r="AD8" i="1"/>
  <c r="AB8" i="1"/>
  <c r="Z8" i="1"/>
  <c r="G99" i="67"/>
  <c r="G100" i="67"/>
  <c r="G101" i="67"/>
  <c r="G102" i="67"/>
  <c r="G103" i="67"/>
  <c r="G104" i="67"/>
  <c r="G105" i="67"/>
  <c r="G106" i="67"/>
  <c r="G107" i="67"/>
  <c r="G108" i="67"/>
  <c r="G109" i="67"/>
  <c r="G110" i="67"/>
  <c r="G111" i="67"/>
  <c r="G112" i="67"/>
  <c r="D113" i="67"/>
  <c r="E113" i="67"/>
  <c r="F113" i="67"/>
  <c r="G113" i="67"/>
  <c r="X8" i="1"/>
  <c r="BF7" i="1"/>
  <c r="BD7" i="1"/>
  <c r="BB7" i="1"/>
  <c r="AZ7" i="1"/>
  <c r="AS7" i="1"/>
  <c r="AQ7" i="1"/>
  <c r="AO7" i="1"/>
  <c r="AM7" i="1"/>
  <c r="AF7" i="1"/>
  <c r="AD7" i="1"/>
  <c r="AB7" i="1"/>
  <c r="Z7" i="1"/>
  <c r="C108" i="66"/>
  <c r="G108" i="66"/>
  <c r="C109" i="66"/>
  <c r="G109" i="66"/>
  <c r="C110" i="66"/>
  <c r="G110" i="66"/>
  <c r="C111" i="66"/>
  <c r="G111" i="66"/>
  <c r="C112" i="66"/>
  <c r="G112" i="66"/>
  <c r="C113" i="66"/>
  <c r="G113" i="66"/>
  <c r="G114" i="66"/>
  <c r="F108" i="66"/>
  <c r="F109" i="66"/>
  <c r="F110" i="66"/>
  <c r="F111" i="66"/>
  <c r="F112" i="66"/>
  <c r="F113" i="66"/>
  <c r="F114" i="66"/>
  <c r="G115" i="66"/>
  <c r="X77" i="1"/>
  <c r="G294" i="67"/>
  <c r="G295" i="67"/>
  <c r="G296" i="67"/>
  <c r="G297" i="67"/>
  <c r="G298" i="67"/>
  <c r="G299" i="67"/>
  <c r="G300" i="67"/>
  <c r="G301" i="67"/>
  <c r="G302" i="67"/>
  <c r="D302" i="67"/>
  <c r="G303" i="67"/>
  <c r="X68" i="1"/>
  <c r="E302" i="67"/>
  <c r="D336" i="67"/>
  <c r="G329" i="67"/>
  <c r="G330" i="67"/>
  <c r="G331" i="67"/>
  <c r="G332" i="67"/>
  <c r="G333" i="67"/>
  <c r="G334" i="67"/>
  <c r="G335" i="67"/>
  <c r="G336" i="67"/>
  <c r="E336" i="67"/>
  <c r="G337" i="67"/>
  <c r="C63" i="66"/>
  <c r="C61" i="66"/>
  <c r="C75" i="66"/>
  <c r="C69" i="66"/>
  <c r="F75" i="66"/>
  <c r="F78" i="66"/>
  <c r="G69" i="66"/>
  <c r="G70" i="66"/>
  <c r="G71" i="66"/>
  <c r="G72" i="66"/>
  <c r="F69" i="66"/>
  <c r="F72" i="66"/>
  <c r="G73" i="66"/>
  <c r="X48" i="1"/>
  <c r="G61" i="66"/>
  <c r="F63" i="66"/>
  <c r="F61" i="66"/>
  <c r="F64" i="66"/>
  <c r="F65" i="66"/>
  <c r="D104" i="68"/>
  <c r="E104" i="68"/>
  <c r="BF75" i="1"/>
  <c r="BD75" i="1"/>
  <c r="BB75" i="1"/>
  <c r="AZ75" i="1"/>
  <c r="AS75" i="1"/>
  <c r="AQ75" i="1"/>
  <c r="AO75" i="1"/>
  <c r="AM75" i="1"/>
  <c r="AF75" i="1"/>
  <c r="AD75" i="1"/>
  <c r="AB75" i="1"/>
  <c r="Z75" i="1"/>
  <c r="G357" i="67"/>
  <c r="G358" i="67"/>
  <c r="D358" i="67"/>
  <c r="E358" i="67"/>
  <c r="G359" i="67"/>
  <c r="X75" i="1"/>
  <c r="BF74" i="1"/>
  <c r="BD74" i="1"/>
  <c r="BB74" i="1"/>
  <c r="AS74" i="1"/>
  <c r="AQ74" i="1"/>
  <c r="AO74" i="1"/>
  <c r="AF74" i="1"/>
  <c r="AD74" i="1"/>
  <c r="AB74" i="1"/>
  <c r="D351" i="67"/>
  <c r="E351" i="67"/>
  <c r="BF73" i="1"/>
  <c r="BB73" i="1"/>
  <c r="AS73" i="1"/>
  <c r="AO73" i="1"/>
  <c r="AF73" i="1"/>
  <c r="AB73" i="1"/>
  <c r="D318" i="67"/>
  <c r="BF70" i="1"/>
  <c r="BD70" i="1"/>
  <c r="BB70" i="1"/>
  <c r="AS70" i="1"/>
  <c r="AQ70" i="1"/>
  <c r="AO70" i="1"/>
  <c r="AF70" i="1"/>
  <c r="AD70" i="1"/>
  <c r="AB70" i="1"/>
  <c r="E318" i="67"/>
  <c r="C101" i="66"/>
  <c r="C100" i="66"/>
  <c r="C98" i="66"/>
  <c r="C96" i="66"/>
  <c r="C94" i="66"/>
  <c r="C89" i="66"/>
  <c r="C88" i="66"/>
  <c r="C87" i="66"/>
  <c r="C86" i="66"/>
  <c r="C85" i="66"/>
  <c r="C84" i="66"/>
  <c r="X21" i="1"/>
  <c r="AK18" i="1"/>
  <c r="AX18" i="1"/>
  <c r="X18" i="1"/>
  <c r="X17" i="1"/>
  <c r="G26" i="68"/>
  <c r="D20" i="68"/>
  <c r="G20" i="68"/>
  <c r="D19" i="68"/>
  <c r="G19" i="68"/>
  <c r="D18" i="68"/>
  <c r="G18" i="68"/>
  <c r="D10" i="68"/>
  <c r="G10" i="68"/>
  <c r="D9" i="68"/>
  <c r="G9" i="68"/>
  <c r="D8" i="68"/>
  <c r="G8" i="68"/>
  <c r="D7" i="68"/>
  <c r="G7" i="68"/>
  <c r="D6" i="68"/>
  <c r="G6" i="68"/>
  <c r="D5" i="68"/>
  <c r="G5" i="68"/>
  <c r="D4" i="68"/>
  <c r="G4" i="68"/>
  <c r="G28" i="68"/>
  <c r="G13" i="68"/>
  <c r="G22" i="68"/>
  <c r="G23" i="68"/>
  <c r="X14" i="1"/>
  <c r="X72" i="1"/>
  <c r="X71" i="1"/>
  <c r="X69" i="1"/>
  <c r="X67" i="1"/>
  <c r="X58" i="1"/>
  <c r="AX58" i="1"/>
  <c r="AY58" i="1" s="1"/>
  <c r="BA58" i="1" s="1"/>
  <c r="X54" i="1"/>
  <c r="AK54" i="1"/>
  <c r="X52" i="1"/>
  <c r="AK52" i="1"/>
  <c r="AL52" i="1" s="1"/>
  <c r="AN52" i="1" s="1"/>
  <c r="X43" i="1"/>
  <c r="AX43" i="1"/>
  <c r="X22" i="1"/>
  <c r="AK22" i="1"/>
  <c r="AL22" i="1" s="1"/>
  <c r="AX17" i="1"/>
  <c r="X9" i="1"/>
  <c r="AK9" i="1"/>
  <c r="X7" i="1"/>
  <c r="AX7" i="1"/>
  <c r="D113" i="68"/>
  <c r="E113" i="68"/>
  <c r="X82" i="1"/>
  <c r="D112" i="68"/>
  <c r="E112" i="68"/>
  <c r="X81" i="1"/>
  <c r="D109" i="68"/>
  <c r="E109" i="68"/>
  <c r="D108" i="68"/>
  <c r="E108" i="68"/>
  <c r="D107" i="68"/>
  <c r="E107" i="68"/>
  <c r="D106" i="68"/>
  <c r="E106" i="68"/>
  <c r="D105" i="68"/>
  <c r="E105" i="68"/>
  <c r="C97" i="68"/>
  <c r="D97" i="68"/>
  <c r="E97" i="68"/>
  <c r="X66" i="1"/>
  <c r="C96" i="68"/>
  <c r="D96" i="68"/>
  <c r="E96" i="68"/>
  <c r="X65" i="1"/>
  <c r="C93" i="68"/>
  <c r="D93" i="68"/>
  <c r="E93" i="68"/>
  <c r="C92" i="68"/>
  <c r="D92" i="68"/>
  <c r="E92" i="68"/>
  <c r="C91" i="68"/>
  <c r="D91" i="68"/>
  <c r="E91" i="68"/>
  <c r="C90" i="68"/>
  <c r="D90" i="68"/>
  <c r="E90" i="68"/>
  <c r="C89" i="68"/>
  <c r="D89" i="68"/>
  <c r="E89" i="68"/>
  <c r="C88" i="68"/>
  <c r="D88" i="68"/>
  <c r="E88" i="68"/>
  <c r="D80" i="68"/>
  <c r="E80" i="68"/>
  <c r="D79" i="68"/>
  <c r="E79" i="68"/>
  <c r="D78" i="68"/>
  <c r="E78" i="68"/>
  <c r="D77" i="68"/>
  <c r="E77" i="68"/>
  <c r="D76" i="68"/>
  <c r="E76" i="68"/>
  <c r="D75" i="68"/>
  <c r="E75" i="68"/>
  <c r="F65" i="68"/>
  <c r="F67" i="68"/>
  <c r="X41" i="1"/>
  <c r="G58" i="68"/>
  <c r="G60" i="68"/>
  <c r="G62" i="68"/>
  <c r="X37" i="1"/>
  <c r="G53" i="68"/>
  <c r="G55" i="68"/>
  <c r="X36" i="1"/>
  <c r="G51" i="68"/>
  <c r="G44" i="68"/>
  <c r="G43" i="68"/>
  <c r="G36" i="68"/>
  <c r="D35" i="68"/>
  <c r="G35" i="68"/>
  <c r="G363" i="67"/>
  <c r="G362" i="67"/>
  <c r="X76" i="1"/>
  <c r="AK75" i="1"/>
  <c r="G350" i="67"/>
  <c r="G349" i="67"/>
  <c r="G348" i="67"/>
  <c r="G347" i="67"/>
  <c r="G346" i="67"/>
  <c r="G345" i="67"/>
  <c r="G344" i="67"/>
  <c r="G343" i="67"/>
  <c r="G342" i="67"/>
  <c r="G325" i="67"/>
  <c r="G322" i="67"/>
  <c r="G317" i="67"/>
  <c r="G316" i="67"/>
  <c r="G315" i="67"/>
  <c r="G314" i="67"/>
  <c r="G313" i="67"/>
  <c r="G312" i="67"/>
  <c r="G311" i="67"/>
  <c r="G310" i="67"/>
  <c r="G309" i="67"/>
  <c r="G306" i="67"/>
  <c r="G287" i="67"/>
  <c r="G286" i="67"/>
  <c r="G285" i="67"/>
  <c r="G284" i="67"/>
  <c r="G283" i="67"/>
  <c r="G282" i="67"/>
  <c r="G281" i="67"/>
  <c r="G280" i="67"/>
  <c r="G279" i="67"/>
  <c r="G278" i="67"/>
  <c r="C277" i="67"/>
  <c r="G277" i="67"/>
  <c r="G276" i="67"/>
  <c r="G275" i="67"/>
  <c r="G271" i="67"/>
  <c r="G270" i="67"/>
  <c r="G266" i="67"/>
  <c r="G261" i="67"/>
  <c r="G260" i="67"/>
  <c r="G259" i="67"/>
  <c r="G258" i="67"/>
  <c r="G257" i="67"/>
  <c r="G256" i="67"/>
  <c r="G255" i="67"/>
  <c r="G254" i="67"/>
  <c r="G248" i="67"/>
  <c r="G247" i="67"/>
  <c r="G246" i="67"/>
  <c r="C245" i="67"/>
  <c r="G245" i="67"/>
  <c r="G244" i="67"/>
  <c r="G243" i="67"/>
  <c r="G242" i="67"/>
  <c r="G241" i="67"/>
  <c r="G237" i="67"/>
  <c r="G236" i="67"/>
  <c r="G235" i="67"/>
  <c r="C234" i="67"/>
  <c r="G234" i="67"/>
  <c r="C233" i="67"/>
  <c r="G233" i="67"/>
  <c r="G232" i="67"/>
  <c r="G231" i="67"/>
  <c r="G230" i="67"/>
  <c r="G226" i="67"/>
  <c r="G222" i="67"/>
  <c r="G221" i="67"/>
  <c r="G220" i="67"/>
  <c r="G219" i="67"/>
  <c r="G218" i="67"/>
  <c r="G217" i="67"/>
  <c r="G216" i="67"/>
  <c r="G215" i="67"/>
  <c r="G214" i="67"/>
  <c r="G213" i="67"/>
  <c r="G212" i="67"/>
  <c r="C211" i="67"/>
  <c r="G211" i="67"/>
  <c r="C210" i="67"/>
  <c r="G210" i="67"/>
  <c r="G209" i="67"/>
  <c r="G208" i="67"/>
  <c r="G205" i="67"/>
  <c r="G201" i="67"/>
  <c r="G200" i="67"/>
  <c r="G199" i="67"/>
  <c r="G198" i="67"/>
  <c r="G197" i="67"/>
  <c r="G196" i="67"/>
  <c r="G195" i="67"/>
  <c r="G194" i="67"/>
  <c r="G193" i="67"/>
  <c r="G192" i="67"/>
  <c r="G191" i="67"/>
  <c r="G190" i="67"/>
  <c r="C189" i="67"/>
  <c r="G189" i="67"/>
  <c r="C188" i="67"/>
  <c r="G188" i="67"/>
  <c r="G187" i="67"/>
  <c r="G186" i="67"/>
  <c r="G185" i="67"/>
  <c r="G152" i="67"/>
  <c r="G153" i="67"/>
  <c r="D120" i="67"/>
  <c r="G120" i="67"/>
  <c r="G121" i="67"/>
  <c r="D116" i="67"/>
  <c r="G116" i="67"/>
  <c r="G117" i="67"/>
  <c r="D95" i="67"/>
  <c r="G95" i="67"/>
  <c r="G96" i="67"/>
  <c r="G73" i="67"/>
  <c r="G72" i="67"/>
  <c r="G71" i="67"/>
  <c r="G70" i="67"/>
  <c r="D69" i="67"/>
  <c r="G69" i="67"/>
  <c r="D68" i="67"/>
  <c r="G68" i="67"/>
  <c r="D67" i="67"/>
  <c r="G67" i="67"/>
  <c r="D66" i="67"/>
  <c r="G66" i="67"/>
  <c r="D65" i="67"/>
  <c r="G65" i="67"/>
  <c r="D64" i="67"/>
  <c r="G64" i="67"/>
  <c r="D63" i="67"/>
  <c r="G63" i="67"/>
  <c r="D62" i="67"/>
  <c r="G62" i="67"/>
  <c r="D61" i="67"/>
  <c r="G61" i="67"/>
  <c r="D60" i="67"/>
  <c r="G60" i="67"/>
  <c r="D59" i="67"/>
  <c r="G59" i="67"/>
  <c r="D58" i="67"/>
  <c r="G58" i="67"/>
  <c r="D57" i="67"/>
  <c r="G57" i="67"/>
  <c r="D56" i="67"/>
  <c r="G56" i="67"/>
  <c r="D55" i="67"/>
  <c r="G55" i="67"/>
  <c r="D54" i="67"/>
  <c r="G54" i="67"/>
  <c r="D53" i="67"/>
  <c r="G53" i="67"/>
  <c r="G52" i="67"/>
  <c r="D51" i="67"/>
  <c r="G51" i="67"/>
  <c r="D50" i="67"/>
  <c r="G50" i="67"/>
  <c r="D49" i="67"/>
  <c r="G49" i="67"/>
  <c r="D48" i="67"/>
  <c r="G48" i="67"/>
  <c r="D47" i="67"/>
  <c r="G47" i="67"/>
  <c r="D46" i="67"/>
  <c r="G46" i="67"/>
  <c r="D45" i="67"/>
  <c r="G45" i="67"/>
  <c r="G44" i="67"/>
  <c r="G43" i="67"/>
  <c r="G42" i="67"/>
  <c r="G41" i="67"/>
  <c r="G40" i="67"/>
  <c r="G39" i="67"/>
  <c r="G38" i="67"/>
  <c r="G37" i="67"/>
  <c r="G36" i="67"/>
  <c r="G35" i="67"/>
  <c r="G34" i="67"/>
  <c r="G33" i="67"/>
  <c r="G32" i="67"/>
  <c r="G31" i="67"/>
  <c r="G30" i="67"/>
  <c r="G29" i="67"/>
  <c r="G28" i="67"/>
  <c r="G27" i="67"/>
  <c r="G26" i="67"/>
  <c r="G25" i="67"/>
  <c r="G24" i="67"/>
  <c r="G23" i="67"/>
  <c r="G22" i="67"/>
  <c r="G21" i="67"/>
  <c r="G20" i="67"/>
  <c r="G19" i="67"/>
  <c r="G18" i="67"/>
  <c r="G17" i="67"/>
  <c r="G16" i="67"/>
  <c r="G15" i="67"/>
  <c r="G14" i="67"/>
  <c r="G13" i="67"/>
  <c r="G12" i="67"/>
  <c r="G11" i="67"/>
  <c r="G10" i="67"/>
  <c r="G9" i="67"/>
  <c r="G8" i="67"/>
  <c r="G7" i="67"/>
  <c r="G6" i="67"/>
  <c r="G5" i="67"/>
  <c r="G4" i="67"/>
  <c r="G3" i="67"/>
  <c r="I1" i="67"/>
  <c r="G127" i="66"/>
  <c r="G126" i="66"/>
  <c r="G124" i="66"/>
  <c r="G121" i="66"/>
  <c r="G119" i="66"/>
  <c r="G101" i="66"/>
  <c r="G100" i="66"/>
  <c r="G98" i="66"/>
  <c r="G96" i="66"/>
  <c r="G94" i="66"/>
  <c r="G89" i="66"/>
  <c r="G88" i="66"/>
  <c r="G87" i="66"/>
  <c r="G86" i="66"/>
  <c r="G85" i="66"/>
  <c r="G84" i="66"/>
  <c r="G77" i="66"/>
  <c r="G76" i="66"/>
  <c r="G75" i="66"/>
  <c r="G78" i="66"/>
  <c r="G79" i="66"/>
  <c r="X49" i="1"/>
  <c r="G64" i="66"/>
  <c r="G63" i="66"/>
  <c r="G62" i="66"/>
  <c r="G23" i="66"/>
  <c r="E21" i="66"/>
  <c r="H21" i="66"/>
  <c r="H23" i="66"/>
  <c r="E14" i="66"/>
  <c r="H14" i="66"/>
  <c r="H16" i="66"/>
  <c r="H18" i="66"/>
  <c r="X11" i="1"/>
  <c r="AK11" i="1"/>
  <c r="G9" i="66"/>
  <c r="E7" i="66"/>
  <c r="H7" i="66"/>
  <c r="E6" i="66"/>
  <c r="H6" i="66"/>
  <c r="E5" i="66"/>
  <c r="H5" i="66"/>
  <c r="E4" i="66"/>
  <c r="H4" i="66"/>
  <c r="E3" i="66"/>
  <c r="H3" i="66"/>
  <c r="AZ35" i="1"/>
  <c r="BH35" i="1" s="1"/>
  <c r="AZ24" i="1"/>
  <c r="AX72" i="1"/>
  <c r="AX71" i="1"/>
  <c r="AX69" i="1"/>
  <c r="AY69" i="1" s="1"/>
  <c r="AX67" i="1"/>
  <c r="AX54" i="1"/>
  <c r="AX52" i="1"/>
  <c r="AX39" i="1"/>
  <c r="AY39" i="1" s="1"/>
  <c r="AX38" i="1"/>
  <c r="AX22" i="1"/>
  <c r="AX21" i="1"/>
  <c r="AX20" i="1"/>
  <c r="AS6" i="1"/>
  <c r="AM57" i="1"/>
  <c r="AM35" i="1"/>
  <c r="AM24" i="1"/>
  <c r="AK72" i="1"/>
  <c r="AK71" i="1"/>
  <c r="AK69" i="1"/>
  <c r="AK67" i="1"/>
  <c r="AK58" i="1"/>
  <c r="AK39" i="1"/>
  <c r="AK38" i="1"/>
  <c r="AK21" i="1"/>
  <c r="AK20" i="1"/>
  <c r="AK19" i="1"/>
  <c r="AX19" i="1" s="1"/>
  <c r="AF60" i="1"/>
  <c r="AF56" i="1"/>
  <c r="AF6" i="1"/>
  <c r="AB56" i="1"/>
  <c r="AB30" i="1"/>
  <c r="Z71" i="1"/>
  <c r="Z69" i="1"/>
  <c r="Z57" i="1"/>
  <c r="Z55" i="1"/>
  <c r="Z53" i="1"/>
  <c r="Z52" i="1"/>
  <c r="Z51" i="1"/>
  <c r="Z24" i="1"/>
  <c r="Z23" i="1"/>
  <c r="Z9" i="1"/>
  <c r="G65" i="66"/>
  <c r="G66" i="66"/>
  <c r="X62" i="1"/>
  <c r="AX62" i="1"/>
  <c r="G351" i="67"/>
  <c r="G352" i="67"/>
  <c r="X74" i="1"/>
  <c r="AX9" i="1"/>
  <c r="X59" i="1"/>
  <c r="X73" i="1"/>
  <c r="AK59" i="1"/>
  <c r="AX59" i="1"/>
  <c r="AK44" i="1"/>
  <c r="AX44" i="1" s="1"/>
  <c r="AY44" i="1" s="1"/>
  <c r="BC44" i="1" s="1"/>
  <c r="AX48" i="1"/>
  <c r="G128" i="66"/>
  <c r="X79" i="1"/>
  <c r="AX79" i="1"/>
  <c r="H25" i="66"/>
  <c r="X12" i="1"/>
  <c r="AX12" i="1"/>
  <c r="AK49" i="1"/>
  <c r="G46" i="68"/>
  <c r="G48" i="68"/>
  <c r="X28" i="1"/>
  <c r="AX65" i="1"/>
  <c r="AK65" i="1"/>
  <c r="AX28" i="1"/>
  <c r="AY28" i="1" s="1"/>
  <c r="BE28" i="1" s="1"/>
  <c r="AK28" i="1"/>
  <c r="AX82" i="1"/>
  <c r="AK82" i="1"/>
  <c r="AK76" i="1"/>
  <c r="AX76" i="1"/>
  <c r="AK41" i="1"/>
  <c r="AX41" i="1"/>
  <c r="AK36" i="1"/>
  <c r="AX36" i="1"/>
  <c r="AK37" i="1"/>
  <c r="AX37" i="1"/>
  <c r="AK66" i="1"/>
  <c r="AX66" i="1"/>
  <c r="X63" i="1"/>
  <c r="AX81" i="1"/>
  <c r="AK81" i="1"/>
  <c r="AK17" i="1"/>
  <c r="AK45" i="1"/>
  <c r="AX45" i="1" s="1"/>
  <c r="G288" i="67"/>
  <c r="X60" i="1"/>
  <c r="AX60" i="1"/>
  <c r="G318" i="67"/>
  <c r="G319" i="67"/>
  <c r="X70" i="1"/>
  <c r="AK43" i="1"/>
  <c r="AX75" i="1"/>
  <c r="G122" i="66"/>
  <c r="X78" i="1"/>
  <c r="G223" i="67"/>
  <c r="X53" i="1"/>
  <c r="G38" i="68"/>
  <c r="G40" i="68"/>
  <c r="X27" i="1"/>
  <c r="G122" i="67"/>
  <c r="G202" i="67"/>
  <c r="X51" i="1"/>
  <c r="G238" i="67"/>
  <c r="X55" i="1"/>
  <c r="G249" i="67"/>
  <c r="X56" i="1"/>
  <c r="E81" i="68"/>
  <c r="X50" i="1"/>
  <c r="G262" i="67"/>
  <c r="X57" i="1"/>
  <c r="AX11" i="1"/>
  <c r="AK7" i="1"/>
  <c r="E110" i="68"/>
  <c r="X80" i="1"/>
  <c r="E94" i="68"/>
  <c r="X64" i="1"/>
  <c r="G75" i="67"/>
  <c r="G77" i="67"/>
  <c r="X6" i="1"/>
  <c r="H9" i="66"/>
  <c r="H11" i="66"/>
  <c r="X10" i="1"/>
  <c r="AK10" i="1"/>
  <c r="G102" i="66"/>
  <c r="G90" i="66"/>
  <c r="X61" i="1"/>
  <c r="G274" i="75"/>
  <c r="G273" i="75"/>
  <c r="G272" i="75"/>
  <c r="G271" i="75"/>
  <c r="G270" i="75"/>
  <c r="G269" i="75"/>
  <c r="G268" i="75"/>
  <c r="G267" i="75"/>
  <c r="G266" i="75"/>
  <c r="G265" i="75"/>
  <c r="G264" i="75"/>
  <c r="G263" i="75"/>
  <c r="G262" i="75"/>
  <c r="G261" i="75"/>
  <c r="G260" i="75"/>
  <c r="G259" i="75"/>
  <c r="G258" i="75"/>
  <c r="G257" i="75"/>
  <c r="G256" i="75"/>
  <c r="G255" i="75"/>
  <c r="G254" i="75"/>
  <c r="G253" i="75"/>
  <c r="G252" i="75"/>
  <c r="G251" i="75"/>
  <c r="G250" i="75"/>
  <c r="G249" i="75"/>
  <c r="G248" i="75"/>
  <c r="G247" i="75"/>
  <c r="G246" i="75"/>
  <c r="G245" i="75"/>
  <c r="G244" i="75"/>
  <c r="G243" i="75"/>
  <c r="G242" i="75"/>
  <c r="G241" i="75"/>
  <c r="G240" i="75"/>
  <c r="G239" i="75"/>
  <c r="G238" i="75"/>
  <c r="G237" i="75"/>
  <c r="G236" i="75"/>
  <c r="G235" i="75"/>
  <c r="G234" i="75"/>
  <c r="G233" i="75"/>
  <c r="G232" i="75"/>
  <c r="G231" i="75"/>
  <c r="G230" i="75"/>
  <c r="G229" i="75"/>
  <c r="G228" i="75"/>
  <c r="G227" i="75"/>
  <c r="G226" i="75"/>
  <c r="G225" i="75"/>
  <c r="G224" i="75"/>
  <c r="G223" i="75"/>
  <c r="G222" i="75"/>
  <c r="G221" i="75"/>
  <c r="G220" i="75"/>
  <c r="G219" i="75"/>
  <c r="G218" i="75"/>
  <c r="G217" i="75"/>
  <c r="G216" i="75"/>
  <c r="G215" i="75"/>
  <c r="G214" i="75"/>
  <c r="G213" i="75"/>
  <c r="G212" i="75"/>
  <c r="G211" i="75"/>
  <c r="G210" i="75"/>
  <c r="G209" i="75"/>
  <c r="G208" i="75"/>
  <c r="G207" i="75"/>
  <c r="G206" i="75"/>
  <c r="G205" i="75"/>
  <c r="G204" i="75"/>
  <c r="G203" i="75"/>
  <c r="G202" i="75"/>
  <c r="G201" i="75"/>
  <c r="G200" i="75"/>
  <c r="F274" i="75"/>
  <c r="F273" i="75"/>
  <c r="F272" i="75"/>
  <c r="F271" i="75"/>
  <c r="F270" i="75"/>
  <c r="F269" i="75"/>
  <c r="F268" i="75"/>
  <c r="F267" i="75"/>
  <c r="F266" i="75"/>
  <c r="F265" i="75"/>
  <c r="F264" i="75"/>
  <c r="F263" i="75"/>
  <c r="F262" i="75"/>
  <c r="F261" i="75"/>
  <c r="F260" i="75"/>
  <c r="F259" i="75"/>
  <c r="F258" i="75"/>
  <c r="F257" i="75"/>
  <c r="F256" i="75"/>
  <c r="F255" i="75"/>
  <c r="F254" i="75"/>
  <c r="F253" i="75"/>
  <c r="F252" i="75"/>
  <c r="F251" i="75"/>
  <c r="F250" i="75"/>
  <c r="F249" i="75"/>
  <c r="F248" i="75"/>
  <c r="F247" i="75"/>
  <c r="F246" i="75"/>
  <c r="F245" i="75"/>
  <c r="F244" i="75"/>
  <c r="F243" i="75"/>
  <c r="F242" i="75"/>
  <c r="F241" i="75"/>
  <c r="F240" i="75"/>
  <c r="F239" i="75"/>
  <c r="F238" i="75"/>
  <c r="F237" i="75"/>
  <c r="F236" i="75"/>
  <c r="F235" i="75"/>
  <c r="F234" i="75"/>
  <c r="F233" i="75"/>
  <c r="F232" i="75"/>
  <c r="F231" i="75"/>
  <c r="F230" i="75"/>
  <c r="F229" i="75"/>
  <c r="F228" i="75"/>
  <c r="F227" i="75"/>
  <c r="F226" i="75"/>
  <c r="F225" i="75"/>
  <c r="F224" i="75"/>
  <c r="F223" i="75"/>
  <c r="F222" i="75"/>
  <c r="F221" i="75"/>
  <c r="F220" i="75"/>
  <c r="F219" i="75"/>
  <c r="F218" i="75"/>
  <c r="F217" i="75"/>
  <c r="F216" i="75"/>
  <c r="F215" i="75"/>
  <c r="F214" i="75"/>
  <c r="F213" i="75"/>
  <c r="F212" i="75"/>
  <c r="F211" i="75"/>
  <c r="F210" i="75"/>
  <c r="F209" i="75"/>
  <c r="F208" i="75"/>
  <c r="F207" i="75"/>
  <c r="F206" i="75"/>
  <c r="F205" i="75"/>
  <c r="F204" i="75"/>
  <c r="F203" i="75"/>
  <c r="F202" i="75"/>
  <c r="F201" i="75"/>
  <c r="F200" i="75"/>
  <c r="F173" i="75"/>
  <c r="F172" i="75"/>
  <c r="F171" i="75"/>
  <c r="F170" i="75"/>
  <c r="F169" i="75"/>
  <c r="F168" i="75"/>
  <c r="F167" i="75"/>
  <c r="F166" i="75"/>
  <c r="F165" i="75"/>
  <c r="F164" i="75"/>
  <c r="F163" i="75"/>
  <c r="F162" i="75"/>
  <c r="F161" i="75"/>
  <c r="F160" i="75"/>
  <c r="F159" i="75"/>
  <c r="F158" i="75"/>
  <c r="F157" i="75"/>
  <c r="F156" i="75"/>
  <c r="F155" i="75"/>
  <c r="F154" i="75"/>
  <c r="F153" i="75"/>
  <c r="F152" i="75"/>
  <c r="F151" i="75"/>
  <c r="F150" i="75"/>
  <c r="F149" i="75"/>
  <c r="F148" i="75"/>
  <c r="F147" i="75"/>
  <c r="F146" i="75"/>
  <c r="F145" i="75"/>
  <c r="F144" i="75"/>
  <c r="F143" i="75"/>
  <c r="F142" i="75"/>
  <c r="F141" i="75"/>
  <c r="F140" i="75"/>
  <c r="F139" i="75"/>
  <c r="F138" i="75"/>
  <c r="F137" i="75"/>
  <c r="F136" i="75"/>
  <c r="F135" i="75"/>
  <c r="F134" i="75"/>
  <c r="F133" i="75"/>
  <c r="F132" i="75"/>
  <c r="F131" i="75"/>
  <c r="F130" i="75"/>
  <c r="F129" i="75"/>
  <c r="F128" i="75"/>
  <c r="F127" i="75"/>
  <c r="F126" i="75"/>
  <c r="F125" i="75"/>
  <c r="F124" i="75"/>
  <c r="F123" i="75"/>
  <c r="F122" i="75"/>
  <c r="F121" i="75"/>
  <c r="F120" i="75"/>
  <c r="F119" i="75"/>
  <c r="F118" i="75"/>
  <c r="F117" i="75"/>
  <c r="F116" i="75"/>
  <c r="F115" i="75"/>
  <c r="F114" i="75"/>
  <c r="F113" i="75"/>
  <c r="F112" i="75"/>
  <c r="F111" i="75"/>
  <c r="F110" i="75"/>
  <c r="F109" i="75"/>
  <c r="F108" i="75"/>
  <c r="F107" i="75"/>
  <c r="F106" i="75"/>
  <c r="F105" i="75"/>
  <c r="F104" i="75"/>
  <c r="F103" i="75"/>
  <c r="F102" i="75"/>
  <c r="F101" i="75"/>
  <c r="F100" i="75"/>
  <c r="F99" i="75"/>
  <c r="F98" i="75"/>
  <c r="F97" i="75"/>
  <c r="F96" i="75"/>
  <c r="F95" i="75"/>
  <c r="F94" i="75"/>
  <c r="F93" i="75"/>
  <c r="F92" i="75"/>
  <c r="F91" i="75"/>
  <c r="F90" i="75"/>
  <c r="F89" i="75"/>
  <c r="F88" i="75"/>
  <c r="F87" i="75"/>
  <c r="F86" i="75"/>
  <c r="F85" i="75"/>
  <c r="F84" i="75"/>
  <c r="F83" i="75"/>
  <c r="F82" i="75"/>
  <c r="F81" i="75"/>
  <c r="F80" i="75"/>
  <c r="F79" i="75"/>
  <c r="F78" i="75"/>
  <c r="F77" i="75"/>
  <c r="F76" i="75"/>
  <c r="F75" i="75"/>
  <c r="F74" i="75"/>
  <c r="F73" i="75"/>
  <c r="F72" i="75"/>
  <c r="F71" i="75"/>
  <c r="F70" i="75"/>
  <c r="F69" i="75"/>
  <c r="F68" i="75"/>
  <c r="F67" i="75"/>
  <c r="F66" i="75"/>
  <c r="F65" i="75"/>
  <c r="F64" i="75"/>
  <c r="F63" i="75"/>
  <c r="F62" i="75"/>
  <c r="F61" i="75"/>
  <c r="F60" i="75"/>
  <c r="F59" i="75"/>
  <c r="F58" i="75"/>
  <c r="F57" i="75"/>
  <c r="F56" i="75"/>
  <c r="F55" i="75"/>
  <c r="F54" i="75"/>
  <c r="F53" i="75"/>
  <c r="F52" i="75"/>
  <c r="F51" i="75"/>
  <c r="F50" i="75"/>
  <c r="F49" i="75"/>
  <c r="F48" i="75"/>
  <c r="F47" i="75"/>
  <c r="F46" i="75"/>
  <c r="F45" i="75"/>
  <c r="F44" i="75"/>
  <c r="F43" i="75"/>
  <c r="F42" i="75"/>
  <c r="F41" i="75"/>
  <c r="F40" i="75"/>
  <c r="F39" i="75"/>
  <c r="F38" i="75"/>
  <c r="F37" i="75"/>
  <c r="F36" i="75"/>
  <c r="F35" i="75"/>
  <c r="F34" i="75"/>
  <c r="F33" i="75"/>
  <c r="F32" i="75"/>
  <c r="F31" i="75"/>
  <c r="F30" i="75"/>
  <c r="D173" i="75"/>
  <c r="D172" i="75"/>
  <c r="D171" i="75"/>
  <c r="D170" i="75"/>
  <c r="D169" i="75"/>
  <c r="D168" i="75"/>
  <c r="D167" i="75"/>
  <c r="D166" i="75"/>
  <c r="D165" i="75"/>
  <c r="D164" i="75"/>
  <c r="D163" i="75"/>
  <c r="D162" i="75"/>
  <c r="D161" i="75"/>
  <c r="D160" i="75"/>
  <c r="D159" i="75"/>
  <c r="D158" i="75"/>
  <c r="D157" i="75"/>
  <c r="D156" i="75"/>
  <c r="D155" i="75"/>
  <c r="D154" i="75"/>
  <c r="D153" i="75"/>
  <c r="D152" i="75"/>
  <c r="D151" i="75"/>
  <c r="D150" i="75"/>
  <c r="D149" i="75"/>
  <c r="D148" i="75"/>
  <c r="D147" i="75"/>
  <c r="D146" i="75"/>
  <c r="D145" i="75"/>
  <c r="D144" i="75"/>
  <c r="D143" i="75"/>
  <c r="D142" i="75"/>
  <c r="D141" i="75"/>
  <c r="D140" i="75"/>
  <c r="D139" i="75"/>
  <c r="D138" i="75"/>
  <c r="D137" i="75"/>
  <c r="D136" i="75"/>
  <c r="D135" i="75"/>
  <c r="D134" i="75"/>
  <c r="D133" i="75"/>
  <c r="D132" i="75"/>
  <c r="D131" i="75"/>
  <c r="D130" i="75"/>
  <c r="D129" i="75"/>
  <c r="D128" i="75"/>
  <c r="D127" i="75"/>
  <c r="D126" i="75"/>
  <c r="D125" i="75"/>
  <c r="D124" i="75"/>
  <c r="D123" i="75"/>
  <c r="D122" i="75"/>
  <c r="D121" i="75"/>
  <c r="D120" i="75"/>
  <c r="D119" i="75"/>
  <c r="D118" i="75"/>
  <c r="D117" i="75"/>
  <c r="D116" i="75"/>
  <c r="D115" i="75"/>
  <c r="D114" i="75"/>
  <c r="D113" i="75"/>
  <c r="D112" i="75"/>
  <c r="D111" i="75"/>
  <c r="D110" i="75"/>
  <c r="D109" i="75"/>
  <c r="D108" i="75"/>
  <c r="D107" i="75"/>
  <c r="D106" i="75"/>
  <c r="D105" i="75"/>
  <c r="D104" i="75"/>
  <c r="D103" i="75"/>
  <c r="D102" i="75"/>
  <c r="D101" i="75"/>
  <c r="D100" i="75"/>
  <c r="D99" i="75"/>
  <c r="D98" i="75"/>
  <c r="D97" i="75"/>
  <c r="D96" i="75"/>
  <c r="D95" i="75"/>
  <c r="D94" i="75"/>
  <c r="D93" i="75"/>
  <c r="D92" i="75"/>
  <c r="D91" i="75"/>
  <c r="D90" i="75"/>
  <c r="D89" i="75"/>
  <c r="D88" i="75"/>
  <c r="D87" i="75"/>
  <c r="D86" i="75"/>
  <c r="D85" i="75"/>
  <c r="D84" i="75"/>
  <c r="D83" i="75"/>
  <c r="D82" i="75"/>
  <c r="D81" i="75"/>
  <c r="D80" i="75"/>
  <c r="D79" i="75"/>
  <c r="D78" i="75"/>
  <c r="D77" i="75"/>
  <c r="D76" i="75"/>
  <c r="D75" i="75"/>
  <c r="D74" i="75"/>
  <c r="D73" i="75"/>
  <c r="D72" i="75"/>
  <c r="D71" i="75"/>
  <c r="D70" i="75"/>
  <c r="D69" i="75"/>
  <c r="D68" i="75"/>
  <c r="D67" i="75"/>
  <c r="D66" i="75"/>
  <c r="D65" i="75"/>
  <c r="D64" i="75"/>
  <c r="D63" i="75"/>
  <c r="D62" i="75"/>
  <c r="D61" i="75"/>
  <c r="D60" i="75"/>
  <c r="D59" i="75"/>
  <c r="D58" i="75"/>
  <c r="D57" i="75"/>
  <c r="D56" i="75"/>
  <c r="D55" i="75"/>
  <c r="D54" i="75"/>
  <c r="D53" i="75"/>
  <c r="D52" i="75"/>
  <c r="D51" i="75"/>
  <c r="D50" i="75"/>
  <c r="D49" i="75"/>
  <c r="D48" i="75"/>
  <c r="D47" i="75"/>
  <c r="D46" i="75"/>
  <c r="D45" i="75"/>
  <c r="D44" i="75"/>
  <c r="D43" i="75"/>
  <c r="D42" i="75"/>
  <c r="D41" i="75"/>
  <c r="D40" i="75"/>
  <c r="D39" i="75"/>
  <c r="D38" i="75"/>
  <c r="D37" i="75"/>
  <c r="D36" i="75"/>
  <c r="D35" i="75"/>
  <c r="D34" i="75"/>
  <c r="D33" i="75"/>
  <c r="D32" i="75"/>
  <c r="D31" i="75"/>
  <c r="D30" i="75"/>
  <c r="X47" i="1"/>
  <c r="AX47" i="1"/>
  <c r="AY47" i="1" s="1"/>
  <c r="AK62" i="1"/>
  <c r="AK46" i="1"/>
  <c r="AK12" i="1"/>
  <c r="G154" i="67"/>
  <c r="AX73" i="1"/>
  <c r="AK8" i="1"/>
  <c r="AK48" i="1"/>
  <c r="AK79" i="1"/>
  <c r="AL79" i="1" s="1"/>
  <c r="AT79" i="1" s="1"/>
  <c r="AX49" i="1"/>
  <c r="AX10" i="1"/>
  <c r="AX8" i="1"/>
  <c r="AK57" i="1"/>
  <c r="AL57" i="1" s="1"/>
  <c r="AP57" i="1" s="1"/>
  <c r="AX57" i="1"/>
  <c r="AX70" i="1"/>
  <c r="AK70" i="1"/>
  <c r="AX63" i="1"/>
  <c r="AY63" i="1" s="1"/>
  <c r="AK63" i="1"/>
  <c r="AK23" i="1"/>
  <c r="AX23" i="1"/>
  <c r="AK6" i="1"/>
  <c r="AL6" i="1" s="1"/>
  <c r="AP6" i="1" s="1"/>
  <c r="AX6" i="1"/>
  <c r="AK27" i="1"/>
  <c r="AX27" i="1"/>
  <c r="AX64" i="1"/>
  <c r="AY64" i="1" s="1"/>
  <c r="BE64" i="1" s="1"/>
  <c r="AK64" i="1"/>
  <c r="AK60" i="1"/>
  <c r="AX50" i="1"/>
  <c r="AK50" i="1"/>
  <c r="AL50" i="1" s="1"/>
  <c r="AN50" i="1" s="1"/>
  <c r="AX53" i="1"/>
  <c r="AK53" i="1"/>
  <c r="AX77" i="1"/>
  <c r="AK77" i="1"/>
  <c r="AL77" i="1" s="1"/>
  <c r="AX80" i="1"/>
  <c r="AK80" i="1"/>
  <c r="AK74" i="1"/>
  <c r="AX74" i="1"/>
  <c r="AY74" i="1" s="1"/>
  <c r="AX42" i="1"/>
  <c r="AK42" i="1"/>
  <c r="AX61" i="1"/>
  <c r="AK61" i="1"/>
  <c r="AL61" i="1" s="1"/>
  <c r="AK68" i="1"/>
  <c r="AX68" i="1"/>
  <c r="AX56" i="1"/>
  <c r="AK56" i="1"/>
  <c r="AX78" i="1"/>
  <c r="AK78" i="1"/>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44" i="15"/>
  <c r="AK47" i="1"/>
  <c r="AX46" i="1"/>
  <c r="AK73" i="1"/>
  <c r="AL73" i="1" s="1"/>
  <c r="AN73" i="1" s="1"/>
  <c r="F29" i="75"/>
  <c r="C48" i="80"/>
  <c r="C49" i="80"/>
  <c r="C50" i="80"/>
  <c r="C51" i="80"/>
  <c r="C52" i="80"/>
  <c r="C53" i="80"/>
  <c r="C54" i="80"/>
  <c r="C55" i="80"/>
  <c r="C56" i="80"/>
  <c r="C57" i="80"/>
  <c r="C58" i="80"/>
  <c r="C59" i="80"/>
  <c r="C60" i="80"/>
  <c r="C47" i="80"/>
  <c r="C33" i="80"/>
  <c r="C34" i="80"/>
  <c r="C35" i="80"/>
  <c r="C36" i="80"/>
  <c r="C37" i="80"/>
  <c r="C38" i="80"/>
  <c r="C39" i="80"/>
  <c r="C40" i="80"/>
  <c r="C41" i="80"/>
  <c r="C42" i="80"/>
  <c r="A279" i="75" a="1"/>
  <c r="A279" i="75"/>
  <c r="A280" i="75" a="1"/>
  <c r="A280" i="75"/>
  <c r="J3" i="20"/>
  <c r="J4" i="20"/>
  <c r="J5" i="20"/>
  <c r="J6" i="20"/>
  <c r="J7" i="20"/>
  <c r="J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2" i="20"/>
  <c r="J103" i="20"/>
  <c r="J104" i="20"/>
  <c r="J105" i="20"/>
  <c r="J106" i="20"/>
  <c r="J107" i="20"/>
  <c r="J108" i="20"/>
  <c r="J109" i="20"/>
  <c r="J110" i="20"/>
  <c r="J111" i="20"/>
  <c r="J112" i="20"/>
  <c r="J113" i="20"/>
  <c r="J114" i="20"/>
  <c r="J115" i="20"/>
  <c r="J116" i="20"/>
  <c r="J117" i="20"/>
  <c r="J118" i="20"/>
  <c r="J119" i="20"/>
  <c r="J120" i="20"/>
  <c r="J121" i="20"/>
  <c r="J122" i="20"/>
  <c r="J123" i="20"/>
  <c r="J124" i="20"/>
  <c r="J125" i="20"/>
  <c r="J126" i="20"/>
  <c r="J127" i="20"/>
  <c r="J128" i="20"/>
  <c r="J129" i="20"/>
  <c r="J130" i="20"/>
  <c r="J131" i="20"/>
  <c r="J132" i="20"/>
  <c r="J133" i="20"/>
  <c r="J134" i="20"/>
  <c r="J135" i="20"/>
  <c r="J136" i="20"/>
  <c r="J137" i="20"/>
  <c r="J138" i="20"/>
  <c r="J139" i="20"/>
  <c r="J140" i="20"/>
  <c r="J141" i="20"/>
  <c r="J142" i="20"/>
  <c r="J143" i="20"/>
  <c r="J144" i="20"/>
  <c r="J145" i="20"/>
  <c r="J146" i="20"/>
  <c r="J147" i="20"/>
  <c r="J148" i="20"/>
  <c r="J149" i="20"/>
  <c r="J150" i="20"/>
  <c r="J151" i="20"/>
  <c r="J152" i="20"/>
  <c r="J153" i="20"/>
  <c r="J154" i="20"/>
  <c r="J155" i="20"/>
  <c r="J156" i="20"/>
  <c r="J157" i="20"/>
  <c r="J158" i="20"/>
  <c r="J159" i="20"/>
  <c r="J160" i="20"/>
  <c r="J161" i="20"/>
  <c r="J162" i="20"/>
  <c r="J163" i="20"/>
  <c r="J164" i="20"/>
  <c r="J165" i="20"/>
  <c r="J166" i="20"/>
  <c r="J167" i="20"/>
  <c r="J168" i="20"/>
  <c r="J169" i="20"/>
  <c r="J170" i="20"/>
  <c r="J171" i="20"/>
  <c r="J172" i="20"/>
  <c r="J173" i="20"/>
  <c r="J174" i="20"/>
  <c r="J175" i="20"/>
  <c r="J176" i="20"/>
  <c r="J177" i="20"/>
  <c r="J178" i="20"/>
  <c r="J179" i="20"/>
  <c r="J180" i="20"/>
  <c r="J181" i="20"/>
  <c r="J182" i="20"/>
  <c r="J183" i="20"/>
  <c r="J184" i="20"/>
  <c r="J185" i="20"/>
  <c r="J186" i="20"/>
  <c r="J187" i="20"/>
  <c r="J188" i="20"/>
  <c r="J189" i="20"/>
  <c r="J190" i="20"/>
  <c r="J191" i="20"/>
  <c r="J192" i="20"/>
  <c r="J193" i="20"/>
  <c r="J194" i="20"/>
  <c r="J195" i="20"/>
  <c r="J196" i="20"/>
  <c r="J197" i="20"/>
  <c r="J198" i="20"/>
  <c r="J199" i="20"/>
  <c r="J200" i="20"/>
  <c r="J201" i="20"/>
  <c r="J202" i="20"/>
  <c r="J203" i="20"/>
  <c r="J204" i="20"/>
  <c r="J205" i="20"/>
  <c r="J206" i="20"/>
  <c r="J207" i="20"/>
  <c r="J208" i="20"/>
  <c r="J209" i="20"/>
  <c r="J210" i="20"/>
  <c r="J211" i="20"/>
  <c r="J212" i="20"/>
  <c r="J213" i="20"/>
  <c r="J214" i="20"/>
  <c r="J215" i="20"/>
  <c r="J216" i="20"/>
  <c r="J217" i="20"/>
  <c r="J218" i="20"/>
  <c r="J219" i="20"/>
  <c r="J220" i="20"/>
  <c r="J221" i="20"/>
  <c r="J222" i="20"/>
  <c r="J223" i="20"/>
  <c r="J224" i="20"/>
  <c r="J225" i="20"/>
  <c r="J226" i="20"/>
  <c r="J227" i="20"/>
  <c r="J228" i="20"/>
  <c r="J229" i="20"/>
  <c r="J230" i="20"/>
  <c r="J231" i="20"/>
  <c r="J232" i="20"/>
  <c r="J233" i="20"/>
  <c r="J234" i="20"/>
  <c r="J235" i="20"/>
  <c r="J236" i="20"/>
  <c r="J237" i="20"/>
  <c r="J238" i="20"/>
  <c r="J239" i="20"/>
  <c r="J240" i="20"/>
  <c r="J241" i="20"/>
  <c r="J242" i="20"/>
  <c r="J243" i="20"/>
  <c r="J244" i="20"/>
  <c r="J245" i="20"/>
  <c r="J2" i="20"/>
  <c r="D29" i="75"/>
  <c r="CL161" i="1"/>
  <c r="CL162" i="1"/>
  <c r="CL163" i="1"/>
  <c r="CL164" i="1"/>
  <c r="CL165" i="1"/>
  <c r="CL166" i="1"/>
  <c r="CL167" i="1"/>
  <c r="CL168" i="1"/>
  <c r="CL169" i="1"/>
  <c r="CL170" i="1"/>
  <c r="CL171" i="1"/>
  <c r="CL172" i="1"/>
  <c r="CL173" i="1"/>
  <c r="CL174" i="1"/>
  <c r="CL175" i="1"/>
  <c r="CL176" i="1"/>
  <c r="CL177" i="1"/>
  <c r="CL178" i="1"/>
  <c r="CL179" i="1"/>
  <c r="CL180" i="1"/>
  <c r="CL181" i="1"/>
  <c r="CL182" i="1"/>
  <c r="CL183" i="1"/>
  <c r="CL184" i="1"/>
  <c r="CL185" i="1"/>
  <c r="CL186" i="1"/>
  <c r="CL187" i="1"/>
  <c r="CL188" i="1"/>
  <c r="CL189" i="1"/>
  <c r="CL190" i="1"/>
  <c r="CL191" i="1"/>
  <c r="CL192" i="1"/>
  <c r="CL193" i="1"/>
  <c r="CL194" i="1"/>
  <c r="CL195" i="1"/>
  <c r="CL196" i="1"/>
  <c r="CL197" i="1"/>
  <c r="CL198" i="1"/>
  <c r="CL199" i="1"/>
  <c r="CL200" i="1"/>
  <c r="CL201" i="1"/>
  <c r="CL202" i="1"/>
  <c r="CL203" i="1"/>
  <c r="CL204" i="1"/>
  <c r="CL205" i="1"/>
  <c r="CL206" i="1"/>
  <c r="CL207" i="1"/>
  <c r="CL208" i="1"/>
  <c r="CL209" i="1"/>
  <c r="CL210" i="1"/>
  <c r="CL211" i="1"/>
  <c r="CL212" i="1"/>
  <c r="CL213" i="1"/>
  <c r="CL214" i="1"/>
  <c r="CL215" i="1"/>
  <c r="CL216" i="1"/>
  <c r="CL217" i="1"/>
  <c r="CL218" i="1"/>
  <c r="CL219" i="1"/>
  <c r="CL220" i="1"/>
  <c r="CL221" i="1"/>
  <c r="CL222" i="1"/>
  <c r="CL223" i="1"/>
  <c r="CL224" i="1"/>
  <c r="CL225" i="1"/>
  <c r="CL226" i="1"/>
  <c r="CL227" i="1"/>
  <c r="CL228" i="1"/>
  <c r="CL229" i="1"/>
  <c r="CL230" i="1"/>
  <c r="CL231" i="1"/>
  <c r="CL232" i="1"/>
  <c r="CL233" i="1"/>
  <c r="CL234" i="1"/>
  <c r="CL235" i="1"/>
  <c r="CL236" i="1"/>
  <c r="CL237" i="1"/>
  <c r="CL238" i="1"/>
  <c r="CL239" i="1"/>
  <c r="CL240" i="1"/>
  <c r="CL241" i="1"/>
  <c r="CL242" i="1"/>
  <c r="CL243" i="1"/>
  <c r="CL244" i="1"/>
  <c r="CL245" i="1"/>
  <c r="CL246" i="1"/>
  <c r="CL247" i="1"/>
  <c r="CL248" i="1"/>
  <c r="CL249" i="1"/>
  <c r="CL250" i="1"/>
  <c r="CL251" i="1"/>
  <c r="CL252" i="1"/>
  <c r="CL253" i="1"/>
  <c r="CL254" i="1"/>
  <c r="CL255" i="1"/>
  <c r="CL256" i="1"/>
  <c r="CL257" i="1"/>
  <c r="CL258" i="1"/>
  <c r="CL259" i="1"/>
  <c r="CL260" i="1"/>
  <c r="CL261" i="1"/>
  <c r="CL262" i="1"/>
  <c r="CL263" i="1"/>
  <c r="CL264" i="1"/>
  <c r="CL265" i="1"/>
  <c r="CL266" i="1"/>
  <c r="CL267" i="1"/>
  <c r="CL268" i="1"/>
  <c r="CL269" i="1"/>
  <c r="CL270" i="1"/>
  <c r="CL271" i="1"/>
  <c r="CL272" i="1"/>
  <c r="CL273" i="1"/>
  <c r="CL274" i="1"/>
  <c r="CL275" i="1"/>
  <c r="CL276" i="1"/>
  <c r="CL277" i="1"/>
  <c r="CL278" i="1"/>
  <c r="CL279" i="1"/>
  <c r="CL280" i="1"/>
  <c r="CL281" i="1"/>
  <c r="CL282" i="1"/>
  <c r="CL283" i="1"/>
  <c r="CL284" i="1"/>
  <c r="CL285" i="1"/>
  <c r="CL286" i="1"/>
  <c r="CL287" i="1"/>
  <c r="CL288" i="1"/>
  <c r="CL289" i="1"/>
  <c r="CL290" i="1"/>
  <c r="CL291" i="1"/>
  <c r="CL292" i="1"/>
  <c r="CL293" i="1"/>
  <c r="CL294" i="1"/>
  <c r="CL295" i="1"/>
  <c r="CL296" i="1"/>
  <c r="CL297" i="1"/>
  <c r="CL298" i="1"/>
  <c r="CL299" i="1"/>
  <c r="CL300" i="1"/>
  <c r="CL301" i="1"/>
  <c r="CL302" i="1"/>
  <c r="CL303" i="1"/>
  <c r="CL304" i="1"/>
  <c r="CL305" i="1"/>
  <c r="CL306" i="1"/>
  <c r="CL307" i="1"/>
  <c r="CL308" i="1"/>
  <c r="CL309" i="1"/>
  <c r="CL310" i="1"/>
  <c r="CL311" i="1"/>
  <c r="CL312" i="1"/>
  <c r="CL313" i="1"/>
  <c r="CL314" i="1"/>
  <c r="CL315" i="1"/>
  <c r="CL316" i="1"/>
  <c r="CL317" i="1"/>
  <c r="CL318" i="1"/>
  <c r="CL319" i="1"/>
  <c r="CL320" i="1"/>
  <c r="CL321" i="1"/>
  <c r="CL322" i="1"/>
  <c r="CL323" i="1"/>
  <c r="CL324" i="1"/>
  <c r="CL325" i="1"/>
  <c r="CL326" i="1"/>
  <c r="CL327" i="1"/>
  <c r="CL328" i="1"/>
  <c r="CL329" i="1"/>
  <c r="CL330" i="1"/>
  <c r="CL331" i="1"/>
  <c r="CL332" i="1"/>
  <c r="CL333" i="1"/>
  <c r="CL334" i="1"/>
  <c r="CL335" i="1"/>
  <c r="CL336" i="1"/>
  <c r="CL337" i="1"/>
  <c r="CL338" i="1"/>
  <c r="CL339" i="1"/>
  <c r="CL340" i="1"/>
  <c r="CL341" i="1"/>
  <c r="CL342" i="1"/>
  <c r="CL343" i="1"/>
  <c r="CL344" i="1"/>
  <c r="CL345" i="1"/>
  <c r="CL346" i="1"/>
  <c r="CL347" i="1"/>
  <c r="CL348" i="1"/>
  <c r="CL349" i="1"/>
  <c r="CL350" i="1"/>
  <c r="CL351" i="1"/>
  <c r="CL352" i="1"/>
  <c r="CL353" i="1"/>
  <c r="CL354" i="1"/>
  <c r="CL355" i="1"/>
  <c r="CL356" i="1"/>
  <c r="CL357" i="1"/>
  <c r="CL358" i="1"/>
  <c r="CL359" i="1"/>
  <c r="CL360" i="1"/>
  <c r="CL361" i="1"/>
  <c r="CL362" i="1"/>
  <c r="CL363" i="1"/>
  <c r="CL364" i="1"/>
  <c r="CL365" i="1"/>
  <c r="CL366" i="1"/>
  <c r="CL367" i="1"/>
  <c r="CL368" i="1"/>
  <c r="CL369" i="1"/>
  <c r="CL370" i="1"/>
  <c r="CL371" i="1"/>
  <c r="CL372" i="1"/>
  <c r="CL373" i="1"/>
  <c r="CL374" i="1"/>
  <c r="CL375" i="1"/>
  <c r="CL376" i="1"/>
  <c r="CL377" i="1"/>
  <c r="CL378" i="1"/>
  <c r="CL379" i="1"/>
  <c r="CL380" i="1"/>
  <c r="CL381" i="1"/>
  <c r="CL382" i="1"/>
  <c r="CL383" i="1"/>
  <c r="CL384" i="1"/>
  <c r="CL385" i="1"/>
  <c r="CL386" i="1"/>
  <c r="CL387" i="1"/>
  <c r="CL388" i="1"/>
  <c r="CL389" i="1"/>
  <c r="CL390" i="1"/>
  <c r="CL391" i="1"/>
  <c r="CL392" i="1"/>
  <c r="CL393" i="1"/>
  <c r="CL394" i="1"/>
  <c r="CL395" i="1"/>
  <c r="CL396" i="1"/>
  <c r="CL397" i="1"/>
  <c r="CL398" i="1"/>
  <c r="CL399" i="1"/>
  <c r="CL400" i="1"/>
  <c r="CL401" i="1"/>
  <c r="CL402" i="1"/>
  <c r="CL403" i="1"/>
  <c r="CL404" i="1"/>
  <c r="CL405" i="1"/>
  <c r="CL406" i="1"/>
  <c r="CL407" i="1"/>
  <c r="CL408" i="1"/>
  <c r="CL409" i="1"/>
  <c r="CL410" i="1"/>
  <c r="CL411" i="1"/>
  <c r="CL412" i="1"/>
  <c r="CL413" i="1"/>
  <c r="CL414" i="1"/>
  <c r="CL415" i="1"/>
  <c r="CL416" i="1"/>
  <c r="CL417" i="1"/>
  <c r="CL418" i="1"/>
  <c r="CL419" i="1"/>
  <c r="CL420" i="1"/>
  <c r="CL421" i="1"/>
  <c r="CL422" i="1"/>
  <c r="CL423" i="1"/>
  <c r="CL424" i="1"/>
  <c r="CL425" i="1"/>
  <c r="CL426" i="1"/>
  <c r="CL427" i="1"/>
  <c r="CL428" i="1"/>
  <c r="CL429" i="1"/>
  <c r="CL430" i="1"/>
  <c r="CL431" i="1"/>
  <c r="CL432" i="1"/>
  <c r="CL433" i="1"/>
  <c r="CL434" i="1"/>
  <c r="CL435" i="1"/>
  <c r="CL436" i="1"/>
  <c r="CL437" i="1"/>
  <c r="CL438" i="1"/>
  <c r="CL439" i="1"/>
  <c r="CL440" i="1"/>
  <c r="CL441" i="1"/>
  <c r="CL442" i="1"/>
  <c r="CL443" i="1"/>
  <c r="CL444" i="1"/>
  <c r="CL445" i="1"/>
  <c r="CL446" i="1"/>
  <c r="CL447" i="1"/>
  <c r="CL448" i="1"/>
  <c r="CL449" i="1"/>
  <c r="CL450" i="1"/>
  <c r="CL451" i="1"/>
  <c r="CL452" i="1"/>
  <c r="CL453" i="1"/>
  <c r="CL454" i="1"/>
  <c r="CL455" i="1"/>
  <c r="CL456" i="1"/>
  <c r="CL457" i="1"/>
  <c r="CL458" i="1"/>
  <c r="CL459" i="1"/>
  <c r="CL460" i="1"/>
  <c r="CL461" i="1"/>
  <c r="CL462" i="1"/>
  <c r="CL463" i="1"/>
  <c r="CL464" i="1"/>
  <c r="CL465" i="1"/>
  <c r="CL466" i="1"/>
  <c r="CL467" i="1"/>
  <c r="CL468" i="1"/>
  <c r="CL469" i="1"/>
  <c r="CL470" i="1"/>
  <c r="CL471" i="1"/>
  <c r="CL472" i="1"/>
  <c r="CL473" i="1"/>
  <c r="CL474" i="1"/>
  <c r="CL475" i="1"/>
  <c r="CL476" i="1"/>
  <c r="CL477" i="1"/>
  <c r="CL478" i="1"/>
  <c r="CL479" i="1"/>
  <c r="CL480" i="1"/>
  <c r="CL481" i="1"/>
  <c r="CL482" i="1"/>
  <c r="CL483" i="1"/>
  <c r="CL484" i="1"/>
  <c r="CL485" i="1"/>
  <c r="CL486" i="1"/>
  <c r="CL487" i="1"/>
  <c r="CL488" i="1"/>
  <c r="CL489" i="1"/>
  <c r="CL490" i="1"/>
  <c r="CL491" i="1"/>
  <c r="CL492" i="1"/>
  <c r="CL493" i="1"/>
  <c r="CL494" i="1"/>
  <c r="CL495" i="1"/>
  <c r="CL496" i="1"/>
  <c r="CL497" i="1"/>
  <c r="CL498" i="1"/>
  <c r="CL499" i="1"/>
  <c r="CL500" i="1"/>
  <c r="CL501" i="1"/>
  <c r="CL502" i="1"/>
  <c r="CL503" i="1"/>
  <c r="CL504" i="1"/>
  <c r="CL505" i="1"/>
  <c r="CL506" i="1"/>
  <c r="CL507" i="1"/>
  <c r="CL508" i="1"/>
  <c r="CL509" i="1"/>
  <c r="CL510" i="1"/>
  <c r="CL511" i="1"/>
  <c r="CL512" i="1"/>
  <c r="CL513" i="1"/>
  <c r="CL514" i="1"/>
  <c r="CL515" i="1"/>
  <c r="CL516" i="1"/>
  <c r="CL517" i="1"/>
  <c r="CL518" i="1"/>
  <c r="CL519" i="1"/>
  <c r="CL520" i="1"/>
  <c r="CL521" i="1"/>
  <c r="CL522" i="1"/>
  <c r="CL523" i="1"/>
  <c r="CL524" i="1"/>
  <c r="CL525" i="1"/>
  <c r="CL526" i="1"/>
  <c r="CL527" i="1"/>
  <c r="CL528" i="1"/>
  <c r="CL529" i="1"/>
  <c r="CL530" i="1"/>
  <c r="CL531" i="1"/>
  <c r="CL532" i="1"/>
  <c r="CL533" i="1"/>
  <c r="CL534" i="1"/>
  <c r="CL535" i="1"/>
  <c r="CL536" i="1"/>
  <c r="CL537" i="1"/>
  <c r="CL538" i="1"/>
  <c r="CL539" i="1"/>
  <c r="CL540" i="1"/>
  <c r="CL541" i="1"/>
  <c r="CL542" i="1"/>
  <c r="CL543" i="1"/>
  <c r="CL544" i="1"/>
  <c r="CL545" i="1"/>
  <c r="CL546" i="1"/>
  <c r="CL547" i="1"/>
  <c r="CL548" i="1"/>
  <c r="CL549" i="1"/>
  <c r="CL550" i="1"/>
  <c r="CL551" i="1"/>
  <c r="CL552" i="1"/>
  <c r="CL553" i="1"/>
  <c r="CL554" i="1"/>
  <c r="CL555" i="1"/>
  <c r="CL556" i="1"/>
  <c r="CL557" i="1"/>
  <c r="CL558" i="1"/>
  <c r="CL559" i="1"/>
  <c r="CL560" i="1"/>
  <c r="CL561" i="1"/>
  <c r="CL562" i="1"/>
  <c r="CL563" i="1"/>
  <c r="CL564" i="1"/>
  <c r="CL565" i="1"/>
  <c r="CL566" i="1"/>
  <c r="CL567" i="1"/>
  <c r="CL568" i="1"/>
  <c r="CL569" i="1"/>
  <c r="CL570" i="1"/>
  <c r="CL571" i="1"/>
  <c r="CL572" i="1"/>
  <c r="CL573" i="1"/>
  <c r="CL574" i="1"/>
  <c r="CL575" i="1"/>
  <c r="CL576" i="1"/>
  <c r="CL577" i="1"/>
  <c r="CL578" i="1"/>
  <c r="CL579" i="1"/>
  <c r="CL580" i="1"/>
  <c r="CL581" i="1"/>
  <c r="CL582" i="1"/>
  <c r="CL583" i="1"/>
  <c r="CL584" i="1"/>
  <c r="CL585" i="1"/>
  <c r="CL586" i="1"/>
  <c r="CL587" i="1"/>
  <c r="CL588" i="1"/>
  <c r="CL589" i="1"/>
  <c r="CL590" i="1"/>
  <c r="CL591" i="1"/>
  <c r="CL592" i="1"/>
  <c r="CL593" i="1"/>
  <c r="CL594" i="1"/>
  <c r="CL595" i="1"/>
  <c r="CL596" i="1"/>
  <c r="CL597" i="1"/>
  <c r="CL598" i="1"/>
  <c r="CL599" i="1"/>
  <c r="CL600" i="1"/>
  <c r="CL601" i="1"/>
  <c r="CL602" i="1"/>
  <c r="CL603" i="1"/>
  <c r="CL604" i="1"/>
  <c r="CL605" i="1"/>
  <c r="CL606" i="1"/>
  <c r="CL607" i="1"/>
  <c r="CL608" i="1"/>
  <c r="CL609" i="1"/>
  <c r="CL610" i="1"/>
  <c r="CL611" i="1"/>
  <c r="CL612" i="1"/>
  <c r="CL613" i="1"/>
  <c r="CL614" i="1"/>
  <c r="CL615" i="1"/>
  <c r="CL616" i="1"/>
  <c r="CL617" i="1"/>
  <c r="CL618" i="1"/>
  <c r="CL619" i="1"/>
  <c r="CL620" i="1"/>
  <c r="CL621" i="1"/>
  <c r="CL622" i="1"/>
  <c r="CL623" i="1"/>
  <c r="CL624" i="1"/>
  <c r="CL625" i="1"/>
  <c r="CL626" i="1"/>
  <c r="CL627" i="1"/>
  <c r="CL628" i="1"/>
  <c r="CL629" i="1"/>
  <c r="CL630" i="1"/>
  <c r="CL631" i="1"/>
  <c r="CL632" i="1"/>
  <c r="CL633" i="1"/>
  <c r="CL634" i="1"/>
  <c r="CL635" i="1"/>
  <c r="CL636" i="1"/>
  <c r="CL637" i="1"/>
  <c r="CL638" i="1"/>
  <c r="CL639" i="1"/>
  <c r="CL640" i="1"/>
  <c r="CL641" i="1"/>
  <c r="CL642" i="1"/>
  <c r="CL643" i="1"/>
  <c r="CL644" i="1"/>
  <c r="CL645" i="1"/>
  <c r="CL646" i="1"/>
  <c r="CL647" i="1"/>
  <c r="CL648" i="1"/>
  <c r="CL649" i="1"/>
  <c r="CL650" i="1"/>
  <c r="CL651" i="1"/>
  <c r="CL652" i="1"/>
  <c r="CL653" i="1"/>
  <c r="CL654" i="1"/>
  <c r="CL655" i="1"/>
  <c r="CL656" i="1"/>
  <c r="CL657" i="1"/>
  <c r="CL658" i="1"/>
  <c r="CL659" i="1"/>
  <c r="CL660" i="1"/>
  <c r="CL661" i="1"/>
  <c r="CL662" i="1"/>
  <c r="CL663" i="1"/>
  <c r="CL664" i="1"/>
  <c r="CL665" i="1"/>
  <c r="CL666" i="1"/>
  <c r="CL667" i="1"/>
  <c r="CL668" i="1"/>
  <c r="CL669" i="1"/>
  <c r="CL670" i="1"/>
  <c r="CL671" i="1"/>
  <c r="CL672" i="1"/>
  <c r="CL673" i="1"/>
  <c r="CL674" i="1"/>
  <c r="CL675" i="1"/>
  <c r="CL676" i="1"/>
  <c r="CL677" i="1"/>
  <c r="CL678" i="1"/>
  <c r="CL679" i="1"/>
  <c r="CL680" i="1"/>
  <c r="CL681" i="1"/>
  <c r="CL682" i="1"/>
  <c r="CL683" i="1"/>
  <c r="CL684" i="1"/>
  <c r="CL685" i="1"/>
  <c r="CL686" i="1"/>
  <c r="CL687" i="1"/>
  <c r="CL688" i="1"/>
  <c r="CL689" i="1"/>
  <c r="CL690" i="1"/>
  <c r="CL691" i="1"/>
  <c r="CL692" i="1"/>
  <c r="CL693" i="1"/>
  <c r="CL694" i="1"/>
  <c r="CL695" i="1"/>
  <c r="CL696" i="1"/>
  <c r="CL697" i="1"/>
  <c r="CL698" i="1"/>
  <c r="CL699" i="1"/>
  <c r="CL700" i="1"/>
  <c r="CL701" i="1"/>
  <c r="CL702" i="1"/>
  <c r="CL703" i="1"/>
  <c r="CL704" i="1"/>
  <c r="CL705" i="1"/>
  <c r="CL706" i="1"/>
  <c r="CL707" i="1"/>
  <c r="CL708" i="1"/>
  <c r="CL709" i="1"/>
  <c r="CL710" i="1"/>
  <c r="CL711" i="1"/>
  <c r="CL712" i="1"/>
  <c r="CL713" i="1"/>
  <c r="CL714" i="1"/>
  <c r="CL715" i="1"/>
  <c r="CL716" i="1"/>
  <c r="CL717" i="1"/>
  <c r="CL718" i="1"/>
  <c r="CL719" i="1"/>
  <c r="CL720" i="1"/>
  <c r="CL721" i="1"/>
  <c r="CL722" i="1"/>
  <c r="CL723" i="1"/>
  <c r="CL724" i="1"/>
  <c r="CL725" i="1"/>
  <c r="CL726" i="1"/>
  <c r="CL727" i="1"/>
  <c r="CL728" i="1"/>
  <c r="CL729" i="1"/>
  <c r="CL730" i="1"/>
  <c r="CL731" i="1"/>
  <c r="CL732" i="1"/>
  <c r="CL733" i="1"/>
  <c r="CL734" i="1"/>
  <c r="CL735" i="1"/>
  <c r="CL736" i="1"/>
  <c r="CL737" i="1"/>
  <c r="CL738" i="1"/>
  <c r="CL739" i="1"/>
  <c r="CL740" i="1"/>
  <c r="CL741" i="1"/>
  <c r="CL742" i="1"/>
  <c r="CL743" i="1"/>
  <c r="CL744" i="1"/>
  <c r="CL745" i="1"/>
  <c r="CL746" i="1"/>
  <c r="CL747" i="1"/>
  <c r="CL748" i="1"/>
  <c r="CL749" i="1"/>
  <c r="CL750" i="1"/>
  <c r="CL751" i="1"/>
  <c r="CL752" i="1"/>
  <c r="CL753" i="1"/>
  <c r="CL754" i="1"/>
  <c r="CL755" i="1"/>
  <c r="CL756" i="1"/>
  <c r="CL757" i="1"/>
  <c r="CL758" i="1"/>
  <c r="CL759" i="1"/>
  <c r="CL760" i="1"/>
  <c r="CL761" i="1"/>
  <c r="CL762" i="1"/>
  <c r="CL763" i="1"/>
  <c r="CL764" i="1"/>
  <c r="CL765" i="1"/>
  <c r="CL766" i="1"/>
  <c r="CL767" i="1"/>
  <c r="CL768" i="1"/>
  <c r="CL769" i="1"/>
  <c r="CL770" i="1"/>
  <c r="CL771" i="1"/>
  <c r="CL772" i="1"/>
  <c r="CL773" i="1"/>
  <c r="CL774" i="1"/>
  <c r="CL775" i="1"/>
  <c r="CL776" i="1"/>
  <c r="CL777" i="1"/>
  <c r="CL778" i="1"/>
  <c r="CL779" i="1"/>
  <c r="CL780" i="1"/>
  <c r="CL781" i="1"/>
  <c r="CL782" i="1"/>
  <c r="CL783" i="1"/>
  <c r="CL784" i="1"/>
  <c r="CL785" i="1"/>
  <c r="CL786" i="1"/>
  <c r="CL787" i="1"/>
  <c r="CL788" i="1"/>
  <c r="CL789" i="1"/>
  <c r="CL790" i="1"/>
  <c r="CL791" i="1"/>
  <c r="CL792" i="1"/>
  <c r="CL793" i="1"/>
  <c r="CL794" i="1"/>
  <c r="CL795" i="1"/>
  <c r="CL796" i="1"/>
  <c r="CL797" i="1"/>
  <c r="CL798" i="1"/>
  <c r="CL799" i="1"/>
  <c r="CL800" i="1"/>
  <c r="CL801" i="1"/>
  <c r="CL802" i="1"/>
  <c r="CL803" i="1"/>
  <c r="CL804" i="1"/>
  <c r="CL805" i="1"/>
  <c r="CL806" i="1"/>
  <c r="CL807" i="1"/>
  <c r="CL808" i="1"/>
  <c r="CL809" i="1"/>
  <c r="CL810" i="1"/>
  <c r="CL811" i="1"/>
  <c r="CL812" i="1"/>
  <c r="CL813" i="1"/>
  <c r="CL814" i="1"/>
  <c r="CL815" i="1"/>
  <c r="CL816" i="1"/>
  <c r="CL817" i="1"/>
  <c r="CL818" i="1"/>
  <c r="CL819" i="1"/>
  <c r="CL820" i="1"/>
  <c r="CL821" i="1"/>
  <c r="CL822" i="1"/>
  <c r="CL823" i="1"/>
  <c r="CL824" i="1"/>
  <c r="CL825" i="1"/>
  <c r="CL826" i="1"/>
  <c r="CL827" i="1"/>
  <c r="CL828" i="1"/>
  <c r="CL829" i="1"/>
  <c r="CL830" i="1"/>
  <c r="CL831" i="1"/>
  <c r="CL832" i="1"/>
  <c r="CL833" i="1"/>
  <c r="CL834" i="1"/>
  <c r="CL835" i="1"/>
  <c r="CL836" i="1"/>
  <c r="CL837" i="1"/>
  <c r="CL838" i="1"/>
  <c r="CL839" i="1"/>
  <c r="CL840" i="1"/>
  <c r="CL841" i="1"/>
  <c r="CL842" i="1"/>
  <c r="CL843" i="1"/>
  <c r="CL844" i="1"/>
  <c r="CL845" i="1"/>
  <c r="CL846" i="1"/>
  <c r="CL847" i="1"/>
  <c r="CL848" i="1"/>
  <c r="CL849" i="1"/>
  <c r="CL850" i="1"/>
  <c r="CL851" i="1"/>
  <c r="CL852" i="1"/>
  <c r="CL853" i="1"/>
  <c r="CL854" i="1"/>
  <c r="CL855" i="1"/>
  <c r="CL856" i="1"/>
  <c r="CL857" i="1"/>
  <c r="CL858" i="1"/>
  <c r="CL859" i="1"/>
  <c r="CL860" i="1"/>
  <c r="CL861" i="1"/>
  <c r="CL862" i="1"/>
  <c r="CL863" i="1"/>
  <c r="CL864" i="1"/>
  <c r="CL865" i="1"/>
  <c r="CL866" i="1"/>
  <c r="CL867" i="1"/>
  <c r="CL868" i="1"/>
  <c r="CL869" i="1"/>
  <c r="CL870" i="1"/>
  <c r="CL871" i="1"/>
  <c r="CL872" i="1"/>
  <c r="CL873" i="1"/>
  <c r="CL874" i="1"/>
  <c r="CL875" i="1"/>
  <c r="CL876" i="1"/>
  <c r="CL877" i="1"/>
  <c r="CL878" i="1"/>
  <c r="CL879" i="1"/>
  <c r="CL880" i="1"/>
  <c r="CL881" i="1"/>
  <c r="CL882" i="1"/>
  <c r="CL883" i="1"/>
  <c r="CL884" i="1"/>
  <c r="CL885" i="1"/>
  <c r="CL886" i="1"/>
  <c r="CL887" i="1"/>
  <c r="CL888" i="1"/>
  <c r="CL889" i="1"/>
  <c r="CL890" i="1"/>
  <c r="CL891" i="1"/>
  <c r="CL892" i="1"/>
  <c r="CL893" i="1"/>
  <c r="CL894" i="1"/>
  <c r="CL895" i="1"/>
  <c r="CL896" i="1"/>
  <c r="CL897" i="1"/>
  <c r="CL898" i="1"/>
  <c r="CL899" i="1"/>
  <c r="CL900" i="1"/>
  <c r="CL901" i="1"/>
  <c r="CL902" i="1"/>
  <c r="CL903" i="1"/>
  <c r="CL904" i="1"/>
  <c r="CL905" i="1"/>
  <c r="CL906" i="1"/>
  <c r="CL907" i="1"/>
  <c r="CL908" i="1"/>
  <c r="CL909" i="1"/>
  <c r="CL910" i="1"/>
  <c r="CL911" i="1"/>
  <c r="CL912" i="1"/>
  <c r="CL913" i="1"/>
  <c r="CL914" i="1"/>
  <c r="CL915" i="1"/>
  <c r="CL916" i="1"/>
  <c r="CL917" i="1"/>
  <c r="CL918" i="1"/>
  <c r="CL919" i="1"/>
  <c r="CL920" i="1"/>
  <c r="CL921" i="1"/>
  <c r="CL922" i="1"/>
  <c r="CL923" i="1"/>
  <c r="CL924" i="1"/>
  <c r="CL925" i="1"/>
  <c r="CL926" i="1"/>
  <c r="CL927" i="1"/>
  <c r="CL928" i="1"/>
  <c r="CL929" i="1"/>
  <c r="CL930" i="1"/>
  <c r="CL931" i="1"/>
  <c r="CL932" i="1"/>
  <c r="CL933" i="1"/>
  <c r="CL934" i="1"/>
  <c r="CL935" i="1"/>
  <c r="CL936" i="1"/>
  <c r="CL937" i="1"/>
  <c r="CL938" i="1"/>
  <c r="CL939" i="1"/>
  <c r="CL940" i="1"/>
  <c r="CL941" i="1"/>
  <c r="CL942" i="1"/>
  <c r="CL943" i="1"/>
  <c r="CL944" i="1"/>
  <c r="CL945" i="1"/>
  <c r="CL946" i="1"/>
  <c r="CL947" i="1"/>
  <c r="CL948" i="1"/>
  <c r="CL949" i="1"/>
  <c r="CL950" i="1"/>
  <c r="CL951" i="1"/>
  <c r="CL952" i="1"/>
  <c r="CL953" i="1"/>
  <c r="CL954" i="1"/>
  <c r="CL955" i="1"/>
  <c r="CL956" i="1"/>
  <c r="CL957" i="1"/>
  <c r="CL958" i="1"/>
  <c r="CL959" i="1"/>
  <c r="CL960" i="1"/>
  <c r="CL961" i="1"/>
  <c r="CL962" i="1"/>
  <c r="CL963" i="1"/>
  <c r="CL964" i="1"/>
  <c r="CL965" i="1"/>
  <c r="CL966" i="1"/>
  <c r="CL967" i="1"/>
  <c r="CL968" i="1"/>
  <c r="CL969" i="1"/>
  <c r="CL970" i="1"/>
  <c r="CL971" i="1"/>
  <c r="CL972" i="1"/>
  <c r="CL973" i="1"/>
  <c r="CL974" i="1"/>
  <c r="CL975" i="1"/>
  <c r="CL976" i="1"/>
  <c r="CL977" i="1"/>
  <c r="CL978" i="1"/>
  <c r="CL979" i="1"/>
  <c r="CL980" i="1"/>
  <c r="CL981" i="1"/>
  <c r="CL982" i="1"/>
  <c r="CL983" i="1"/>
  <c r="CL984" i="1"/>
  <c r="CL985" i="1"/>
  <c r="CL986" i="1"/>
  <c r="CL987" i="1"/>
  <c r="CL988" i="1"/>
  <c r="CL989" i="1"/>
  <c r="CL990" i="1"/>
  <c r="CL991" i="1"/>
  <c r="CL992" i="1"/>
  <c r="CL993" i="1"/>
  <c r="CL994" i="1"/>
  <c r="CL995" i="1"/>
  <c r="CL996" i="1"/>
  <c r="CL997" i="1"/>
  <c r="CL998" i="1"/>
  <c r="CL999" i="1"/>
  <c r="CL1000" i="1"/>
  <c r="CL1001" i="1"/>
  <c r="CL1002" i="1"/>
  <c r="CL1003" i="1"/>
  <c r="CL1004" i="1"/>
  <c r="CL1005" i="1"/>
  <c r="CL6" i="1"/>
  <c r="CL7" i="1"/>
  <c r="CL8" i="1"/>
  <c r="CL9" i="1"/>
  <c r="CL10" i="1"/>
  <c r="CL11" i="1"/>
  <c r="CL12" i="1"/>
  <c r="CL13" i="1"/>
  <c r="CL14" i="1"/>
  <c r="CL15" i="1"/>
  <c r="CL16" i="1"/>
  <c r="CL17" i="1"/>
  <c r="CL18" i="1"/>
  <c r="CL19" i="1"/>
  <c r="CL20" i="1"/>
  <c r="CL21" i="1"/>
  <c r="CL22" i="1"/>
  <c r="CL23" i="1"/>
  <c r="CL24" i="1"/>
  <c r="CL25" i="1"/>
  <c r="CL26" i="1"/>
  <c r="CL27" i="1"/>
  <c r="CL28" i="1"/>
  <c r="CL29" i="1"/>
  <c r="CL30" i="1"/>
  <c r="CL31" i="1"/>
  <c r="CL32" i="1"/>
  <c r="CL33" i="1"/>
  <c r="CL34" i="1"/>
  <c r="CL35" i="1"/>
  <c r="CL36" i="1"/>
  <c r="CL37" i="1"/>
  <c r="CL38" i="1"/>
  <c r="CL39" i="1"/>
  <c r="CL40" i="1"/>
  <c r="CL41" i="1"/>
  <c r="CL42" i="1"/>
  <c r="CL43" i="1"/>
  <c r="CL44" i="1"/>
  <c r="CL45" i="1"/>
  <c r="CL46" i="1"/>
  <c r="CL47" i="1"/>
  <c r="CL48" i="1"/>
  <c r="CL49" i="1"/>
  <c r="CL50" i="1"/>
  <c r="CL51" i="1"/>
  <c r="CL52" i="1"/>
  <c r="CL53" i="1"/>
  <c r="CL54" i="1"/>
  <c r="CL55" i="1"/>
  <c r="CL56" i="1"/>
  <c r="CL57" i="1"/>
  <c r="CL58" i="1"/>
  <c r="CL59" i="1"/>
  <c r="CL60" i="1"/>
  <c r="CL61" i="1"/>
  <c r="CL62" i="1"/>
  <c r="CL63" i="1"/>
  <c r="CL64" i="1"/>
  <c r="CL65" i="1"/>
  <c r="CL66" i="1"/>
  <c r="CL67" i="1"/>
  <c r="CL68" i="1"/>
  <c r="CL69" i="1"/>
  <c r="CL70" i="1"/>
  <c r="CL71" i="1"/>
  <c r="CL72" i="1"/>
  <c r="CL73" i="1"/>
  <c r="CL74" i="1"/>
  <c r="CL75" i="1"/>
  <c r="CL76" i="1"/>
  <c r="CL77" i="1"/>
  <c r="CL78" i="1"/>
  <c r="CL79" i="1"/>
  <c r="CL80" i="1"/>
  <c r="CL81" i="1"/>
  <c r="CL82" i="1"/>
  <c r="CL83" i="1"/>
  <c r="CL84" i="1"/>
  <c r="CL85" i="1"/>
  <c r="CL86" i="1"/>
  <c r="CL87" i="1"/>
  <c r="CL88" i="1"/>
  <c r="CL89" i="1"/>
  <c r="CL90" i="1"/>
  <c r="CL91" i="1"/>
  <c r="CL92" i="1"/>
  <c r="CL93" i="1"/>
  <c r="CL94" i="1"/>
  <c r="CL95" i="1"/>
  <c r="CL96" i="1"/>
  <c r="CL97" i="1"/>
  <c r="CL98" i="1"/>
  <c r="CL99" i="1"/>
  <c r="CL100" i="1"/>
  <c r="CL101" i="1"/>
  <c r="CL102" i="1"/>
  <c r="CL103" i="1"/>
  <c r="CL104" i="1"/>
  <c r="CL105" i="1"/>
  <c r="CL106" i="1"/>
  <c r="CL107" i="1"/>
  <c r="CL108" i="1"/>
  <c r="CL109" i="1"/>
  <c r="CL110" i="1"/>
  <c r="CL111" i="1"/>
  <c r="CL112" i="1"/>
  <c r="CL113" i="1"/>
  <c r="CL114" i="1"/>
  <c r="CL115" i="1"/>
  <c r="CL116" i="1"/>
  <c r="CL117" i="1"/>
  <c r="CL118" i="1"/>
  <c r="CL119" i="1"/>
  <c r="CL120" i="1"/>
  <c r="CL121" i="1"/>
  <c r="CL122" i="1"/>
  <c r="CL123" i="1"/>
  <c r="CL124" i="1"/>
  <c r="CL125" i="1"/>
  <c r="CL126" i="1"/>
  <c r="CL127" i="1"/>
  <c r="CL128" i="1"/>
  <c r="CL129" i="1"/>
  <c r="CL130" i="1"/>
  <c r="CL131" i="1"/>
  <c r="CL132" i="1"/>
  <c r="CL133" i="1"/>
  <c r="CL134" i="1"/>
  <c r="CL135" i="1"/>
  <c r="CL136" i="1"/>
  <c r="CL137" i="1"/>
  <c r="CL138" i="1"/>
  <c r="CL139" i="1"/>
  <c r="CL140" i="1"/>
  <c r="CL141" i="1"/>
  <c r="CL142" i="1"/>
  <c r="CL143" i="1"/>
  <c r="CL144" i="1"/>
  <c r="CL145" i="1"/>
  <c r="CL146" i="1"/>
  <c r="CL147" i="1"/>
  <c r="CL148" i="1"/>
  <c r="CL149" i="1"/>
  <c r="CL150" i="1"/>
  <c r="CL151" i="1"/>
  <c r="CL152" i="1"/>
  <c r="CL153" i="1"/>
  <c r="CL154" i="1"/>
  <c r="CL155" i="1"/>
  <c r="CL156" i="1"/>
  <c r="CL157" i="1"/>
  <c r="CL158" i="1"/>
  <c r="CL159" i="1"/>
  <c r="CL160" i="1"/>
  <c r="CL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5" i="1"/>
  <c r="D5" i="1"/>
  <c r="C3" i="75" a="1"/>
  <c r="C3" i="75"/>
  <c r="C4" i="75" a="1"/>
  <c r="C4" i="75"/>
  <c r="C5" i="75" a="1"/>
  <c r="C5" i="75"/>
  <c r="F7" i="15"/>
  <c r="C6" i="75" a="1"/>
  <c r="C6" i="75"/>
  <c r="C4" i="15"/>
  <c r="C7" i="75" a="1"/>
  <c r="C7" i="75"/>
  <c r="C8" i="75" a="1"/>
  <c r="C8" i="75"/>
  <c r="C1" i="61"/>
  <c r="C1" i="60"/>
  <c r="C1" i="80"/>
  <c r="C1" i="51"/>
  <c r="N4" i="1"/>
  <c r="C9" i="75" a="1"/>
  <c r="C9" i="75"/>
  <c r="C10" i="75" a="1"/>
  <c r="C10" i="75"/>
  <c r="C11" i="75" a="1"/>
  <c r="C11" i="75"/>
  <c r="C12" i="75" a="1"/>
  <c r="C12" i="75"/>
  <c r="C13" i="75" a="1"/>
  <c r="C13" i="75"/>
  <c r="B64" i="80"/>
  <c r="B15" i="80"/>
  <c r="D7" i="80"/>
  <c r="D6" i="80"/>
  <c r="C6" i="80"/>
  <c r="D5" i="80"/>
  <c r="C5" i="80"/>
  <c r="D4" i="80"/>
  <c r="C4" i="80"/>
  <c r="C14" i="75" a="1"/>
  <c r="C14" i="75"/>
  <c r="C15" i="75" a="1"/>
  <c r="C15" i="75"/>
  <c r="C16" i="75" a="1"/>
  <c r="C16" i="75"/>
  <c r="C17" i="75" a="1"/>
  <c r="C17" i="75"/>
  <c r="C18" i="75" a="1"/>
  <c r="C18" i="75"/>
  <c r="C19" i="75" a="1"/>
  <c r="C19" i="75"/>
  <c r="C20" i="75" a="1"/>
  <c r="C20" i="75"/>
  <c r="C21" i="75" a="1"/>
  <c r="C21" i="75"/>
  <c r="C22" i="75" a="1"/>
  <c r="C22" i="75"/>
  <c r="C23" i="75" a="1"/>
  <c r="C23" i="75"/>
  <c r="C24" i="75" a="1"/>
  <c r="C24" i="75"/>
  <c r="C25" i="75" a="1"/>
  <c r="C25" i="75"/>
  <c r="G199" i="75"/>
  <c r="F198" i="75"/>
  <c r="F199" i="75"/>
  <c r="A281" i="75" a="1"/>
  <c r="A281" i="75"/>
  <c r="A282" i="75" a="1"/>
  <c r="A282" i="75"/>
  <c r="D1" i="61"/>
  <c r="D1" i="60"/>
  <c r="D1" i="80"/>
  <c r="D1" i="51"/>
  <c r="B16" i="60"/>
  <c r="B54" i="51"/>
  <c r="B15" i="51"/>
  <c r="M45" i="15"/>
  <c r="M46" i="15"/>
  <c r="M47" i="15"/>
  <c r="M48" i="15"/>
  <c r="M49" i="15"/>
  <c r="M50" i="15"/>
  <c r="M51" i="15"/>
  <c r="M52" i="15"/>
  <c r="M53" i="15"/>
  <c r="M54" i="15"/>
  <c r="M55" i="15"/>
  <c r="M56" i="15"/>
  <c r="M57" i="15"/>
  <c r="M58" i="15"/>
  <c r="M59" i="15"/>
  <c r="M60" i="15"/>
  <c r="M61" i="15"/>
  <c r="M62" i="15"/>
  <c r="M63" i="15"/>
  <c r="M64" i="15"/>
  <c r="M65" i="15"/>
  <c r="M66" i="15"/>
  <c r="M67" i="15"/>
  <c r="M68" i="15"/>
  <c r="M69" i="15"/>
  <c r="M70" i="15"/>
  <c r="M44" i="15"/>
  <c r="C37" i="51"/>
  <c r="C38" i="51"/>
  <c r="C39" i="51"/>
  <c r="C40" i="51"/>
  <c r="C41" i="51"/>
  <c r="C42" i="51"/>
  <c r="C43" i="51"/>
  <c r="C44" i="51"/>
  <c r="C45" i="51"/>
  <c r="C46" i="51"/>
  <c r="C47" i="51"/>
  <c r="C48" i="51"/>
  <c r="C49" i="51"/>
  <c r="D909"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K942" i="1"/>
  <c r="K1004" i="1"/>
  <c r="K1000" i="1"/>
  <c r="K996" i="1"/>
  <c r="K992" i="1"/>
  <c r="K988" i="1"/>
  <c r="K984" i="1"/>
  <c r="K978" i="1"/>
  <c r="K962" i="1"/>
  <c r="K946" i="1"/>
  <c r="K1003" i="1"/>
  <c r="K999" i="1"/>
  <c r="K995" i="1"/>
  <c r="K991" i="1"/>
  <c r="K987" i="1"/>
  <c r="K982" i="1"/>
  <c r="K974" i="1"/>
  <c r="K958" i="1"/>
  <c r="T7" i="1"/>
  <c r="T11" i="1"/>
  <c r="T15" i="1"/>
  <c r="T19" i="1"/>
  <c r="T23" i="1"/>
  <c r="T27" i="1"/>
  <c r="T31" i="1"/>
  <c r="T35" i="1"/>
  <c r="T39" i="1"/>
  <c r="T43" i="1"/>
  <c r="T47" i="1"/>
  <c r="T51" i="1"/>
  <c r="T55" i="1"/>
  <c r="T59" i="1"/>
  <c r="T63" i="1"/>
  <c r="T67" i="1"/>
  <c r="T71" i="1"/>
  <c r="T75" i="1"/>
  <c r="T79" i="1"/>
  <c r="T83" i="1"/>
  <c r="T87" i="1"/>
  <c r="T91" i="1"/>
  <c r="T95" i="1"/>
  <c r="T99" i="1"/>
  <c r="T103" i="1"/>
  <c r="T107" i="1"/>
  <c r="T111" i="1"/>
  <c r="T115" i="1"/>
  <c r="T119" i="1"/>
  <c r="T123" i="1"/>
  <c r="T127" i="1"/>
  <c r="T131" i="1"/>
  <c r="T135" i="1"/>
  <c r="T139" i="1"/>
  <c r="T143" i="1"/>
  <c r="T147" i="1"/>
  <c r="T151" i="1"/>
  <c r="T155" i="1"/>
  <c r="T159" i="1"/>
  <c r="T163" i="1"/>
  <c r="T167" i="1"/>
  <c r="T171" i="1"/>
  <c r="T175" i="1"/>
  <c r="T179" i="1"/>
  <c r="T183" i="1"/>
  <c r="T187" i="1"/>
  <c r="T191" i="1"/>
  <c r="T195" i="1"/>
  <c r="T199" i="1"/>
  <c r="T203" i="1"/>
  <c r="T207" i="1"/>
  <c r="T211" i="1"/>
  <c r="T215" i="1"/>
  <c r="T219" i="1"/>
  <c r="T223" i="1"/>
  <c r="T227" i="1"/>
  <c r="T231" i="1"/>
  <c r="T235" i="1"/>
  <c r="T239" i="1"/>
  <c r="T243" i="1"/>
  <c r="T247" i="1"/>
  <c r="T251" i="1"/>
  <c r="T255" i="1"/>
  <c r="T259" i="1"/>
  <c r="T263" i="1"/>
  <c r="T267" i="1"/>
  <c r="T271" i="1"/>
  <c r="T275" i="1"/>
  <c r="T279" i="1"/>
  <c r="T283" i="1"/>
  <c r="T287" i="1"/>
  <c r="T291" i="1"/>
  <c r="T295" i="1"/>
  <c r="T299" i="1"/>
  <c r="T303" i="1"/>
  <c r="T307" i="1"/>
  <c r="T311" i="1"/>
  <c r="T315" i="1"/>
  <c r="T319" i="1"/>
  <c r="T323" i="1"/>
  <c r="T327" i="1"/>
  <c r="T331" i="1"/>
  <c r="T335" i="1"/>
  <c r="T339" i="1"/>
  <c r="T343" i="1"/>
  <c r="T347" i="1"/>
  <c r="T351" i="1"/>
  <c r="T355" i="1"/>
  <c r="T359" i="1"/>
  <c r="T363" i="1"/>
  <c r="T367" i="1"/>
  <c r="T371" i="1"/>
  <c r="T375" i="1"/>
  <c r="T379" i="1"/>
  <c r="T383" i="1"/>
  <c r="T387" i="1"/>
  <c r="T391" i="1"/>
  <c r="T395" i="1"/>
  <c r="T399" i="1"/>
  <c r="T403" i="1"/>
  <c r="T407"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6" i="1"/>
  <c r="T14" i="1"/>
  <c r="T22" i="1"/>
  <c r="T30" i="1"/>
  <c r="T38" i="1"/>
  <c r="T46" i="1"/>
  <c r="T54" i="1"/>
  <c r="T62" i="1"/>
  <c r="T70" i="1"/>
  <c r="T78" i="1"/>
  <c r="T86" i="1"/>
  <c r="T94" i="1"/>
  <c r="T102" i="1"/>
  <c r="T110" i="1"/>
  <c r="T118" i="1"/>
  <c r="T126" i="1"/>
  <c r="T134" i="1"/>
  <c r="T142" i="1"/>
  <c r="T150" i="1"/>
  <c r="T158" i="1"/>
  <c r="T166" i="1"/>
  <c r="T174" i="1"/>
  <c r="T182" i="1"/>
  <c r="T190" i="1"/>
  <c r="T198" i="1"/>
  <c r="T206" i="1"/>
  <c r="T214" i="1"/>
  <c r="T222" i="1"/>
  <c r="T230" i="1"/>
  <c r="T238" i="1"/>
  <c r="T246" i="1"/>
  <c r="T254" i="1"/>
  <c r="T262" i="1"/>
  <c r="T270" i="1"/>
  <c r="T278" i="1"/>
  <c r="T286" i="1"/>
  <c r="T294" i="1"/>
  <c r="T302" i="1"/>
  <c r="T310" i="1"/>
  <c r="T318" i="1"/>
  <c r="T326" i="1"/>
  <c r="T334" i="1"/>
  <c r="T342" i="1"/>
  <c r="T350" i="1"/>
  <c r="T358" i="1"/>
  <c r="T366" i="1"/>
  <c r="T374" i="1"/>
  <c r="T382" i="1"/>
  <c r="T390" i="1"/>
  <c r="T398" i="1"/>
  <c r="T406" i="1"/>
  <c r="T411" i="1"/>
  <c r="T415" i="1"/>
  <c r="T419" i="1"/>
  <c r="T423" i="1"/>
  <c r="T427" i="1"/>
  <c r="T431" i="1"/>
  <c r="T435" i="1"/>
  <c r="T439" i="1"/>
  <c r="T443" i="1"/>
  <c r="T447" i="1"/>
  <c r="T451" i="1"/>
  <c r="T455" i="1"/>
  <c r="T459" i="1"/>
  <c r="T463" i="1"/>
  <c r="T467" i="1"/>
  <c r="T471" i="1"/>
  <c r="T475" i="1"/>
  <c r="T479" i="1"/>
  <c r="T483" i="1"/>
  <c r="T487" i="1"/>
  <c r="T491" i="1"/>
  <c r="T495" i="1"/>
  <c r="T499" i="1"/>
  <c r="T503" i="1"/>
  <c r="T507" i="1"/>
  <c r="T511"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9" i="1"/>
  <c r="T17" i="1"/>
  <c r="T25" i="1"/>
  <c r="T33" i="1"/>
  <c r="T41" i="1"/>
  <c r="T49" i="1"/>
  <c r="T57" i="1"/>
  <c r="T65" i="1"/>
  <c r="T73" i="1"/>
  <c r="T81" i="1"/>
  <c r="T89" i="1"/>
  <c r="T97" i="1"/>
  <c r="T105" i="1"/>
  <c r="T113" i="1"/>
  <c r="T121" i="1"/>
  <c r="T129" i="1"/>
  <c r="T137" i="1"/>
  <c r="T145" i="1"/>
  <c r="T153" i="1"/>
  <c r="T161" i="1"/>
  <c r="T169" i="1"/>
  <c r="T177" i="1"/>
  <c r="T185" i="1"/>
  <c r="T193" i="1"/>
  <c r="T201" i="1"/>
  <c r="T209" i="1"/>
  <c r="T217" i="1"/>
  <c r="T225" i="1"/>
  <c r="T233" i="1"/>
  <c r="T241" i="1"/>
  <c r="T249" i="1"/>
  <c r="T257" i="1"/>
  <c r="T265" i="1"/>
  <c r="T273" i="1"/>
  <c r="T281" i="1"/>
  <c r="T289" i="1"/>
  <c r="T297" i="1"/>
  <c r="T305" i="1"/>
  <c r="T313" i="1"/>
  <c r="T321" i="1"/>
  <c r="T329" i="1"/>
  <c r="T337" i="1"/>
  <c r="T345" i="1"/>
  <c r="T353" i="1"/>
  <c r="T361" i="1"/>
  <c r="T369" i="1"/>
  <c r="T377" i="1"/>
  <c r="T385" i="1"/>
  <c r="T393" i="1"/>
  <c r="T401"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10" i="1"/>
  <c r="T18" i="1"/>
  <c r="T26" i="1"/>
  <c r="T34" i="1"/>
  <c r="T42" i="1"/>
  <c r="T50" i="1"/>
  <c r="T58" i="1"/>
  <c r="T66" i="1"/>
  <c r="T74" i="1"/>
  <c r="T82" i="1"/>
  <c r="T90" i="1"/>
  <c r="T98" i="1"/>
  <c r="T106" i="1"/>
  <c r="T114" i="1"/>
  <c r="T122" i="1"/>
  <c r="T130" i="1"/>
  <c r="T138" i="1"/>
  <c r="T146" i="1"/>
  <c r="T154" i="1"/>
  <c r="T162" i="1"/>
  <c r="T170" i="1"/>
  <c r="T178" i="1"/>
  <c r="T186" i="1"/>
  <c r="T194" i="1"/>
  <c r="T202" i="1"/>
  <c r="T210" i="1"/>
  <c r="T218" i="1"/>
  <c r="T226" i="1"/>
  <c r="T234" i="1"/>
  <c r="T242" i="1"/>
  <c r="T250" i="1"/>
  <c r="T258" i="1"/>
  <c r="T266" i="1"/>
  <c r="T274" i="1"/>
  <c r="T282" i="1"/>
  <c r="T290" i="1"/>
  <c r="T298" i="1"/>
  <c r="T306" i="1"/>
  <c r="T314" i="1"/>
  <c r="T322" i="1"/>
  <c r="T330" i="1"/>
  <c r="T338" i="1"/>
  <c r="T346" i="1"/>
  <c r="T354" i="1"/>
  <c r="T362" i="1"/>
  <c r="T370" i="1"/>
  <c r="T378" i="1"/>
  <c r="T386" i="1"/>
  <c r="T394" i="1"/>
  <c r="T402"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37" i="1"/>
  <c r="T69" i="1"/>
  <c r="T101" i="1"/>
  <c r="T133" i="1"/>
  <c r="T165" i="1"/>
  <c r="T197" i="1"/>
  <c r="T229" i="1"/>
  <c r="T261" i="1"/>
  <c r="T293" i="1"/>
  <c r="T325" i="1"/>
  <c r="T357" i="1"/>
  <c r="T389" i="1"/>
  <c r="T414" i="1"/>
  <c r="T430" i="1"/>
  <c r="T446" i="1"/>
  <c r="T462" i="1"/>
  <c r="T478" i="1"/>
  <c r="T494" i="1"/>
  <c r="T510" i="1"/>
  <c r="T526" i="1"/>
  <c r="T542" i="1"/>
  <c r="T558" i="1"/>
  <c r="T574" i="1"/>
  <c r="T590" i="1"/>
  <c r="T606" i="1"/>
  <c r="T622" i="1"/>
  <c r="T638" i="1"/>
  <c r="T654" i="1"/>
  <c r="T670" i="1"/>
  <c r="T686" i="1"/>
  <c r="T702" i="1"/>
  <c r="T718" i="1"/>
  <c r="T734" i="1"/>
  <c r="T750" i="1"/>
  <c r="T766" i="1"/>
  <c r="T779" i="1"/>
  <c r="T787" i="1"/>
  <c r="T795" i="1"/>
  <c r="T803" i="1"/>
  <c r="T810" i="1"/>
  <c r="T814" i="1"/>
  <c r="T818" i="1"/>
  <c r="T822" i="1"/>
  <c r="T826" i="1"/>
  <c r="T830" i="1"/>
  <c r="T834" i="1"/>
  <c r="T838" i="1"/>
  <c r="T842" i="1"/>
  <c r="T846" i="1"/>
  <c r="T850" i="1"/>
  <c r="T854" i="1"/>
  <c r="T858" i="1"/>
  <c r="T862" i="1"/>
  <c r="T866" i="1"/>
  <c r="T870" i="1"/>
  <c r="T874" i="1"/>
  <c r="T878" i="1"/>
  <c r="T882" i="1"/>
  <c r="T886" i="1"/>
  <c r="T890" i="1"/>
  <c r="T894"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5" i="1"/>
  <c r="U6"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866" i="1"/>
  <c r="U870" i="1"/>
  <c r="U874" i="1"/>
  <c r="U878" i="1"/>
  <c r="U882" i="1"/>
  <c r="U886" i="1"/>
  <c r="U890" i="1"/>
  <c r="U894" i="1"/>
  <c r="U898" i="1"/>
  <c r="U902" i="1"/>
  <c r="U906" i="1"/>
  <c r="U910" i="1"/>
  <c r="U914" i="1"/>
  <c r="U918" i="1"/>
  <c r="U922" i="1"/>
  <c r="U926" i="1"/>
  <c r="U930" i="1"/>
  <c r="U934" i="1"/>
  <c r="U938" i="1"/>
  <c r="U942" i="1"/>
  <c r="U946" i="1"/>
  <c r="U950" i="1"/>
  <c r="U954" i="1"/>
  <c r="U958" i="1"/>
  <c r="U962" i="1"/>
  <c r="U966" i="1"/>
  <c r="U970" i="1"/>
  <c r="T13" i="1"/>
  <c r="T45" i="1"/>
  <c r="T77" i="1"/>
  <c r="T109" i="1"/>
  <c r="T141" i="1"/>
  <c r="T173" i="1"/>
  <c r="T205" i="1"/>
  <c r="T237" i="1"/>
  <c r="T269" i="1"/>
  <c r="T301" i="1"/>
  <c r="T333" i="1"/>
  <c r="T365" i="1"/>
  <c r="T397" i="1"/>
  <c r="T418" i="1"/>
  <c r="T434" i="1"/>
  <c r="T450" i="1"/>
  <c r="T466" i="1"/>
  <c r="T482" i="1"/>
  <c r="T498" i="1"/>
  <c r="T514" i="1"/>
  <c r="T530" i="1"/>
  <c r="T546" i="1"/>
  <c r="T562" i="1"/>
  <c r="T578" i="1"/>
  <c r="T594" i="1"/>
  <c r="T610" i="1"/>
  <c r="T626" i="1"/>
  <c r="T642" i="1"/>
  <c r="T658" i="1"/>
  <c r="T674" i="1"/>
  <c r="T690" i="1"/>
  <c r="T706" i="1"/>
  <c r="T722" i="1"/>
  <c r="T738" i="1"/>
  <c r="T754" i="1"/>
  <c r="T770" i="1"/>
  <c r="T782" i="1"/>
  <c r="T790" i="1"/>
  <c r="T798" i="1"/>
  <c r="T806" i="1"/>
  <c r="T811" i="1"/>
  <c r="T815" i="1"/>
  <c r="T819" i="1"/>
  <c r="T823" i="1"/>
  <c r="T827" i="1"/>
  <c r="T831" i="1"/>
  <c r="T835" i="1"/>
  <c r="T839" i="1"/>
  <c r="T843" i="1"/>
  <c r="T847" i="1"/>
  <c r="T851" i="1"/>
  <c r="T855" i="1"/>
  <c r="T859" i="1"/>
  <c r="T863" i="1"/>
  <c r="T867" i="1"/>
  <c r="T871" i="1"/>
  <c r="T875" i="1"/>
  <c r="T879" i="1"/>
  <c r="T883" i="1"/>
  <c r="T887" i="1"/>
  <c r="T891"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K5" i="1"/>
  <c r="U7" i="1"/>
  <c r="U11" i="1"/>
  <c r="U15" i="1"/>
  <c r="U19" i="1"/>
  <c r="U23" i="1"/>
  <c r="U27" i="1"/>
  <c r="U31" i="1"/>
  <c r="U35" i="1"/>
  <c r="U39" i="1"/>
  <c r="U43" i="1"/>
  <c r="U47" i="1"/>
  <c r="U51" i="1"/>
  <c r="U55" i="1"/>
  <c r="U59" i="1"/>
  <c r="U63" i="1"/>
  <c r="U67" i="1"/>
  <c r="U71" i="1"/>
  <c r="U75" i="1"/>
  <c r="U79" i="1"/>
  <c r="U83" i="1"/>
  <c r="U87" i="1"/>
  <c r="U91" i="1"/>
  <c r="U95" i="1"/>
  <c r="U99" i="1"/>
  <c r="U103" i="1"/>
  <c r="U107" i="1"/>
  <c r="U111" i="1"/>
  <c r="U115" i="1"/>
  <c r="U119" i="1"/>
  <c r="U123" i="1"/>
  <c r="U127" i="1"/>
  <c r="U131" i="1"/>
  <c r="U135" i="1"/>
  <c r="U139" i="1"/>
  <c r="U143" i="1"/>
  <c r="U147" i="1"/>
  <c r="U151" i="1"/>
  <c r="U155" i="1"/>
  <c r="U159" i="1"/>
  <c r="U163" i="1"/>
  <c r="U167" i="1"/>
  <c r="U171" i="1"/>
  <c r="U175" i="1"/>
  <c r="U179" i="1"/>
  <c r="U183" i="1"/>
  <c r="U187" i="1"/>
  <c r="U191" i="1"/>
  <c r="U195" i="1"/>
  <c r="U199" i="1"/>
  <c r="U203" i="1"/>
  <c r="U207" i="1"/>
  <c r="U211" i="1"/>
  <c r="U215" i="1"/>
  <c r="U219" i="1"/>
  <c r="U223" i="1"/>
  <c r="U227" i="1"/>
  <c r="U231" i="1"/>
  <c r="U235" i="1"/>
  <c r="U239" i="1"/>
  <c r="U243" i="1"/>
  <c r="U247" i="1"/>
  <c r="U251" i="1"/>
  <c r="U255" i="1"/>
  <c r="U259" i="1"/>
  <c r="U263" i="1"/>
  <c r="U267" i="1"/>
  <c r="U271" i="1"/>
  <c r="U275" i="1"/>
  <c r="U279" i="1"/>
  <c r="U283" i="1"/>
  <c r="U287" i="1"/>
  <c r="U291" i="1"/>
  <c r="U295" i="1"/>
  <c r="U299" i="1"/>
  <c r="U303" i="1"/>
  <c r="U307" i="1"/>
  <c r="U311" i="1"/>
  <c r="U315" i="1"/>
  <c r="U319" i="1"/>
  <c r="U323" i="1"/>
  <c r="U327" i="1"/>
  <c r="U331" i="1"/>
  <c r="U335" i="1"/>
  <c r="U339" i="1"/>
  <c r="U343" i="1"/>
  <c r="U347" i="1"/>
  <c r="U351" i="1"/>
  <c r="U355" i="1"/>
  <c r="U359" i="1"/>
  <c r="U363" i="1"/>
  <c r="U367" i="1"/>
  <c r="U371" i="1"/>
  <c r="U375" i="1"/>
  <c r="U379" i="1"/>
  <c r="U383" i="1"/>
  <c r="U387" i="1"/>
  <c r="U391" i="1"/>
  <c r="U395" i="1"/>
  <c r="U399" i="1"/>
  <c r="U403" i="1"/>
  <c r="U407" i="1"/>
  <c r="U411" i="1"/>
  <c r="U415" i="1"/>
  <c r="U419" i="1"/>
  <c r="U423" i="1"/>
  <c r="U427" i="1"/>
  <c r="U431" i="1"/>
  <c r="U435" i="1"/>
  <c r="U439" i="1"/>
  <c r="U443" i="1"/>
  <c r="U447" i="1"/>
  <c r="U451" i="1"/>
  <c r="U455" i="1"/>
  <c r="U459" i="1"/>
  <c r="U463" i="1"/>
  <c r="U467" i="1"/>
  <c r="U471" i="1"/>
  <c r="U475" i="1"/>
  <c r="U479" i="1"/>
  <c r="U483" i="1"/>
  <c r="U487" i="1"/>
  <c r="U491" i="1"/>
  <c r="U495" i="1"/>
  <c r="U499" i="1"/>
  <c r="U503" i="1"/>
  <c r="U507" i="1"/>
  <c r="U511"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859" i="1"/>
  <c r="U863" i="1"/>
  <c r="U867" i="1"/>
  <c r="U871" i="1"/>
  <c r="U875" i="1"/>
  <c r="U879" i="1"/>
  <c r="U883" i="1"/>
  <c r="U887" i="1"/>
  <c r="U891" i="1"/>
  <c r="U895" i="1"/>
  <c r="U899" i="1"/>
  <c r="U903" i="1"/>
  <c r="U907" i="1"/>
  <c r="U911" i="1"/>
  <c r="U915" i="1"/>
  <c r="U919" i="1"/>
  <c r="U923" i="1"/>
  <c r="U927" i="1"/>
  <c r="U931" i="1"/>
  <c r="U935" i="1"/>
  <c r="U939" i="1"/>
  <c r="U943" i="1"/>
  <c r="U947" i="1"/>
  <c r="U951" i="1"/>
  <c r="U955" i="1"/>
  <c r="U959" i="1"/>
  <c r="U963" i="1"/>
  <c r="U967" i="1"/>
  <c r="T21" i="1"/>
  <c r="T53" i="1"/>
  <c r="T85" i="1"/>
  <c r="T117" i="1"/>
  <c r="T149" i="1"/>
  <c r="T181" i="1"/>
  <c r="T213" i="1"/>
  <c r="T245" i="1"/>
  <c r="T277" i="1"/>
  <c r="T309" i="1"/>
  <c r="T341" i="1"/>
  <c r="T373" i="1"/>
  <c r="T405" i="1"/>
  <c r="T422" i="1"/>
  <c r="T438" i="1"/>
  <c r="T454" i="1"/>
  <c r="T470" i="1"/>
  <c r="T486" i="1"/>
  <c r="T502" i="1"/>
  <c r="T518" i="1"/>
  <c r="T534" i="1"/>
  <c r="T550" i="1"/>
  <c r="T566" i="1"/>
  <c r="T582" i="1"/>
  <c r="T598" i="1"/>
  <c r="T614" i="1"/>
  <c r="T630" i="1"/>
  <c r="T646" i="1"/>
  <c r="T662" i="1"/>
  <c r="T678" i="1"/>
  <c r="T694" i="1"/>
  <c r="T710" i="1"/>
  <c r="T726" i="1"/>
  <c r="T742" i="1"/>
  <c r="T758" i="1"/>
  <c r="T774" i="1"/>
  <c r="T783" i="1"/>
  <c r="T791" i="1"/>
  <c r="T799" i="1"/>
  <c r="T807" i="1"/>
  <c r="T812" i="1"/>
  <c r="T816" i="1"/>
  <c r="T820" i="1"/>
  <c r="T824" i="1"/>
  <c r="T828" i="1"/>
  <c r="T832" i="1"/>
  <c r="T836" i="1"/>
  <c r="T840" i="1"/>
  <c r="T844" i="1"/>
  <c r="T848" i="1"/>
  <c r="T852" i="1"/>
  <c r="T856" i="1"/>
  <c r="T860" i="1"/>
  <c r="T864" i="1"/>
  <c r="T868" i="1"/>
  <c r="T872" i="1"/>
  <c r="T876" i="1"/>
  <c r="T880" i="1"/>
  <c r="T884" i="1"/>
  <c r="T888" i="1"/>
  <c r="T892" i="1"/>
  <c r="T896" i="1"/>
  <c r="T900" i="1"/>
  <c r="T904" i="1"/>
  <c r="T908" i="1"/>
  <c r="T912" i="1"/>
  <c r="T916" i="1"/>
  <c r="T920" i="1"/>
  <c r="T924" i="1"/>
  <c r="T928" i="1"/>
  <c r="T932" i="1"/>
  <c r="T936" i="1"/>
  <c r="T940" i="1"/>
  <c r="T944" i="1"/>
  <c r="T948" i="1"/>
  <c r="T952" i="1"/>
  <c r="T956" i="1"/>
  <c r="T960" i="1"/>
  <c r="T964" i="1"/>
  <c r="T968" i="1"/>
  <c r="T972" i="1"/>
  <c r="T976" i="1"/>
  <c r="T980" i="1"/>
  <c r="T984" i="1"/>
  <c r="T988" i="1"/>
  <c r="T992" i="1"/>
  <c r="T996" i="1"/>
  <c r="T1000" i="1"/>
  <c r="T1004"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824" i="1"/>
  <c r="U828" i="1"/>
  <c r="U832" i="1"/>
  <c r="U836" i="1"/>
  <c r="U840" i="1"/>
  <c r="U844" i="1"/>
  <c r="U848" i="1"/>
  <c r="U852" i="1"/>
  <c r="U856" i="1"/>
  <c r="U860" i="1"/>
  <c r="U864" i="1"/>
  <c r="U868" i="1"/>
  <c r="U872" i="1"/>
  <c r="U876" i="1"/>
  <c r="U880" i="1"/>
  <c r="U884" i="1"/>
  <c r="U888" i="1"/>
  <c r="T125" i="1"/>
  <c r="T253" i="1"/>
  <c r="T381" i="1"/>
  <c r="T458" i="1"/>
  <c r="T522" i="1"/>
  <c r="T586" i="1"/>
  <c r="T650" i="1"/>
  <c r="T714" i="1"/>
  <c r="T778" i="1"/>
  <c r="T809" i="1"/>
  <c r="T825" i="1"/>
  <c r="T841" i="1"/>
  <c r="T857" i="1"/>
  <c r="T873" i="1"/>
  <c r="T889" i="1"/>
  <c r="T905" i="1"/>
  <c r="T921" i="1"/>
  <c r="T937" i="1"/>
  <c r="T953" i="1"/>
  <c r="T969" i="1"/>
  <c r="T985" i="1"/>
  <c r="T1001" i="1"/>
  <c r="U17" i="1"/>
  <c r="U33" i="1"/>
  <c r="U49" i="1"/>
  <c r="U65" i="1"/>
  <c r="U81" i="1"/>
  <c r="U97" i="1"/>
  <c r="U113" i="1"/>
  <c r="U129" i="1"/>
  <c r="U145" i="1"/>
  <c r="U161" i="1"/>
  <c r="U177" i="1"/>
  <c r="U193" i="1"/>
  <c r="U209" i="1"/>
  <c r="U225" i="1"/>
  <c r="U241" i="1"/>
  <c r="U257" i="1"/>
  <c r="U273" i="1"/>
  <c r="U289" i="1"/>
  <c r="U305" i="1"/>
  <c r="U321" i="1"/>
  <c r="U337" i="1"/>
  <c r="U353" i="1"/>
  <c r="U369" i="1"/>
  <c r="U385" i="1"/>
  <c r="U401" i="1"/>
  <c r="U417" i="1"/>
  <c r="U433" i="1"/>
  <c r="U449" i="1"/>
  <c r="U465" i="1"/>
  <c r="U481" i="1"/>
  <c r="U497" i="1"/>
  <c r="U513" i="1"/>
  <c r="U529" i="1"/>
  <c r="U545" i="1"/>
  <c r="U561" i="1"/>
  <c r="U577" i="1"/>
  <c r="U593" i="1"/>
  <c r="U609" i="1"/>
  <c r="U625" i="1"/>
  <c r="U641" i="1"/>
  <c r="U657" i="1"/>
  <c r="U673" i="1"/>
  <c r="U689" i="1"/>
  <c r="U705" i="1"/>
  <c r="U721" i="1"/>
  <c r="U737" i="1"/>
  <c r="U753" i="1"/>
  <c r="U769" i="1"/>
  <c r="U785" i="1"/>
  <c r="U801" i="1"/>
  <c r="U817" i="1"/>
  <c r="U833" i="1"/>
  <c r="U849" i="1"/>
  <c r="U865" i="1"/>
  <c r="U881" i="1"/>
  <c r="U893" i="1"/>
  <c r="U901" i="1"/>
  <c r="U909" i="1"/>
  <c r="U917" i="1"/>
  <c r="U925" i="1"/>
  <c r="U933" i="1"/>
  <c r="U941" i="1"/>
  <c r="U949" i="1"/>
  <c r="U957" i="1"/>
  <c r="U965" i="1"/>
  <c r="U972" i="1"/>
  <c r="U976" i="1"/>
  <c r="U980" i="1"/>
  <c r="U984" i="1"/>
  <c r="U988" i="1"/>
  <c r="U992" i="1"/>
  <c r="U996" i="1"/>
  <c r="U1000" i="1"/>
  <c r="U1004" i="1"/>
  <c r="L6" i="1"/>
  <c r="L10" i="1"/>
  <c r="L14" i="1"/>
  <c r="L18" i="1"/>
  <c r="L22" i="1"/>
  <c r="L26" i="1"/>
  <c r="L30" i="1"/>
  <c r="L34" i="1"/>
  <c r="L38" i="1"/>
  <c r="L42" i="1"/>
  <c r="L46" i="1"/>
  <c r="L50" i="1"/>
  <c r="L54" i="1"/>
  <c r="L58" i="1"/>
  <c r="L62" i="1"/>
  <c r="L66" i="1"/>
  <c r="L70" i="1"/>
  <c r="L74" i="1"/>
  <c r="L78" i="1"/>
  <c r="L82" i="1"/>
  <c r="L86" i="1"/>
  <c r="L90" i="1"/>
  <c r="L94" i="1"/>
  <c r="L98" i="1"/>
  <c r="L102" i="1"/>
  <c r="L106" i="1"/>
  <c r="L110" i="1"/>
  <c r="L114" i="1"/>
  <c r="L118" i="1"/>
  <c r="L122" i="1"/>
  <c r="L126" i="1"/>
  <c r="L130" i="1"/>
  <c r="L134" i="1"/>
  <c r="L138" i="1"/>
  <c r="L142" i="1"/>
  <c r="L146" i="1"/>
  <c r="L150" i="1"/>
  <c r="L154" i="1"/>
  <c r="L158" i="1"/>
  <c r="L162" i="1"/>
  <c r="L166" i="1"/>
  <c r="L170" i="1"/>
  <c r="L174" i="1"/>
  <c r="L178" i="1"/>
  <c r="L182" i="1"/>
  <c r="L186" i="1"/>
  <c r="L190" i="1"/>
  <c r="L194" i="1"/>
  <c r="L198" i="1"/>
  <c r="L202" i="1"/>
  <c r="L206" i="1"/>
  <c r="L210" i="1"/>
  <c r="L214" i="1"/>
  <c r="L218" i="1"/>
  <c r="L222" i="1"/>
  <c r="L226" i="1"/>
  <c r="L230" i="1"/>
  <c r="L234" i="1"/>
  <c r="L238" i="1"/>
  <c r="L242" i="1"/>
  <c r="L246" i="1"/>
  <c r="L250" i="1"/>
  <c r="L254" i="1"/>
  <c r="L258" i="1"/>
  <c r="L262" i="1"/>
  <c r="L266" i="1"/>
  <c r="L270" i="1"/>
  <c r="L274" i="1"/>
  <c r="L278" i="1"/>
  <c r="L282" i="1"/>
  <c r="L286" i="1"/>
  <c r="L290" i="1"/>
  <c r="L294" i="1"/>
  <c r="L298" i="1"/>
  <c r="L302" i="1"/>
  <c r="L306" i="1"/>
  <c r="L310" i="1"/>
  <c r="L314" i="1"/>
  <c r="L318" i="1"/>
  <c r="L322" i="1"/>
  <c r="L326" i="1"/>
  <c r="L330" i="1"/>
  <c r="L334" i="1"/>
  <c r="L338" i="1"/>
  <c r="L342" i="1"/>
  <c r="L346" i="1"/>
  <c r="L350" i="1"/>
  <c r="L354" i="1"/>
  <c r="L358" i="1"/>
  <c r="L362" i="1"/>
  <c r="L366" i="1"/>
  <c r="L370" i="1"/>
  <c r="L374" i="1"/>
  <c r="L378" i="1"/>
  <c r="L382" i="1"/>
  <c r="L386" i="1"/>
  <c r="L390" i="1"/>
  <c r="L394" i="1"/>
  <c r="L398" i="1"/>
  <c r="L402" i="1"/>
  <c r="L406" i="1"/>
  <c r="L410" i="1"/>
  <c r="L414" i="1"/>
  <c r="L418" i="1"/>
  <c r="L422" i="1"/>
  <c r="L426" i="1"/>
  <c r="L430" i="1"/>
  <c r="L434" i="1"/>
  <c r="L438" i="1"/>
  <c r="L442" i="1"/>
  <c r="L446" i="1"/>
  <c r="L450" i="1"/>
  <c r="L454" i="1"/>
  <c r="L458" i="1"/>
  <c r="L462" i="1"/>
  <c r="L466" i="1"/>
  <c r="L470" i="1"/>
  <c r="L474" i="1"/>
  <c r="L478" i="1"/>
  <c r="L482" i="1"/>
  <c r="L486" i="1"/>
  <c r="L490" i="1"/>
  <c r="L494" i="1"/>
  <c r="L498" i="1"/>
  <c r="L502" i="1"/>
  <c r="L506" i="1"/>
  <c r="L510" i="1"/>
  <c r="L514" i="1"/>
  <c r="L518" i="1"/>
  <c r="L522" i="1"/>
  <c r="L526" i="1"/>
  <c r="L530" i="1"/>
  <c r="L534" i="1"/>
  <c r="L538" i="1"/>
  <c r="L542" i="1"/>
  <c r="L546" i="1"/>
  <c r="L550" i="1"/>
  <c r="L554" i="1"/>
  <c r="L558" i="1"/>
  <c r="L562" i="1"/>
  <c r="L566" i="1"/>
  <c r="L570" i="1"/>
  <c r="L574" i="1"/>
  <c r="L578" i="1"/>
  <c r="L582" i="1"/>
  <c r="L586" i="1"/>
  <c r="L590" i="1"/>
  <c r="L594" i="1"/>
  <c r="L598" i="1"/>
  <c r="L602" i="1"/>
  <c r="L606" i="1"/>
  <c r="L610" i="1"/>
  <c r="L614" i="1"/>
  <c r="L618" i="1"/>
  <c r="L622" i="1"/>
  <c r="L626" i="1"/>
  <c r="L630" i="1"/>
  <c r="L634" i="1"/>
  <c r="L638" i="1"/>
  <c r="L642" i="1"/>
  <c r="L646" i="1"/>
  <c r="L650" i="1"/>
  <c r="L654" i="1"/>
  <c r="L658" i="1"/>
  <c r="L662" i="1"/>
  <c r="L666" i="1"/>
  <c r="L670" i="1"/>
  <c r="L674" i="1"/>
  <c r="L678" i="1"/>
  <c r="L682" i="1"/>
  <c r="L686" i="1"/>
  <c r="L690" i="1"/>
  <c r="L694" i="1"/>
  <c r="L698" i="1"/>
  <c r="L702" i="1"/>
  <c r="L706" i="1"/>
  <c r="L710" i="1"/>
  <c r="L714" i="1"/>
  <c r="L718" i="1"/>
  <c r="L722" i="1"/>
  <c r="L726" i="1"/>
  <c r="L730" i="1"/>
  <c r="L734" i="1"/>
  <c r="L738" i="1"/>
  <c r="L742" i="1"/>
  <c r="L746" i="1"/>
  <c r="L750" i="1"/>
  <c r="L754" i="1"/>
  <c r="L758" i="1"/>
  <c r="L762" i="1"/>
  <c r="L766" i="1"/>
  <c r="L770" i="1"/>
  <c r="L774" i="1"/>
  <c r="L778" i="1"/>
  <c r="L782" i="1"/>
  <c r="L786" i="1"/>
  <c r="L790" i="1"/>
  <c r="L794" i="1"/>
  <c r="L798" i="1"/>
  <c r="L802" i="1"/>
  <c r="L806" i="1"/>
  <c r="L810" i="1"/>
  <c r="L814" i="1"/>
  <c r="L818" i="1"/>
  <c r="L822" i="1"/>
  <c r="L826" i="1"/>
  <c r="L830" i="1"/>
  <c r="L834" i="1"/>
  <c r="L838" i="1"/>
  <c r="L842" i="1"/>
  <c r="L846" i="1"/>
  <c r="L850" i="1"/>
  <c r="L854" i="1"/>
  <c r="L858" i="1"/>
  <c r="L862" i="1"/>
  <c r="L866" i="1"/>
  <c r="L870" i="1"/>
  <c r="L874" i="1"/>
  <c r="L878" i="1"/>
  <c r="L882" i="1"/>
  <c r="L886" i="1"/>
  <c r="L890" i="1"/>
  <c r="L894" i="1"/>
  <c r="L898" i="1"/>
  <c r="L902" i="1"/>
  <c r="L906" i="1"/>
  <c r="L910" i="1"/>
  <c r="L914" i="1"/>
  <c r="L918" i="1"/>
  <c r="L922" i="1"/>
  <c r="L926" i="1"/>
  <c r="L930" i="1"/>
  <c r="L934" i="1"/>
  <c r="L938" i="1"/>
  <c r="L942" i="1"/>
  <c r="L946" i="1"/>
  <c r="L950" i="1"/>
  <c r="L954" i="1"/>
  <c r="L958" i="1"/>
  <c r="L962" i="1"/>
  <c r="L966" i="1"/>
  <c r="L970" i="1"/>
  <c r="T29" i="1"/>
  <c r="T157" i="1"/>
  <c r="T285" i="1"/>
  <c r="T410" i="1"/>
  <c r="T474" i="1"/>
  <c r="T538" i="1"/>
  <c r="T602" i="1"/>
  <c r="T666" i="1"/>
  <c r="T730" i="1"/>
  <c r="T786" i="1"/>
  <c r="T813" i="1"/>
  <c r="T829" i="1"/>
  <c r="T845" i="1"/>
  <c r="T861" i="1"/>
  <c r="T877" i="1"/>
  <c r="T893" i="1"/>
  <c r="T909" i="1"/>
  <c r="T925" i="1"/>
  <c r="T941" i="1"/>
  <c r="T957" i="1"/>
  <c r="T973" i="1"/>
  <c r="T989" i="1"/>
  <c r="T1005" i="1"/>
  <c r="U21" i="1"/>
  <c r="U37" i="1"/>
  <c r="U53" i="1"/>
  <c r="U69" i="1"/>
  <c r="U85" i="1"/>
  <c r="U101" i="1"/>
  <c r="U117" i="1"/>
  <c r="U133" i="1"/>
  <c r="U149" i="1"/>
  <c r="U165" i="1"/>
  <c r="U181" i="1"/>
  <c r="U197" i="1"/>
  <c r="U213" i="1"/>
  <c r="U229" i="1"/>
  <c r="U245" i="1"/>
  <c r="U261" i="1"/>
  <c r="U277" i="1"/>
  <c r="U293" i="1"/>
  <c r="U309" i="1"/>
  <c r="U325" i="1"/>
  <c r="U341" i="1"/>
  <c r="U357" i="1"/>
  <c r="U373" i="1"/>
  <c r="U389" i="1"/>
  <c r="U405" i="1"/>
  <c r="U421" i="1"/>
  <c r="U437" i="1"/>
  <c r="U453" i="1"/>
  <c r="U469" i="1"/>
  <c r="U485" i="1"/>
  <c r="U501" i="1"/>
  <c r="U517" i="1"/>
  <c r="U533" i="1"/>
  <c r="U549" i="1"/>
  <c r="U565" i="1"/>
  <c r="U581" i="1"/>
  <c r="U597" i="1"/>
  <c r="U613" i="1"/>
  <c r="U629" i="1"/>
  <c r="U645" i="1"/>
  <c r="U661" i="1"/>
  <c r="U677" i="1"/>
  <c r="U693" i="1"/>
  <c r="U709" i="1"/>
  <c r="U725" i="1"/>
  <c r="U741" i="1"/>
  <c r="U757" i="1"/>
  <c r="U773" i="1"/>
  <c r="U789" i="1"/>
  <c r="U805" i="1"/>
  <c r="U821" i="1"/>
  <c r="U837" i="1"/>
  <c r="U853" i="1"/>
  <c r="U869" i="1"/>
  <c r="U885" i="1"/>
  <c r="U896" i="1"/>
  <c r="U904" i="1"/>
  <c r="U912" i="1"/>
  <c r="U920" i="1"/>
  <c r="U928" i="1"/>
  <c r="U936" i="1"/>
  <c r="U944" i="1"/>
  <c r="U952" i="1"/>
  <c r="U960" i="1"/>
  <c r="U968" i="1"/>
  <c r="U973" i="1"/>
  <c r="U977" i="1"/>
  <c r="U981" i="1"/>
  <c r="U985" i="1"/>
  <c r="U989" i="1"/>
  <c r="U993" i="1"/>
  <c r="U997" i="1"/>
  <c r="U1001" i="1"/>
  <c r="U1005" i="1"/>
  <c r="L7" i="1"/>
  <c r="L11" i="1"/>
  <c r="L15" i="1"/>
  <c r="L19" i="1"/>
  <c r="L23" i="1"/>
  <c r="L27" i="1"/>
  <c r="L31" i="1"/>
  <c r="L35" i="1"/>
  <c r="L39" i="1"/>
  <c r="L43" i="1"/>
  <c r="L47" i="1"/>
  <c r="L51" i="1"/>
  <c r="L55" i="1"/>
  <c r="L59" i="1"/>
  <c r="L63" i="1"/>
  <c r="L67" i="1"/>
  <c r="L71" i="1"/>
  <c r="L75" i="1"/>
  <c r="L79" i="1"/>
  <c r="L83" i="1"/>
  <c r="L87" i="1"/>
  <c r="L91" i="1"/>
  <c r="L95" i="1"/>
  <c r="L99" i="1"/>
  <c r="L103" i="1"/>
  <c r="L107" i="1"/>
  <c r="L111" i="1"/>
  <c r="L115" i="1"/>
  <c r="L119" i="1"/>
  <c r="L123" i="1"/>
  <c r="L127" i="1"/>
  <c r="L131" i="1"/>
  <c r="L135" i="1"/>
  <c r="L139" i="1"/>
  <c r="L143" i="1"/>
  <c r="L147" i="1"/>
  <c r="L151" i="1"/>
  <c r="L155" i="1"/>
  <c r="L159" i="1"/>
  <c r="L163" i="1"/>
  <c r="L167" i="1"/>
  <c r="L171" i="1"/>
  <c r="L175" i="1"/>
  <c r="L179" i="1"/>
  <c r="L183" i="1"/>
  <c r="L187" i="1"/>
  <c r="L191" i="1"/>
  <c r="L195" i="1"/>
  <c r="L199" i="1"/>
  <c r="L203" i="1"/>
  <c r="L207" i="1"/>
  <c r="L211" i="1"/>
  <c r="L215" i="1"/>
  <c r="L219" i="1"/>
  <c r="L223" i="1"/>
  <c r="L227" i="1"/>
  <c r="L231" i="1"/>
  <c r="L235" i="1"/>
  <c r="L239" i="1"/>
  <c r="L243" i="1"/>
  <c r="L247" i="1"/>
  <c r="L251" i="1"/>
  <c r="L255" i="1"/>
  <c r="L259" i="1"/>
  <c r="L263" i="1"/>
  <c r="L267" i="1"/>
  <c r="L271" i="1"/>
  <c r="L275" i="1"/>
  <c r="L279" i="1"/>
  <c r="L283" i="1"/>
  <c r="L287" i="1"/>
  <c r="L291" i="1"/>
  <c r="L295" i="1"/>
  <c r="L299" i="1"/>
  <c r="L303" i="1"/>
  <c r="L307" i="1"/>
  <c r="L311" i="1"/>
  <c r="L315" i="1"/>
  <c r="L319" i="1"/>
  <c r="L323" i="1"/>
  <c r="L327" i="1"/>
  <c r="L331" i="1"/>
  <c r="L335" i="1"/>
  <c r="L339" i="1"/>
  <c r="L343" i="1"/>
  <c r="L347" i="1"/>
  <c r="L351" i="1"/>
  <c r="L355" i="1"/>
  <c r="L359" i="1"/>
  <c r="L363" i="1"/>
  <c r="L367" i="1"/>
  <c r="L371" i="1"/>
  <c r="L375" i="1"/>
  <c r="L379" i="1"/>
  <c r="L383" i="1"/>
  <c r="L387" i="1"/>
  <c r="L391" i="1"/>
  <c r="L395" i="1"/>
  <c r="L399" i="1"/>
  <c r="L403" i="1"/>
  <c r="L407" i="1"/>
  <c r="L411" i="1"/>
  <c r="L415" i="1"/>
  <c r="L419" i="1"/>
  <c r="L423" i="1"/>
  <c r="L427" i="1"/>
  <c r="L431" i="1"/>
  <c r="L435" i="1"/>
  <c r="L439" i="1"/>
  <c r="L443" i="1"/>
  <c r="L447" i="1"/>
  <c r="L451" i="1"/>
  <c r="L455" i="1"/>
  <c r="L459" i="1"/>
  <c r="L463" i="1"/>
  <c r="L467" i="1"/>
  <c r="L471" i="1"/>
  <c r="L475" i="1"/>
  <c r="L479" i="1"/>
  <c r="L483" i="1"/>
  <c r="L487" i="1"/>
  <c r="L491" i="1"/>
  <c r="L495" i="1"/>
  <c r="L499" i="1"/>
  <c r="L503" i="1"/>
  <c r="L507" i="1"/>
  <c r="L511" i="1"/>
  <c r="L515" i="1"/>
  <c r="L519" i="1"/>
  <c r="L523" i="1"/>
  <c r="L527" i="1"/>
  <c r="L531" i="1"/>
  <c r="L535" i="1"/>
  <c r="L539" i="1"/>
  <c r="L543" i="1"/>
  <c r="L547" i="1"/>
  <c r="L551" i="1"/>
  <c r="L555" i="1"/>
  <c r="L559" i="1"/>
  <c r="L563" i="1"/>
  <c r="L567" i="1"/>
  <c r="L571" i="1"/>
  <c r="L575" i="1"/>
  <c r="L579" i="1"/>
  <c r="L583" i="1"/>
  <c r="L587" i="1"/>
  <c r="L591" i="1"/>
  <c r="L595" i="1"/>
  <c r="L599" i="1"/>
  <c r="L603" i="1"/>
  <c r="L607" i="1"/>
  <c r="L611" i="1"/>
  <c r="L615" i="1"/>
  <c r="L619" i="1"/>
  <c r="L623" i="1"/>
  <c r="L627" i="1"/>
  <c r="L631" i="1"/>
  <c r="L635" i="1"/>
  <c r="L639" i="1"/>
  <c r="L643" i="1"/>
  <c r="L647" i="1"/>
  <c r="L651" i="1"/>
  <c r="L655" i="1"/>
  <c r="L659" i="1"/>
  <c r="L663" i="1"/>
  <c r="L667" i="1"/>
  <c r="L671" i="1"/>
  <c r="L675" i="1"/>
  <c r="L679" i="1"/>
  <c r="L683" i="1"/>
  <c r="L687" i="1"/>
  <c r="L691" i="1"/>
  <c r="L695" i="1"/>
  <c r="L699" i="1"/>
  <c r="L703" i="1"/>
  <c r="L707" i="1"/>
  <c r="L711" i="1"/>
  <c r="L715" i="1"/>
  <c r="L719" i="1"/>
  <c r="L723" i="1"/>
  <c r="L727" i="1"/>
  <c r="L731" i="1"/>
  <c r="L735" i="1"/>
  <c r="L739" i="1"/>
  <c r="L743" i="1"/>
  <c r="L747" i="1"/>
  <c r="L751" i="1"/>
  <c r="L755" i="1"/>
  <c r="L759" i="1"/>
  <c r="L763" i="1"/>
  <c r="L767" i="1"/>
  <c r="L771" i="1"/>
  <c r="L775" i="1"/>
  <c r="L779" i="1"/>
  <c r="L783" i="1"/>
  <c r="L787" i="1"/>
  <c r="L791" i="1"/>
  <c r="L795" i="1"/>
  <c r="L799" i="1"/>
  <c r="L803" i="1"/>
  <c r="L807" i="1"/>
  <c r="L811" i="1"/>
  <c r="L815" i="1"/>
  <c r="L819" i="1"/>
  <c r="L823" i="1"/>
  <c r="L827" i="1"/>
  <c r="L831" i="1"/>
  <c r="L835" i="1"/>
  <c r="L839" i="1"/>
  <c r="L843" i="1"/>
  <c r="L847" i="1"/>
  <c r="L851" i="1"/>
  <c r="L855" i="1"/>
  <c r="L859" i="1"/>
  <c r="L863" i="1"/>
  <c r="L867" i="1"/>
  <c r="L871" i="1"/>
  <c r="L875" i="1"/>
  <c r="L879" i="1"/>
  <c r="L883" i="1"/>
  <c r="L887" i="1"/>
  <c r="L891" i="1"/>
  <c r="L895" i="1"/>
  <c r="L899" i="1"/>
  <c r="L903" i="1"/>
  <c r="L907" i="1"/>
  <c r="L911" i="1"/>
  <c r="L915" i="1"/>
  <c r="L919" i="1"/>
  <c r="L923" i="1"/>
  <c r="L927" i="1"/>
  <c r="L931" i="1"/>
  <c r="L935" i="1"/>
  <c r="L939" i="1"/>
  <c r="L943" i="1"/>
  <c r="L947" i="1"/>
  <c r="L951" i="1"/>
  <c r="L955" i="1"/>
  <c r="L959" i="1"/>
  <c r="L963" i="1"/>
  <c r="L967" i="1"/>
  <c r="L971" i="1"/>
  <c r="T61" i="1"/>
  <c r="T189" i="1"/>
  <c r="T317" i="1"/>
  <c r="T426" i="1"/>
  <c r="T490" i="1"/>
  <c r="T554" i="1"/>
  <c r="T618" i="1"/>
  <c r="T682" i="1"/>
  <c r="T746" i="1"/>
  <c r="T794" i="1"/>
  <c r="T817" i="1"/>
  <c r="T833" i="1"/>
  <c r="T849" i="1"/>
  <c r="T865" i="1"/>
  <c r="T881" i="1"/>
  <c r="T897" i="1"/>
  <c r="T913" i="1"/>
  <c r="T929" i="1"/>
  <c r="T945" i="1"/>
  <c r="T961" i="1"/>
  <c r="T977" i="1"/>
  <c r="T993" i="1"/>
  <c r="U9" i="1"/>
  <c r="U25" i="1"/>
  <c r="U41" i="1"/>
  <c r="U57" i="1"/>
  <c r="U73" i="1"/>
  <c r="U89" i="1"/>
  <c r="U105" i="1"/>
  <c r="U121" i="1"/>
  <c r="U137" i="1"/>
  <c r="U153" i="1"/>
  <c r="U169" i="1"/>
  <c r="U185" i="1"/>
  <c r="U201" i="1"/>
  <c r="U217" i="1"/>
  <c r="U233" i="1"/>
  <c r="U249" i="1"/>
  <c r="U265" i="1"/>
  <c r="U281" i="1"/>
  <c r="U297" i="1"/>
  <c r="U313" i="1"/>
  <c r="U329" i="1"/>
  <c r="U345" i="1"/>
  <c r="U361" i="1"/>
  <c r="U377" i="1"/>
  <c r="U393" i="1"/>
  <c r="U409" i="1"/>
  <c r="U425" i="1"/>
  <c r="U441" i="1"/>
  <c r="U457" i="1"/>
  <c r="U473" i="1"/>
  <c r="U489" i="1"/>
  <c r="U505" i="1"/>
  <c r="U521" i="1"/>
  <c r="U537" i="1"/>
  <c r="U553" i="1"/>
  <c r="U569" i="1"/>
  <c r="U585" i="1"/>
  <c r="U601" i="1"/>
  <c r="U617" i="1"/>
  <c r="U633" i="1"/>
  <c r="U649" i="1"/>
  <c r="U665" i="1"/>
  <c r="U681" i="1"/>
  <c r="U697" i="1"/>
  <c r="U713" i="1"/>
  <c r="U729" i="1"/>
  <c r="U745" i="1"/>
  <c r="U761" i="1"/>
  <c r="U777" i="1"/>
  <c r="U793" i="1"/>
  <c r="U809" i="1"/>
  <c r="U825" i="1"/>
  <c r="U841" i="1"/>
  <c r="U857" i="1"/>
  <c r="U873" i="1"/>
  <c r="U889" i="1"/>
  <c r="U897" i="1"/>
  <c r="U905" i="1"/>
  <c r="U913" i="1"/>
  <c r="U921" i="1"/>
  <c r="U929" i="1"/>
  <c r="U937" i="1"/>
  <c r="U945" i="1"/>
  <c r="U953" i="1"/>
  <c r="U961" i="1"/>
  <c r="U969" i="1"/>
  <c r="U974" i="1"/>
  <c r="U978" i="1"/>
  <c r="U982" i="1"/>
  <c r="U986" i="1"/>
  <c r="U990" i="1"/>
  <c r="U994" i="1"/>
  <c r="U998" i="1"/>
  <c r="U1002" i="1"/>
  <c r="U5" i="1"/>
  <c r="L8" i="1"/>
  <c r="L12" i="1"/>
  <c r="L16" i="1"/>
  <c r="L20" i="1"/>
  <c r="L24" i="1"/>
  <c r="L28" i="1"/>
  <c r="L32" i="1"/>
  <c r="L36" i="1"/>
  <c r="L40" i="1"/>
  <c r="L44" i="1"/>
  <c r="L48" i="1"/>
  <c r="L52" i="1"/>
  <c r="L56" i="1"/>
  <c r="L60" i="1"/>
  <c r="L64" i="1"/>
  <c r="L68" i="1"/>
  <c r="L72" i="1"/>
  <c r="L76" i="1"/>
  <c r="L80" i="1"/>
  <c r="L84" i="1"/>
  <c r="L88" i="1"/>
  <c r="L92" i="1"/>
  <c r="L96" i="1"/>
  <c r="L100" i="1"/>
  <c r="L104" i="1"/>
  <c r="L108" i="1"/>
  <c r="L112" i="1"/>
  <c r="L116" i="1"/>
  <c r="L120" i="1"/>
  <c r="L124" i="1"/>
  <c r="L128" i="1"/>
  <c r="L132" i="1"/>
  <c r="L136" i="1"/>
  <c r="L140" i="1"/>
  <c r="L144" i="1"/>
  <c r="L148" i="1"/>
  <c r="L152" i="1"/>
  <c r="L156" i="1"/>
  <c r="L160" i="1"/>
  <c r="L164" i="1"/>
  <c r="L168" i="1"/>
  <c r="L172" i="1"/>
  <c r="L176" i="1"/>
  <c r="L180" i="1"/>
  <c r="L184" i="1"/>
  <c r="L188" i="1"/>
  <c r="L192" i="1"/>
  <c r="L196" i="1"/>
  <c r="L200" i="1"/>
  <c r="L204" i="1"/>
  <c r="L208" i="1"/>
  <c r="L212" i="1"/>
  <c r="L216" i="1"/>
  <c r="L220" i="1"/>
  <c r="L224" i="1"/>
  <c r="L228" i="1"/>
  <c r="L232" i="1"/>
  <c r="L236" i="1"/>
  <c r="L240" i="1"/>
  <c r="L244" i="1"/>
  <c r="L248" i="1"/>
  <c r="L252" i="1"/>
  <c r="L256" i="1"/>
  <c r="L260" i="1"/>
  <c r="L264" i="1"/>
  <c r="L268" i="1"/>
  <c r="L272" i="1"/>
  <c r="L276" i="1"/>
  <c r="L280" i="1"/>
  <c r="L284" i="1"/>
  <c r="L288" i="1"/>
  <c r="L292" i="1"/>
  <c r="L296" i="1"/>
  <c r="L300" i="1"/>
  <c r="L304" i="1"/>
  <c r="L308" i="1"/>
  <c r="L312" i="1"/>
  <c r="L316" i="1"/>
  <c r="L320" i="1"/>
  <c r="L324" i="1"/>
  <c r="L328" i="1"/>
  <c r="L332" i="1"/>
  <c r="L336" i="1"/>
  <c r="L340" i="1"/>
  <c r="L344" i="1"/>
  <c r="L348" i="1"/>
  <c r="L352" i="1"/>
  <c r="L356" i="1"/>
  <c r="L360" i="1"/>
  <c r="L364" i="1"/>
  <c r="L368" i="1"/>
  <c r="L372" i="1"/>
  <c r="L376" i="1"/>
  <c r="L380" i="1"/>
  <c r="L384" i="1"/>
  <c r="L388" i="1"/>
  <c r="L392" i="1"/>
  <c r="L396" i="1"/>
  <c r="L400" i="1"/>
  <c r="L404" i="1"/>
  <c r="L408" i="1"/>
  <c r="L412" i="1"/>
  <c r="L416" i="1"/>
  <c r="L420" i="1"/>
  <c r="L424" i="1"/>
  <c r="L428" i="1"/>
  <c r="L432" i="1"/>
  <c r="L436" i="1"/>
  <c r="L440" i="1"/>
  <c r="L444" i="1"/>
  <c r="L448" i="1"/>
  <c r="L452" i="1"/>
  <c r="L456" i="1"/>
  <c r="L460" i="1"/>
  <c r="L464" i="1"/>
  <c r="L468" i="1"/>
  <c r="L472" i="1"/>
  <c r="L476" i="1"/>
  <c r="L480" i="1"/>
  <c r="L484" i="1"/>
  <c r="L488" i="1"/>
  <c r="L492" i="1"/>
  <c r="L496" i="1"/>
  <c r="L500" i="1"/>
  <c r="L504" i="1"/>
  <c r="L508" i="1"/>
  <c r="L512" i="1"/>
  <c r="L516" i="1"/>
  <c r="L520" i="1"/>
  <c r="L524" i="1"/>
  <c r="L528" i="1"/>
  <c r="L532" i="1"/>
  <c r="L536" i="1"/>
  <c r="L540" i="1"/>
  <c r="L544" i="1"/>
  <c r="L548" i="1"/>
  <c r="L552" i="1"/>
  <c r="L556" i="1"/>
  <c r="L560" i="1"/>
  <c r="L564" i="1"/>
  <c r="L568" i="1"/>
  <c r="L572" i="1"/>
  <c r="L576" i="1"/>
  <c r="L580" i="1"/>
  <c r="L584" i="1"/>
  <c r="L588" i="1"/>
  <c r="L592" i="1"/>
  <c r="L596" i="1"/>
  <c r="L600" i="1"/>
  <c r="L604" i="1"/>
  <c r="L608" i="1"/>
  <c r="L612" i="1"/>
  <c r="L616" i="1"/>
  <c r="L620" i="1"/>
  <c r="L624" i="1"/>
  <c r="L628" i="1"/>
  <c r="L632" i="1"/>
  <c r="L636" i="1"/>
  <c r="L640" i="1"/>
  <c r="L644" i="1"/>
  <c r="L648" i="1"/>
  <c r="L652" i="1"/>
  <c r="L656" i="1"/>
  <c r="L660" i="1"/>
  <c r="L664" i="1"/>
  <c r="L668" i="1"/>
  <c r="L672" i="1"/>
  <c r="L676" i="1"/>
  <c r="L680" i="1"/>
  <c r="L684" i="1"/>
  <c r="L688" i="1"/>
  <c r="L692" i="1"/>
  <c r="L696" i="1"/>
  <c r="L700" i="1"/>
  <c r="L704" i="1"/>
  <c r="L708" i="1"/>
  <c r="L712" i="1"/>
  <c r="L716" i="1"/>
  <c r="L720" i="1"/>
  <c r="L724" i="1"/>
  <c r="L728" i="1"/>
  <c r="L732" i="1"/>
  <c r="L736" i="1"/>
  <c r="L740" i="1"/>
  <c r="L744" i="1"/>
  <c r="L748" i="1"/>
  <c r="L752" i="1"/>
  <c r="L756" i="1"/>
  <c r="L760" i="1"/>
  <c r="L764" i="1"/>
  <c r="L768" i="1"/>
  <c r="L772" i="1"/>
  <c r="L776" i="1"/>
  <c r="L780" i="1"/>
  <c r="L784" i="1"/>
  <c r="L788" i="1"/>
  <c r="L792" i="1"/>
  <c r="L796" i="1"/>
  <c r="L800" i="1"/>
  <c r="L804" i="1"/>
  <c r="L808" i="1"/>
  <c r="L812" i="1"/>
  <c r="L816" i="1"/>
  <c r="L820" i="1"/>
  <c r="L824" i="1"/>
  <c r="L828" i="1"/>
  <c r="L832" i="1"/>
  <c r="L836" i="1"/>
  <c r="L840" i="1"/>
  <c r="L844" i="1"/>
  <c r="L848" i="1"/>
  <c r="L852" i="1"/>
  <c r="L856" i="1"/>
  <c r="L860" i="1"/>
  <c r="L864" i="1"/>
  <c r="L868" i="1"/>
  <c r="L872" i="1"/>
  <c r="L876" i="1"/>
  <c r="L880" i="1"/>
  <c r="L884" i="1"/>
  <c r="L888" i="1"/>
  <c r="L892" i="1"/>
  <c r="L896" i="1"/>
  <c r="L900" i="1"/>
  <c r="L904" i="1"/>
  <c r="L908" i="1"/>
  <c r="L912" i="1"/>
  <c r="L916" i="1"/>
  <c r="L920" i="1"/>
  <c r="L924" i="1"/>
  <c r="L928" i="1"/>
  <c r="L932" i="1"/>
  <c r="L936" i="1"/>
  <c r="L940" i="1"/>
  <c r="L944" i="1"/>
  <c r="L948" i="1"/>
  <c r="L952" i="1"/>
  <c r="T93" i="1"/>
  <c r="T506" i="1"/>
  <c r="T762" i="1"/>
  <c r="T853" i="1"/>
  <c r="T917" i="1"/>
  <c r="T981" i="1"/>
  <c r="U29" i="1"/>
  <c r="U93" i="1"/>
  <c r="U157" i="1"/>
  <c r="U221" i="1"/>
  <c r="U285" i="1"/>
  <c r="U349" i="1"/>
  <c r="U413" i="1"/>
  <c r="U477" i="1"/>
  <c r="U541" i="1"/>
  <c r="U605" i="1"/>
  <c r="U669" i="1"/>
  <c r="U733" i="1"/>
  <c r="U797" i="1"/>
  <c r="U861" i="1"/>
  <c r="U908" i="1"/>
  <c r="U940" i="1"/>
  <c r="U971" i="1"/>
  <c r="U987" i="1"/>
  <c r="U1003" i="1"/>
  <c r="L17" i="1"/>
  <c r="L33" i="1"/>
  <c r="L49" i="1"/>
  <c r="L65" i="1"/>
  <c r="L81" i="1"/>
  <c r="L97" i="1"/>
  <c r="L113" i="1"/>
  <c r="L129" i="1"/>
  <c r="L145" i="1"/>
  <c r="L161" i="1"/>
  <c r="L177" i="1"/>
  <c r="L193" i="1"/>
  <c r="L209" i="1"/>
  <c r="L225" i="1"/>
  <c r="L241" i="1"/>
  <c r="L257" i="1"/>
  <c r="L273" i="1"/>
  <c r="L289" i="1"/>
  <c r="L305" i="1"/>
  <c r="L321" i="1"/>
  <c r="L337" i="1"/>
  <c r="L353" i="1"/>
  <c r="L369" i="1"/>
  <c r="L385" i="1"/>
  <c r="L401" i="1"/>
  <c r="L417" i="1"/>
  <c r="L433" i="1"/>
  <c r="L449" i="1"/>
  <c r="L465" i="1"/>
  <c r="L481" i="1"/>
  <c r="L497" i="1"/>
  <c r="L513" i="1"/>
  <c r="L529" i="1"/>
  <c r="L545" i="1"/>
  <c r="L561" i="1"/>
  <c r="L577" i="1"/>
  <c r="L593" i="1"/>
  <c r="L609" i="1"/>
  <c r="L625" i="1"/>
  <c r="L641" i="1"/>
  <c r="L657" i="1"/>
  <c r="L673" i="1"/>
  <c r="L689" i="1"/>
  <c r="L705" i="1"/>
  <c r="L721" i="1"/>
  <c r="L737" i="1"/>
  <c r="L753" i="1"/>
  <c r="L769" i="1"/>
  <c r="L785" i="1"/>
  <c r="L801" i="1"/>
  <c r="L817" i="1"/>
  <c r="L833" i="1"/>
  <c r="L849" i="1"/>
  <c r="L865" i="1"/>
  <c r="L881" i="1"/>
  <c r="L897" i="1"/>
  <c r="L913" i="1"/>
  <c r="L929" i="1"/>
  <c r="L945" i="1"/>
  <c r="L957" i="1"/>
  <c r="L965" i="1"/>
  <c r="L973" i="1"/>
  <c r="L977" i="1"/>
  <c r="L981" i="1"/>
  <c r="L985" i="1"/>
  <c r="L989" i="1"/>
  <c r="L993" i="1"/>
  <c r="L997" i="1"/>
  <c r="L1001" i="1"/>
  <c r="L1005" i="1"/>
  <c r="T442" i="1"/>
  <c r="T698" i="1"/>
  <c r="T965" i="1"/>
  <c r="U13" i="1"/>
  <c r="U205" i="1"/>
  <c r="U397" i="1"/>
  <c r="U525" i="1"/>
  <c r="U717" i="1"/>
  <c r="U900" i="1"/>
  <c r="U983" i="1"/>
  <c r="L29" i="1"/>
  <c r="L77" i="1"/>
  <c r="L125" i="1"/>
  <c r="L173" i="1"/>
  <c r="L205" i="1"/>
  <c r="L253" i="1"/>
  <c r="L301" i="1"/>
  <c r="L349" i="1"/>
  <c r="L397" i="1"/>
  <c r="L445" i="1"/>
  <c r="L493" i="1"/>
  <c r="L557" i="1"/>
  <c r="L605" i="1"/>
  <c r="L653" i="1"/>
  <c r="L701" i="1"/>
  <c r="L733" i="1"/>
  <c r="L781" i="1"/>
  <c r="L829" i="1"/>
  <c r="L877" i="1"/>
  <c r="L925" i="1"/>
  <c r="L964" i="1"/>
  <c r="L980" i="1"/>
  <c r="L988" i="1"/>
  <c r="L1000" i="1"/>
  <c r="T221" i="1"/>
  <c r="T570" i="1"/>
  <c r="T802" i="1"/>
  <c r="T869" i="1"/>
  <c r="T933" i="1"/>
  <c r="T997" i="1"/>
  <c r="U45" i="1"/>
  <c r="U109" i="1"/>
  <c r="U173" i="1"/>
  <c r="U237" i="1"/>
  <c r="U301" i="1"/>
  <c r="U365" i="1"/>
  <c r="U429" i="1"/>
  <c r="U493" i="1"/>
  <c r="U557" i="1"/>
  <c r="U621" i="1"/>
  <c r="U685" i="1"/>
  <c r="U749" i="1"/>
  <c r="U813" i="1"/>
  <c r="U877" i="1"/>
  <c r="U916" i="1"/>
  <c r="U948" i="1"/>
  <c r="U975" i="1"/>
  <c r="U991" i="1"/>
  <c r="L5" i="1"/>
  <c r="B17" i="61" s="1" a="1"/>
  <c r="B17" i="61" s="1"/>
  <c r="B18" i="61" s="1" a="1"/>
  <c r="B18" i="61" s="1"/>
  <c r="C18" i="61" s="1"/>
  <c r="L21" i="1"/>
  <c r="L37" i="1"/>
  <c r="L53" i="1"/>
  <c r="L69" i="1"/>
  <c r="L85" i="1"/>
  <c r="L101" i="1"/>
  <c r="L117" i="1"/>
  <c r="L133" i="1"/>
  <c r="L149" i="1"/>
  <c r="L165" i="1"/>
  <c r="L181" i="1"/>
  <c r="L197" i="1"/>
  <c r="L213" i="1"/>
  <c r="L229" i="1"/>
  <c r="L245" i="1"/>
  <c r="L261" i="1"/>
  <c r="L277" i="1"/>
  <c r="L293" i="1"/>
  <c r="L309" i="1"/>
  <c r="L325" i="1"/>
  <c r="L341" i="1"/>
  <c r="L357" i="1"/>
  <c r="L373" i="1"/>
  <c r="L389" i="1"/>
  <c r="L405" i="1"/>
  <c r="L421" i="1"/>
  <c r="L437" i="1"/>
  <c r="L453" i="1"/>
  <c r="L469" i="1"/>
  <c r="L485" i="1"/>
  <c r="L501" i="1"/>
  <c r="L517" i="1"/>
  <c r="L533" i="1"/>
  <c r="L549" i="1"/>
  <c r="L565" i="1"/>
  <c r="L581" i="1"/>
  <c r="L597" i="1"/>
  <c r="L613" i="1"/>
  <c r="L629" i="1"/>
  <c r="L645" i="1"/>
  <c r="L661" i="1"/>
  <c r="L677" i="1"/>
  <c r="L693" i="1"/>
  <c r="L709" i="1"/>
  <c r="L725" i="1"/>
  <c r="L741" i="1"/>
  <c r="L757" i="1"/>
  <c r="L773" i="1"/>
  <c r="L789" i="1"/>
  <c r="L805" i="1"/>
  <c r="L821" i="1"/>
  <c r="L837" i="1"/>
  <c r="L853" i="1"/>
  <c r="L869" i="1"/>
  <c r="L885" i="1"/>
  <c r="L901" i="1"/>
  <c r="L917" i="1"/>
  <c r="L933" i="1"/>
  <c r="L949" i="1"/>
  <c r="L960" i="1"/>
  <c r="L968" i="1"/>
  <c r="L974" i="1"/>
  <c r="L978" i="1"/>
  <c r="L982" i="1"/>
  <c r="L986" i="1"/>
  <c r="L990" i="1"/>
  <c r="L994" i="1"/>
  <c r="L998" i="1"/>
  <c r="L1002" i="1"/>
  <c r="T901" i="1"/>
  <c r="U77" i="1"/>
  <c r="U269" i="1"/>
  <c r="U461" i="1"/>
  <c r="U653" i="1"/>
  <c r="U845" i="1"/>
  <c r="U932" i="1"/>
  <c r="U999" i="1"/>
  <c r="L45" i="1"/>
  <c r="L93" i="1"/>
  <c r="L141" i="1"/>
  <c r="L189" i="1"/>
  <c r="L237" i="1"/>
  <c r="L269" i="1"/>
  <c r="L317" i="1"/>
  <c r="L365" i="1"/>
  <c r="L413" i="1"/>
  <c r="L461" i="1"/>
  <c r="L509" i="1"/>
  <c r="L541" i="1"/>
  <c r="L573" i="1"/>
  <c r="L621" i="1"/>
  <c r="L669" i="1"/>
  <c r="L717" i="1"/>
  <c r="L765" i="1"/>
  <c r="L813" i="1"/>
  <c r="L861" i="1"/>
  <c r="L909" i="1"/>
  <c r="L956" i="1"/>
  <c r="L972" i="1"/>
  <c r="L984" i="1"/>
  <c r="L996" i="1"/>
  <c r="T349" i="1"/>
  <c r="T634" i="1"/>
  <c r="T821" i="1"/>
  <c r="T885" i="1"/>
  <c r="T949" i="1"/>
  <c r="U61" i="1"/>
  <c r="U125" i="1"/>
  <c r="U189" i="1"/>
  <c r="U253" i="1"/>
  <c r="U317" i="1"/>
  <c r="U381" i="1"/>
  <c r="U445" i="1"/>
  <c r="U509" i="1"/>
  <c r="U573" i="1"/>
  <c r="U637" i="1"/>
  <c r="U701" i="1"/>
  <c r="U765" i="1"/>
  <c r="U829" i="1"/>
  <c r="U892" i="1"/>
  <c r="U924" i="1"/>
  <c r="U956" i="1"/>
  <c r="U979" i="1"/>
  <c r="U995" i="1"/>
  <c r="L9" i="1"/>
  <c r="L25" i="1"/>
  <c r="L41" i="1"/>
  <c r="L57" i="1"/>
  <c r="L73" i="1"/>
  <c r="L89" i="1"/>
  <c r="L105" i="1"/>
  <c r="L121" i="1"/>
  <c r="L137" i="1"/>
  <c r="L153" i="1"/>
  <c r="L169" i="1"/>
  <c r="L185" i="1"/>
  <c r="L201" i="1"/>
  <c r="L217" i="1"/>
  <c r="L233" i="1"/>
  <c r="L249" i="1"/>
  <c r="L265" i="1"/>
  <c r="L281" i="1"/>
  <c r="L297" i="1"/>
  <c r="L313" i="1"/>
  <c r="L329" i="1"/>
  <c r="L345" i="1"/>
  <c r="L361" i="1"/>
  <c r="L377" i="1"/>
  <c r="L393" i="1"/>
  <c r="L409" i="1"/>
  <c r="L425" i="1"/>
  <c r="L441" i="1"/>
  <c r="L457" i="1"/>
  <c r="L473" i="1"/>
  <c r="L489" i="1"/>
  <c r="L505" i="1"/>
  <c r="L521" i="1"/>
  <c r="L537" i="1"/>
  <c r="L553" i="1"/>
  <c r="L569" i="1"/>
  <c r="L585" i="1"/>
  <c r="L601" i="1"/>
  <c r="L617" i="1"/>
  <c r="L633" i="1"/>
  <c r="L649" i="1"/>
  <c r="L665" i="1"/>
  <c r="L681" i="1"/>
  <c r="L697" i="1"/>
  <c r="L713" i="1"/>
  <c r="L729" i="1"/>
  <c r="L745" i="1"/>
  <c r="L761" i="1"/>
  <c r="L777" i="1"/>
  <c r="L793" i="1"/>
  <c r="L809" i="1"/>
  <c r="L825" i="1"/>
  <c r="L841" i="1"/>
  <c r="L857" i="1"/>
  <c r="L873" i="1"/>
  <c r="L889" i="1"/>
  <c r="L905" i="1"/>
  <c r="L921" i="1"/>
  <c r="L937" i="1"/>
  <c r="L953" i="1"/>
  <c r="L961" i="1"/>
  <c r="L969" i="1"/>
  <c r="L975" i="1"/>
  <c r="L979" i="1"/>
  <c r="L983" i="1"/>
  <c r="L987" i="1"/>
  <c r="L991" i="1"/>
  <c r="L995" i="1"/>
  <c r="L999" i="1"/>
  <c r="L1003" i="1"/>
  <c r="T837" i="1"/>
  <c r="U141" i="1"/>
  <c r="U333" i="1"/>
  <c r="U589" i="1"/>
  <c r="U781" i="1"/>
  <c r="U964" i="1"/>
  <c r="L13" i="1"/>
  <c r="L61" i="1"/>
  <c r="L109" i="1"/>
  <c r="L157" i="1"/>
  <c r="L221" i="1"/>
  <c r="L285" i="1"/>
  <c r="L333" i="1"/>
  <c r="L381" i="1"/>
  <c r="L429" i="1"/>
  <c r="L477" i="1"/>
  <c r="L525" i="1"/>
  <c r="L589" i="1"/>
  <c r="L637" i="1"/>
  <c r="L685" i="1"/>
  <c r="L749" i="1"/>
  <c r="L797" i="1"/>
  <c r="L845" i="1"/>
  <c r="L893" i="1"/>
  <c r="L941" i="1"/>
  <c r="L976" i="1"/>
  <c r="L992" i="1"/>
  <c r="L1004" i="1"/>
  <c r="K7" i="1"/>
  <c r="K11" i="1"/>
  <c r="K15" i="1"/>
  <c r="K19" i="1"/>
  <c r="K23" i="1"/>
  <c r="K27" i="1"/>
  <c r="K31" i="1"/>
  <c r="K35" i="1"/>
  <c r="K39" i="1"/>
  <c r="K43" i="1"/>
  <c r="K47" i="1"/>
  <c r="K51" i="1"/>
  <c r="K55" i="1"/>
  <c r="K59" i="1"/>
  <c r="K63" i="1"/>
  <c r="K67" i="1"/>
  <c r="K71" i="1"/>
  <c r="K75" i="1"/>
  <c r="K79" i="1"/>
  <c r="K83" i="1"/>
  <c r="K87" i="1"/>
  <c r="K91" i="1"/>
  <c r="K95" i="1"/>
  <c r="K99" i="1"/>
  <c r="K103" i="1"/>
  <c r="K107" i="1"/>
  <c r="K111" i="1"/>
  <c r="K115" i="1"/>
  <c r="K119" i="1"/>
  <c r="K123" i="1"/>
  <c r="K127" i="1"/>
  <c r="K131" i="1"/>
  <c r="K135" i="1"/>
  <c r="K139" i="1"/>
  <c r="K143" i="1"/>
  <c r="K147" i="1"/>
  <c r="K151" i="1"/>
  <c r="K155" i="1"/>
  <c r="K159" i="1"/>
  <c r="K163" i="1"/>
  <c r="K167" i="1"/>
  <c r="K171" i="1"/>
  <c r="K175" i="1"/>
  <c r="K179" i="1"/>
  <c r="K183" i="1"/>
  <c r="K187" i="1"/>
  <c r="K191" i="1"/>
  <c r="K195" i="1"/>
  <c r="K199" i="1"/>
  <c r="K203" i="1"/>
  <c r="K207" i="1"/>
  <c r="K211" i="1"/>
  <c r="K215" i="1"/>
  <c r="K219" i="1"/>
  <c r="K223" i="1"/>
  <c r="K227" i="1"/>
  <c r="K231" i="1"/>
  <c r="K235" i="1"/>
  <c r="K239" i="1"/>
  <c r="K243" i="1"/>
  <c r="K247" i="1"/>
  <c r="K251" i="1"/>
  <c r="K255" i="1"/>
  <c r="K259" i="1"/>
  <c r="K263" i="1"/>
  <c r="K267" i="1"/>
  <c r="K271" i="1"/>
  <c r="K275" i="1"/>
  <c r="K279" i="1"/>
  <c r="K283" i="1"/>
  <c r="K287" i="1"/>
  <c r="K291" i="1"/>
  <c r="K295" i="1"/>
  <c r="K299" i="1"/>
  <c r="K303" i="1"/>
  <c r="K307" i="1"/>
  <c r="K311" i="1"/>
  <c r="K315" i="1"/>
  <c r="K319" i="1"/>
  <c r="K323" i="1"/>
  <c r="K327" i="1"/>
  <c r="K331" i="1"/>
  <c r="K335" i="1"/>
  <c r="K339" i="1"/>
  <c r="K343" i="1"/>
  <c r="K8" i="1"/>
  <c r="K12" i="1"/>
  <c r="K16" i="1"/>
  <c r="K20" i="1"/>
  <c r="K24" i="1"/>
  <c r="K28" i="1"/>
  <c r="K32" i="1"/>
  <c r="K36" i="1"/>
  <c r="K40" i="1"/>
  <c r="K44" i="1"/>
  <c r="K48" i="1"/>
  <c r="K52" i="1"/>
  <c r="K56" i="1"/>
  <c r="K60" i="1"/>
  <c r="K64" i="1"/>
  <c r="K68" i="1"/>
  <c r="K72" i="1"/>
  <c r="K76" i="1"/>
  <c r="K80" i="1"/>
  <c r="K84" i="1"/>
  <c r="K88" i="1"/>
  <c r="K92" i="1"/>
  <c r="K96" i="1"/>
  <c r="K100" i="1"/>
  <c r="K104" i="1"/>
  <c r="K108" i="1"/>
  <c r="K112" i="1"/>
  <c r="K116" i="1"/>
  <c r="K120" i="1"/>
  <c r="K124" i="1"/>
  <c r="K128" i="1"/>
  <c r="K132" i="1"/>
  <c r="K136" i="1"/>
  <c r="K140" i="1"/>
  <c r="K144" i="1"/>
  <c r="K148" i="1"/>
  <c r="K152" i="1"/>
  <c r="K156" i="1"/>
  <c r="K160" i="1"/>
  <c r="K164" i="1"/>
  <c r="K168" i="1"/>
  <c r="K172" i="1"/>
  <c r="K176" i="1"/>
  <c r="K180" i="1"/>
  <c r="K184" i="1"/>
  <c r="K188" i="1"/>
  <c r="K192" i="1"/>
  <c r="K196" i="1"/>
  <c r="K200" i="1"/>
  <c r="K204" i="1"/>
  <c r="K208" i="1"/>
  <c r="K212" i="1"/>
  <c r="K216" i="1"/>
  <c r="K220" i="1"/>
  <c r="K224" i="1"/>
  <c r="K228" i="1"/>
  <c r="K232" i="1"/>
  <c r="K236" i="1"/>
  <c r="K240" i="1"/>
  <c r="K244" i="1"/>
  <c r="K248" i="1"/>
  <c r="K252" i="1"/>
  <c r="K256" i="1"/>
  <c r="K260" i="1"/>
  <c r="K264" i="1"/>
  <c r="K268" i="1"/>
  <c r="K272" i="1"/>
  <c r="K276" i="1"/>
  <c r="K280" i="1"/>
  <c r="K284" i="1"/>
  <c r="K288" i="1"/>
  <c r="K292" i="1"/>
  <c r="K296" i="1"/>
  <c r="K300" i="1"/>
  <c r="K304" i="1"/>
  <c r="K308" i="1"/>
  <c r="K312" i="1"/>
  <c r="K316" i="1"/>
  <c r="K320" i="1"/>
  <c r="K324" i="1"/>
  <c r="K328" i="1"/>
  <c r="K332" i="1"/>
  <c r="K336" i="1"/>
  <c r="K340" i="1"/>
  <c r="K344" i="1"/>
  <c r="K6" i="1"/>
  <c r="K10" i="1"/>
  <c r="K14" i="1"/>
  <c r="K18" i="1"/>
  <c r="K22" i="1"/>
  <c r="K26" i="1"/>
  <c r="K30" i="1"/>
  <c r="K34" i="1"/>
  <c r="K38" i="1"/>
  <c r="K42" i="1"/>
  <c r="K46" i="1"/>
  <c r="K50" i="1"/>
  <c r="K54" i="1"/>
  <c r="K58" i="1"/>
  <c r="K62" i="1"/>
  <c r="K66" i="1"/>
  <c r="K70" i="1"/>
  <c r="K74" i="1"/>
  <c r="K78" i="1"/>
  <c r="K82" i="1"/>
  <c r="K86" i="1"/>
  <c r="K90" i="1"/>
  <c r="K94" i="1"/>
  <c r="K98" i="1"/>
  <c r="K102" i="1"/>
  <c r="K106" i="1"/>
  <c r="K110" i="1"/>
  <c r="K114" i="1"/>
  <c r="K118" i="1"/>
  <c r="K122" i="1"/>
  <c r="K126" i="1"/>
  <c r="K130" i="1"/>
  <c r="K134" i="1"/>
  <c r="K138" i="1"/>
  <c r="K142" i="1"/>
  <c r="K146" i="1"/>
  <c r="K150" i="1"/>
  <c r="K154" i="1"/>
  <c r="K158" i="1"/>
  <c r="K162" i="1"/>
  <c r="K166" i="1"/>
  <c r="K170" i="1"/>
  <c r="K174" i="1"/>
  <c r="K178" i="1"/>
  <c r="K182" i="1"/>
  <c r="K186" i="1"/>
  <c r="K190" i="1"/>
  <c r="K194" i="1"/>
  <c r="K198" i="1"/>
  <c r="K202" i="1"/>
  <c r="K206" i="1"/>
  <c r="K210" i="1"/>
  <c r="K214" i="1"/>
  <c r="K218" i="1"/>
  <c r="K222" i="1"/>
  <c r="K226" i="1"/>
  <c r="K230" i="1"/>
  <c r="K234" i="1"/>
  <c r="K238" i="1"/>
  <c r="K242" i="1"/>
  <c r="K246" i="1"/>
  <c r="K250" i="1"/>
  <c r="K254" i="1"/>
  <c r="K258" i="1"/>
  <c r="K262" i="1"/>
  <c r="K266" i="1"/>
  <c r="K270" i="1"/>
  <c r="K274" i="1"/>
  <c r="K278" i="1"/>
  <c r="K282" i="1"/>
  <c r="K286" i="1"/>
  <c r="K290" i="1"/>
  <c r="K294" i="1"/>
  <c r="K298" i="1"/>
  <c r="K302" i="1"/>
  <c r="K306" i="1"/>
  <c r="K310" i="1"/>
  <c r="K314" i="1"/>
  <c r="K318" i="1"/>
  <c r="K322" i="1"/>
  <c r="K326" i="1"/>
  <c r="K330" i="1"/>
  <c r="K334" i="1"/>
  <c r="K338" i="1"/>
  <c r="K342" i="1"/>
  <c r="K17" i="1"/>
  <c r="K33" i="1"/>
  <c r="K49" i="1"/>
  <c r="K65" i="1"/>
  <c r="K81" i="1"/>
  <c r="K97" i="1"/>
  <c r="K113" i="1"/>
  <c r="K129" i="1"/>
  <c r="K145" i="1"/>
  <c r="K161" i="1"/>
  <c r="K177" i="1"/>
  <c r="K193" i="1"/>
  <c r="K209" i="1"/>
  <c r="K225" i="1"/>
  <c r="K241" i="1"/>
  <c r="K257" i="1"/>
  <c r="K273" i="1"/>
  <c r="K289" i="1"/>
  <c r="K305" i="1"/>
  <c r="K321" i="1"/>
  <c r="K337" i="1"/>
  <c r="K347" i="1"/>
  <c r="K351" i="1"/>
  <c r="K355" i="1"/>
  <c r="K359" i="1"/>
  <c r="K363" i="1"/>
  <c r="K367" i="1"/>
  <c r="K371" i="1"/>
  <c r="K375" i="1"/>
  <c r="K379" i="1"/>
  <c r="K383" i="1"/>
  <c r="K387" i="1"/>
  <c r="K391" i="1"/>
  <c r="K395" i="1"/>
  <c r="K399" i="1"/>
  <c r="K403" i="1"/>
  <c r="K407" i="1"/>
  <c r="K411" i="1"/>
  <c r="K415" i="1"/>
  <c r="K419" i="1"/>
  <c r="K423" i="1"/>
  <c r="K427" i="1"/>
  <c r="K431" i="1"/>
  <c r="K435" i="1"/>
  <c r="K439" i="1"/>
  <c r="K443" i="1"/>
  <c r="K447" i="1"/>
  <c r="K451" i="1"/>
  <c r="K455" i="1"/>
  <c r="K459" i="1"/>
  <c r="K463" i="1"/>
  <c r="K467" i="1"/>
  <c r="K471" i="1"/>
  <c r="K475" i="1"/>
  <c r="K479" i="1"/>
  <c r="K483" i="1"/>
  <c r="K487" i="1"/>
  <c r="K491" i="1"/>
  <c r="K495" i="1"/>
  <c r="K499" i="1"/>
  <c r="K503" i="1"/>
  <c r="K507" i="1"/>
  <c r="K511" i="1"/>
  <c r="K515" i="1"/>
  <c r="K519" i="1"/>
  <c r="K523" i="1"/>
  <c r="K527" i="1"/>
  <c r="K531" i="1"/>
  <c r="K535" i="1"/>
  <c r="K539" i="1"/>
  <c r="K543" i="1"/>
  <c r="K547" i="1"/>
  <c r="K551" i="1"/>
  <c r="K555" i="1"/>
  <c r="K559" i="1"/>
  <c r="K563" i="1"/>
  <c r="K567" i="1"/>
  <c r="K571" i="1"/>
  <c r="K575" i="1"/>
  <c r="K579" i="1"/>
  <c r="K583" i="1"/>
  <c r="K587" i="1"/>
  <c r="K591" i="1"/>
  <c r="K595" i="1"/>
  <c r="K599" i="1"/>
  <c r="K603" i="1"/>
  <c r="K607" i="1"/>
  <c r="K611" i="1"/>
  <c r="K615" i="1"/>
  <c r="K619" i="1"/>
  <c r="K623" i="1"/>
  <c r="K627" i="1"/>
  <c r="K631" i="1"/>
  <c r="K635" i="1"/>
  <c r="K639" i="1"/>
  <c r="K643" i="1"/>
  <c r="K647" i="1"/>
  <c r="K651" i="1"/>
  <c r="K655" i="1"/>
  <c r="K659" i="1"/>
  <c r="K663" i="1"/>
  <c r="K667" i="1"/>
  <c r="K671" i="1"/>
  <c r="K675" i="1"/>
  <c r="K679" i="1"/>
  <c r="K683" i="1"/>
  <c r="K687" i="1"/>
  <c r="K691" i="1"/>
  <c r="K695" i="1"/>
  <c r="K699" i="1"/>
  <c r="K703" i="1"/>
  <c r="K707" i="1"/>
  <c r="K711" i="1"/>
  <c r="K715" i="1"/>
  <c r="K719" i="1"/>
  <c r="K723" i="1"/>
  <c r="K727" i="1"/>
  <c r="K731" i="1"/>
  <c r="K735" i="1"/>
  <c r="K739" i="1"/>
  <c r="K743" i="1"/>
  <c r="K747" i="1"/>
  <c r="K751" i="1"/>
  <c r="K755" i="1"/>
  <c r="K759" i="1"/>
  <c r="K763" i="1"/>
  <c r="K767" i="1"/>
  <c r="K771" i="1"/>
  <c r="K775" i="1"/>
  <c r="K779" i="1"/>
  <c r="K783" i="1"/>
  <c r="K787" i="1"/>
  <c r="K791" i="1"/>
  <c r="K795" i="1"/>
  <c r="K799" i="1"/>
  <c r="K803" i="1"/>
  <c r="K807" i="1"/>
  <c r="K811" i="1"/>
  <c r="K815" i="1"/>
  <c r="K819" i="1"/>
  <c r="K823" i="1"/>
  <c r="K827" i="1"/>
  <c r="K831" i="1"/>
  <c r="K835" i="1"/>
  <c r="K839" i="1"/>
  <c r="K843" i="1"/>
  <c r="K847" i="1"/>
  <c r="K851" i="1"/>
  <c r="K855" i="1"/>
  <c r="K859" i="1"/>
  <c r="K863" i="1"/>
  <c r="K867" i="1"/>
  <c r="K871" i="1"/>
  <c r="K875" i="1"/>
  <c r="K879" i="1"/>
  <c r="K883" i="1"/>
  <c r="K887" i="1"/>
  <c r="K891" i="1"/>
  <c r="K895" i="1"/>
  <c r="K899" i="1"/>
  <c r="K903" i="1"/>
  <c r="K907" i="1"/>
  <c r="K911" i="1"/>
  <c r="K915" i="1"/>
  <c r="K919" i="1"/>
  <c r="K923" i="1"/>
  <c r="K927" i="1"/>
  <c r="K931" i="1"/>
  <c r="K935" i="1"/>
  <c r="K939" i="1"/>
  <c r="K943" i="1"/>
  <c r="K947" i="1"/>
  <c r="K951" i="1"/>
  <c r="K955" i="1"/>
  <c r="K959" i="1"/>
  <c r="K963" i="1"/>
  <c r="K967" i="1"/>
  <c r="K971" i="1"/>
  <c r="K975" i="1"/>
  <c r="K979" i="1"/>
  <c r="K983" i="1"/>
  <c r="K21" i="1"/>
  <c r="K37" i="1"/>
  <c r="K53" i="1"/>
  <c r="K69" i="1"/>
  <c r="K85" i="1"/>
  <c r="K101" i="1"/>
  <c r="K117" i="1"/>
  <c r="K133" i="1"/>
  <c r="K149" i="1"/>
  <c r="K165" i="1"/>
  <c r="K181" i="1"/>
  <c r="K197" i="1"/>
  <c r="K213" i="1"/>
  <c r="K229" i="1"/>
  <c r="K245" i="1"/>
  <c r="K261" i="1"/>
  <c r="K277" i="1"/>
  <c r="K293" i="1"/>
  <c r="K309" i="1"/>
  <c r="K325" i="1"/>
  <c r="K341" i="1"/>
  <c r="K348" i="1"/>
  <c r="K352" i="1"/>
  <c r="K356" i="1"/>
  <c r="K360" i="1"/>
  <c r="K364" i="1"/>
  <c r="K368" i="1"/>
  <c r="K372" i="1"/>
  <c r="K376" i="1"/>
  <c r="K380" i="1"/>
  <c r="K384" i="1"/>
  <c r="K388" i="1"/>
  <c r="K392" i="1"/>
  <c r="K396" i="1"/>
  <c r="K400" i="1"/>
  <c r="K404" i="1"/>
  <c r="K408" i="1"/>
  <c r="K412" i="1"/>
  <c r="K416" i="1"/>
  <c r="K420" i="1"/>
  <c r="K424" i="1"/>
  <c r="K428" i="1"/>
  <c r="K432" i="1"/>
  <c r="K436" i="1"/>
  <c r="K440" i="1"/>
  <c r="K444" i="1"/>
  <c r="K448" i="1"/>
  <c r="K452" i="1"/>
  <c r="K456" i="1"/>
  <c r="K460" i="1"/>
  <c r="K464" i="1"/>
  <c r="K468" i="1"/>
  <c r="K472" i="1"/>
  <c r="K476" i="1"/>
  <c r="K480" i="1"/>
  <c r="K484" i="1"/>
  <c r="K488" i="1"/>
  <c r="K492" i="1"/>
  <c r="K496" i="1"/>
  <c r="K500" i="1"/>
  <c r="K504" i="1"/>
  <c r="K508" i="1"/>
  <c r="K512" i="1"/>
  <c r="K516" i="1"/>
  <c r="K520" i="1"/>
  <c r="K524" i="1"/>
  <c r="K528" i="1"/>
  <c r="K532" i="1"/>
  <c r="K536" i="1"/>
  <c r="K540" i="1"/>
  <c r="K544" i="1"/>
  <c r="K548" i="1"/>
  <c r="K552" i="1"/>
  <c r="K556" i="1"/>
  <c r="K560" i="1"/>
  <c r="K564" i="1"/>
  <c r="K568" i="1"/>
  <c r="K572" i="1"/>
  <c r="K576" i="1"/>
  <c r="K580" i="1"/>
  <c r="K584" i="1"/>
  <c r="K588" i="1"/>
  <c r="K592" i="1"/>
  <c r="K596" i="1"/>
  <c r="K600" i="1"/>
  <c r="K604" i="1"/>
  <c r="K608" i="1"/>
  <c r="K612" i="1"/>
  <c r="K616" i="1"/>
  <c r="K620" i="1"/>
  <c r="K624" i="1"/>
  <c r="K628" i="1"/>
  <c r="K632" i="1"/>
  <c r="K636" i="1"/>
  <c r="K640" i="1"/>
  <c r="K644" i="1"/>
  <c r="K648" i="1"/>
  <c r="K652" i="1"/>
  <c r="K656" i="1"/>
  <c r="K660" i="1"/>
  <c r="K664" i="1"/>
  <c r="K668" i="1"/>
  <c r="K672" i="1"/>
  <c r="K676" i="1"/>
  <c r="K680" i="1"/>
  <c r="K684" i="1"/>
  <c r="K688" i="1"/>
  <c r="K692" i="1"/>
  <c r="K696" i="1"/>
  <c r="K700" i="1"/>
  <c r="K704" i="1"/>
  <c r="K708" i="1"/>
  <c r="K712" i="1"/>
  <c r="K716" i="1"/>
  <c r="K720" i="1"/>
  <c r="K724" i="1"/>
  <c r="K728" i="1"/>
  <c r="K732" i="1"/>
  <c r="K736" i="1"/>
  <c r="K740" i="1"/>
  <c r="K744" i="1"/>
  <c r="K748" i="1"/>
  <c r="K752" i="1"/>
  <c r="K756" i="1"/>
  <c r="K760" i="1"/>
  <c r="K764" i="1"/>
  <c r="K768" i="1"/>
  <c r="K772" i="1"/>
  <c r="K776" i="1"/>
  <c r="K780" i="1"/>
  <c r="K784" i="1"/>
  <c r="K788" i="1"/>
  <c r="K792" i="1"/>
  <c r="K796" i="1"/>
  <c r="K800" i="1"/>
  <c r="K804" i="1"/>
  <c r="K808" i="1"/>
  <c r="K812" i="1"/>
  <c r="K816" i="1"/>
  <c r="K820" i="1"/>
  <c r="K824" i="1"/>
  <c r="K828" i="1"/>
  <c r="K832" i="1"/>
  <c r="K836" i="1"/>
  <c r="K840" i="1"/>
  <c r="K844" i="1"/>
  <c r="K848" i="1"/>
  <c r="K852" i="1"/>
  <c r="K856" i="1"/>
  <c r="K860" i="1"/>
  <c r="K864" i="1"/>
  <c r="K868" i="1"/>
  <c r="K872" i="1"/>
  <c r="K876" i="1"/>
  <c r="K880" i="1"/>
  <c r="K884" i="1"/>
  <c r="K888" i="1"/>
  <c r="K892" i="1"/>
  <c r="K896" i="1"/>
  <c r="K900" i="1"/>
  <c r="K904" i="1"/>
  <c r="K908" i="1"/>
  <c r="K912" i="1"/>
  <c r="K916" i="1"/>
  <c r="K920" i="1"/>
  <c r="K924" i="1"/>
  <c r="K928" i="1"/>
  <c r="K932" i="1"/>
  <c r="K936" i="1"/>
  <c r="K940" i="1"/>
  <c r="K944" i="1"/>
  <c r="K948" i="1"/>
  <c r="K952" i="1"/>
  <c r="K956" i="1"/>
  <c r="K960" i="1"/>
  <c r="K964" i="1"/>
  <c r="K968" i="1"/>
  <c r="K972" i="1"/>
  <c r="K976" i="1"/>
  <c r="K9" i="1"/>
  <c r="K25" i="1"/>
  <c r="K41" i="1"/>
  <c r="K57" i="1"/>
  <c r="K73" i="1"/>
  <c r="K89" i="1"/>
  <c r="K105" i="1"/>
  <c r="K121" i="1"/>
  <c r="K137" i="1"/>
  <c r="K153" i="1"/>
  <c r="K169" i="1"/>
  <c r="K185" i="1"/>
  <c r="K201" i="1"/>
  <c r="K217" i="1"/>
  <c r="K233" i="1"/>
  <c r="K249" i="1"/>
  <c r="K265" i="1"/>
  <c r="K281" i="1"/>
  <c r="K297" i="1"/>
  <c r="K313" i="1"/>
  <c r="K329" i="1"/>
  <c r="K345" i="1"/>
  <c r="K349" i="1"/>
  <c r="K353" i="1"/>
  <c r="K357" i="1"/>
  <c r="K361" i="1"/>
  <c r="K365" i="1"/>
  <c r="K369" i="1"/>
  <c r="K373" i="1"/>
  <c r="K377" i="1"/>
  <c r="K381" i="1"/>
  <c r="K385" i="1"/>
  <c r="K389" i="1"/>
  <c r="K393" i="1"/>
  <c r="K397" i="1"/>
  <c r="K401" i="1"/>
  <c r="K405" i="1"/>
  <c r="K409" i="1"/>
  <c r="K413" i="1"/>
  <c r="K417" i="1"/>
  <c r="K421" i="1"/>
  <c r="K425" i="1"/>
  <c r="K429" i="1"/>
  <c r="K433" i="1"/>
  <c r="K437" i="1"/>
  <c r="K441" i="1"/>
  <c r="K445" i="1"/>
  <c r="K449" i="1"/>
  <c r="K453" i="1"/>
  <c r="K457" i="1"/>
  <c r="K461" i="1"/>
  <c r="K465" i="1"/>
  <c r="K469" i="1"/>
  <c r="K473" i="1"/>
  <c r="K477" i="1"/>
  <c r="K481" i="1"/>
  <c r="K485" i="1"/>
  <c r="K489" i="1"/>
  <c r="K493" i="1"/>
  <c r="K497" i="1"/>
  <c r="K501" i="1"/>
  <c r="K505" i="1"/>
  <c r="K509" i="1"/>
  <c r="K513" i="1"/>
  <c r="K517" i="1"/>
  <c r="K521" i="1"/>
  <c r="K525" i="1"/>
  <c r="K529" i="1"/>
  <c r="K533" i="1"/>
  <c r="K537" i="1"/>
  <c r="K541" i="1"/>
  <c r="K545" i="1"/>
  <c r="K549" i="1"/>
  <c r="K553" i="1"/>
  <c r="K557" i="1"/>
  <c r="K561" i="1"/>
  <c r="K565" i="1"/>
  <c r="K569" i="1"/>
  <c r="K573" i="1"/>
  <c r="K577" i="1"/>
  <c r="K581" i="1"/>
  <c r="K585" i="1"/>
  <c r="K589" i="1"/>
  <c r="K593" i="1"/>
  <c r="K597" i="1"/>
  <c r="K601" i="1"/>
  <c r="K605" i="1"/>
  <c r="K609" i="1"/>
  <c r="K613" i="1"/>
  <c r="K617" i="1"/>
  <c r="K621" i="1"/>
  <c r="K625" i="1"/>
  <c r="K629" i="1"/>
  <c r="K633" i="1"/>
  <c r="K637" i="1"/>
  <c r="K641" i="1"/>
  <c r="K645" i="1"/>
  <c r="K649" i="1"/>
  <c r="K653" i="1"/>
  <c r="K657" i="1"/>
  <c r="K661" i="1"/>
  <c r="K665" i="1"/>
  <c r="K669" i="1"/>
  <c r="K673" i="1"/>
  <c r="K677" i="1"/>
  <c r="K681" i="1"/>
  <c r="K685" i="1"/>
  <c r="K689" i="1"/>
  <c r="K693" i="1"/>
  <c r="K697" i="1"/>
  <c r="K701" i="1"/>
  <c r="K705" i="1"/>
  <c r="K709" i="1"/>
  <c r="K713" i="1"/>
  <c r="K717" i="1"/>
  <c r="K721" i="1"/>
  <c r="K725" i="1"/>
  <c r="K729" i="1"/>
  <c r="K733" i="1"/>
  <c r="K737" i="1"/>
  <c r="K741" i="1"/>
  <c r="K745" i="1"/>
  <c r="K749" i="1"/>
  <c r="K753" i="1"/>
  <c r="K757" i="1"/>
  <c r="K761" i="1"/>
  <c r="K765" i="1"/>
  <c r="K769" i="1"/>
  <c r="K773" i="1"/>
  <c r="K777" i="1"/>
  <c r="K781" i="1"/>
  <c r="K785" i="1"/>
  <c r="K789" i="1"/>
  <c r="K793" i="1"/>
  <c r="K797" i="1"/>
  <c r="K801" i="1"/>
  <c r="K805" i="1"/>
  <c r="K809" i="1"/>
  <c r="K813" i="1"/>
  <c r="K817" i="1"/>
  <c r="K821" i="1"/>
  <c r="K825" i="1"/>
  <c r="K829" i="1"/>
  <c r="K833" i="1"/>
  <c r="K837" i="1"/>
  <c r="K841" i="1"/>
  <c r="K845" i="1"/>
  <c r="K849" i="1"/>
  <c r="K853" i="1"/>
  <c r="K857" i="1"/>
  <c r="K861" i="1"/>
  <c r="K865" i="1"/>
  <c r="K869" i="1"/>
  <c r="K873" i="1"/>
  <c r="K877" i="1"/>
  <c r="K881" i="1"/>
  <c r="K885" i="1"/>
  <c r="K889" i="1"/>
  <c r="K893" i="1"/>
  <c r="K897" i="1"/>
  <c r="K901" i="1"/>
  <c r="K905" i="1"/>
  <c r="K909" i="1"/>
  <c r="K913" i="1"/>
  <c r="K917" i="1"/>
  <c r="K921" i="1"/>
  <c r="K925" i="1"/>
  <c r="K929" i="1"/>
  <c r="K933" i="1"/>
  <c r="K937" i="1"/>
  <c r="K941" i="1"/>
  <c r="K945" i="1"/>
  <c r="K949" i="1"/>
  <c r="K953" i="1"/>
  <c r="K957" i="1"/>
  <c r="K961" i="1"/>
  <c r="K965" i="1"/>
  <c r="K969" i="1"/>
  <c r="K973" i="1"/>
  <c r="K977" i="1"/>
  <c r="K13" i="1"/>
  <c r="K29" i="1"/>
  <c r="K45" i="1"/>
  <c r="K61" i="1"/>
  <c r="K77" i="1"/>
  <c r="K93" i="1"/>
  <c r="K109" i="1"/>
  <c r="K125" i="1"/>
  <c r="K141" i="1"/>
  <c r="K157" i="1"/>
  <c r="K173" i="1"/>
  <c r="K189" i="1"/>
  <c r="K205" i="1"/>
  <c r="K221" i="1"/>
  <c r="K237" i="1"/>
  <c r="K253" i="1"/>
  <c r="K269" i="1"/>
  <c r="K285" i="1"/>
  <c r="K301" i="1"/>
  <c r="K317" i="1"/>
  <c r="K333" i="1"/>
  <c r="K346" i="1"/>
  <c r="K350" i="1"/>
  <c r="K354" i="1"/>
  <c r="K358" i="1"/>
  <c r="K362" i="1"/>
  <c r="K366" i="1"/>
  <c r="K370" i="1"/>
  <c r="K374" i="1"/>
  <c r="K378" i="1"/>
  <c r="K382" i="1"/>
  <c r="K386" i="1"/>
  <c r="K390" i="1"/>
  <c r="K394" i="1"/>
  <c r="K398" i="1"/>
  <c r="K402" i="1"/>
  <c r="K406" i="1"/>
  <c r="K410" i="1"/>
  <c r="K414" i="1"/>
  <c r="K418" i="1"/>
  <c r="K422" i="1"/>
  <c r="K426" i="1"/>
  <c r="K430" i="1"/>
  <c r="K434" i="1"/>
  <c r="K438" i="1"/>
  <c r="K442" i="1"/>
  <c r="K446" i="1"/>
  <c r="K450" i="1"/>
  <c r="K454" i="1"/>
  <c r="K458" i="1"/>
  <c r="K462" i="1"/>
  <c r="K466" i="1"/>
  <c r="K470" i="1"/>
  <c r="K474" i="1"/>
  <c r="K478" i="1"/>
  <c r="K482" i="1"/>
  <c r="K486" i="1"/>
  <c r="K490" i="1"/>
  <c r="K494" i="1"/>
  <c r="K498" i="1"/>
  <c r="K502" i="1"/>
  <c r="K506" i="1"/>
  <c r="K510" i="1"/>
  <c r="K514" i="1"/>
  <c r="K518" i="1"/>
  <c r="K522" i="1"/>
  <c r="K526" i="1"/>
  <c r="K530" i="1"/>
  <c r="K534" i="1"/>
  <c r="K538" i="1"/>
  <c r="K542" i="1"/>
  <c r="K546" i="1"/>
  <c r="K550" i="1"/>
  <c r="K554" i="1"/>
  <c r="K558" i="1"/>
  <c r="K562" i="1"/>
  <c r="K566" i="1"/>
  <c r="K570" i="1"/>
  <c r="K574" i="1"/>
  <c r="K578" i="1"/>
  <c r="K582" i="1"/>
  <c r="K586" i="1"/>
  <c r="K590" i="1"/>
  <c r="K594" i="1"/>
  <c r="K598" i="1"/>
  <c r="K602" i="1"/>
  <c r="K606" i="1"/>
  <c r="K610" i="1"/>
  <c r="K614" i="1"/>
  <c r="K618" i="1"/>
  <c r="K622" i="1"/>
  <c r="K626" i="1"/>
  <c r="K630" i="1"/>
  <c r="K634" i="1"/>
  <c r="K638" i="1"/>
  <c r="K642" i="1"/>
  <c r="K646" i="1"/>
  <c r="K650" i="1"/>
  <c r="K654" i="1"/>
  <c r="K658" i="1"/>
  <c r="K662" i="1"/>
  <c r="K666" i="1"/>
  <c r="K670" i="1"/>
  <c r="K674" i="1"/>
  <c r="K678" i="1"/>
  <c r="K682" i="1"/>
  <c r="K686" i="1"/>
  <c r="K690" i="1"/>
  <c r="K694" i="1"/>
  <c r="K698" i="1"/>
  <c r="K702" i="1"/>
  <c r="K706" i="1"/>
  <c r="K710" i="1"/>
  <c r="K714" i="1"/>
  <c r="K718" i="1"/>
  <c r="K722" i="1"/>
  <c r="K726" i="1"/>
  <c r="K730" i="1"/>
  <c r="K734" i="1"/>
  <c r="K738" i="1"/>
  <c r="K742" i="1"/>
  <c r="K746" i="1"/>
  <c r="K750" i="1"/>
  <c r="K754" i="1"/>
  <c r="K758" i="1"/>
  <c r="K762" i="1"/>
  <c r="K766" i="1"/>
  <c r="K770" i="1"/>
  <c r="K774" i="1"/>
  <c r="K778" i="1"/>
  <c r="K782" i="1"/>
  <c r="K786" i="1"/>
  <c r="K790" i="1"/>
  <c r="K794" i="1"/>
  <c r="K798" i="1"/>
  <c r="K802" i="1"/>
  <c r="K806" i="1"/>
  <c r="K810" i="1"/>
  <c r="K814" i="1"/>
  <c r="K818" i="1"/>
  <c r="K822" i="1"/>
  <c r="K826" i="1"/>
  <c r="K830" i="1"/>
  <c r="K834" i="1"/>
  <c r="K838" i="1"/>
  <c r="K842" i="1"/>
  <c r="K846" i="1"/>
  <c r="K850" i="1"/>
  <c r="K854" i="1"/>
  <c r="K858" i="1"/>
  <c r="K862" i="1"/>
  <c r="K866" i="1"/>
  <c r="K870" i="1"/>
  <c r="K874" i="1"/>
  <c r="K878" i="1"/>
  <c r="K882" i="1"/>
  <c r="K886" i="1"/>
  <c r="K890" i="1"/>
  <c r="K894" i="1"/>
  <c r="K898" i="1"/>
  <c r="K902" i="1"/>
  <c r="K906" i="1"/>
  <c r="K910" i="1"/>
  <c r="K914" i="1"/>
  <c r="K918" i="1"/>
  <c r="K922" i="1"/>
  <c r="K926" i="1"/>
  <c r="K930" i="1"/>
  <c r="K934" i="1"/>
  <c r="K938" i="1"/>
  <c r="K1002" i="1"/>
  <c r="K998" i="1"/>
  <c r="K994" i="1"/>
  <c r="K990" i="1"/>
  <c r="K986" i="1"/>
  <c r="K981" i="1"/>
  <c r="K970" i="1"/>
  <c r="K954" i="1"/>
  <c r="K1005" i="1"/>
  <c r="K1001" i="1"/>
  <c r="K997" i="1"/>
  <c r="K993" i="1"/>
  <c r="K989" i="1"/>
  <c r="K985" i="1"/>
  <c r="K980" i="1"/>
  <c r="K966" i="1"/>
  <c r="K950" i="1"/>
  <c r="C20" i="15"/>
  <c r="D12" i="80"/>
  <c r="R26" i="75"/>
  <c r="B27" i="76" a="1"/>
  <c r="B27" i="76"/>
  <c r="B2" i="76" a="1"/>
  <c r="B2" i="76"/>
  <c r="C2" i="76"/>
  <c r="B3" i="76" a="1"/>
  <c r="B3" i="76"/>
  <c r="C3" i="76"/>
  <c r="C27" i="76"/>
  <c r="B28" i="76" a="1"/>
  <c r="B28" i="76"/>
  <c r="D2" i="80"/>
  <c r="B4" i="76" a="1"/>
  <c r="B4" i="76"/>
  <c r="C4" i="76"/>
  <c r="B29" i="76" a="1"/>
  <c r="B29" i="76"/>
  <c r="C28" i="76"/>
  <c r="A178" i="75"/>
  <c r="B5" i="76" a="1"/>
  <c r="B5" i="76"/>
  <c r="C5" i="76"/>
  <c r="C29" i="76"/>
  <c r="A179" i="75"/>
  <c r="B6" i="76" a="1"/>
  <c r="B6" i="76"/>
  <c r="B7" i="76" a="1"/>
  <c r="B7" i="76"/>
  <c r="C7" i="76"/>
  <c r="C184" i="75"/>
  <c r="C182" i="75"/>
  <c r="C183" i="75"/>
  <c r="B182" i="75"/>
  <c r="B184" i="75"/>
  <c r="C181" i="75"/>
  <c r="B183" i="75"/>
  <c r="B181" i="75"/>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5" i="1"/>
  <c r="B8" i="76" a="1"/>
  <c r="B8" i="76"/>
  <c r="C8" i="76"/>
  <c r="C6" i="76"/>
  <c r="B186" i="7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44" i="15"/>
  <c r="D3" i="80"/>
  <c r="D3" i="61"/>
  <c r="D3" i="60"/>
  <c r="D3" i="51"/>
  <c r="B9" i="76" a="1"/>
  <c r="B9" i="76"/>
  <c r="C9" i="76"/>
  <c r="Q151" i="1"/>
  <c r="B65" i="80" a="1"/>
  <c r="B65" i="80"/>
  <c r="C65" i="80"/>
  <c r="B55" i="51" a="1"/>
  <c r="B55" i="51"/>
  <c r="C55" i="51"/>
  <c r="P5" i="1"/>
  <c r="C21" i="15"/>
  <c r="C22" i="15"/>
  <c r="C23" i="15"/>
  <c r="C24" i="15"/>
  <c r="C25" i="15"/>
  <c r="C26" i="15"/>
  <c r="C27" i="15"/>
  <c r="E20" i="15"/>
  <c r="E21" i="15"/>
  <c r="E22" i="15"/>
  <c r="E23" i="15"/>
  <c r="E24" i="15"/>
  <c r="E25" i="15"/>
  <c r="E26" i="15"/>
  <c r="E27" i="15"/>
  <c r="G20" i="15"/>
  <c r="G21" i="15"/>
  <c r="G22" i="15"/>
  <c r="G23" i="15"/>
  <c r="G24" i="15"/>
  <c r="G25" i="15"/>
  <c r="G26" i="15"/>
  <c r="G27" i="15"/>
  <c r="I20" i="15"/>
  <c r="I21" i="15"/>
  <c r="I22" i="15"/>
  <c r="I23" i="15"/>
  <c r="I24" i="15"/>
  <c r="I25" i="15"/>
  <c r="I26" i="15"/>
  <c r="I27" i="15"/>
  <c r="Q775" i="1"/>
  <c r="Q647" i="1"/>
  <c r="Q455" i="1"/>
  <c r="Q263" i="1"/>
  <c r="Q199" i="1"/>
  <c r="Q951" i="1"/>
  <c r="Q887" i="1"/>
  <c r="Q823" i="1"/>
  <c r="Q759" i="1"/>
  <c r="Q695" i="1"/>
  <c r="Q631" i="1"/>
  <c r="Q567" i="1"/>
  <c r="Q503" i="1"/>
  <c r="Q439" i="1"/>
  <c r="Q375" i="1"/>
  <c r="Q311" i="1"/>
  <c r="Q247" i="1"/>
  <c r="Q183" i="1"/>
  <c r="Q967" i="1"/>
  <c r="Q839" i="1"/>
  <c r="Q583" i="1"/>
  <c r="Q391" i="1"/>
  <c r="Q999" i="1"/>
  <c r="Q935" i="1"/>
  <c r="Q871" i="1"/>
  <c r="Q807" i="1"/>
  <c r="Q743" i="1"/>
  <c r="Q679" i="1"/>
  <c r="Q615" i="1"/>
  <c r="Q551" i="1"/>
  <c r="Q487" i="1"/>
  <c r="Q423" i="1"/>
  <c r="Q359" i="1"/>
  <c r="Q295" i="1"/>
  <c r="Q231" i="1"/>
  <c r="Q167" i="1"/>
  <c r="Q903" i="1"/>
  <c r="Q711" i="1"/>
  <c r="Q519" i="1"/>
  <c r="Q327" i="1"/>
  <c r="Q983" i="1"/>
  <c r="Q919" i="1"/>
  <c r="Q855" i="1"/>
  <c r="Q791" i="1"/>
  <c r="Q727" i="1"/>
  <c r="Q663" i="1"/>
  <c r="Q599" i="1"/>
  <c r="Q535" i="1"/>
  <c r="Q471" i="1"/>
  <c r="Q407" i="1"/>
  <c r="Q343" i="1"/>
  <c r="Q279" i="1"/>
  <c r="Q215" i="1"/>
  <c r="R6"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7" i="1"/>
  <c r="R11" i="1"/>
  <c r="R15" i="1"/>
  <c r="R19" i="1"/>
  <c r="R23" i="1"/>
  <c r="R27" i="1"/>
  <c r="R31" i="1"/>
  <c r="R35" i="1"/>
  <c r="R39" i="1"/>
  <c r="R43" i="1"/>
  <c r="R47" i="1"/>
  <c r="R51" i="1"/>
  <c r="R55" i="1"/>
  <c r="R59" i="1"/>
  <c r="R63" i="1"/>
  <c r="R67" i="1"/>
  <c r="R71" i="1"/>
  <c r="R75" i="1"/>
  <c r="R79" i="1"/>
  <c r="R83" i="1"/>
  <c r="R87" i="1"/>
  <c r="R91" i="1"/>
  <c r="R95" i="1"/>
  <c r="R99" i="1"/>
  <c r="R103" i="1"/>
  <c r="R107" i="1"/>
  <c r="R111" i="1"/>
  <c r="R115" i="1"/>
  <c r="R119" i="1"/>
  <c r="R123" i="1"/>
  <c r="R127" i="1"/>
  <c r="R131" i="1"/>
  <c r="R135" i="1"/>
  <c r="R139" i="1"/>
  <c r="R143" i="1"/>
  <c r="R147" i="1"/>
  <c r="R151" i="1"/>
  <c r="R155" i="1"/>
  <c r="R159" i="1"/>
  <c r="R163" i="1"/>
  <c r="R167" i="1"/>
  <c r="R171" i="1"/>
  <c r="R175" i="1"/>
  <c r="R179" i="1"/>
  <c r="R183" i="1"/>
  <c r="R187" i="1"/>
  <c r="R191" i="1"/>
  <c r="R195" i="1"/>
  <c r="R199" i="1"/>
  <c r="R203" i="1"/>
  <c r="R207" i="1"/>
  <c r="R211" i="1"/>
  <c r="R215" i="1"/>
  <c r="R219" i="1"/>
  <c r="R223" i="1"/>
  <c r="R227" i="1"/>
  <c r="R231" i="1"/>
  <c r="R235" i="1"/>
  <c r="R239" i="1"/>
  <c r="R243" i="1"/>
  <c r="R247" i="1"/>
  <c r="R251" i="1"/>
  <c r="R255" i="1"/>
  <c r="R259" i="1"/>
  <c r="R263" i="1"/>
  <c r="R267" i="1"/>
  <c r="R271" i="1"/>
  <c r="R275" i="1"/>
  <c r="R279" i="1"/>
  <c r="R283" i="1"/>
  <c r="R287" i="1"/>
  <c r="R291" i="1"/>
  <c r="R295" i="1"/>
  <c r="R299" i="1"/>
  <c r="R303" i="1"/>
  <c r="R307" i="1"/>
  <c r="R311" i="1"/>
  <c r="R315" i="1"/>
  <c r="R319" i="1"/>
  <c r="R323" i="1"/>
  <c r="R327" i="1"/>
  <c r="R331" i="1"/>
  <c r="R335" i="1"/>
  <c r="R339" i="1"/>
  <c r="R343" i="1"/>
  <c r="R8" i="1"/>
  <c r="R16" i="1"/>
  <c r="R24" i="1"/>
  <c r="R32" i="1"/>
  <c r="R40" i="1"/>
  <c r="R48" i="1"/>
  <c r="R56" i="1"/>
  <c r="R64" i="1"/>
  <c r="R72" i="1"/>
  <c r="R80" i="1"/>
  <c r="R88" i="1"/>
  <c r="R96" i="1"/>
  <c r="R104" i="1"/>
  <c r="R112" i="1"/>
  <c r="R120" i="1"/>
  <c r="R128" i="1"/>
  <c r="R136" i="1"/>
  <c r="R144" i="1"/>
  <c r="R152" i="1"/>
  <c r="R160" i="1"/>
  <c r="R168" i="1"/>
  <c r="R176" i="1"/>
  <c r="R184" i="1"/>
  <c r="R192" i="1"/>
  <c r="R200" i="1"/>
  <c r="R208" i="1"/>
  <c r="R216" i="1"/>
  <c r="R224" i="1"/>
  <c r="R232" i="1"/>
  <c r="R240" i="1"/>
  <c r="R248" i="1"/>
  <c r="R256" i="1"/>
  <c r="R264" i="1"/>
  <c r="R272" i="1"/>
  <c r="R280" i="1"/>
  <c r="R288" i="1"/>
  <c r="R296" i="1"/>
  <c r="R304" i="1"/>
  <c r="R312" i="1"/>
  <c r="R320" i="1"/>
  <c r="R328" i="1"/>
  <c r="R336"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7" i="1"/>
  <c r="R25" i="1"/>
  <c r="R33" i="1"/>
  <c r="R41" i="1"/>
  <c r="R49" i="1"/>
  <c r="R57" i="1"/>
  <c r="R65" i="1"/>
  <c r="R73" i="1"/>
  <c r="R81" i="1"/>
  <c r="R89" i="1"/>
  <c r="R97" i="1"/>
  <c r="R105" i="1"/>
  <c r="R113" i="1"/>
  <c r="R121" i="1"/>
  <c r="R129" i="1"/>
  <c r="R137" i="1"/>
  <c r="R145" i="1"/>
  <c r="R153" i="1"/>
  <c r="R161" i="1"/>
  <c r="R169" i="1"/>
  <c r="R177" i="1"/>
  <c r="R185" i="1"/>
  <c r="R193" i="1"/>
  <c r="R201" i="1"/>
  <c r="R209" i="1"/>
  <c r="R217" i="1"/>
  <c r="R225" i="1"/>
  <c r="R233" i="1"/>
  <c r="R241" i="1"/>
  <c r="R249" i="1"/>
  <c r="R257" i="1"/>
  <c r="R265" i="1"/>
  <c r="R273" i="1"/>
  <c r="R281" i="1"/>
  <c r="R289" i="1"/>
  <c r="R297" i="1"/>
  <c r="R305" i="1"/>
  <c r="R313" i="1"/>
  <c r="R321" i="1"/>
  <c r="R329" i="1"/>
  <c r="R337"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12" i="1"/>
  <c r="R28" i="1"/>
  <c r="R44" i="1"/>
  <c r="R60" i="1"/>
  <c r="R76" i="1"/>
  <c r="R92" i="1"/>
  <c r="R108" i="1"/>
  <c r="R124" i="1"/>
  <c r="R140" i="1"/>
  <c r="R156" i="1"/>
  <c r="R172" i="1"/>
  <c r="R188" i="1"/>
  <c r="R204" i="1"/>
  <c r="R220" i="1"/>
  <c r="R236" i="1"/>
  <c r="R252" i="1"/>
  <c r="R268" i="1"/>
  <c r="R284" i="1"/>
  <c r="R300" i="1"/>
  <c r="R316" i="1"/>
  <c r="R332" i="1"/>
  <c r="R346" i="1"/>
  <c r="R354" i="1"/>
  <c r="R362" i="1"/>
  <c r="R370" i="1"/>
  <c r="R378" i="1"/>
  <c r="R386" i="1"/>
  <c r="R394" i="1"/>
  <c r="R402" i="1"/>
  <c r="R410" i="1"/>
  <c r="R418" i="1"/>
  <c r="R426" i="1"/>
  <c r="R434" i="1"/>
  <c r="R442" i="1"/>
  <c r="R450" i="1"/>
  <c r="R458" i="1"/>
  <c r="R466" i="1"/>
  <c r="R474" i="1"/>
  <c r="R482" i="1"/>
  <c r="R490" i="1"/>
  <c r="R498" i="1"/>
  <c r="R506" i="1"/>
  <c r="R513"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857" i="1"/>
  <c r="R861" i="1"/>
  <c r="R865" i="1"/>
  <c r="R869" i="1"/>
  <c r="R873" i="1"/>
  <c r="R877" i="1"/>
  <c r="R881" i="1"/>
  <c r="R885" i="1"/>
  <c r="R889" i="1"/>
  <c r="R893"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P7" i="1"/>
  <c r="P11" i="1"/>
  <c r="P15" i="1"/>
  <c r="P19" i="1"/>
  <c r="R13" i="1"/>
  <c r="R29" i="1"/>
  <c r="R45" i="1"/>
  <c r="R61" i="1"/>
  <c r="R77" i="1"/>
  <c r="R93" i="1"/>
  <c r="R109" i="1"/>
  <c r="R125" i="1"/>
  <c r="R141" i="1"/>
  <c r="R157" i="1"/>
  <c r="R173" i="1"/>
  <c r="R189" i="1"/>
  <c r="R205" i="1"/>
  <c r="R221" i="1"/>
  <c r="R237" i="1"/>
  <c r="R253" i="1"/>
  <c r="R269" i="1"/>
  <c r="R285" i="1"/>
  <c r="R301" i="1"/>
  <c r="R317" i="1"/>
  <c r="R333" i="1"/>
  <c r="R347" i="1"/>
  <c r="R355" i="1"/>
  <c r="R363" i="1"/>
  <c r="R371" i="1"/>
  <c r="R379" i="1"/>
  <c r="R387" i="1"/>
  <c r="R395" i="1"/>
  <c r="R403" i="1"/>
  <c r="R411" i="1"/>
  <c r="R419" i="1"/>
  <c r="R427" i="1"/>
  <c r="R435" i="1"/>
  <c r="R443" i="1"/>
  <c r="R451" i="1"/>
  <c r="R459" i="1"/>
  <c r="R467" i="1"/>
  <c r="R475" i="1"/>
  <c r="R483" i="1"/>
  <c r="R491" i="1"/>
  <c r="R499" i="1"/>
  <c r="R507" i="1"/>
  <c r="R514"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814" i="1"/>
  <c r="R818" i="1"/>
  <c r="R822" i="1"/>
  <c r="R826" i="1"/>
  <c r="R830" i="1"/>
  <c r="R834" i="1"/>
  <c r="R838" i="1"/>
  <c r="R842" i="1"/>
  <c r="R846" i="1"/>
  <c r="R850" i="1"/>
  <c r="R854" i="1"/>
  <c r="R858" i="1"/>
  <c r="R862" i="1"/>
  <c r="R866" i="1"/>
  <c r="R870" i="1"/>
  <c r="R874" i="1"/>
  <c r="R878" i="1"/>
  <c r="R882" i="1"/>
  <c r="R886" i="1"/>
  <c r="R890" i="1"/>
  <c r="R894" i="1"/>
  <c r="R898" i="1"/>
  <c r="R902" i="1"/>
  <c r="R906" i="1"/>
  <c r="R910" i="1"/>
  <c r="R914" i="1"/>
  <c r="R918" i="1"/>
  <c r="R922" i="1"/>
  <c r="R926" i="1"/>
  <c r="R930" i="1"/>
  <c r="R934" i="1"/>
  <c r="R938" i="1"/>
  <c r="R942" i="1"/>
  <c r="R946" i="1"/>
  <c r="R950" i="1"/>
  <c r="R954" i="1"/>
  <c r="R958" i="1"/>
  <c r="R962" i="1"/>
  <c r="R966" i="1"/>
  <c r="R970" i="1"/>
  <c r="R974" i="1"/>
  <c r="R978" i="1"/>
  <c r="R982" i="1"/>
  <c r="R986" i="1"/>
  <c r="R990" i="1"/>
  <c r="R994" i="1"/>
  <c r="R998" i="1"/>
  <c r="R1002" i="1"/>
  <c r="R5" i="1"/>
  <c r="P8" i="1"/>
  <c r="P12" i="1"/>
  <c r="P16" i="1"/>
  <c r="P20" i="1"/>
  <c r="R20" i="1"/>
  <c r="R52" i="1"/>
  <c r="R84" i="1"/>
  <c r="R116" i="1"/>
  <c r="R148" i="1"/>
  <c r="R180" i="1"/>
  <c r="R212" i="1"/>
  <c r="R244" i="1"/>
  <c r="R276" i="1"/>
  <c r="R308" i="1"/>
  <c r="R340" i="1"/>
  <c r="R358" i="1"/>
  <c r="R374" i="1"/>
  <c r="R390" i="1"/>
  <c r="R406" i="1"/>
  <c r="R422" i="1"/>
  <c r="R438" i="1"/>
  <c r="R454" i="1"/>
  <c r="R470" i="1"/>
  <c r="R486" i="1"/>
  <c r="R502" i="1"/>
  <c r="R515" i="1"/>
  <c r="R523" i="1"/>
  <c r="R531" i="1"/>
  <c r="R539" i="1"/>
  <c r="R547" i="1"/>
  <c r="R555" i="1"/>
  <c r="R563" i="1"/>
  <c r="R571" i="1"/>
  <c r="R579" i="1"/>
  <c r="R587" i="1"/>
  <c r="R595" i="1"/>
  <c r="R603" i="1"/>
  <c r="R611" i="1"/>
  <c r="R619" i="1"/>
  <c r="R627" i="1"/>
  <c r="R635" i="1"/>
  <c r="R643" i="1"/>
  <c r="R651" i="1"/>
  <c r="R659" i="1"/>
  <c r="R667" i="1"/>
  <c r="R675" i="1"/>
  <c r="R683" i="1"/>
  <c r="R691" i="1"/>
  <c r="R699" i="1"/>
  <c r="R707" i="1"/>
  <c r="R715" i="1"/>
  <c r="R723" i="1"/>
  <c r="R731" i="1"/>
  <c r="R739" i="1"/>
  <c r="R747" i="1"/>
  <c r="R755" i="1"/>
  <c r="R763" i="1"/>
  <c r="R771" i="1"/>
  <c r="R779" i="1"/>
  <c r="R787" i="1"/>
  <c r="R795" i="1"/>
  <c r="R803" i="1"/>
  <c r="R811" i="1"/>
  <c r="R819" i="1"/>
  <c r="R827" i="1"/>
  <c r="R835" i="1"/>
  <c r="R843" i="1"/>
  <c r="R851" i="1"/>
  <c r="R859" i="1"/>
  <c r="R867" i="1"/>
  <c r="R875" i="1"/>
  <c r="R883" i="1"/>
  <c r="R891" i="1"/>
  <c r="R899" i="1"/>
  <c r="R907" i="1"/>
  <c r="R915" i="1"/>
  <c r="R923" i="1"/>
  <c r="R931" i="1"/>
  <c r="R939" i="1"/>
  <c r="R947" i="1"/>
  <c r="R955" i="1"/>
  <c r="R963" i="1"/>
  <c r="R971" i="1"/>
  <c r="R979" i="1"/>
  <c r="R987" i="1"/>
  <c r="R995" i="1"/>
  <c r="R1003" i="1"/>
  <c r="P9" i="1"/>
  <c r="P17" i="1"/>
  <c r="P23" i="1"/>
  <c r="P27" i="1"/>
  <c r="P31" i="1"/>
  <c r="P35" i="1"/>
  <c r="P39" i="1"/>
  <c r="P43" i="1"/>
  <c r="P47" i="1"/>
  <c r="P51" i="1"/>
  <c r="P55" i="1"/>
  <c r="P59" i="1"/>
  <c r="P63" i="1"/>
  <c r="P67" i="1"/>
  <c r="P71" i="1"/>
  <c r="P75" i="1"/>
  <c r="P79" i="1"/>
  <c r="P83" i="1"/>
  <c r="P87" i="1"/>
  <c r="P91" i="1"/>
  <c r="P95" i="1"/>
  <c r="P99" i="1"/>
  <c r="P103" i="1"/>
  <c r="P107" i="1"/>
  <c r="P111" i="1"/>
  <c r="P115" i="1"/>
  <c r="P119" i="1"/>
  <c r="P123" i="1"/>
  <c r="P127" i="1"/>
  <c r="P131" i="1"/>
  <c r="P135" i="1"/>
  <c r="P139" i="1"/>
  <c r="P143" i="1"/>
  <c r="P147" i="1"/>
  <c r="P151" i="1"/>
  <c r="P155" i="1"/>
  <c r="P159" i="1"/>
  <c r="P163" i="1"/>
  <c r="P167" i="1"/>
  <c r="P171" i="1"/>
  <c r="P175" i="1"/>
  <c r="P179" i="1"/>
  <c r="P183" i="1"/>
  <c r="P187" i="1"/>
  <c r="P191" i="1"/>
  <c r="P195" i="1"/>
  <c r="P199" i="1"/>
  <c r="P203" i="1"/>
  <c r="P207" i="1"/>
  <c r="P211" i="1"/>
  <c r="P215" i="1"/>
  <c r="P219" i="1"/>
  <c r="P223" i="1"/>
  <c r="P227" i="1"/>
  <c r="P231" i="1"/>
  <c r="P235" i="1"/>
  <c r="P239" i="1"/>
  <c r="P243" i="1"/>
  <c r="P247" i="1"/>
  <c r="P251" i="1"/>
  <c r="P255" i="1"/>
  <c r="P259" i="1"/>
  <c r="P263" i="1"/>
  <c r="P267" i="1"/>
  <c r="P271" i="1"/>
  <c r="P275" i="1"/>
  <c r="P279" i="1"/>
  <c r="P283" i="1"/>
  <c r="P287" i="1"/>
  <c r="P291" i="1"/>
  <c r="P295" i="1"/>
  <c r="P299" i="1"/>
  <c r="P303" i="1"/>
  <c r="P307" i="1"/>
  <c r="P311" i="1"/>
  <c r="P315" i="1"/>
  <c r="P319" i="1"/>
  <c r="P323" i="1"/>
  <c r="P327" i="1"/>
  <c r="P331" i="1"/>
  <c r="P335" i="1"/>
  <c r="P339" i="1"/>
  <c r="P343" i="1"/>
  <c r="P347" i="1"/>
  <c r="P351" i="1"/>
  <c r="P355" i="1"/>
  <c r="P359" i="1"/>
  <c r="P363" i="1"/>
  <c r="R21" i="1"/>
  <c r="R53" i="1"/>
  <c r="R85" i="1"/>
  <c r="R117" i="1"/>
  <c r="R149" i="1"/>
  <c r="R181" i="1"/>
  <c r="R213" i="1"/>
  <c r="R245" i="1"/>
  <c r="R277" i="1"/>
  <c r="R309" i="1"/>
  <c r="R341" i="1"/>
  <c r="R359" i="1"/>
  <c r="R375" i="1"/>
  <c r="R391" i="1"/>
  <c r="R407" i="1"/>
  <c r="R423" i="1"/>
  <c r="R439" i="1"/>
  <c r="R455" i="1"/>
  <c r="R471" i="1"/>
  <c r="R487" i="1"/>
  <c r="R503" i="1"/>
  <c r="R516" i="1"/>
  <c r="R524" i="1"/>
  <c r="R532" i="1"/>
  <c r="R540" i="1"/>
  <c r="R548" i="1"/>
  <c r="R556" i="1"/>
  <c r="R564" i="1"/>
  <c r="R572" i="1"/>
  <c r="R580" i="1"/>
  <c r="R588" i="1"/>
  <c r="R596" i="1"/>
  <c r="R604" i="1"/>
  <c r="R612" i="1"/>
  <c r="R620" i="1"/>
  <c r="R628" i="1"/>
  <c r="R636" i="1"/>
  <c r="R644" i="1"/>
  <c r="R652" i="1"/>
  <c r="R660" i="1"/>
  <c r="R668" i="1"/>
  <c r="R676" i="1"/>
  <c r="R684" i="1"/>
  <c r="R692" i="1"/>
  <c r="R700" i="1"/>
  <c r="R708" i="1"/>
  <c r="R716" i="1"/>
  <c r="R724" i="1"/>
  <c r="R732" i="1"/>
  <c r="R740" i="1"/>
  <c r="R748" i="1"/>
  <c r="R756" i="1"/>
  <c r="R764" i="1"/>
  <c r="R772" i="1"/>
  <c r="R780" i="1"/>
  <c r="R788" i="1"/>
  <c r="R796" i="1"/>
  <c r="R804" i="1"/>
  <c r="R812" i="1"/>
  <c r="R820" i="1"/>
  <c r="R828" i="1"/>
  <c r="R836" i="1"/>
  <c r="R844" i="1"/>
  <c r="R852" i="1"/>
  <c r="R860" i="1"/>
  <c r="R868" i="1"/>
  <c r="R876" i="1"/>
  <c r="R884" i="1"/>
  <c r="R892" i="1"/>
  <c r="R900" i="1"/>
  <c r="R908" i="1"/>
  <c r="R916" i="1"/>
  <c r="R924" i="1"/>
  <c r="R932" i="1"/>
  <c r="R940" i="1"/>
  <c r="R948" i="1"/>
  <c r="R956" i="1"/>
  <c r="R964" i="1"/>
  <c r="R972" i="1"/>
  <c r="R980" i="1"/>
  <c r="R988" i="1"/>
  <c r="R996" i="1"/>
  <c r="R1004" i="1"/>
  <c r="P10" i="1"/>
  <c r="P18" i="1"/>
  <c r="P24" i="1"/>
  <c r="P28" i="1"/>
  <c r="P32" i="1"/>
  <c r="P36" i="1"/>
  <c r="P40" i="1"/>
  <c r="P44" i="1"/>
  <c r="P48" i="1"/>
  <c r="P52" i="1"/>
  <c r="P56" i="1"/>
  <c r="P60" i="1"/>
  <c r="P64" i="1"/>
  <c r="P68" i="1"/>
  <c r="P72" i="1"/>
  <c r="P76" i="1"/>
  <c r="P80" i="1"/>
  <c r="P84" i="1"/>
  <c r="P88" i="1"/>
  <c r="P92" i="1"/>
  <c r="P96" i="1"/>
  <c r="P100" i="1"/>
  <c r="P104" i="1"/>
  <c r="P108" i="1"/>
  <c r="P112" i="1"/>
  <c r="P116" i="1"/>
  <c r="P120" i="1"/>
  <c r="P124" i="1"/>
  <c r="P128" i="1"/>
  <c r="P132" i="1"/>
  <c r="P136" i="1"/>
  <c r="P140" i="1"/>
  <c r="P144" i="1"/>
  <c r="P148" i="1"/>
  <c r="P152" i="1"/>
  <c r="P156" i="1"/>
  <c r="P160" i="1"/>
  <c r="P164" i="1"/>
  <c r="P168" i="1"/>
  <c r="P172" i="1"/>
  <c r="P176" i="1"/>
  <c r="P180" i="1"/>
  <c r="P184" i="1"/>
  <c r="P188" i="1"/>
  <c r="P192" i="1"/>
  <c r="P196" i="1"/>
  <c r="P200" i="1"/>
  <c r="P204" i="1"/>
  <c r="P208" i="1"/>
  <c r="P212" i="1"/>
  <c r="P216" i="1"/>
  <c r="P220" i="1"/>
  <c r="P224" i="1"/>
  <c r="P228" i="1"/>
  <c r="P232" i="1"/>
  <c r="P236" i="1"/>
  <c r="P240" i="1"/>
  <c r="P244" i="1"/>
  <c r="P248" i="1"/>
  <c r="P252" i="1"/>
  <c r="P256" i="1"/>
  <c r="P260" i="1"/>
  <c r="P264" i="1"/>
  <c r="P268" i="1"/>
  <c r="P272" i="1"/>
  <c r="P276" i="1"/>
  <c r="P280" i="1"/>
  <c r="P284" i="1"/>
  <c r="P288" i="1"/>
  <c r="P292" i="1"/>
  <c r="P296" i="1"/>
  <c r="P300" i="1"/>
  <c r="P304" i="1"/>
  <c r="P308" i="1"/>
  <c r="P312" i="1"/>
  <c r="P316" i="1"/>
  <c r="P320" i="1"/>
  <c r="P324" i="1"/>
  <c r="P328" i="1"/>
  <c r="P332" i="1"/>
  <c r="P336" i="1"/>
  <c r="P340" i="1"/>
  <c r="P344" i="1"/>
  <c r="P348" i="1"/>
  <c r="P352" i="1"/>
  <c r="P356" i="1"/>
  <c r="P360" i="1"/>
  <c r="R36" i="1"/>
  <c r="R68" i="1"/>
  <c r="R100" i="1"/>
  <c r="R132" i="1"/>
  <c r="R164" i="1"/>
  <c r="R196" i="1"/>
  <c r="R228" i="1"/>
  <c r="R260" i="1"/>
  <c r="R292" i="1"/>
  <c r="R324" i="1"/>
  <c r="R350" i="1"/>
  <c r="R366" i="1"/>
  <c r="R382" i="1"/>
  <c r="R398" i="1"/>
  <c r="R414" i="1"/>
  <c r="R430" i="1"/>
  <c r="R446" i="1"/>
  <c r="R462" i="1"/>
  <c r="R478" i="1"/>
  <c r="R494" i="1"/>
  <c r="R510" i="1"/>
  <c r="R37" i="1"/>
  <c r="R165" i="1"/>
  <c r="R293" i="1"/>
  <c r="R383" i="1"/>
  <c r="R447" i="1"/>
  <c r="R511" i="1"/>
  <c r="R528" i="1"/>
  <c r="R544" i="1"/>
  <c r="R560" i="1"/>
  <c r="R576" i="1"/>
  <c r="R592" i="1"/>
  <c r="R608" i="1"/>
  <c r="R624" i="1"/>
  <c r="R640" i="1"/>
  <c r="R656" i="1"/>
  <c r="R672" i="1"/>
  <c r="R688" i="1"/>
  <c r="R704" i="1"/>
  <c r="R720" i="1"/>
  <c r="R736" i="1"/>
  <c r="R752" i="1"/>
  <c r="R768" i="1"/>
  <c r="R784" i="1"/>
  <c r="R800" i="1"/>
  <c r="R816" i="1"/>
  <c r="R832" i="1"/>
  <c r="R848" i="1"/>
  <c r="R864" i="1"/>
  <c r="R880" i="1"/>
  <c r="R896" i="1"/>
  <c r="R912" i="1"/>
  <c r="R928" i="1"/>
  <c r="R944" i="1"/>
  <c r="R960" i="1"/>
  <c r="R976" i="1"/>
  <c r="R992" i="1"/>
  <c r="P6" i="1"/>
  <c r="P22" i="1"/>
  <c r="P30" i="1"/>
  <c r="P38" i="1"/>
  <c r="P46" i="1"/>
  <c r="P54" i="1"/>
  <c r="P62" i="1"/>
  <c r="P70" i="1"/>
  <c r="P78" i="1"/>
  <c r="P86" i="1"/>
  <c r="P94" i="1"/>
  <c r="P102" i="1"/>
  <c r="P110" i="1"/>
  <c r="P118" i="1"/>
  <c r="P126" i="1"/>
  <c r="P134" i="1"/>
  <c r="P142" i="1"/>
  <c r="P150" i="1"/>
  <c r="P158" i="1"/>
  <c r="P166" i="1"/>
  <c r="P174" i="1"/>
  <c r="P182" i="1"/>
  <c r="P190" i="1"/>
  <c r="P198" i="1"/>
  <c r="R69" i="1"/>
  <c r="R197" i="1"/>
  <c r="R325" i="1"/>
  <c r="R399" i="1"/>
  <c r="R463" i="1"/>
  <c r="R519" i="1"/>
  <c r="R535" i="1"/>
  <c r="R551" i="1"/>
  <c r="R567" i="1"/>
  <c r="R583" i="1"/>
  <c r="R599" i="1"/>
  <c r="R615" i="1"/>
  <c r="R631" i="1"/>
  <c r="R647" i="1"/>
  <c r="R663" i="1"/>
  <c r="R679" i="1"/>
  <c r="R695" i="1"/>
  <c r="R711" i="1"/>
  <c r="R727" i="1"/>
  <c r="R743" i="1"/>
  <c r="R759" i="1"/>
  <c r="R775" i="1"/>
  <c r="R791" i="1"/>
  <c r="R807" i="1"/>
  <c r="R823" i="1"/>
  <c r="R839" i="1"/>
  <c r="R855" i="1"/>
  <c r="R871" i="1"/>
  <c r="R887" i="1"/>
  <c r="R903" i="1"/>
  <c r="R919" i="1"/>
  <c r="R935" i="1"/>
  <c r="R951" i="1"/>
  <c r="R967" i="1"/>
  <c r="R983" i="1"/>
  <c r="R999" i="1"/>
  <c r="P13" i="1"/>
  <c r="P25" i="1"/>
  <c r="P33" i="1"/>
  <c r="P41" i="1"/>
  <c r="P49" i="1"/>
  <c r="P57" i="1"/>
  <c r="P65" i="1"/>
  <c r="P73" i="1"/>
  <c r="P81" i="1"/>
  <c r="P89" i="1"/>
  <c r="P97" i="1"/>
  <c r="P105" i="1"/>
  <c r="P113" i="1"/>
  <c r="P121" i="1"/>
  <c r="P129" i="1"/>
  <c r="P137" i="1"/>
  <c r="P145" i="1"/>
  <c r="P153" i="1"/>
  <c r="P161" i="1"/>
  <c r="P169" i="1"/>
  <c r="P177" i="1"/>
  <c r="P185" i="1"/>
  <c r="P193" i="1"/>
  <c r="P201" i="1"/>
  <c r="P209" i="1"/>
  <c r="P217" i="1"/>
  <c r="P225" i="1"/>
  <c r="P233" i="1"/>
  <c r="P241" i="1"/>
  <c r="P249" i="1"/>
  <c r="P257" i="1"/>
  <c r="P265" i="1"/>
  <c r="P273" i="1"/>
  <c r="P281" i="1"/>
  <c r="P289" i="1"/>
  <c r="P297" i="1"/>
  <c r="P305" i="1"/>
  <c r="P313" i="1"/>
  <c r="P321" i="1"/>
  <c r="P329" i="1"/>
  <c r="P337" i="1"/>
  <c r="R101" i="1"/>
  <c r="R229" i="1"/>
  <c r="R351" i="1"/>
  <c r="R415" i="1"/>
  <c r="R479" i="1"/>
  <c r="R520" i="1"/>
  <c r="R536" i="1"/>
  <c r="R552" i="1"/>
  <c r="R568" i="1"/>
  <c r="R584" i="1"/>
  <c r="R600" i="1"/>
  <c r="R616" i="1"/>
  <c r="R632" i="1"/>
  <c r="R648" i="1"/>
  <c r="R664" i="1"/>
  <c r="R680" i="1"/>
  <c r="R696" i="1"/>
  <c r="R712" i="1"/>
  <c r="R728" i="1"/>
  <c r="R744" i="1"/>
  <c r="R760" i="1"/>
  <c r="R776" i="1"/>
  <c r="R792" i="1"/>
  <c r="R808" i="1"/>
  <c r="R824" i="1"/>
  <c r="R840" i="1"/>
  <c r="R856" i="1"/>
  <c r="R872" i="1"/>
  <c r="R888" i="1"/>
  <c r="R904" i="1"/>
  <c r="R920" i="1"/>
  <c r="R936" i="1"/>
  <c r="R952" i="1"/>
  <c r="R968" i="1"/>
  <c r="R984" i="1"/>
  <c r="R1000" i="1"/>
  <c r="P14" i="1"/>
  <c r="P26" i="1"/>
  <c r="P34" i="1"/>
  <c r="P42" i="1"/>
  <c r="P50" i="1"/>
  <c r="P58" i="1"/>
  <c r="P66" i="1"/>
  <c r="P74" i="1"/>
  <c r="P82" i="1"/>
  <c r="P90" i="1"/>
  <c r="P98" i="1"/>
  <c r="P106" i="1"/>
  <c r="P114" i="1"/>
  <c r="P122" i="1"/>
  <c r="P130" i="1"/>
  <c r="P138" i="1"/>
  <c r="P146" i="1"/>
  <c r="P154" i="1"/>
  <c r="P162" i="1"/>
  <c r="P170" i="1"/>
  <c r="P178" i="1"/>
  <c r="P186" i="1"/>
  <c r="P194" i="1"/>
  <c r="P202" i="1"/>
  <c r="P210" i="1"/>
  <c r="P218" i="1"/>
  <c r="P226" i="1"/>
  <c r="P234" i="1"/>
  <c r="P242" i="1"/>
  <c r="P250" i="1"/>
  <c r="P258" i="1"/>
  <c r="P266" i="1"/>
  <c r="P274" i="1"/>
  <c r="P282" i="1"/>
  <c r="P290" i="1"/>
  <c r="P298" i="1"/>
  <c r="P306" i="1"/>
  <c r="P314" i="1"/>
  <c r="P322" i="1"/>
  <c r="P330" i="1"/>
  <c r="P338" i="1"/>
  <c r="P346" i="1"/>
  <c r="P354" i="1"/>
  <c r="P362" i="1"/>
  <c r="P367" i="1"/>
  <c r="P371" i="1"/>
  <c r="P375" i="1"/>
  <c r="P379" i="1"/>
  <c r="P383" i="1"/>
  <c r="R133" i="1"/>
  <c r="R495" i="1"/>
  <c r="R575" i="1"/>
  <c r="R639" i="1"/>
  <c r="R703" i="1"/>
  <c r="R767" i="1"/>
  <c r="R831" i="1"/>
  <c r="R895" i="1"/>
  <c r="R959" i="1"/>
  <c r="P21" i="1"/>
  <c r="P53" i="1"/>
  <c r="P85" i="1"/>
  <c r="P117" i="1"/>
  <c r="P149" i="1"/>
  <c r="P181" i="1"/>
  <c r="P206" i="1"/>
  <c r="P222" i="1"/>
  <c r="P238" i="1"/>
  <c r="P254" i="1"/>
  <c r="P270" i="1"/>
  <c r="P286" i="1"/>
  <c r="P302" i="1"/>
  <c r="P318" i="1"/>
  <c r="P334" i="1"/>
  <c r="P349" i="1"/>
  <c r="P358" i="1"/>
  <c r="P366" i="1"/>
  <c r="P372" i="1"/>
  <c r="P377" i="1"/>
  <c r="P382" i="1"/>
  <c r="P387" i="1"/>
  <c r="P391" i="1"/>
  <c r="P395" i="1"/>
  <c r="P399" i="1"/>
  <c r="P403" i="1"/>
  <c r="P407" i="1"/>
  <c r="P411" i="1"/>
  <c r="P415" i="1"/>
  <c r="P419" i="1"/>
  <c r="P423" i="1"/>
  <c r="P427" i="1"/>
  <c r="P431" i="1"/>
  <c r="P435" i="1"/>
  <c r="P439" i="1"/>
  <c r="P443" i="1"/>
  <c r="P447" i="1"/>
  <c r="P451" i="1"/>
  <c r="P455" i="1"/>
  <c r="P459" i="1"/>
  <c r="P463" i="1"/>
  <c r="P467" i="1"/>
  <c r="P471" i="1"/>
  <c r="P475" i="1"/>
  <c r="P479" i="1"/>
  <c r="P483" i="1"/>
  <c r="P487" i="1"/>
  <c r="P491" i="1"/>
  <c r="P495" i="1"/>
  <c r="P499" i="1"/>
  <c r="P503" i="1"/>
  <c r="P507" i="1"/>
  <c r="P511" i="1"/>
  <c r="P515" i="1"/>
  <c r="P519" i="1"/>
  <c r="P523" i="1"/>
  <c r="P527" i="1"/>
  <c r="P531" i="1"/>
  <c r="P535" i="1"/>
  <c r="P539" i="1"/>
  <c r="P543" i="1"/>
  <c r="P547" i="1"/>
  <c r="P551" i="1"/>
  <c r="P555" i="1"/>
  <c r="P559" i="1"/>
  <c r="P563" i="1"/>
  <c r="P567" i="1"/>
  <c r="P571" i="1"/>
  <c r="P575" i="1"/>
  <c r="P579" i="1"/>
  <c r="P583" i="1"/>
  <c r="P587" i="1"/>
  <c r="P591" i="1"/>
  <c r="P595" i="1"/>
  <c r="P599" i="1"/>
  <c r="P603" i="1"/>
  <c r="P607" i="1"/>
  <c r="P611" i="1"/>
  <c r="P615" i="1"/>
  <c r="P619" i="1"/>
  <c r="P623" i="1"/>
  <c r="P627" i="1"/>
  <c r="P631" i="1"/>
  <c r="P635" i="1"/>
  <c r="P639" i="1"/>
  <c r="P643" i="1"/>
  <c r="P647" i="1"/>
  <c r="P651" i="1"/>
  <c r="P655" i="1"/>
  <c r="P659" i="1"/>
  <c r="P663" i="1"/>
  <c r="P667" i="1"/>
  <c r="P671" i="1"/>
  <c r="P675" i="1"/>
  <c r="P679" i="1"/>
  <c r="P683" i="1"/>
  <c r="P687" i="1"/>
  <c r="P691" i="1"/>
  <c r="P695" i="1"/>
  <c r="P699" i="1"/>
  <c r="P703" i="1"/>
  <c r="P707" i="1"/>
  <c r="P711" i="1"/>
  <c r="P715" i="1"/>
  <c r="P719" i="1"/>
  <c r="P723" i="1"/>
  <c r="P727" i="1"/>
  <c r="P731" i="1"/>
  <c r="P735" i="1"/>
  <c r="P739" i="1"/>
  <c r="P743" i="1"/>
  <c r="P747" i="1"/>
  <c r="P751" i="1"/>
  <c r="P755" i="1"/>
  <c r="P759" i="1"/>
  <c r="P763" i="1"/>
  <c r="P767" i="1"/>
  <c r="P771" i="1"/>
  <c r="P775" i="1"/>
  <c r="P779" i="1"/>
  <c r="P783" i="1"/>
  <c r="P787" i="1"/>
  <c r="P791" i="1"/>
  <c r="P795" i="1"/>
  <c r="P799" i="1"/>
  <c r="P803" i="1"/>
  <c r="P807" i="1"/>
  <c r="P811" i="1"/>
  <c r="P815" i="1"/>
  <c r="P819" i="1"/>
  <c r="P823" i="1"/>
  <c r="P827" i="1"/>
  <c r="P831" i="1"/>
  <c r="P835" i="1"/>
  <c r="P839" i="1"/>
  <c r="P843" i="1"/>
  <c r="P847" i="1"/>
  <c r="P851" i="1"/>
  <c r="P855" i="1"/>
  <c r="P859" i="1"/>
  <c r="P863" i="1"/>
  <c r="P867" i="1"/>
  <c r="P871" i="1"/>
  <c r="P875" i="1"/>
  <c r="P879" i="1"/>
  <c r="P883" i="1"/>
  <c r="P887" i="1"/>
  <c r="P891" i="1"/>
  <c r="P895" i="1"/>
  <c r="P899" i="1"/>
  <c r="P903" i="1"/>
  <c r="P907" i="1"/>
  <c r="P911" i="1"/>
  <c r="P915" i="1"/>
  <c r="P919" i="1"/>
  <c r="P923" i="1"/>
  <c r="P927" i="1"/>
  <c r="P931" i="1"/>
  <c r="P935" i="1"/>
  <c r="P939" i="1"/>
  <c r="P943" i="1"/>
  <c r="P947" i="1"/>
  <c r="P951" i="1"/>
  <c r="R261" i="1"/>
  <c r="R527" i="1"/>
  <c r="R591" i="1"/>
  <c r="R655" i="1"/>
  <c r="R719" i="1"/>
  <c r="R783" i="1"/>
  <c r="R847" i="1"/>
  <c r="R911" i="1"/>
  <c r="R975" i="1"/>
  <c r="P29" i="1"/>
  <c r="P61" i="1"/>
  <c r="P93" i="1"/>
  <c r="P125" i="1"/>
  <c r="P157" i="1"/>
  <c r="P189" i="1"/>
  <c r="P213" i="1"/>
  <c r="P229" i="1"/>
  <c r="P245" i="1"/>
  <c r="P261" i="1"/>
  <c r="P277" i="1"/>
  <c r="P293" i="1"/>
  <c r="P309" i="1"/>
  <c r="P325" i="1"/>
  <c r="P341" i="1"/>
  <c r="P350" i="1"/>
  <c r="P361" i="1"/>
  <c r="P368" i="1"/>
  <c r="P373" i="1"/>
  <c r="P378" i="1"/>
  <c r="P384" i="1"/>
  <c r="P388" i="1"/>
  <c r="P392" i="1"/>
  <c r="P396" i="1"/>
  <c r="P400" i="1"/>
  <c r="P404" i="1"/>
  <c r="P408" i="1"/>
  <c r="P412" i="1"/>
  <c r="P416" i="1"/>
  <c r="P420" i="1"/>
  <c r="P424" i="1"/>
  <c r="P428" i="1"/>
  <c r="P432" i="1"/>
  <c r="P436" i="1"/>
  <c r="P440" i="1"/>
  <c r="P444" i="1"/>
  <c r="P448" i="1"/>
  <c r="P452" i="1"/>
  <c r="P456" i="1"/>
  <c r="P460" i="1"/>
  <c r="P464" i="1"/>
  <c r="P468" i="1"/>
  <c r="P472" i="1"/>
  <c r="P476" i="1"/>
  <c r="P480" i="1"/>
  <c r="P484" i="1"/>
  <c r="P488" i="1"/>
  <c r="P492" i="1"/>
  <c r="P496" i="1"/>
  <c r="P500" i="1"/>
  <c r="P504" i="1"/>
  <c r="P508" i="1"/>
  <c r="P512" i="1"/>
  <c r="P516" i="1"/>
  <c r="P520" i="1"/>
  <c r="P524" i="1"/>
  <c r="P528" i="1"/>
  <c r="P532" i="1"/>
  <c r="P536" i="1"/>
  <c r="P540" i="1"/>
  <c r="P544" i="1"/>
  <c r="P548" i="1"/>
  <c r="P552" i="1"/>
  <c r="P556" i="1"/>
  <c r="P560" i="1"/>
  <c r="P564" i="1"/>
  <c r="P568" i="1"/>
  <c r="P572" i="1"/>
  <c r="P576" i="1"/>
  <c r="P580" i="1"/>
  <c r="P584" i="1"/>
  <c r="P588" i="1"/>
  <c r="P592" i="1"/>
  <c r="P596" i="1"/>
  <c r="P600" i="1"/>
  <c r="P604" i="1"/>
  <c r="P608" i="1"/>
  <c r="P612" i="1"/>
  <c r="P616" i="1"/>
  <c r="P620" i="1"/>
  <c r="P624" i="1"/>
  <c r="P628" i="1"/>
  <c r="P632" i="1"/>
  <c r="P636" i="1"/>
  <c r="P640" i="1"/>
  <c r="P644" i="1"/>
  <c r="P648" i="1"/>
  <c r="P652" i="1"/>
  <c r="P656" i="1"/>
  <c r="P660" i="1"/>
  <c r="P664" i="1"/>
  <c r="P668" i="1"/>
  <c r="P672" i="1"/>
  <c r="P676" i="1"/>
  <c r="P680" i="1"/>
  <c r="P684" i="1"/>
  <c r="P688" i="1"/>
  <c r="P692" i="1"/>
  <c r="P696" i="1"/>
  <c r="P700" i="1"/>
  <c r="P704" i="1"/>
  <c r="P708" i="1"/>
  <c r="P712" i="1"/>
  <c r="P716" i="1"/>
  <c r="P720" i="1"/>
  <c r="P724" i="1"/>
  <c r="P728" i="1"/>
  <c r="P732" i="1"/>
  <c r="P736" i="1"/>
  <c r="P740" i="1"/>
  <c r="P744" i="1"/>
  <c r="P748" i="1"/>
  <c r="P752" i="1"/>
  <c r="P756" i="1"/>
  <c r="P760" i="1"/>
  <c r="P764" i="1"/>
  <c r="P768" i="1"/>
  <c r="P772" i="1"/>
  <c r="P776" i="1"/>
  <c r="P780" i="1"/>
  <c r="P784" i="1"/>
  <c r="P788" i="1"/>
  <c r="P792" i="1"/>
  <c r="P796" i="1"/>
  <c r="P800" i="1"/>
  <c r="P804" i="1"/>
  <c r="P808" i="1"/>
  <c r="P812" i="1"/>
  <c r="P816" i="1"/>
  <c r="P820" i="1"/>
  <c r="P824" i="1"/>
  <c r="P828" i="1"/>
  <c r="P832" i="1"/>
  <c r="P836" i="1"/>
  <c r="P840" i="1"/>
  <c r="P844" i="1"/>
  <c r="P848" i="1"/>
  <c r="P852" i="1"/>
  <c r="P856" i="1"/>
  <c r="P860" i="1"/>
  <c r="P864" i="1"/>
  <c r="P868" i="1"/>
  <c r="P872" i="1"/>
  <c r="P876" i="1"/>
  <c r="P880" i="1"/>
  <c r="P884" i="1"/>
  <c r="P888" i="1"/>
  <c r="P892" i="1"/>
  <c r="P896" i="1"/>
  <c r="P900" i="1"/>
  <c r="P904" i="1"/>
  <c r="P908" i="1"/>
  <c r="P912" i="1"/>
  <c r="P916" i="1"/>
  <c r="P920" i="1"/>
  <c r="P924" i="1"/>
  <c r="P928" i="1"/>
  <c r="P932" i="1"/>
  <c r="P936" i="1"/>
  <c r="P940" i="1"/>
  <c r="P944" i="1"/>
  <c r="P948" i="1"/>
  <c r="P952" i="1"/>
  <c r="R367" i="1"/>
  <c r="R543" i="1"/>
  <c r="R607" i="1"/>
  <c r="R671" i="1"/>
  <c r="R735" i="1"/>
  <c r="R799" i="1"/>
  <c r="R863" i="1"/>
  <c r="R927" i="1"/>
  <c r="R991" i="1"/>
  <c r="P37" i="1"/>
  <c r="P69" i="1"/>
  <c r="P101" i="1"/>
  <c r="P133" i="1"/>
  <c r="P165" i="1"/>
  <c r="P197" i="1"/>
  <c r="P214" i="1"/>
  <c r="P230" i="1"/>
  <c r="P246" i="1"/>
  <c r="P262" i="1"/>
  <c r="P278" i="1"/>
  <c r="P294" i="1"/>
  <c r="P310" i="1"/>
  <c r="P326" i="1"/>
  <c r="P342" i="1"/>
  <c r="P353" i="1"/>
  <c r="P364" i="1"/>
  <c r="P369" i="1"/>
  <c r="P374" i="1"/>
  <c r="P380" i="1"/>
  <c r="P385" i="1"/>
  <c r="P389" i="1"/>
  <c r="P393" i="1"/>
  <c r="P397" i="1"/>
  <c r="P401" i="1"/>
  <c r="P405" i="1"/>
  <c r="P409" i="1"/>
  <c r="P413" i="1"/>
  <c r="P417" i="1"/>
  <c r="P421" i="1"/>
  <c r="P425" i="1"/>
  <c r="P429" i="1"/>
  <c r="P433" i="1"/>
  <c r="P437" i="1"/>
  <c r="P441" i="1"/>
  <c r="P445" i="1"/>
  <c r="P449" i="1"/>
  <c r="P453" i="1"/>
  <c r="P457" i="1"/>
  <c r="P461" i="1"/>
  <c r="P465" i="1"/>
  <c r="P469" i="1"/>
  <c r="P473" i="1"/>
  <c r="P477" i="1"/>
  <c r="P481" i="1"/>
  <c r="P485" i="1"/>
  <c r="P489" i="1"/>
  <c r="P493" i="1"/>
  <c r="P497" i="1"/>
  <c r="P501" i="1"/>
  <c r="P505" i="1"/>
  <c r="P509" i="1"/>
  <c r="P513" i="1"/>
  <c r="P517" i="1"/>
  <c r="P521" i="1"/>
  <c r="P525" i="1"/>
  <c r="P529" i="1"/>
  <c r="P533" i="1"/>
  <c r="P537" i="1"/>
  <c r="P541" i="1"/>
  <c r="P545" i="1"/>
  <c r="P549" i="1"/>
  <c r="P553" i="1"/>
  <c r="P557" i="1"/>
  <c r="P561" i="1"/>
  <c r="P565" i="1"/>
  <c r="P569" i="1"/>
  <c r="P573" i="1"/>
  <c r="P577" i="1"/>
  <c r="P581" i="1"/>
  <c r="P585" i="1"/>
  <c r="P589" i="1"/>
  <c r="P593" i="1"/>
  <c r="P597" i="1"/>
  <c r="P601" i="1"/>
  <c r="P605" i="1"/>
  <c r="P609" i="1"/>
  <c r="P613" i="1"/>
  <c r="P617" i="1"/>
  <c r="P621" i="1"/>
  <c r="P625" i="1"/>
  <c r="P629" i="1"/>
  <c r="P633" i="1"/>
  <c r="P637" i="1"/>
  <c r="P641" i="1"/>
  <c r="P645" i="1"/>
  <c r="P649" i="1"/>
  <c r="P653" i="1"/>
  <c r="P657" i="1"/>
  <c r="P661" i="1"/>
  <c r="P665" i="1"/>
  <c r="P669" i="1"/>
  <c r="P673" i="1"/>
  <c r="P677" i="1"/>
  <c r="P681" i="1"/>
  <c r="P685" i="1"/>
  <c r="P689" i="1"/>
  <c r="P693" i="1"/>
  <c r="P697" i="1"/>
  <c r="P701" i="1"/>
  <c r="P705" i="1"/>
  <c r="P709" i="1"/>
  <c r="P713" i="1"/>
  <c r="P717" i="1"/>
  <c r="P721" i="1"/>
  <c r="P725" i="1"/>
  <c r="P729" i="1"/>
  <c r="P733" i="1"/>
  <c r="P737" i="1"/>
  <c r="P741" i="1"/>
  <c r="P745" i="1"/>
  <c r="P749" i="1"/>
  <c r="P753" i="1"/>
  <c r="P757" i="1"/>
  <c r="P761" i="1"/>
  <c r="P765" i="1"/>
  <c r="P769" i="1"/>
  <c r="P773" i="1"/>
  <c r="P777" i="1"/>
  <c r="P781" i="1"/>
  <c r="P785" i="1"/>
  <c r="P789" i="1"/>
  <c r="P793" i="1"/>
  <c r="P797" i="1"/>
  <c r="P801" i="1"/>
  <c r="P805" i="1"/>
  <c r="P809" i="1"/>
  <c r="P813" i="1"/>
  <c r="P817" i="1"/>
  <c r="P821" i="1"/>
  <c r="P825" i="1"/>
  <c r="P829" i="1"/>
  <c r="P833" i="1"/>
  <c r="P837" i="1"/>
  <c r="P841" i="1"/>
  <c r="P845" i="1"/>
  <c r="P849" i="1"/>
  <c r="P853" i="1"/>
  <c r="P857" i="1"/>
  <c r="P861" i="1"/>
  <c r="P865" i="1"/>
  <c r="P869" i="1"/>
  <c r="P873" i="1"/>
  <c r="P877" i="1"/>
  <c r="P881" i="1"/>
  <c r="P885" i="1"/>
  <c r="P889" i="1"/>
  <c r="P893" i="1"/>
  <c r="P897" i="1"/>
  <c r="P901" i="1"/>
  <c r="P905" i="1"/>
  <c r="P909" i="1"/>
  <c r="P913" i="1"/>
  <c r="P917" i="1"/>
  <c r="P921" i="1"/>
  <c r="P925" i="1"/>
  <c r="P929" i="1"/>
  <c r="P933" i="1"/>
  <c r="P937" i="1"/>
  <c r="P941" i="1"/>
  <c r="P945" i="1"/>
  <c r="R431" i="1"/>
  <c r="R751" i="1"/>
  <c r="Q5" i="1"/>
  <c r="P141" i="1"/>
  <c r="P237" i="1"/>
  <c r="P301" i="1"/>
  <c r="P357" i="1"/>
  <c r="P381" i="1"/>
  <c r="P398" i="1"/>
  <c r="P414" i="1"/>
  <c r="P430" i="1"/>
  <c r="P446" i="1"/>
  <c r="P462" i="1"/>
  <c r="P478" i="1"/>
  <c r="P494" i="1"/>
  <c r="P510" i="1"/>
  <c r="P526" i="1"/>
  <c r="P542" i="1"/>
  <c r="P558" i="1"/>
  <c r="P574" i="1"/>
  <c r="P590" i="1"/>
  <c r="P606" i="1"/>
  <c r="P622" i="1"/>
  <c r="P638" i="1"/>
  <c r="P654" i="1"/>
  <c r="P670" i="1"/>
  <c r="P686" i="1"/>
  <c r="P702" i="1"/>
  <c r="P718" i="1"/>
  <c r="P734" i="1"/>
  <c r="P750" i="1"/>
  <c r="P766" i="1"/>
  <c r="P782" i="1"/>
  <c r="P798" i="1"/>
  <c r="P814" i="1"/>
  <c r="P830" i="1"/>
  <c r="P846" i="1"/>
  <c r="P862" i="1"/>
  <c r="P878" i="1"/>
  <c r="P894" i="1"/>
  <c r="P910" i="1"/>
  <c r="P926" i="1"/>
  <c r="P942" i="1"/>
  <c r="P953" i="1"/>
  <c r="P957" i="1"/>
  <c r="P961" i="1"/>
  <c r="P965" i="1"/>
  <c r="P969" i="1"/>
  <c r="P973" i="1"/>
  <c r="P977" i="1"/>
  <c r="P981" i="1"/>
  <c r="P985" i="1"/>
  <c r="P989" i="1"/>
  <c r="P993" i="1"/>
  <c r="P997" i="1"/>
  <c r="P1001" i="1"/>
  <c r="P1005"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508" i="1"/>
  <c r="Q512"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816" i="1"/>
  <c r="Q820" i="1"/>
  <c r="Q824" i="1"/>
  <c r="Q828" i="1"/>
  <c r="Q832" i="1"/>
  <c r="Q836" i="1"/>
  <c r="Q840" i="1"/>
  <c r="Q844" i="1"/>
  <c r="Q848" i="1"/>
  <c r="Q852" i="1"/>
  <c r="Q856" i="1"/>
  <c r="Q860"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993" i="1"/>
  <c r="Q1001" i="1"/>
  <c r="P221" i="1"/>
  <c r="P522" i="1"/>
  <c r="P570" i="1"/>
  <c r="P618" i="1"/>
  <c r="P666" i="1"/>
  <c r="P730" i="1"/>
  <c r="P778" i="1"/>
  <c r="P810" i="1"/>
  <c r="P858" i="1"/>
  <c r="P906" i="1"/>
  <c r="P950" i="1"/>
  <c r="P964" i="1"/>
  <c r="P976" i="1"/>
  <c r="P988" i="1"/>
  <c r="P1000" i="1"/>
  <c r="Q11" i="1"/>
  <c r="Q23" i="1"/>
  <c r="Q35" i="1"/>
  <c r="Q47" i="1"/>
  <c r="Q59" i="1"/>
  <c r="Q71" i="1"/>
  <c r="Q83" i="1"/>
  <c r="Q99" i="1"/>
  <c r="Q111" i="1"/>
  <c r="Q123" i="1"/>
  <c r="Q135" i="1"/>
  <c r="R559" i="1"/>
  <c r="R815" i="1"/>
  <c r="P45" i="1"/>
  <c r="P173" i="1"/>
  <c r="P253" i="1"/>
  <c r="P317" i="1"/>
  <c r="P365" i="1"/>
  <c r="P386" i="1"/>
  <c r="P402" i="1"/>
  <c r="P418" i="1"/>
  <c r="P434" i="1"/>
  <c r="P450" i="1"/>
  <c r="P466" i="1"/>
  <c r="P482" i="1"/>
  <c r="P498" i="1"/>
  <c r="P514" i="1"/>
  <c r="P530" i="1"/>
  <c r="P546" i="1"/>
  <c r="P562" i="1"/>
  <c r="P578" i="1"/>
  <c r="P594" i="1"/>
  <c r="P610" i="1"/>
  <c r="P626" i="1"/>
  <c r="P642" i="1"/>
  <c r="P658" i="1"/>
  <c r="P674" i="1"/>
  <c r="P690" i="1"/>
  <c r="P706" i="1"/>
  <c r="P722" i="1"/>
  <c r="P738" i="1"/>
  <c r="P754" i="1"/>
  <c r="P770" i="1"/>
  <c r="P786" i="1"/>
  <c r="P802" i="1"/>
  <c r="P818" i="1"/>
  <c r="P834" i="1"/>
  <c r="P850" i="1"/>
  <c r="P866" i="1"/>
  <c r="P882" i="1"/>
  <c r="P898" i="1"/>
  <c r="P914" i="1"/>
  <c r="P930" i="1"/>
  <c r="P946" i="1"/>
  <c r="P954" i="1"/>
  <c r="P958" i="1"/>
  <c r="P962" i="1"/>
  <c r="P966" i="1"/>
  <c r="P970" i="1"/>
  <c r="P974" i="1"/>
  <c r="P978" i="1"/>
  <c r="P982" i="1"/>
  <c r="P986" i="1"/>
  <c r="P990" i="1"/>
  <c r="P994" i="1"/>
  <c r="P998" i="1"/>
  <c r="P100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829" i="1"/>
  <c r="Q833" i="1"/>
  <c r="Q837" i="1"/>
  <c r="Q841" i="1"/>
  <c r="Q845" i="1"/>
  <c r="Q849" i="1"/>
  <c r="Q853" i="1"/>
  <c r="Q857" i="1"/>
  <c r="Q861" i="1"/>
  <c r="Q865" i="1"/>
  <c r="Q869" i="1"/>
  <c r="Q873" i="1"/>
  <c r="Q877" i="1"/>
  <c r="Q881" i="1"/>
  <c r="Q885" i="1"/>
  <c r="Q889" i="1"/>
  <c r="Q893" i="1"/>
  <c r="Q897" i="1"/>
  <c r="Q901" i="1"/>
  <c r="Q905" i="1"/>
  <c r="Q909" i="1"/>
  <c r="Q913" i="1"/>
  <c r="Q917" i="1"/>
  <c r="Q921" i="1"/>
  <c r="Q925" i="1"/>
  <c r="Q929" i="1"/>
  <c r="Q933" i="1"/>
  <c r="Q937" i="1"/>
  <c r="Q941" i="1"/>
  <c r="Q945" i="1"/>
  <c r="Q949" i="1"/>
  <c r="Q953" i="1"/>
  <c r="Q957" i="1"/>
  <c r="Q961" i="1"/>
  <c r="Q965" i="1"/>
  <c r="Q969" i="1"/>
  <c r="Q973" i="1"/>
  <c r="Q977" i="1"/>
  <c r="Q981" i="1"/>
  <c r="Q985" i="1"/>
  <c r="Q989" i="1"/>
  <c r="Q997" i="1"/>
  <c r="Q1005" i="1"/>
  <c r="R943" i="1"/>
  <c r="P394" i="1"/>
  <c r="P426" i="1"/>
  <c r="P458" i="1"/>
  <c r="P506" i="1"/>
  <c r="P554" i="1"/>
  <c r="P602" i="1"/>
  <c r="P650" i="1"/>
  <c r="P698" i="1"/>
  <c r="P762" i="1"/>
  <c r="P826" i="1"/>
  <c r="P874" i="1"/>
  <c r="P922" i="1"/>
  <c r="P956" i="1"/>
  <c r="P968" i="1"/>
  <c r="P984" i="1"/>
  <c r="P992" i="1"/>
  <c r="P1004" i="1"/>
  <c r="Q15" i="1"/>
  <c r="Q27" i="1"/>
  <c r="Q39" i="1"/>
  <c r="Q55" i="1"/>
  <c r="Q67" i="1"/>
  <c r="Q79" i="1"/>
  <c r="Q91" i="1"/>
  <c r="Q103" i="1"/>
  <c r="Q115" i="1"/>
  <c r="Q127" i="1"/>
  <c r="R623" i="1"/>
  <c r="R879" i="1"/>
  <c r="P77" i="1"/>
  <c r="P205" i="1"/>
  <c r="P269" i="1"/>
  <c r="P333" i="1"/>
  <c r="P370" i="1"/>
  <c r="P390" i="1"/>
  <c r="P406" i="1"/>
  <c r="P422" i="1"/>
  <c r="P438" i="1"/>
  <c r="P454" i="1"/>
  <c r="P470" i="1"/>
  <c r="P486" i="1"/>
  <c r="P502" i="1"/>
  <c r="P518" i="1"/>
  <c r="P534" i="1"/>
  <c r="P550" i="1"/>
  <c r="P566" i="1"/>
  <c r="P582" i="1"/>
  <c r="P598" i="1"/>
  <c r="P614" i="1"/>
  <c r="P630" i="1"/>
  <c r="P646" i="1"/>
  <c r="P662" i="1"/>
  <c r="P678" i="1"/>
  <c r="P694" i="1"/>
  <c r="P710" i="1"/>
  <c r="P726" i="1"/>
  <c r="P742" i="1"/>
  <c r="P758" i="1"/>
  <c r="P774" i="1"/>
  <c r="P790" i="1"/>
  <c r="P806" i="1"/>
  <c r="P822" i="1"/>
  <c r="P838" i="1"/>
  <c r="P854" i="1"/>
  <c r="P870" i="1"/>
  <c r="P886" i="1"/>
  <c r="P902" i="1"/>
  <c r="P918" i="1"/>
  <c r="P934" i="1"/>
  <c r="P949" i="1"/>
  <c r="P955" i="1"/>
  <c r="P959" i="1"/>
  <c r="P963" i="1"/>
  <c r="P967" i="1"/>
  <c r="P971" i="1"/>
  <c r="P975" i="1"/>
  <c r="P979" i="1"/>
  <c r="P983" i="1"/>
  <c r="P987" i="1"/>
  <c r="P991" i="1"/>
  <c r="P995" i="1"/>
  <c r="P999" i="1"/>
  <c r="P1003" i="1"/>
  <c r="Q6"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830" i="1"/>
  <c r="Q834" i="1"/>
  <c r="Q838" i="1"/>
  <c r="Q842" i="1"/>
  <c r="Q846" i="1"/>
  <c r="Q850" i="1"/>
  <c r="Q854" i="1"/>
  <c r="Q858" i="1"/>
  <c r="Q862" i="1"/>
  <c r="Q866" i="1"/>
  <c r="Q870" i="1"/>
  <c r="Q874" i="1"/>
  <c r="Q878" i="1"/>
  <c r="Q882" i="1"/>
  <c r="Q886" i="1"/>
  <c r="Q890" i="1"/>
  <c r="Q894" i="1"/>
  <c r="Q898" i="1"/>
  <c r="Q902" i="1"/>
  <c r="Q906" i="1"/>
  <c r="Q910" i="1"/>
  <c r="Q914" i="1"/>
  <c r="Q918" i="1"/>
  <c r="Q922" i="1"/>
  <c r="Q926" i="1"/>
  <c r="Q930" i="1"/>
  <c r="Q934" i="1"/>
  <c r="Q938" i="1"/>
  <c r="Q942" i="1"/>
  <c r="Q946" i="1"/>
  <c r="Q950" i="1"/>
  <c r="Q954" i="1"/>
  <c r="Q958" i="1"/>
  <c r="Q962" i="1"/>
  <c r="Q966" i="1"/>
  <c r="Q970" i="1"/>
  <c r="Q974" i="1"/>
  <c r="Q978" i="1"/>
  <c r="Q982" i="1"/>
  <c r="Q986" i="1"/>
  <c r="Q990" i="1"/>
  <c r="Q994" i="1"/>
  <c r="Q998" i="1"/>
  <c r="Q1002" i="1"/>
  <c r="R687" i="1"/>
  <c r="P109" i="1"/>
  <c r="P285" i="1"/>
  <c r="P345" i="1"/>
  <c r="P376" i="1"/>
  <c r="P410" i="1"/>
  <c r="P442" i="1"/>
  <c r="P474" i="1"/>
  <c r="P490" i="1"/>
  <c r="P538" i="1"/>
  <c r="P586" i="1"/>
  <c r="P634" i="1"/>
  <c r="P682" i="1"/>
  <c r="P714" i="1"/>
  <c r="P746" i="1"/>
  <c r="P794" i="1"/>
  <c r="P842" i="1"/>
  <c r="P890" i="1"/>
  <c r="P938" i="1"/>
  <c r="P960" i="1"/>
  <c r="P972" i="1"/>
  <c r="P980" i="1"/>
  <c r="P996" i="1"/>
  <c r="Q7" i="1"/>
  <c r="Q19" i="1"/>
  <c r="Q31" i="1"/>
  <c r="Q43" i="1"/>
  <c r="Q51" i="1"/>
  <c r="Q63" i="1"/>
  <c r="Q75" i="1"/>
  <c r="Q87" i="1"/>
  <c r="Q95" i="1"/>
  <c r="Q107" i="1"/>
  <c r="Q119" i="1"/>
  <c r="Q131" i="1"/>
  <c r="Q995" i="1"/>
  <c r="Q979" i="1"/>
  <c r="Q963" i="1"/>
  <c r="Q947" i="1"/>
  <c r="Q931" i="1"/>
  <c r="Q915" i="1"/>
  <c r="Q899" i="1"/>
  <c r="Q883" i="1"/>
  <c r="Q867" i="1"/>
  <c r="Q851" i="1"/>
  <c r="Q835" i="1"/>
  <c r="Q819" i="1"/>
  <c r="Q803" i="1"/>
  <c r="Q787" i="1"/>
  <c r="Q771" i="1"/>
  <c r="Q755" i="1"/>
  <c r="Q739" i="1"/>
  <c r="Q723" i="1"/>
  <c r="Q707" i="1"/>
  <c r="Q691" i="1"/>
  <c r="Q675" i="1"/>
  <c r="Q659" i="1"/>
  <c r="Q643" i="1"/>
  <c r="Q627" i="1"/>
  <c r="Q611" i="1"/>
  <c r="Q595" i="1"/>
  <c r="Q579" i="1"/>
  <c r="Q563" i="1"/>
  <c r="Q547" i="1"/>
  <c r="Q531" i="1"/>
  <c r="Q515" i="1"/>
  <c r="Q499" i="1"/>
  <c r="Q483" i="1"/>
  <c r="Q467" i="1"/>
  <c r="Q451" i="1"/>
  <c r="Q435" i="1"/>
  <c r="Q419" i="1"/>
  <c r="Q403" i="1"/>
  <c r="Q387" i="1"/>
  <c r="Q371" i="1"/>
  <c r="Q355" i="1"/>
  <c r="Q339" i="1"/>
  <c r="Q323" i="1"/>
  <c r="Q307" i="1"/>
  <c r="Q291" i="1"/>
  <c r="Q275" i="1"/>
  <c r="Q259" i="1"/>
  <c r="Q243" i="1"/>
  <c r="Q227" i="1"/>
  <c r="Q211" i="1"/>
  <c r="Q195" i="1"/>
  <c r="Q179" i="1"/>
  <c r="Q163" i="1"/>
  <c r="Q147" i="1"/>
  <c r="Q991" i="1"/>
  <c r="Q975" i="1"/>
  <c r="Q959" i="1"/>
  <c r="Q943" i="1"/>
  <c r="Q927" i="1"/>
  <c r="Q911" i="1"/>
  <c r="Q895" i="1"/>
  <c r="Q879" i="1"/>
  <c r="Q863" i="1"/>
  <c r="Q847" i="1"/>
  <c r="Q831" i="1"/>
  <c r="Q815" i="1"/>
  <c r="Q799" i="1"/>
  <c r="Q783" i="1"/>
  <c r="Q767" i="1"/>
  <c r="Q751" i="1"/>
  <c r="Q735" i="1"/>
  <c r="Q719" i="1"/>
  <c r="Q703" i="1"/>
  <c r="Q687" i="1"/>
  <c r="Q671" i="1"/>
  <c r="Q655" i="1"/>
  <c r="Q639" i="1"/>
  <c r="Q623" i="1"/>
  <c r="Q607" i="1"/>
  <c r="Q591" i="1"/>
  <c r="Q575" i="1"/>
  <c r="Q559" i="1"/>
  <c r="Q543" i="1"/>
  <c r="Q527" i="1"/>
  <c r="Q511" i="1"/>
  <c r="Q495" i="1"/>
  <c r="Q479" i="1"/>
  <c r="Q463" i="1"/>
  <c r="Q447" i="1"/>
  <c r="Q431" i="1"/>
  <c r="Q415" i="1"/>
  <c r="Q399" i="1"/>
  <c r="Q383" i="1"/>
  <c r="Q367" i="1"/>
  <c r="Q351" i="1"/>
  <c r="Q335" i="1"/>
  <c r="Q319" i="1"/>
  <c r="Q303" i="1"/>
  <c r="Q287" i="1"/>
  <c r="Q271" i="1"/>
  <c r="Q255" i="1"/>
  <c r="Q239" i="1"/>
  <c r="Q223" i="1"/>
  <c r="Q207" i="1"/>
  <c r="Q191" i="1"/>
  <c r="Q175" i="1"/>
  <c r="Q159" i="1"/>
  <c r="Q143" i="1"/>
  <c r="Q1003" i="1"/>
  <c r="Q987" i="1"/>
  <c r="Q971" i="1"/>
  <c r="Q955" i="1"/>
  <c r="Q939" i="1"/>
  <c r="Q923" i="1"/>
  <c r="Q907" i="1"/>
  <c r="Q891" i="1"/>
  <c r="Q875" i="1"/>
  <c r="Q859" i="1"/>
  <c r="Q843" i="1"/>
  <c r="Q827" i="1"/>
  <c r="Q811" i="1"/>
  <c r="Q795" i="1"/>
  <c r="Q779" i="1"/>
  <c r="Q763" i="1"/>
  <c r="Q747" i="1"/>
  <c r="Q731" i="1"/>
  <c r="Q715" i="1"/>
  <c r="Q699" i="1"/>
  <c r="Q683" i="1"/>
  <c r="Q667" i="1"/>
  <c r="Q651" i="1"/>
  <c r="Q635" i="1"/>
  <c r="Q619" i="1"/>
  <c r="Q603" i="1"/>
  <c r="Q587" i="1"/>
  <c r="Q571" i="1"/>
  <c r="Q555" i="1"/>
  <c r="Q539" i="1"/>
  <c r="Q523" i="1"/>
  <c r="Q507" i="1"/>
  <c r="Q491" i="1"/>
  <c r="Q475" i="1"/>
  <c r="Q459" i="1"/>
  <c r="Q443" i="1"/>
  <c r="Q427" i="1"/>
  <c r="Q411" i="1"/>
  <c r="Q395" i="1"/>
  <c r="Q379" i="1"/>
  <c r="Q363" i="1"/>
  <c r="Q347" i="1"/>
  <c r="Q331" i="1"/>
  <c r="Q315" i="1"/>
  <c r="Q299" i="1"/>
  <c r="Q283" i="1"/>
  <c r="Q267" i="1"/>
  <c r="Q251" i="1"/>
  <c r="Q235" i="1"/>
  <c r="Q219" i="1"/>
  <c r="Q203" i="1"/>
  <c r="Q187" i="1"/>
  <c r="Q171" i="1"/>
  <c r="Q155" i="1"/>
  <c r="Q139" i="1"/>
  <c r="B56" i="51" a="1"/>
  <c r="B56" i="51"/>
  <c r="B66" i="80" a="1"/>
  <c r="B66" i="80"/>
  <c r="D13" i="80"/>
  <c r="A336" i="75"/>
  <c r="A337" i="75"/>
  <c r="A338" i="75"/>
  <c r="A339" i="75"/>
  <c r="A340" i="75"/>
  <c r="A341" i="75"/>
  <c r="A342" i="75"/>
  <c r="A343" i="75"/>
  <c r="A344" i="75"/>
  <c r="A345" i="75"/>
  <c r="A346" i="75"/>
  <c r="A347" i="75"/>
  <c r="A348" i="75"/>
  <c r="A349" i="75"/>
  <c r="A350" i="75" a="1"/>
  <c r="A350" i="75"/>
  <c r="A351" i="75" a="1"/>
  <c r="A351" i="75"/>
  <c r="A352" i="75" a="1"/>
  <c r="A352" i="75"/>
  <c r="A353" i="75" a="1"/>
  <c r="A353" i="75"/>
  <c r="A354" i="75" a="1"/>
  <c r="A354" i="75"/>
  <c r="A355" i="75" a="1"/>
  <c r="A355" i="75"/>
  <c r="A356" i="75" a="1"/>
  <c r="A356" i="75"/>
  <c r="A357" i="75" a="1"/>
  <c r="A357" i="75"/>
  <c r="A358" i="75" a="1"/>
  <c r="A358" i="75"/>
  <c r="A359" i="75" a="1"/>
  <c r="A359" i="75"/>
  <c r="A360" i="75" a="1"/>
  <c r="A360" i="75"/>
  <c r="A361" i="75" a="1"/>
  <c r="A361" i="75"/>
  <c r="A362" i="75" a="1"/>
  <c r="A362" i="75"/>
  <c r="A363" i="75" a="1"/>
  <c r="A363" i="75"/>
  <c r="A364" i="75" a="1"/>
  <c r="A364" i="75"/>
  <c r="A365" i="75" a="1"/>
  <c r="A365" i="75"/>
  <c r="A366" i="75" a="1"/>
  <c r="A366" i="75"/>
  <c r="A367" i="75" a="1"/>
  <c r="A367" i="75"/>
  <c r="A368" i="75" a="1"/>
  <c r="A368" i="75"/>
  <c r="A369" i="75" a="1"/>
  <c r="A369" i="75"/>
  <c r="A370" i="75" a="1"/>
  <c r="A370" i="75"/>
  <c r="A371" i="75" a="1"/>
  <c r="A371" i="75"/>
  <c r="A372" i="75" a="1"/>
  <c r="A372" i="75"/>
  <c r="A373" i="75" a="1"/>
  <c r="A373" i="75"/>
  <c r="A374" i="75" a="1"/>
  <c r="A374" i="75"/>
  <c r="A375" i="75" a="1"/>
  <c r="A375" i="75"/>
  <c r="A376" i="75" a="1"/>
  <c r="A376" i="75"/>
  <c r="A377" i="75" a="1"/>
  <c r="A377" i="75"/>
  <c r="A378" i="75" a="1"/>
  <c r="A378" i="75"/>
  <c r="A379" i="75" a="1"/>
  <c r="A379" i="75"/>
  <c r="A380" i="75" a="1"/>
  <c r="A380" i="75"/>
  <c r="A381" i="75" a="1"/>
  <c r="A381" i="75"/>
  <c r="A382" i="75" a="1"/>
  <c r="A382" i="75"/>
  <c r="A383" i="75" a="1"/>
  <c r="A383" i="75"/>
  <c r="A384" i="75" a="1"/>
  <c r="A384" i="75"/>
  <c r="A385" i="75" a="1"/>
  <c r="A385" i="75"/>
  <c r="C66" i="80"/>
  <c r="B67" i="80" a="1"/>
  <c r="B67" i="80"/>
  <c r="B68" i="80" a="1"/>
  <c r="B68" i="80"/>
  <c r="C68" i="80"/>
  <c r="C56" i="51"/>
  <c r="B57" i="51" a="1"/>
  <c r="B57" i="51"/>
  <c r="D7" i="61"/>
  <c r="D6" i="61"/>
  <c r="C6" i="61"/>
  <c r="D5" i="61"/>
  <c r="C5" i="61"/>
  <c r="D4" i="61"/>
  <c r="C4" i="61"/>
  <c r="D2" i="61"/>
  <c r="D7" i="60"/>
  <c r="D6" i="60"/>
  <c r="C6" i="60"/>
  <c r="D5" i="60"/>
  <c r="C5" i="60"/>
  <c r="D4" i="60"/>
  <c r="C4" i="60"/>
  <c r="D2" i="60"/>
  <c r="B58" i="51" a="1"/>
  <c r="B58" i="51"/>
  <c r="B69" i="80" a="1"/>
  <c r="B69" i="80"/>
  <c r="C57" i="51"/>
  <c r="C67" i="80"/>
  <c r="C6" i="51"/>
  <c r="C5" i="51"/>
  <c r="C4" i="51"/>
  <c r="D6" i="51"/>
  <c r="D5" i="51"/>
  <c r="D4" i="51"/>
  <c r="B59" i="51" a="1"/>
  <c r="B59" i="51"/>
  <c r="C58" i="51"/>
  <c r="B70" i="80" a="1"/>
  <c r="B70" i="80"/>
  <c r="C69" i="80"/>
  <c r="AA2" i="1"/>
  <c r="D13" i="61"/>
  <c r="D13" i="60"/>
  <c r="D12" i="51"/>
  <c r="D41" i="15"/>
  <c r="D40" i="15"/>
  <c r="D39" i="15"/>
  <c r="D38" i="15"/>
  <c r="D37" i="15"/>
  <c r="D36" i="15"/>
  <c r="C70" i="80"/>
  <c r="B71" i="80" a="1"/>
  <c r="B71" i="80"/>
  <c r="B72" i="80" a="1"/>
  <c r="B72" i="80"/>
  <c r="C72" i="80"/>
  <c r="C59" i="51"/>
  <c r="B60" i="51" a="1"/>
  <c r="B60" i="51"/>
  <c r="B61" i="51" a="1"/>
  <c r="B61" i="51"/>
  <c r="C61" i="51"/>
  <c r="D34" i="15"/>
  <c r="B73" i="80" a="1"/>
  <c r="B73" i="80"/>
  <c r="C73" i="80"/>
  <c r="C71" i="80"/>
  <c r="C60" i="51"/>
  <c r="B62" i="51" a="1"/>
  <c r="B62" i="51"/>
  <c r="L3" i="20"/>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 i="20"/>
  <c r="D35" i="15"/>
  <c r="D33" i="15"/>
  <c r="B74" i="80" a="1"/>
  <c r="B74" i="80"/>
  <c r="C74" i="80"/>
  <c r="C62" i="51"/>
  <c r="B63" i="51" a="1"/>
  <c r="B63" i="51"/>
  <c r="B75" i="80" a="1"/>
  <c r="B75" i="80"/>
  <c r="C75" i="80"/>
  <c r="C63" i="51"/>
  <c r="B64" i="51" a="1"/>
  <c r="B64" i="51"/>
  <c r="J1005" i="1"/>
  <c r="BU13" i="1"/>
  <c r="BU22" i="1"/>
  <c r="BU26" i="1"/>
  <c r="BU33" i="1"/>
  <c r="BU42" i="1"/>
  <c r="BU62" i="1"/>
  <c r="BU65" i="1"/>
  <c r="BU70" i="1"/>
  <c r="BU74" i="1"/>
  <c r="BU93" i="1"/>
  <c r="BU105" i="1"/>
  <c r="BU113" i="1"/>
  <c r="BU118" i="1"/>
  <c r="BU121" i="1"/>
  <c r="BU122" i="1"/>
  <c r="BU125" i="1"/>
  <c r="BU126" i="1"/>
  <c r="BU133" i="1"/>
  <c r="BU137" i="1"/>
  <c r="BU141" i="1"/>
  <c r="BU146" i="1"/>
  <c r="BU149" i="1"/>
  <c r="BU153" i="1"/>
  <c r="BU157" i="1"/>
  <c r="BU162" i="1"/>
  <c r="BU169" i="1"/>
  <c r="BU173" i="1"/>
  <c r="BU185" i="1"/>
  <c r="BU186" i="1"/>
  <c r="BU193" i="1"/>
  <c r="BU197" i="1"/>
  <c r="BU202" i="1"/>
  <c r="BU209" i="1"/>
  <c r="BU217" i="1"/>
  <c r="BU229" i="1"/>
  <c r="BU230" i="1"/>
  <c r="BU233" i="1"/>
  <c r="BU249" i="1"/>
  <c r="BU257" i="1"/>
  <c r="BU261" i="1"/>
  <c r="BU262" i="1"/>
  <c r="BU265" i="1"/>
  <c r="BU269" i="1"/>
  <c r="BU273" i="1"/>
  <c r="BU277" i="1"/>
  <c r="BU282" i="1"/>
  <c r="BU285" i="1"/>
  <c r="BU286" i="1"/>
  <c r="BU293" i="1"/>
  <c r="BU302" i="1"/>
  <c r="BU305" i="1"/>
  <c r="BU309" i="1"/>
  <c r="BU313" i="1"/>
  <c r="BU321" i="1"/>
  <c r="BU325" i="1"/>
  <c r="BU329" i="1"/>
  <c r="BU333" i="1"/>
  <c r="BU337" i="1"/>
  <c r="BU341" i="1"/>
  <c r="BU346" i="1"/>
  <c r="BU353" i="1"/>
  <c r="BU357" i="1"/>
  <c r="BU365" i="1"/>
  <c r="BU366" i="1"/>
  <c r="BU385" i="1"/>
  <c r="BU390" i="1"/>
  <c r="BU393" i="1"/>
  <c r="BU397" i="1"/>
  <c r="BU406" i="1"/>
  <c r="BU409" i="1"/>
  <c r="BU417" i="1"/>
  <c r="BU421" i="1"/>
  <c r="BU422" i="1"/>
  <c r="BU425" i="1"/>
  <c r="BU437" i="1"/>
  <c r="BU445" i="1"/>
  <c r="BU462" i="1"/>
  <c r="BU465" i="1"/>
  <c r="BU469" i="1"/>
  <c r="BU470" i="1"/>
  <c r="BU473" i="1"/>
  <c r="BU481" i="1"/>
  <c r="BU485" i="1"/>
  <c r="BU489" i="1"/>
  <c r="BU497" i="1"/>
  <c r="BU498" i="1"/>
  <c r="BU513" i="1"/>
  <c r="BU517" i="1"/>
  <c r="BU525" i="1"/>
  <c r="BU526" i="1"/>
  <c r="BU533" i="1"/>
  <c r="BU537" i="1"/>
  <c r="BU541" i="1"/>
  <c r="BU542" i="1"/>
  <c r="BU545" i="1"/>
  <c r="BU550" i="1"/>
  <c r="BU553" i="1"/>
  <c r="BU557" i="1"/>
  <c r="BU565" i="1"/>
  <c r="BU566" i="1"/>
  <c r="BU574" i="1"/>
  <c r="BU577" i="1"/>
  <c r="BU581" i="1"/>
  <c r="BU582" i="1"/>
  <c r="BU594" i="1"/>
  <c r="BU597" i="1"/>
  <c r="BU602" i="1"/>
  <c r="BU605" i="1"/>
  <c r="BU609" i="1"/>
  <c r="BU610" i="1"/>
  <c r="BU613" i="1"/>
  <c r="BU614" i="1"/>
  <c r="BU618" i="1"/>
  <c r="BU621" i="1"/>
  <c r="BU625" i="1"/>
  <c r="BU629" i="1"/>
  <c r="BU633" i="1"/>
  <c r="BU645" i="1"/>
  <c r="BU650" i="1"/>
  <c r="BU653" i="1"/>
  <c r="BU661" i="1"/>
  <c r="BU670" i="1"/>
  <c r="BU673" i="1"/>
  <c r="BU689" i="1"/>
  <c r="BU697" i="1"/>
  <c r="BU701" i="1"/>
  <c r="BU713" i="1"/>
  <c r="BU717" i="1"/>
  <c r="BU725" i="1"/>
  <c r="BU729" i="1"/>
  <c r="BU733" i="1"/>
  <c r="BU741" i="1"/>
  <c r="BU745" i="1"/>
  <c r="BU750" i="1"/>
  <c r="BU753" i="1"/>
  <c r="BU754" i="1"/>
  <c r="BU765" i="1"/>
  <c r="BU766" i="1"/>
  <c r="BU769" i="1"/>
  <c r="BU773" i="1"/>
  <c r="BU781" i="1"/>
  <c r="BU785" i="1"/>
  <c r="BU789" i="1"/>
  <c r="BU797" i="1"/>
  <c r="BU801" i="1"/>
  <c r="BU802" i="1"/>
  <c r="BU805" i="1"/>
  <c r="BU817" i="1"/>
  <c r="BU818" i="1"/>
  <c r="BU821" i="1"/>
  <c r="BU829" i="1"/>
  <c r="BU833" i="1"/>
  <c r="BU837" i="1"/>
  <c r="BU841" i="1"/>
  <c r="BU845" i="1"/>
  <c r="BU849" i="1"/>
  <c r="BU853" i="1"/>
  <c r="BU857" i="1"/>
  <c r="BU862" i="1"/>
  <c r="BU877" i="1"/>
  <c r="BU881" i="1"/>
  <c r="BU885" i="1"/>
  <c r="BU889" i="1"/>
  <c r="BU893" i="1"/>
  <c r="BU897" i="1"/>
  <c r="BU905" i="1"/>
  <c r="BU909" i="1"/>
  <c r="BU913" i="1"/>
  <c r="BU917" i="1"/>
  <c r="BU922" i="1"/>
  <c r="BU925" i="1"/>
  <c r="BU933" i="1"/>
  <c r="BU945" i="1"/>
  <c r="BU950" i="1"/>
  <c r="BU953" i="1"/>
  <c r="BU957" i="1"/>
  <c r="BU966" i="1"/>
  <c r="BU969" i="1"/>
  <c r="BU977" i="1"/>
  <c r="BU981" i="1"/>
  <c r="BU982" i="1"/>
  <c r="BU985" i="1"/>
  <c r="BU990" i="1"/>
  <c r="BU5" i="1"/>
  <c r="BH6" i="1"/>
  <c r="BH7" i="1"/>
  <c r="BH9" i="1"/>
  <c r="BH10" i="1"/>
  <c r="BH11" i="1"/>
  <c r="BH13" i="1"/>
  <c r="BH14" i="1"/>
  <c r="BH15" i="1"/>
  <c r="BH17" i="1"/>
  <c r="BH18" i="1"/>
  <c r="BH19" i="1"/>
  <c r="BH21" i="1"/>
  <c r="BH22" i="1"/>
  <c r="BH23" i="1"/>
  <c r="BH25" i="1"/>
  <c r="BH26" i="1"/>
  <c r="BH27" i="1"/>
  <c r="BH29" i="1"/>
  <c r="BH30" i="1"/>
  <c r="BH31" i="1"/>
  <c r="BH33" i="1"/>
  <c r="BH34" i="1"/>
  <c r="BH37" i="1"/>
  <c r="BH38" i="1"/>
  <c r="BH39" i="1"/>
  <c r="BH41" i="1"/>
  <c r="BH42" i="1"/>
  <c r="BH43" i="1"/>
  <c r="BH45" i="1"/>
  <c r="BH46" i="1"/>
  <c r="BH47" i="1"/>
  <c r="BH49" i="1"/>
  <c r="BH50" i="1"/>
  <c r="BH51" i="1"/>
  <c r="BH53" i="1"/>
  <c r="BH54" i="1"/>
  <c r="BH55" i="1"/>
  <c r="BH57" i="1"/>
  <c r="BH58" i="1"/>
  <c r="BH59" i="1"/>
  <c r="BH61" i="1"/>
  <c r="BH62" i="1"/>
  <c r="BH63" i="1"/>
  <c r="BH65" i="1"/>
  <c r="BH66" i="1"/>
  <c r="BH67" i="1"/>
  <c r="BH69" i="1"/>
  <c r="BH70" i="1"/>
  <c r="BH71" i="1"/>
  <c r="BH73" i="1"/>
  <c r="BH74" i="1"/>
  <c r="BH75" i="1"/>
  <c r="BH77" i="1"/>
  <c r="BH78" i="1"/>
  <c r="BH79" i="1"/>
  <c r="BH81" i="1"/>
  <c r="BH82" i="1"/>
  <c r="BH83" i="1"/>
  <c r="BH85" i="1"/>
  <c r="BH86" i="1"/>
  <c r="BH87" i="1"/>
  <c r="BH89" i="1"/>
  <c r="BH90" i="1"/>
  <c r="BH91" i="1"/>
  <c r="BH93" i="1"/>
  <c r="BH94" i="1"/>
  <c r="BH95" i="1"/>
  <c r="BH97" i="1"/>
  <c r="BH98" i="1"/>
  <c r="BH99" i="1"/>
  <c r="BH101" i="1"/>
  <c r="BH102" i="1"/>
  <c r="BH103" i="1"/>
  <c r="BH105" i="1"/>
  <c r="BH106" i="1"/>
  <c r="BH107" i="1"/>
  <c r="BH109" i="1"/>
  <c r="BH110" i="1"/>
  <c r="BH111" i="1"/>
  <c r="BH113" i="1"/>
  <c r="BH114" i="1"/>
  <c r="BH115" i="1"/>
  <c r="BH117" i="1"/>
  <c r="BH118" i="1"/>
  <c r="BH119" i="1"/>
  <c r="BH121" i="1"/>
  <c r="BH122" i="1"/>
  <c r="BH123" i="1"/>
  <c r="BH125" i="1"/>
  <c r="BH126" i="1"/>
  <c r="BH127" i="1"/>
  <c r="BH129" i="1"/>
  <c r="BH130" i="1"/>
  <c r="BH131" i="1"/>
  <c r="BH133" i="1"/>
  <c r="BH134" i="1"/>
  <c r="BH135" i="1"/>
  <c r="BH137" i="1"/>
  <c r="BH138" i="1"/>
  <c r="BH139" i="1"/>
  <c r="BH141" i="1"/>
  <c r="BH142" i="1"/>
  <c r="BH143" i="1"/>
  <c r="BH145" i="1"/>
  <c r="BH146" i="1"/>
  <c r="BH147" i="1"/>
  <c r="BH149" i="1"/>
  <c r="BH150" i="1"/>
  <c r="BH151" i="1"/>
  <c r="BH153" i="1"/>
  <c r="BH154" i="1"/>
  <c r="BH155" i="1"/>
  <c r="BH157" i="1"/>
  <c r="BH158" i="1"/>
  <c r="BH159" i="1"/>
  <c r="BH161" i="1"/>
  <c r="BH162" i="1"/>
  <c r="BH163" i="1"/>
  <c r="BH165" i="1"/>
  <c r="BH166" i="1"/>
  <c r="BH167" i="1"/>
  <c r="BH169" i="1"/>
  <c r="BH170" i="1"/>
  <c r="BH171" i="1"/>
  <c r="BH173" i="1"/>
  <c r="BH174" i="1"/>
  <c r="BH175" i="1"/>
  <c r="BH177" i="1"/>
  <c r="BH178" i="1"/>
  <c r="BH179" i="1"/>
  <c r="BH181" i="1"/>
  <c r="BH182" i="1"/>
  <c r="BH183" i="1"/>
  <c r="BH185" i="1"/>
  <c r="BH186" i="1"/>
  <c r="BH187" i="1"/>
  <c r="BH189" i="1"/>
  <c r="BH190" i="1"/>
  <c r="BH191" i="1"/>
  <c r="BH193" i="1"/>
  <c r="BH194" i="1"/>
  <c r="BH195" i="1"/>
  <c r="BH197" i="1"/>
  <c r="BH198" i="1"/>
  <c r="BH199" i="1"/>
  <c r="BH201" i="1"/>
  <c r="BH202" i="1"/>
  <c r="BH203" i="1"/>
  <c r="BH205" i="1"/>
  <c r="BH206" i="1"/>
  <c r="BH207" i="1"/>
  <c r="BH209" i="1"/>
  <c r="BH210" i="1"/>
  <c r="BH211" i="1"/>
  <c r="BH213" i="1"/>
  <c r="BH214" i="1"/>
  <c r="BH215" i="1"/>
  <c r="BH217" i="1"/>
  <c r="BH218" i="1"/>
  <c r="BH219" i="1"/>
  <c r="BH221" i="1"/>
  <c r="BH222" i="1"/>
  <c r="BH223" i="1"/>
  <c r="BH225" i="1"/>
  <c r="BH226" i="1"/>
  <c r="BH227" i="1"/>
  <c r="BH229" i="1"/>
  <c r="BH230" i="1"/>
  <c r="BH231" i="1"/>
  <c r="BH233" i="1"/>
  <c r="BH234" i="1"/>
  <c r="BH235" i="1"/>
  <c r="BH237" i="1"/>
  <c r="BH238" i="1"/>
  <c r="BH239" i="1"/>
  <c r="BH241" i="1"/>
  <c r="BH242" i="1"/>
  <c r="BH243" i="1"/>
  <c r="BH245" i="1"/>
  <c r="BH246" i="1"/>
  <c r="BH247" i="1"/>
  <c r="BH249" i="1"/>
  <c r="BH250" i="1"/>
  <c r="BH251" i="1"/>
  <c r="BH253" i="1"/>
  <c r="BH254" i="1"/>
  <c r="BH255" i="1"/>
  <c r="BH257" i="1"/>
  <c r="BH258" i="1"/>
  <c r="BH259" i="1"/>
  <c r="BH261" i="1"/>
  <c r="BH262" i="1"/>
  <c r="BH263" i="1"/>
  <c r="BH265" i="1"/>
  <c r="BH266" i="1"/>
  <c r="BH267" i="1"/>
  <c r="BH269" i="1"/>
  <c r="BH270" i="1"/>
  <c r="BH271" i="1"/>
  <c r="BH273" i="1"/>
  <c r="BH274" i="1"/>
  <c r="BH275" i="1"/>
  <c r="BH277" i="1"/>
  <c r="BH278" i="1"/>
  <c r="BH279" i="1"/>
  <c r="BH281" i="1"/>
  <c r="BH282" i="1"/>
  <c r="BH283" i="1"/>
  <c r="BH285" i="1"/>
  <c r="BH286" i="1"/>
  <c r="BH287" i="1"/>
  <c r="BH289" i="1"/>
  <c r="BH290" i="1"/>
  <c r="BH291" i="1"/>
  <c r="BH293" i="1"/>
  <c r="BH294" i="1"/>
  <c r="BH295" i="1"/>
  <c r="BH297" i="1"/>
  <c r="BH298" i="1"/>
  <c r="BH299" i="1"/>
  <c r="BH301" i="1"/>
  <c r="BH302" i="1"/>
  <c r="BH303" i="1"/>
  <c r="BH305" i="1"/>
  <c r="BH306" i="1"/>
  <c r="BH307" i="1"/>
  <c r="BH309" i="1"/>
  <c r="BH310" i="1"/>
  <c r="BH311" i="1"/>
  <c r="BH313" i="1"/>
  <c r="BH314" i="1"/>
  <c r="BH315" i="1"/>
  <c r="BH317" i="1"/>
  <c r="BH318" i="1"/>
  <c r="BH319" i="1"/>
  <c r="BH321" i="1"/>
  <c r="BH322" i="1"/>
  <c r="BH323" i="1"/>
  <c r="BH325" i="1"/>
  <c r="BH326" i="1"/>
  <c r="BH327" i="1"/>
  <c r="BH329" i="1"/>
  <c r="BH330" i="1"/>
  <c r="BH331" i="1"/>
  <c r="BH333" i="1"/>
  <c r="BH334" i="1"/>
  <c r="BH335" i="1"/>
  <c r="BH337" i="1"/>
  <c r="BH338" i="1"/>
  <c r="BH339" i="1"/>
  <c r="BH341" i="1"/>
  <c r="BH342" i="1"/>
  <c r="BH343" i="1"/>
  <c r="BH345" i="1"/>
  <c r="BH346" i="1"/>
  <c r="BH347" i="1"/>
  <c r="BH349" i="1"/>
  <c r="BH350" i="1"/>
  <c r="BH351" i="1"/>
  <c r="BH353" i="1"/>
  <c r="BH354" i="1"/>
  <c r="BH355" i="1"/>
  <c r="BH357" i="1"/>
  <c r="BH358" i="1"/>
  <c r="BH359" i="1"/>
  <c r="BH361" i="1"/>
  <c r="BH362" i="1"/>
  <c r="BH363" i="1"/>
  <c r="BH365" i="1"/>
  <c r="BH366" i="1"/>
  <c r="BH367" i="1"/>
  <c r="BH369" i="1"/>
  <c r="BH370" i="1"/>
  <c r="BH371" i="1"/>
  <c r="BH373" i="1"/>
  <c r="BH374" i="1"/>
  <c r="BH375" i="1"/>
  <c r="BH377" i="1"/>
  <c r="BH378" i="1"/>
  <c r="BH379" i="1"/>
  <c r="BH381" i="1"/>
  <c r="BH382" i="1"/>
  <c r="BH383" i="1"/>
  <c r="BH385" i="1"/>
  <c r="BH386" i="1"/>
  <c r="BH387" i="1"/>
  <c r="BH389" i="1"/>
  <c r="BH390" i="1"/>
  <c r="BH391" i="1"/>
  <c r="BH393" i="1"/>
  <c r="BH394" i="1"/>
  <c r="BH395" i="1"/>
  <c r="BH397" i="1"/>
  <c r="BH398" i="1"/>
  <c r="BH399" i="1"/>
  <c r="BH401" i="1"/>
  <c r="BH402" i="1"/>
  <c r="BH403" i="1"/>
  <c r="BH405" i="1"/>
  <c r="BH406" i="1"/>
  <c r="BH407" i="1"/>
  <c r="BH409" i="1"/>
  <c r="BH410" i="1"/>
  <c r="BH411" i="1"/>
  <c r="BH413" i="1"/>
  <c r="BH414" i="1"/>
  <c r="BH415" i="1"/>
  <c r="BH417" i="1"/>
  <c r="BH418" i="1"/>
  <c r="BH419" i="1"/>
  <c r="BH421" i="1"/>
  <c r="BH422" i="1"/>
  <c r="BH423" i="1"/>
  <c r="BH425" i="1"/>
  <c r="BH426" i="1"/>
  <c r="BH427" i="1"/>
  <c r="BH429" i="1"/>
  <c r="BH430" i="1"/>
  <c r="BH431" i="1"/>
  <c r="BH433" i="1"/>
  <c r="BH434" i="1"/>
  <c r="BH435" i="1"/>
  <c r="BH437" i="1"/>
  <c r="BH438" i="1"/>
  <c r="BH439" i="1"/>
  <c r="BH441" i="1"/>
  <c r="BH442" i="1"/>
  <c r="BH443" i="1"/>
  <c r="BH445" i="1"/>
  <c r="BH446" i="1"/>
  <c r="BH447" i="1"/>
  <c r="BH449" i="1"/>
  <c r="BH450" i="1"/>
  <c r="BH451" i="1"/>
  <c r="BH453" i="1"/>
  <c r="BH454" i="1"/>
  <c r="BH455" i="1"/>
  <c r="BH457" i="1"/>
  <c r="BH458" i="1"/>
  <c r="BH459" i="1"/>
  <c r="BH461" i="1"/>
  <c r="BH462" i="1"/>
  <c r="BH463" i="1"/>
  <c r="BH465" i="1"/>
  <c r="BH466" i="1"/>
  <c r="BH467" i="1"/>
  <c r="BH469" i="1"/>
  <c r="BH470" i="1"/>
  <c r="BH471" i="1"/>
  <c r="BH473" i="1"/>
  <c r="BH474" i="1"/>
  <c r="BH475" i="1"/>
  <c r="BH477" i="1"/>
  <c r="BH478" i="1"/>
  <c r="BH479" i="1"/>
  <c r="BH481" i="1"/>
  <c r="BH482" i="1"/>
  <c r="BH483" i="1"/>
  <c r="BH485" i="1"/>
  <c r="BH486" i="1"/>
  <c r="BH487" i="1"/>
  <c r="BH489" i="1"/>
  <c r="BH490" i="1"/>
  <c r="BH491" i="1"/>
  <c r="BH493" i="1"/>
  <c r="BH494" i="1"/>
  <c r="BH495" i="1"/>
  <c r="BH497" i="1"/>
  <c r="BH498" i="1"/>
  <c r="BH499" i="1"/>
  <c r="BH501" i="1"/>
  <c r="BH502" i="1"/>
  <c r="BH503" i="1"/>
  <c r="BH505" i="1"/>
  <c r="BH506" i="1"/>
  <c r="BH507" i="1"/>
  <c r="BH509" i="1"/>
  <c r="BH510" i="1"/>
  <c r="BH511" i="1"/>
  <c r="BH513" i="1"/>
  <c r="BH514" i="1"/>
  <c r="BH515" i="1"/>
  <c r="BH517" i="1"/>
  <c r="BH518" i="1"/>
  <c r="BH519" i="1"/>
  <c r="BH521" i="1"/>
  <c r="BH522" i="1"/>
  <c r="BH523" i="1"/>
  <c r="BH525" i="1"/>
  <c r="BH526" i="1"/>
  <c r="BH527" i="1"/>
  <c r="BH529" i="1"/>
  <c r="BH530" i="1"/>
  <c r="BH531" i="1"/>
  <c r="BH533" i="1"/>
  <c r="BH534" i="1"/>
  <c r="BH535" i="1"/>
  <c r="BH537" i="1"/>
  <c r="BH538" i="1"/>
  <c r="BH539" i="1"/>
  <c r="BH541" i="1"/>
  <c r="BH542" i="1"/>
  <c r="BH543" i="1"/>
  <c r="BH545" i="1"/>
  <c r="BH546" i="1"/>
  <c r="BH547" i="1"/>
  <c r="BH549" i="1"/>
  <c r="BH550" i="1"/>
  <c r="BH551" i="1"/>
  <c r="BH553" i="1"/>
  <c r="BH554" i="1"/>
  <c r="BH555" i="1"/>
  <c r="BH557" i="1"/>
  <c r="BH558" i="1"/>
  <c r="BH559" i="1"/>
  <c r="BH561" i="1"/>
  <c r="BH562" i="1"/>
  <c r="BH563" i="1"/>
  <c r="BH565" i="1"/>
  <c r="BH566" i="1"/>
  <c r="BH567" i="1"/>
  <c r="BH569" i="1"/>
  <c r="BH570" i="1"/>
  <c r="BH571" i="1"/>
  <c r="BH573" i="1"/>
  <c r="BH574" i="1"/>
  <c r="BH575" i="1"/>
  <c r="BH577" i="1"/>
  <c r="BH578" i="1"/>
  <c r="BH579" i="1"/>
  <c r="BH581" i="1"/>
  <c r="BH582" i="1"/>
  <c r="BH583" i="1"/>
  <c r="BH585" i="1"/>
  <c r="BH586" i="1"/>
  <c r="BH587" i="1"/>
  <c r="BH589" i="1"/>
  <c r="BH590" i="1"/>
  <c r="BH591" i="1"/>
  <c r="BH593" i="1"/>
  <c r="BH594" i="1"/>
  <c r="BH595" i="1"/>
  <c r="BH597" i="1"/>
  <c r="BH598" i="1"/>
  <c r="BH599" i="1"/>
  <c r="BH601" i="1"/>
  <c r="BH602" i="1"/>
  <c r="BH603" i="1"/>
  <c r="BH605" i="1"/>
  <c r="BH606" i="1"/>
  <c r="BH607" i="1"/>
  <c r="BH609" i="1"/>
  <c r="BH610" i="1"/>
  <c r="BH611" i="1"/>
  <c r="BH613" i="1"/>
  <c r="BH614" i="1"/>
  <c r="BH615" i="1"/>
  <c r="BH617" i="1"/>
  <c r="BH618" i="1"/>
  <c r="BH619" i="1"/>
  <c r="BH621" i="1"/>
  <c r="BH622" i="1"/>
  <c r="BH623" i="1"/>
  <c r="BH625" i="1"/>
  <c r="BH626" i="1"/>
  <c r="BH627" i="1"/>
  <c r="BH629" i="1"/>
  <c r="BH630" i="1"/>
  <c r="BH631" i="1"/>
  <c r="BH633" i="1"/>
  <c r="BH634" i="1"/>
  <c r="BH635" i="1"/>
  <c r="BH637" i="1"/>
  <c r="BH638" i="1"/>
  <c r="BH639" i="1"/>
  <c r="BH641" i="1"/>
  <c r="BH642" i="1"/>
  <c r="BH643" i="1"/>
  <c r="BH645" i="1"/>
  <c r="BH646" i="1"/>
  <c r="BH647" i="1"/>
  <c r="BH649" i="1"/>
  <c r="BH650" i="1"/>
  <c r="BH651" i="1"/>
  <c r="BH653" i="1"/>
  <c r="BH654" i="1"/>
  <c r="BH655" i="1"/>
  <c r="BH657" i="1"/>
  <c r="BH658" i="1"/>
  <c r="BH659" i="1"/>
  <c r="BH661" i="1"/>
  <c r="BH662" i="1"/>
  <c r="BH663" i="1"/>
  <c r="BH665" i="1"/>
  <c r="BH666" i="1"/>
  <c r="BH667" i="1"/>
  <c r="BH669" i="1"/>
  <c r="BH670" i="1"/>
  <c r="BH671" i="1"/>
  <c r="BH673" i="1"/>
  <c r="BH674" i="1"/>
  <c r="BH675" i="1"/>
  <c r="BH677" i="1"/>
  <c r="BH678" i="1"/>
  <c r="BH679" i="1"/>
  <c r="BH681" i="1"/>
  <c r="BH682" i="1"/>
  <c r="BH683" i="1"/>
  <c r="BH685" i="1"/>
  <c r="BH686" i="1"/>
  <c r="BH687" i="1"/>
  <c r="BH689" i="1"/>
  <c r="BH690" i="1"/>
  <c r="BH691" i="1"/>
  <c r="BH693" i="1"/>
  <c r="BH694" i="1"/>
  <c r="BH695" i="1"/>
  <c r="BH697" i="1"/>
  <c r="BH698" i="1"/>
  <c r="BH699" i="1"/>
  <c r="BH701" i="1"/>
  <c r="BH702" i="1"/>
  <c r="BH703" i="1"/>
  <c r="BH705" i="1"/>
  <c r="BH706" i="1"/>
  <c r="BH707" i="1"/>
  <c r="BH709" i="1"/>
  <c r="BH710" i="1"/>
  <c r="BH711" i="1"/>
  <c r="BH713" i="1"/>
  <c r="BH714" i="1"/>
  <c r="BH715" i="1"/>
  <c r="BH717" i="1"/>
  <c r="BH718" i="1"/>
  <c r="BH719" i="1"/>
  <c r="BH721" i="1"/>
  <c r="BH722" i="1"/>
  <c r="BH723" i="1"/>
  <c r="BH725" i="1"/>
  <c r="BH726" i="1"/>
  <c r="BH727" i="1"/>
  <c r="BH729" i="1"/>
  <c r="BH730" i="1"/>
  <c r="BH731" i="1"/>
  <c r="BH733" i="1"/>
  <c r="BH734" i="1"/>
  <c r="BH735" i="1"/>
  <c r="BH737" i="1"/>
  <c r="BH738" i="1"/>
  <c r="BH739" i="1"/>
  <c r="BH741" i="1"/>
  <c r="BH742" i="1"/>
  <c r="BH743" i="1"/>
  <c r="BH745" i="1"/>
  <c r="BH746" i="1"/>
  <c r="BH747" i="1"/>
  <c r="BH749" i="1"/>
  <c r="BH750" i="1"/>
  <c r="BH751" i="1"/>
  <c r="BH753" i="1"/>
  <c r="BH754" i="1"/>
  <c r="BH755" i="1"/>
  <c r="BH757" i="1"/>
  <c r="BH758" i="1"/>
  <c r="BH759" i="1"/>
  <c r="BH761" i="1"/>
  <c r="BH762" i="1"/>
  <c r="BH763" i="1"/>
  <c r="BH765" i="1"/>
  <c r="BH766" i="1"/>
  <c r="BH767" i="1"/>
  <c r="BH770" i="1"/>
  <c r="BH771" i="1"/>
  <c r="BH773" i="1"/>
  <c r="BH774" i="1"/>
  <c r="BH775" i="1"/>
  <c r="BH777" i="1"/>
  <c r="BH778" i="1"/>
  <c r="BH779" i="1"/>
  <c r="BH781" i="1"/>
  <c r="BH782" i="1"/>
  <c r="BH783" i="1"/>
  <c r="BH785" i="1"/>
  <c r="BH786" i="1"/>
  <c r="BH787" i="1"/>
  <c r="BH789" i="1"/>
  <c r="BH790" i="1"/>
  <c r="BH791" i="1"/>
  <c r="BH793" i="1"/>
  <c r="BH794" i="1"/>
  <c r="BH795" i="1"/>
  <c r="BH797" i="1"/>
  <c r="BH798" i="1"/>
  <c r="BH799" i="1"/>
  <c r="BH801" i="1"/>
  <c r="BH802" i="1"/>
  <c r="BH803" i="1"/>
  <c r="BH805" i="1"/>
  <c r="BH806" i="1"/>
  <c r="BH807" i="1"/>
  <c r="BH809" i="1"/>
  <c r="BH810" i="1"/>
  <c r="BH811" i="1"/>
  <c r="BH813" i="1"/>
  <c r="BH814" i="1"/>
  <c r="BH815" i="1"/>
  <c r="BH817" i="1"/>
  <c r="BH818" i="1"/>
  <c r="BH819" i="1"/>
  <c r="BH821" i="1"/>
  <c r="BH822" i="1"/>
  <c r="BH823" i="1"/>
  <c r="BH825" i="1"/>
  <c r="BH826" i="1"/>
  <c r="BH827" i="1"/>
  <c r="BH829" i="1"/>
  <c r="BH831" i="1"/>
  <c r="BH833" i="1"/>
  <c r="BH834" i="1"/>
  <c r="BH835" i="1"/>
  <c r="BH837" i="1"/>
  <c r="BH838" i="1"/>
  <c r="BH839" i="1"/>
  <c r="BH841" i="1"/>
  <c r="BH842" i="1"/>
  <c r="BH843" i="1"/>
  <c r="BH845" i="1"/>
  <c r="BH846" i="1"/>
  <c r="BH847" i="1"/>
  <c r="BH849" i="1"/>
  <c r="BH850" i="1"/>
  <c r="BH851" i="1"/>
  <c r="BH853" i="1"/>
  <c r="BH854" i="1"/>
  <c r="BH855" i="1"/>
  <c r="BH857" i="1"/>
  <c r="BH858" i="1"/>
  <c r="BH859" i="1"/>
  <c r="BH861" i="1"/>
  <c r="BH862" i="1"/>
  <c r="BH863" i="1"/>
  <c r="BH865" i="1"/>
  <c r="BH866" i="1"/>
  <c r="BH867" i="1"/>
  <c r="BH869" i="1"/>
  <c r="BH870" i="1"/>
  <c r="BH871" i="1"/>
  <c r="BH873" i="1"/>
  <c r="BH874" i="1"/>
  <c r="BH875" i="1"/>
  <c r="BH877" i="1"/>
  <c r="BH878" i="1"/>
  <c r="BH879" i="1"/>
  <c r="BH881" i="1"/>
  <c r="BH882" i="1"/>
  <c r="BH883" i="1"/>
  <c r="BH885" i="1"/>
  <c r="BH886" i="1"/>
  <c r="BH887" i="1"/>
  <c r="BH889" i="1"/>
  <c r="BH890" i="1"/>
  <c r="BH891" i="1"/>
  <c r="BH893" i="1"/>
  <c r="BH894" i="1"/>
  <c r="BH895" i="1"/>
  <c r="BH897" i="1"/>
  <c r="BH898" i="1"/>
  <c r="BH899" i="1"/>
  <c r="BH901" i="1"/>
  <c r="BH902" i="1"/>
  <c r="BH903" i="1"/>
  <c r="BH905" i="1"/>
  <c r="BH906" i="1"/>
  <c r="BH907" i="1"/>
  <c r="BH909" i="1"/>
  <c r="BH910" i="1"/>
  <c r="BH911" i="1"/>
  <c r="BH913" i="1"/>
  <c r="BH914" i="1"/>
  <c r="BH915" i="1"/>
  <c r="BH917" i="1"/>
  <c r="BH918" i="1"/>
  <c r="BH919" i="1"/>
  <c r="BH921" i="1"/>
  <c r="BH922" i="1"/>
  <c r="BH923" i="1"/>
  <c r="BH925" i="1"/>
  <c r="BH926" i="1"/>
  <c r="BH927" i="1"/>
  <c r="BH929" i="1"/>
  <c r="BH930" i="1"/>
  <c r="BH931" i="1"/>
  <c r="BH933" i="1"/>
  <c r="BH934" i="1"/>
  <c r="BH935" i="1"/>
  <c r="BH937" i="1"/>
  <c r="BH938" i="1"/>
  <c r="BH939" i="1"/>
  <c r="BH941" i="1"/>
  <c r="BH942" i="1"/>
  <c r="BH943" i="1"/>
  <c r="BH945" i="1"/>
  <c r="BH946" i="1"/>
  <c r="BH947" i="1"/>
  <c r="BH949" i="1"/>
  <c r="BH950" i="1"/>
  <c r="BH951" i="1"/>
  <c r="BH953" i="1"/>
  <c r="BH954" i="1"/>
  <c r="BH955" i="1"/>
  <c r="BH957" i="1"/>
  <c r="BH958" i="1"/>
  <c r="BH959" i="1"/>
  <c r="BH961" i="1"/>
  <c r="BH962" i="1"/>
  <c r="BH963" i="1"/>
  <c r="BH965" i="1"/>
  <c r="BH966" i="1"/>
  <c r="BH967" i="1"/>
  <c r="BH969" i="1"/>
  <c r="BH970" i="1"/>
  <c r="BH971" i="1"/>
  <c r="BH973" i="1"/>
  <c r="BH974" i="1"/>
  <c r="BH975" i="1"/>
  <c r="BH977" i="1"/>
  <c r="BH978" i="1"/>
  <c r="BH979" i="1"/>
  <c r="BH981" i="1"/>
  <c r="BH982" i="1"/>
  <c r="BH983" i="1"/>
  <c r="BH985" i="1"/>
  <c r="BH986" i="1"/>
  <c r="BH987" i="1"/>
  <c r="BH989" i="1"/>
  <c r="BH990" i="1"/>
  <c r="BH991" i="1"/>
  <c r="BH993" i="1"/>
  <c r="BH994" i="1"/>
  <c r="BH995" i="1"/>
  <c r="BH997" i="1"/>
  <c r="BH998" i="1"/>
  <c r="BH999" i="1"/>
  <c r="BH1001" i="1"/>
  <c r="BH1002" i="1"/>
  <c r="BH1003" i="1"/>
  <c r="BH5" i="1"/>
  <c r="AU6" i="1"/>
  <c r="AU7" i="1"/>
  <c r="AU9" i="1"/>
  <c r="AU10" i="1"/>
  <c r="AU11" i="1"/>
  <c r="AU13" i="1"/>
  <c r="AU14" i="1"/>
  <c r="AU15" i="1"/>
  <c r="AU17" i="1"/>
  <c r="AU18" i="1"/>
  <c r="AU19" i="1"/>
  <c r="AU21" i="1"/>
  <c r="AU22" i="1"/>
  <c r="AU23" i="1"/>
  <c r="AU25" i="1"/>
  <c r="AU26" i="1"/>
  <c r="AU27" i="1"/>
  <c r="AU29" i="1"/>
  <c r="AU30" i="1"/>
  <c r="AU31" i="1"/>
  <c r="AU33" i="1"/>
  <c r="AU34" i="1"/>
  <c r="AU35" i="1"/>
  <c r="AU37" i="1"/>
  <c r="AU38" i="1"/>
  <c r="AU39" i="1"/>
  <c r="AU41" i="1"/>
  <c r="AU42" i="1"/>
  <c r="AU43" i="1"/>
  <c r="AU45" i="1"/>
  <c r="AU46" i="1"/>
  <c r="AU47" i="1"/>
  <c r="AU49" i="1"/>
  <c r="AU50" i="1"/>
  <c r="AU51" i="1"/>
  <c r="AU53" i="1"/>
  <c r="AU54" i="1"/>
  <c r="AU55" i="1"/>
  <c r="AU57" i="1"/>
  <c r="AU58" i="1"/>
  <c r="AU59" i="1"/>
  <c r="AU61" i="1"/>
  <c r="AU62" i="1"/>
  <c r="AU63" i="1"/>
  <c r="AU65" i="1"/>
  <c r="AU66" i="1"/>
  <c r="AU67" i="1"/>
  <c r="AU69" i="1"/>
  <c r="AU70" i="1"/>
  <c r="AU71" i="1"/>
  <c r="AU73" i="1"/>
  <c r="AU74" i="1"/>
  <c r="AU75" i="1"/>
  <c r="AU77" i="1"/>
  <c r="AU78" i="1"/>
  <c r="AU79" i="1"/>
  <c r="AU81" i="1"/>
  <c r="AU82" i="1"/>
  <c r="AU83" i="1"/>
  <c r="AU85" i="1"/>
  <c r="AU86" i="1"/>
  <c r="AU87" i="1"/>
  <c r="AU89" i="1"/>
  <c r="AU90" i="1"/>
  <c r="AU91" i="1"/>
  <c r="AU93" i="1"/>
  <c r="AU94" i="1"/>
  <c r="AU95" i="1"/>
  <c r="AU97" i="1"/>
  <c r="AU98" i="1"/>
  <c r="AU99" i="1"/>
  <c r="AU101" i="1"/>
  <c r="AU102" i="1"/>
  <c r="AU103" i="1"/>
  <c r="AU105" i="1"/>
  <c r="AU106" i="1"/>
  <c r="AU107" i="1"/>
  <c r="AU109" i="1"/>
  <c r="AU110" i="1"/>
  <c r="AU111" i="1"/>
  <c r="AU113" i="1"/>
  <c r="AU114" i="1"/>
  <c r="AU115" i="1"/>
  <c r="AU117" i="1"/>
  <c r="AU118" i="1"/>
  <c r="AU119" i="1"/>
  <c r="AU121" i="1"/>
  <c r="AU122" i="1"/>
  <c r="AU123" i="1"/>
  <c r="AU125" i="1"/>
  <c r="AU126" i="1"/>
  <c r="AU129" i="1"/>
  <c r="AU130" i="1"/>
  <c r="AU131" i="1"/>
  <c r="AU133" i="1"/>
  <c r="AU134" i="1"/>
  <c r="AU135" i="1"/>
  <c r="AU137" i="1"/>
  <c r="AU138" i="1"/>
  <c r="AU139" i="1"/>
  <c r="AU141" i="1"/>
  <c r="AU142" i="1"/>
  <c r="AU143" i="1"/>
  <c r="AU145" i="1"/>
  <c r="AU146" i="1"/>
  <c r="AU147" i="1"/>
  <c r="AU149" i="1"/>
  <c r="AU150" i="1"/>
  <c r="AU151" i="1"/>
  <c r="AU153" i="1"/>
  <c r="AU154" i="1"/>
  <c r="AU155" i="1"/>
  <c r="AU157" i="1"/>
  <c r="AU158" i="1"/>
  <c r="AU159" i="1"/>
  <c r="AU161" i="1"/>
  <c r="AU162" i="1"/>
  <c r="AU163" i="1"/>
  <c r="AU165" i="1"/>
  <c r="AU166" i="1"/>
  <c r="AU167" i="1"/>
  <c r="AU169" i="1"/>
  <c r="AU170" i="1"/>
  <c r="AU171" i="1"/>
  <c r="AU173" i="1"/>
  <c r="AU174" i="1"/>
  <c r="AU175" i="1"/>
  <c r="AU177" i="1"/>
  <c r="AU178" i="1"/>
  <c r="AU179" i="1"/>
  <c r="AU181" i="1"/>
  <c r="AU182" i="1"/>
  <c r="AU183" i="1"/>
  <c r="AU185" i="1"/>
  <c r="AU186" i="1"/>
  <c r="AU187" i="1"/>
  <c r="AU189" i="1"/>
  <c r="AU190" i="1"/>
  <c r="AU191" i="1"/>
  <c r="AU193" i="1"/>
  <c r="AU194" i="1"/>
  <c r="AU195" i="1"/>
  <c r="AU197" i="1"/>
  <c r="AU198" i="1"/>
  <c r="AU199" i="1"/>
  <c r="AU201" i="1"/>
  <c r="AU202" i="1"/>
  <c r="AU203" i="1"/>
  <c r="AU205" i="1"/>
  <c r="AU206" i="1"/>
  <c r="AU207" i="1"/>
  <c r="AU209" i="1"/>
  <c r="AU210" i="1"/>
  <c r="AU211" i="1"/>
  <c r="AU213" i="1"/>
  <c r="AU214" i="1"/>
  <c r="AU215" i="1"/>
  <c r="AU217" i="1"/>
  <c r="AU218" i="1"/>
  <c r="AU219" i="1"/>
  <c r="AU221" i="1"/>
  <c r="AU222" i="1"/>
  <c r="AU223" i="1"/>
  <c r="AU225" i="1"/>
  <c r="AU226" i="1"/>
  <c r="AU227" i="1"/>
  <c r="AU229" i="1"/>
  <c r="AU230" i="1"/>
  <c r="AU231" i="1"/>
  <c r="AU233" i="1"/>
  <c r="AU234" i="1"/>
  <c r="AU235" i="1"/>
  <c r="AU237" i="1"/>
  <c r="AU238" i="1"/>
  <c r="AU239" i="1"/>
  <c r="AU241" i="1"/>
  <c r="AU242" i="1"/>
  <c r="AU243" i="1"/>
  <c r="AU245" i="1"/>
  <c r="AU246" i="1"/>
  <c r="AU247" i="1"/>
  <c r="AU249" i="1"/>
  <c r="AU250" i="1"/>
  <c r="AU251" i="1"/>
  <c r="AU253" i="1"/>
  <c r="AU254" i="1"/>
  <c r="AU255" i="1"/>
  <c r="AU257" i="1"/>
  <c r="AU258" i="1"/>
  <c r="AU259" i="1"/>
  <c r="AU261" i="1"/>
  <c r="AU262" i="1"/>
  <c r="AU263" i="1"/>
  <c r="AU265" i="1"/>
  <c r="AU266" i="1"/>
  <c r="AU267" i="1"/>
  <c r="AU269" i="1"/>
  <c r="AU270" i="1"/>
  <c r="AU271" i="1"/>
  <c r="AU273" i="1"/>
  <c r="AU274" i="1"/>
  <c r="AU275" i="1"/>
  <c r="AU277" i="1"/>
  <c r="AU278" i="1"/>
  <c r="AU279" i="1"/>
  <c r="AU281" i="1"/>
  <c r="AU282" i="1"/>
  <c r="AU283" i="1"/>
  <c r="AU285" i="1"/>
  <c r="AU286" i="1"/>
  <c r="AU287" i="1"/>
  <c r="AU289" i="1"/>
  <c r="AU290" i="1"/>
  <c r="AU291" i="1"/>
  <c r="AU293" i="1"/>
  <c r="AU294" i="1"/>
  <c r="AU295" i="1"/>
  <c r="AU297" i="1"/>
  <c r="AU298" i="1"/>
  <c r="AU299" i="1"/>
  <c r="AU301" i="1"/>
  <c r="AU302" i="1"/>
  <c r="AU303" i="1"/>
  <c r="AU305" i="1"/>
  <c r="AU306" i="1"/>
  <c r="AU307" i="1"/>
  <c r="AU309" i="1"/>
  <c r="AU310" i="1"/>
  <c r="AU311" i="1"/>
  <c r="AU313" i="1"/>
  <c r="AU314" i="1"/>
  <c r="AU315" i="1"/>
  <c r="AU317" i="1"/>
  <c r="AU318" i="1"/>
  <c r="AU319" i="1"/>
  <c r="AU321" i="1"/>
  <c r="AU322" i="1"/>
  <c r="AU323" i="1"/>
  <c r="AU325" i="1"/>
  <c r="AU326" i="1"/>
  <c r="AU327" i="1"/>
  <c r="AU329" i="1"/>
  <c r="AU330" i="1"/>
  <c r="AU331" i="1"/>
  <c r="AU333" i="1"/>
  <c r="AU334" i="1"/>
  <c r="AU335" i="1"/>
  <c r="AU337" i="1"/>
  <c r="AU338" i="1"/>
  <c r="AU339" i="1"/>
  <c r="AU341" i="1"/>
  <c r="AU342" i="1"/>
  <c r="AU343" i="1"/>
  <c r="AU345" i="1"/>
  <c r="AU346" i="1"/>
  <c r="AU347" i="1"/>
  <c r="AU349" i="1"/>
  <c r="AU350" i="1"/>
  <c r="AU351" i="1"/>
  <c r="AU353" i="1"/>
  <c r="AU354" i="1"/>
  <c r="AU355" i="1"/>
  <c r="AU357" i="1"/>
  <c r="AU358" i="1"/>
  <c r="AU359" i="1"/>
  <c r="AU361" i="1"/>
  <c r="AU362" i="1"/>
  <c r="AU363" i="1"/>
  <c r="AU365" i="1"/>
  <c r="AU366" i="1"/>
  <c r="AU367" i="1"/>
  <c r="AU369" i="1"/>
  <c r="AU370" i="1"/>
  <c r="AU371" i="1"/>
  <c r="AU373" i="1"/>
  <c r="AU374" i="1"/>
  <c r="AU375" i="1"/>
  <c r="AU377" i="1"/>
  <c r="AU378" i="1"/>
  <c r="AU379" i="1"/>
  <c r="AU381" i="1"/>
  <c r="AU382" i="1"/>
  <c r="AU383" i="1"/>
  <c r="AU385" i="1"/>
  <c r="AU386" i="1"/>
  <c r="AU387" i="1"/>
  <c r="AU389" i="1"/>
  <c r="AU390" i="1"/>
  <c r="AU391" i="1"/>
  <c r="AU393" i="1"/>
  <c r="AU394" i="1"/>
  <c r="AU395" i="1"/>
  <c r="AU397" i="1"/>
  <c r="AU398" i="1"/>
  <c r="AU399" i="1"/>
  <c r="AU401" i="1"/>
  <c r="AU402" i="1"/>
  <c r="AU403" i="1"/>
  <c r="AU405" i="1"/>
  <c r="AU406" i="1"/>
  <c r="AU407" i="1"/>
  <c r="AU409" i="1"/>
  <c r="AU410" i="1"/>
  <c r="AU411" i="1"/>
  <c r="AU413" i="1"/>
  <c r="AU414" i="1"/>
  <c r="AU415" i="1"/>
  <c r="AU417" i="1"/>
  <c r="AU418" i="1"/>
  <c r="AU419" i="1"/>
  <c r="AU421" i="1"/>
  <c r="AU422" i="1"/>
  <c r="AU423" i="1"/>
  <c r="AU425" i="1"/>
  <c r="AU426" i="1"/>
  <c r="AU427" i="1"/>
  <c r="AU429" i="1"/>
  <c r="AU430" i="1"/>
  <c r="AU431" i="1"/>
  <c r="AU433" i="1"/>
  <c r="AU434" i="1"/>
  <c r="AU435" i="1"/>
  <c r="AU437" i="1"/>
  <c r="AU438" i="1"/>
  <c r="AU439" i="1"/>
  <c r="AU441" i="1"/>
  <c r="AU442" i="1"/>
  <c r="AU443" i="1"/>
  <c r="AU445" i="1"/>
  <c r="AU446" i="1"/>
  <c r="AU447" i="1"/>
  <c r="AU449" i="1"/>
  <c r="AU450" i="1"/>
  <c r="AU451" i="1"/>
  <c r="AU453" i="1"/>
  <c r="AU454" i="1"/>
  <c r="AU455" i="1"/>
  <c r="AU457" i="1"/>
  <c r="AU458" i="1"/>
  <c r="AU459" i="1"/>
  <c r="AU461" i="1"/>
  <c r="AU462" i="1"/>
  <c r="AU463" i="1"/>
  <c r="AU465" i="1"/>
  <c r="AU466" i="1"/>
  <c r="AU467" i="1"/>
  <c r="AU469" i="1"/>
  <c r="AU470" i="1"/>
  <c r="AU471" i="1"/>
  <c r="AU473" i="1"/>
  <c r="AU474" i="1"/>
  <c r="AU475" i="1"/>
  <c r="AU477" i="1"/>
  <c r="AU478" i="1"/>
  <c r="AU479" i="1"/>
  <c r="AU481" i="1"/>
  <c r="AU482" i="1"/>
  <c r="AU483" i="1"/>
  <c r="AU485" i="1"/>
  <c r="AU486" i="1"/>
  <c r="AU487" i="1"/>
  <c r="AU489" i="1"/>
  <c r="AU490" i="1"/>
  <c r="AU491" i="1"/>
  <c r="AU493" i="1"/>
  <c r="AU494" i="1"/>
  <c r="AU495" i="1"/>
  <c r="AU497" i="1"/>
  <c r="AU498" i="1"/>
  <c r="AU499" i="1"/>
  <c r="AU501" i="1"/>
  <c r="AU502" i="1"/>
  <c r="AU503" i="1"/>
  <c r="AU505" i="1"/>
  <c r="AU506" i="1"/>
  <c r="AU507" i="1"/>
  <c r="AU509" i="1"/>
  <c r="AU510" i="1"/>
  <c r="AU511" i="1"/>
  <c r="AU513" i="1"/>
  <c r="AU514" i="1"/>
  <c r="AU515" i="1"/>
  <c r="AU517" i="1"/>
  <c r="AU518" i="1"/>
  <c r="AU519" i="1"/>
  <c r="AU521" i="1"/>
  <c r="AU522" i="1"/>
  <c r="AU523" i="1"/>
  <c r="AU525" i="1"/>
  <c r="AU526" i="1"/>
  <c r="AU527" i="1"/>
  <c r="AU529" i="1"/>
  <c r="AU530" i="1"/>
  <c r="AU531" i="1"/>
  <c r="AU533" i="1"/>
  <c r="AU534" i="1"/>
  <c r="AU535" i="1"/>
  <c r="AU537" i="1"/>
  <c r="AU538" i="1"/>
  <c r="AU539" i="1"/>
  <c r="AU541" i="1"/>
  <c r="AU542" i="1"/>
  <c r="AU543" i="1"/>
  <c r="AU545" i="1"/>
  <c r="AU546" i="1"/>
  <c r="AU547" i="1"/>
  <c r="AU550" i="1"/>
  <c r="AU551" i="1"/>
  <c r="AU553" i="1"/>
  <c r="AU554" i="1"/>
  <c r="AU555" i="1"/>
  <c r="AU557" i="1"/>
  <c r="AU558" i="1"/>
  <c r="AU559" i="1"/>
  <c r="AU561" i="1"/>
  <c r="AU562" i="1"/>
  <c r="AU563" i="1"/>
  <c r="AU565" i="1"/>
  <c r="AU566" i="1"/>
  <c r="AU567" i="1"/>
  <c r="AU569" i="1"/>
  <c r="AU570" i="1"/>
  <c r="AU571" i="1"/>
  <c r="AU573" i="1"/>
  <c r="AU574" i="1"/>
  <c r="AU575" i="1"/>
  <c r="AU577" i="1"/>
  <c r="AU578" i="1"/>
  <c r="AU579" i="1"/>
  <c r="AU581" i="1"/>
  <c r="AU582" i="1"/>
  <c r="AU583" i="1"/>
  <c r="AU585" i="1"/>
  <c r="AU586" i="1"/>
  <c r="AU587" i="1"/>
  <c r="AU589" i="1"/>
  <c r="AU590" i="1"/>
  <c r="AU591" i="1"/>
  <c r="AU593" i="1"/>
  <c r="AU594" i="1"/>
  <c r="AU595" i="1"/>
  <c r="AU597" i="1"/>
  <c r="AU598" i="1"/>
  <c r="AU599" i="1"/>
  <c r="AU601" i="1"/>
  <c r="AU602" i="1"/>
  <c r="AU603" i="1"/>
  <c r="AU605" i="1"/>
  <c r="AU606" i="1"/>
  <c r="AU607" i="1"/>
  <c r="AU609" i="1"/>
  <c r="AU610" i="1"/>
  <c r="AU611" i="1"/>
  <c r="AU613" i="1"/>
  <c r="AU614" i="1"/>
  <c r="AU615" i="1"/>
  <c r="AU617" i="1"/>
  <c r="AU618" i="1"/>
  <c r="AU619" i="1"/>
  <c r="AU621" i="1"/>
  <c r="AU622" i="1"/>
  <c r="AU623" i="1"/>
  <c r="AU625" i="1"/>
  <c r="AU626" i="1"/>
  <c r="AU627" i="1"/>
  <c r="AU629" i="1"/>
  <c r="AU630" i="1"/>
  <c r="AU631" i="1"/>
  <c r="AU633" i="1"/>
  <c r="AU634" i="1"/>
  <c r="AU635" i="1"/>
  <c r="AU637" i="1"/>
  <c r="AU638" i="1"/>
  <c r="AU639" i="1"/>
  <c r="AU641" i="1"/>
  <c r="AU642" i="1"/>
  <c r="AU643" i="1"/>
  <c r="AU645" i="1"/>
  <c r="AU646" i="1"/>
  <c r="AU647" i="1"/>
  <c r="AU649" i="1"/>
  <c r="AU650" i="1"/>
  <c r="AU651" i="1"/>
  <c r="AU653" i="1"/>
  <c r="AU654" i="1"/>
  <c r="AU655" i="1"/>
  <c r="AU657" i="1"/>
  <c r="AU658" i="1"/>
  <c r="AU659" i="1"/>
  <c r="AU661" i="1"/>
  <c r="AU662" i="1"/>
  <c r="AU663" i="1"/>
  <c r="AU665" i="1"/>
  <c r="AU666" i="1"/>
  <c r="AU667" i="1"/>
  <c r="AU669" i="1"/>
  <c r="AU670" i="1"/>
  <c r="AU671" i="1"/>
  <c r="AU673" i="1"/>
  <c r="AU674" i="1"/>
  <c r="AU675" i="1"/>
  <c r="AU677" i="1"/>
  <c r="AU678" i="1"/>
  <c r="AU679" i="1"/>
  <c r="AU681" i="1"/>
  <c r="AU682" i="1"/>
  <c r="AU683" i="1"/>
  <c r="AU685" i="1"/>
  <c r="AU686" i="1"/>
  <c r="AU687" i="1"/>
  <c r="AU689" i="1"/>
  <c r="AU690" i="1"/>
  <c r="AU691" i="1"/>
  <c r="AU693" i="1"/>
  <c r="AU694" i="1"/>
  <c r="AU695" i="1"/>
  <c r="AU697" i="1"/>
  <c r="AU698" i="1"/>
  <c r="AU699" i="1"/>
  <c r="AU701" i="1"/>
  <c r="AU702" i="1"/>
  <c r="AU703" i="1"/>
  <c r="AU705" i="1"/>
  <c r="AU706" i="1"/>
  <c r="AU707" i="1"/>
  <c r="AU709" i="1"/>
  <c r="AU710" i="1"/>
  <c r="AU711" i="1"/>
  <c r="AU713" i="1"/>
  <c r="AU714" i="1"/>
  <c r="AU715" i="1"/>
  <c r="AU717" i="1"/>
  <c r="AU718" i="1"/>
  <c r="AU719" i="1"/>
  <c r="AU721" i="1"/>
  <c r="AU722" i="1"/>
  <c r="AU723" i="1"/>
  <c r="AU725" i="1"/>
  <c r="AU726" i="1"/>
  <c r="AU727" i="1"/>
  <c r="AU729" i="1"/>
  <c r="AU730" i="1"/>
  <c r="AU731" i="1"/>
  <c r="AU733" i="1"/>
  <c r="AU734" i="1"/>
  <c r="AU735" i="1"/>
  <c r="AU737" i="1"/>
  <c r="AU738" i="1"/>
  <c r="AU739" i="1"/>
  <c r="AU741" i="1"/>
  <c r="AU742" i="1"/>
  <c r="AU743" i="1"/>
  <c r="AU745" i="1"/>
  <c r="AU746" i="1"/>
  <c r="AU747" i="1"/>
  <c r="AU749" i="1"/>
  <c r="AU750" i="1"/>
  <c r="AU751" i="1"/>
  <c r="AU753" i="1"/>
  <c r="AU754" i="1"/>
  <c r="AU755" i="1"/>
  <c r="AU757" i="1"/>
  <c r="AU758" i="1"/>
  <c r="AU759" i="1"/>
  <c r="AU761" i="1"/>
  <c r="AU762" i="1"/>
  <c r="AU763" i="1"/>
  <c r="AU765" i="1"/>
  <c r="AU766" i="1"/>
  <c r="AU767" i="1"/>
  <c r="AU769" i="1"/>
  <c r="AU770" i="1"/>
  <c r="AU771" i="1"/>
  <c r="AU773" i="1"/>
  <c r="AU774" i="1"/>
  <c r="AU775" i="1"/>
  <c r="AU777" i="1"/>
  <c r="AU778" i="1"/>
  <c r="AU779" i="1"/>
  <c r="AU781" i="1"/>
  <c r="AU782" i="1"/>
  <c r="AU783" i="1"/>
  <c r="AU785" i="1"/>
  <c r="AU786" i="1"/>
  <c r="AU787" i="1"/>
  <c r="AU789" i="1"/>
  <c r="AU790" i="1"/>
  <c r="AU791" i="1"/>
  <c r="AU793" i="1"/>
  <c r="AU794" i="1"/>
  <c r="AU795" i="1"/>
  <c r="AU797" i="1"/>
  <c r="AU798" i="1"/>
  <c r="AU799" i="1"/>
  <c r="AU801" i="1"/>
  <c r="AU802" i="1"/>
  <c r="AU803" i="1"/>
  <c r="AU805" i="1"/>
  <c r="AU806" i="1"/>
  <c r="AU809" i="1"/>
  <c r="AU810" i="1"/>
  <c r="AU811" i="1"/>
  <c r="AU813" i="1"/>
  <c r="AU814" i="1"/>
  <c r="AU815" i="1"/>
  <c r="AU817" i="1"/>
  <c r="AU818" i="1"/>
  <c r="AU819" i="1"/>
  <c r="AU821" i="1"/>
  <c r="AU822" i="1"/>
  <c r="AU823" i="1"/>
  <c r="AU825" i="1"/>
  <c r="AU826" i="1"/>
  <c r="AU827" i="1"/>
  <c r="AU829" i="1"/>
  <c r="AU830" i="1"/>
  <c r="AU831" i="1"/>
  <c r="AU833" i="1"/>
  <c r="AU834" i="1"/>
  <c r="AU835" i="1"/>
  <c r="AU837" i="1"/>
  <c r="AU838" i="1"/>
  <c r="AU839" i="1"/>
  <c r="AU841" i="1"/>
  <c r="AU842" i="1"/>
  <c r="AU843" i="1"/>
  <c r="AU845" i="1"/>
  <c r="AU846" i="1"/>
  <c r="AU847" i="1"/>
  <c r="AU849" i="1"/>
  <c r="AU850" i="1"/>
  <c r="AU851" i="1"/>
  <c r="AU853" i="1"/>
  <c r="AU854" i="1"/>
  <c r="AU855" i="1"/>
  <c r="AU857" i="1"/>
  <c r="AU858" i="1"/>
  <c r="AU859" i="1"/>
  <c r="AU861" i="1"/>
  <c r="AU862" i="1"/>
  <c r="AU863" i="1"/>
  <c r="AU865" i="1"/>
  <c r="AU866" i="1"/>
  <c r="AU867" i="1"/>
  <c r="AU869" i="1"/>
  <c r="AU870" i="1"/>
  <c r="AU871" i="1"/>
  <c r="AU873" i="1"/>
  <c r="AU874" i="1"/>
  <c r="AU875" i="1"/>
  <c r="AU877" i="1"/>
  <c r="AU878" i="1"/>
  <c r="AU879" i="1"/>
  <c r="AU881" i="1"/>
  <c r="AU882" i="1"/>
  <c r="AU883" i="1"/>
  <c r="AU885" i="1"/>
  <c r="AU886" i="1"/>
  <c r="AU887" i="1"/>
  <c r="AU889" i="1"/>
  <c r="AU890" i="1"/>
  <c r="AU891" i="1"/>
  <c r="AU893" i="1"/>
  <c r="AU894" i="1"/>
  <c r="AU895" i="1"/>
  <c r="AU897" i="1"/>
  <c r="AU898" i="1"/>
  <c r="AU899" i="1"/>
  <c r="AU901" i="1"/>
  <c r="AU902" i="1"/>
  <c r="AU903" i="1"/>
  <c r="AU905" i="1"/>
  <c r="AU906" i="1"/>
  <c r="AU907" i="1"/>
  <c r="AU909" i="1"/>
  <c r="AU910" i="1"/>
  <c r="AU911" i="1"/>
  <c r="AU913" i="1"/>
  <c r="AU914" i="1"/>
  <c r="AU915" i="1"/>
  <c r="AU917" i="1"/>
  <c r="AU918" i="1"/>
  <c r="AU919" i="1"/>
  <c r="AU921" i="1"/>
  <c r="AU922" i="1"/>
  <c r="AU923" i="1"/>
  <c r="AU925" i="1"/>
  <c r="AU926" i="1"/>
  <c r="AU927" i="1"/>
  <c r="AU929" i="1"/>
  <c r="AU930" i="1"/>
  <c r="AU931" i="1"/>
  <c r="AU933" i="1"/>
  <c r="AU934" i="1"/>
  <c r="AU935" i="1"/>
  <c r="AU937" i="1"/>
  <c r="AU938" i="1"/>
  <c r="AU939" i="1"/>
  <c r="AU941" i="1"/>
  <c r="AU942" i="1"/>
  <c r="AU943" i="1"/>
  <c r="AU945" i="1"/>
  <c r="AU946" i="1"/>
  <c r="AU947" i="1"/>
  <c r="AU949" i="1"/>
  <c r="AU950" i="1"/>
  <c r="AU951" i="1"/>
  <c r="AU953" i="1"/>
  <c r="AU954" i="1"/>
  <c r="AU955" i="1"/>
  <c r="AU957" i="1"/>
  <c r="AU958" i="1"/>
  <c r="AU959" i="1"/>
  <c r="AU961" i="1"/>
  <c r="AU962" i="1"/>
  <c r="AU963" i="1"/>
  <c r="AU965" i="1"/>
  <c r="AU966" i="1"/>
  <c r="AU967" i="1"/>
  <c r="AU969" i="1"/>
  <c r="AU970" i="1"/>
  <c r="AU971" i="1"/>
  <c r="AU973" i="1"/>
  <c r="AU974" i="1"/>
  <c r="AU975" i="1"/>
  <c r="AU977" i="1"/>
  <c r="AU978" i="1"/>
  <c r="AU979" i="1"/>
  <c r="AU981" i="1"/>
  <c r="AU982" i="1"/>
  <c r="AU983" i="1"/>
  <c r="AU985" i="1"/>
  <c r="AU986" i="1"/>
  <c r="AU987" i="1"/>
  <c r="AU989" i="1"/>
  <c r="AU990" i="1"/>
  <c r="AU991" i="1"/>
  <c r="AU993" i="1"/>
  <c r="AU994" i="1"/>
  <c r="AU995" i="1"/>
  <c r="AU997" i="1"/>
  <c r="AU998" i="1"/>
  <c r="AU999" i="1"/>
  <c r="AU1001" i="1"/>
  <c r="AU1002" i="1"/>
  <c r="AU1003" i="1"/>
  <c r="AU5" i="1"/>
  <c r="AH8" i="1"/>
  <c r="AH12" i="1"/>
  <c r="AH16" i="1"/>
  <c r="AH20" i="1"/>
  <c r="AH24" i="1"/>
  <c r="AH28" i="1"/>
  <c r="AH32" i="1"/>
  <c r="AH36" i="1"/>
  <c r="AH40" i="1"/>
  <c r="AH44" i="1"/>
  <c r="AH48" i="1"/>
  <c r="AH52" i="1"/>
  <c r="AH56" i="1"/>
  <c r="AH60" i="1"/>
  <c r="AH64" i="1"/>
  <c r="AH68" i="1"/>
  <c r="AH72" i="1"/>
  <c r="AH76" i="1"/>
  <c r="AH80" i="1"/>
  <c r="AH84" i="1"/>
  <c r="AH88" i="1"/>
  <c r="AH92" i="1"/>
  <c r="AH96" i="1"/>
  <c r="AH100" i="1"/>
  <c r="AH104" i="1"/>
  <c r="AH108" i="1"/>
  <c r="AH112" i="1"/>
  <c r="AH116" i="1"/>
  <c r="AH120" i="1"/>
  <c r="AH124" i="1"/>
  <c r="AH128" i="1"/>
  <c r="AH132" i="1"/>
  <c r="AH136" i="1"/>
  <c r="AH140" i="1"/>
  <c r="AH144" i="1"/>
  <c r="AH148" i="1"/>
  <c r="AH152" i="1"/>
  <c r="AH160" i="1"/>
  <c r="AH164" i="1"/>
  <c r="AH168" i="1"/>
  <c r="AH172" i="1"/>
  <c r="AH176" i="1"/>
  <c r="AH180" i="1"/>
  <c r="AH184" i="1"/>
  <c r="AH188" i="1"/>
  <c r="AH192" i="1"/>
  <c r="AH196" i="1"/>
  <c r="AH200" i="1"/>
  <c r="AH204" i="1"/>
  <c r="AH208" i="1"/>
  <c r="AH212" i="1"/>
  <c r="AH216" i="1"/>
  <c r="AH220" i="1"/>
  <c r="AH224" i="1"/>
  <c r="AH228" i="1"/>
  <c r="AH232" i="1"/>
  <c r="AH236" i="1"/>
  <c r="AH240" i="1"/>
  <c r="AH244" i="1"/>
  <c r="AH248" i="1"/>
  <c r="AH252" i="1"/>
  <c r="AH256" i="1"/>
  <c r="AH260" i="1"/>
  <c r="AH264" i="1"/>
  <c r="AH268" i="1"/>
  <c r="AH272" i="1"/>
  <c r="AH276" i="1"/>
  <c r="AH280" i="1"/>
  <c r="AH284" i="1"/>
  <c r="AH288" i="1"/>
  <c r="AH292" i="1"/>
  <c r="AH296" i="1"/>
  <c r="AH300" i="1"/>
  <c r="AH304" i="1"/>
  <c r="AH308" i="1"/>
  <c r="AH312" i="1"/>
  <c r="AH316" i="1"/>
  <c r="AH320" i="1"/>
  <c r="AH324" i="1"/>
  <c r="AH328" i="1"/>
  <c r="AH332" i="1"/>
  <c r="AH336" i="1"/>
  <c r="AH340" i="1"/>
  <c r="AH344" i="1"/>
  <c r="AH348" i="1"/>
  <c r="AH352" i="1"/>
  <c r="AH356" i="1"/>
  <c r="AH360" i="1"/>
  <c r="AH364" i="1"/>
  <c r="AH368" i="1"/>
  <c r="AH372" i="1"/>
  <c r="AH380" i="1"/>
  <c r="AH384" i="1"/>
  <c r="AH388" i="1"/>
  <c r="AH392" i="1"/>
  <c r="AH396" i="1"/>
  <c r="AH400" i="1"/>
  <c r="AH404" i="1"/>
  <c r="AH408" i="1"/>
  <c r="AH412" i="1"/>
  <c r="AH416" i="1"/>
  <c r="AH420" i="1"/>
  <c r="AH424" i="1"/>
  <c r="AH428" i="1"/>
  <c r="AH432" i="1"/>
  <c r="AH436" i="1"/>
  <c r="AH440" i="1"/>
  <c r="AH444" i="1"/>
  <c r="AH448" i="1"/>
  <c r="AH452" i="1"/>
  <c r="AH456" i="1"/>
  <c r="AH460" i="1"/>
  <c r="AH464" i="1"/>
  <c r="AH468" i="1"/>
  <c r="AH472" i="1"/>
  <c r="AH476" i="1"/>
  <c r="AH480" i="1"/>
  <c r="AH484" i="1"/>
  <c r="AH488" i="1"/>
  <c r="AH492" i="1"/>
  <c r="AH496" i="1"/>
  <c r="AH500" i="1"/>
  <c r="AH504" i="1"/>
  <c r="AH508" i="1"/>
  <c r="AH512" i="1"/>
  <c r="AH516" i="1"/>
  <c r="AH520" i="1"/>
  <c r="AH524" i="1"/>
  <c r="AH528" i="1"/>
  <c r="AH532" i="1"/>
  <c r="AH536" i="1"/>
  <c r="AH540" i="1"/>
  <c r="AH544" i="1"/>
  <c r="AH548" i="1"/>
  <c r="AH552" i="1"/>
  <c r="AH556" i="1"/>
  <c r="AH560" i="1"/>
  <c r="AH564" i="1"/>
  <c r="AH568" i="1"/>
  <c r="AH572" i="1"/>
  <c r="AH576" i="1"/>
  <c r="AH580" i="1"/>
  <c r="AH584" i="1"/>
  <c r="AH588" i="1"/>
  <c r="AH592" i="1"/>
  <c r="AH596" i="1"/>
  <c r="AH600" i="1"/>
  <c r="AH604" i="1"/>
  <c r="AH608" i="1"/>
  <c r="AH612" i="1"/>
  <c r="AH616" i="1"/>
  <c r="AH620" i="1"/>
  <c r="AH624" i="1"/>
  <c r="AH628" i="1"/>
  <c r="AH632" i="1"/>
  <c r="AH636" i="1"/>
  <c r="AH640" i="1"/>
  <c r="AH644" i="1"/>
  <c r="AH648" i="1"/>
  <c r="AH652" i="1"/>
  <c r="AH656" i="1"/>
  <c r="AH660" i="1"/>
  <c r="AH664" i="1"/>
  <c r="AH668" i="1"/>
  <c r="AH672" i="1"/>
  <c r="AH676" i="1"/>
  <c r="AH680" i="1"/>
  <c r="AH684" i="1"/>
  <c r="AH688" i="1"/>
  <c r="AH692" i="1"/>
  <c r="AH696" i="1"/>
  <c r="AH700" i="1"/>
  <c r="AH704" i="1"/>
  <c r="AH708" i="1"/>
  <c r="AH712" i="1"/>
  <c r="AH716" i="1"/>
  <c r="AH720" i="1"/>
  <c r="AH724" i="1"/>
  <c r="AH728" i="1"/>
  <c r="AH732" i="1"/>
  <c r="AH736" i="1"/>
  <c r="AH740" i="1"/>
  <c r="AH744" i="1"/>
  <c r="AH748" i="1"/>
  <c r="AH752" i="1"/>
  <c r="AH756" i="1"/>
  <c r="AH760" i="1"/>
  <c r="AH764" i="1"/>
  <c r="AH768" i="1"/>
  <c r="AH772" i="1"/>
  <c r="AH776" i="1"/>
  <c r="AH780" i="1"/>
  <c r="AH784" i="1"/>
  <c r="AH788" i="1"/>
  <c r="AH792" i="1"/>
  <c r="AH796" i="1"/>
  <c r="AH800" i="1"/>
  <c r="AH804" i="1"/>
  <c r="AH808" i="1"/>
  <c r="AH812" i="1"/>
  <c r="AH816" i="1"/>
  <c r="AH824" i="1"/>
  <c r="AH828" i="1"/>
  <c r="AH832" i="1"/>
  <c r="AH836" i="1"/>
  <c r="AH840" i="1"/>
  <c r="AH844" i="1"/>
  <c r="AH848" i="1"/>
  <c r="AH852" i="1"/>
  <c r="AH856" i="1"/>
  <c r="AH860" i="1"/>
  <c r="AH864" i="1"/>
  <c r="AH868" i="1"/>
  <c r="AH872" i="1"/>
  <c r="AH876" i="1"/>
  <c r="AH880" i="1"/>
  <c r="AH884" i="1"/>
  <c r="AH888" i="1"/>
  <c r="AH892" i="1"/>
  <c r="AH896" i="1"/>
  <c r="AH900" i="1"/>
  <c r="AH904" i="1"/>
  <c r="AH908" i="1"/>
  <c r="AH912" i="1"/>
  <c r="AH916" i="1"/>
  <c r="AH920" i="1"/>
  <c r="AH924" i="1"/>
  <c r="AH928" i="1"/>
  <c r="AH932" i="1"/>
  <c r="AH936" i="1"/>
  <c r="AH940" i="1"/>
  <c r="AH944" i="1"/>
  <c r="AH948" i="1"/>
  <c r="AH952" i="1"/>
  <c r="AH956" i="1"/>
  <c r="AH960" i="1"/>
  <c r="AH964" i="1"/>
  <c r="AH968" i="1"/>
  <c r="AH972" i="1"/>
  <c r="AH976" i="1"/>
  <c r="AH980" i="1"/>
  <c r="AH984" i="1"/>
  <c r="AH988" i="1"/>
  <c r="AH992" i="1"/>
  <c r="AH996" i="1"/>
  <c r="AH1000" i="1"/>
  <c r="AH1004" i="1"/>
  <c r="M1" i="20"/>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25" i="1"/>
  <c r="J26" i="1"/>
  <c r="J27" i="1"/>
  <c r="J28" i="1"/>
  <c r="J29" i="1"/>
  <c r="J30" i="1"/>
  <c r="J6" i="1"/>
  <c r="J7" i="1"/>
  <c r="J8" i="1"/>
  <c r="J9" i="1"/>
  <c r="J10" i="1"/>
  <c r="J11" i="1"/>
  <c r="J12" i="1"/>
  <c r="J13" i="1"/>
  <c r="J14" i="1"/>
  <c r="J15" i="1"/>
  <c r="J16" i="1"/>
  <c r="J17" i="1"/>
  <c r="J18" i="1"/>
  <c r="J19" i="1"/>
  <c r="J20" i="1"/>
  <c r="J21" i="1"/>
  <c r="J22" i="1"/>
  <c r="J23" i="1"/>
  <c r="J24" i="1"/>
  <c r="J5" i="1"/>
  <c r="D7" i="51"/>
  <c r="D2" i="51"/>
  <c r="C31" i="15"/>
  <c r="D1" i="17"/>
  <c r="C1" i="17"/>
  <c r="C32" i="15" a="1"/>
  <c r="C32" i="15"/>
  <c r="AU604" i="1"/>
  <c r="AU480" i="1"/>
  <c r="AU656" i="1"/>
  <c r="AU928" i="1"/>
  <c r="AU40" i="1"/>
  <c r="AU484" i="1"/>
  <c r="AU756" i="1"/>
  <c r="BU384" i="1"/>
  <c r="AU868" i="1"/>
  <c r="AU384" i="1"/>
  <c r="BH584" i="1"/>
  <c r="AU956" i="1"/>
  <c r="AU520" i="1"/>
  <c r="AU108" i="1"/>
  <c r="BH620" i="1"/>
  <c r="AU828" i="1"/>
  <c r="AU68" i="1"/>
  <c r="AU172" i="1"/>
  <c r="AU664" i="1"/>
  <c r="AU532" i="1"/>
  <c r="BH232" i="1"/>
  <c r="AU156" i="1"/>
  <c r="AU640" i="1"/>
  <c r="AU324" i="1"/>
  <c r="AU800" i="1"/>
  <c r="AU572" i="1"/>
  <c r="BH776" i="1"/>
  <c r="AU300" i="1"/>
  <c r="BH512" i="1"/>
  <c r="AU88" i="1"/>
  <c r="BH224" i="1"/>
  <c r="BH240" i="1"/>
  <c r="BH68" i="1"/>
  <c r="AU549" i="1"/>
  <c r="AU968" i="1"/>
  <c r="BH820" i="1"/>
  <c r="AU1000" i="1"/>
  <c r="AU512" i="1"/>
  <c r="BH480" i="1"/>
  <c r="BH208" i="1"/>
  <c r="AU464" i="1"/>
  <c r="AU160" i="1"/>
  <c r="AU420" i="1"/>
  <c r="AU616" i="1"/>
  <c r="AU288" i="1"/>
  <c r="AU140" i="1"/>
  <c r="AU764" i="1"/>
  <c r="AU980" i="1"/>
  <c r="BH976" i="1"/>
  <c r="BH884" i="1"/>
  <c r="AU180" i="1"/>
  <c r="AU544" i="1"/>
  <c r="AU824" i="1"/>
  <c r="AU496" i="1"/>
  <c r="BH504" i="1"/>
  <c r="AU960" i="1"/>
  <c r="AU832" i="1"/>
  <c r="AU772" i="1"/>
  <c r="BH744" i="1"/>
  <c r="BH492" i="1"/>
  <c r="BH488" i="1"/>
  <c r="AU584" i="1"/>
  <c r="AU32" i="1"/>
  <c r="BH792" i="1"/>
  <c r="BH964" i="1"/>
  <c r="BH236" i="1"/>
  <c r="BU712" i="1"/>
  <c r="BU492" i="1"/>
  <c r="BU496" i="1"/>
  <c r="AU608" i="1"/>
  <c r="AU136" i="1"/>
  <c r="AU920" i="1"/>
  <c r="AU628" i="1"/>
  <c r="AU508" i="1"/>
  <c r="AU988" i="1"/>
  <c r="AU792" i="1"/>
  <c r="AU276" i="1"/>
  <c r="AU72" i="1"/>
  <c r="BH360" i="1"/>
  <c r="BH600" i="1"/>
  <c r="AU696" i="1"/>
  <c r="AU112" i="1"/>
  <c r="AU284" i="1"/>
  <c r="AU932" i="1"/>
  <c r="AU380" i="1"/>
  <c r="AU808" i="1"/>
  <c r="AU632" i="1"/>
  <c r="AU944" i="1"/>
  <c r="AU840" i="1"/>
  <c r="AU676" i="1"/>
  <c r="AU636" i="1"/>
  <c r="BH940" i="1"/>
  <c r="AU64" i="1"/>
  <c r="BH936" i="1"/>
  <c r="BH48" i="1"/>
  <c r="BH368" i="1"/>
  <c r="AU452" i="1"/>
  <c r="AU900" i="1"/>
  <c r="AU684" i="1"/>
  <c r="AU536" i="1"/>
  <c r="AU796" i="1"/>
  <c r="BH836" i="1"/>
  <c r="BH812" i="1"/>
  <c r="AU376" i="1"/>
  <c r="AU388" i="1"/>
  <c r="AU884" i="1"/>
  <c r="BH380" i="1"/>
  <c r="AU784" i="1"/>
  <c r="AU120" i="1"/>
  <c r="BH832" i="1"/>
  <c r="AU124" i="1"/>
  <c r="BH628" i="1"/>
  <c r="BH768" i="1"/>
  <c r="BH712" i="1"/>
  <c r="BH292" i="1"/>
  <c r="BH1004" i="1"/>
  <c r="BU850" i="1"/>
  <c r="BH276" i="1"/>
  <c r="BU520" i="1"/>
  <c r="BU316" i="1"/>
  <c r="BU312" i="1"/>
  <c r="AU672" i="1"/>
  <c r="AU460" i="1"/>
  <c r="AU760" i="1"/>
  <c r="AU788" i="1"/>
  <c r="BH484" i="1"/>
  <c r="BH496" i="1"/>
  <c r="BH648" i="1"/>
  <c r="AU876" i="1"/>
  <c r="BH340" i="1"/>
  <c r="AU228" i="1"/>
  <c r="AU96" i="1"/>
  <c r="BH960" i="1"/>
  <c r="AU100" i="1"/>
  <c r="AU620" i="1"/>
  <c r="AU260" i="1"/>
  <c r="AU28" i="1"/>
  <c r="AU896" i="1"/>
  <c r="AU568" i="1"/>
  <c r="AU908" i="1"/>
  <c r="BH516" i="1"/>
  <c r="AU748" i="1"/>
  <c r="AU448" i="1"/>
  <c r="AU976" i="1"/>
  <c r="AU592" i="1"/>
  <c r="AU148" i="1"/>
  <c r="BH520" i="1"/>
  <c r="BU428" i="1"/>
  <c r="AU580" i="1"/>
  <c r="AU564" i="1"/>
  <c r="BU856" i="1"/>
  <c r="AU436" i="1"/>
  <c r="BU728" i="1"/>
  <c r="BU876" i="1"/>
  <c r="BH608" i="1"/>
  <c r="AU412" i="1"/>
  <c r="BH184" i="1"/>
  <c r="AU192" i="1"/>
  <c r="AU208" i="1"/>
  <c r="BH300" i="1"/>
  <c r="AU504" i="1"/>
  <c r="AU752" i="1"/>
  <c r="BH536" i="1"/>
  <c r="AU712" i="1"/>
  <c r="BH52" i="1"/>
  <c r="AU280" i="1"/>
  <c r="BH892" i="1"/>
  <c r="BU700" i="1"/>
  <c r="BH604" i="1"/>
  <c r="BH312" i="1"/>
  <c r="BH140" i="1"/>
  <c r="BU548" i="1"/>
  <c r="AU92" i="1"/>
  <c r="BU88" i="1"/>
  <c r="AU720" i="1"/>
  <c r="BU928" i="1"/>
  <c r="BH332" i="1"/>
  <c r="AU268" i="1"/>
  <c r="AU292" i="1"/>
  <c r="BU434" i="1"/>
  <c r="BH212" i="1"/>
  <c r="BH708" i="1"/>
  <c r="BH268" i="1"/>
  <c r="AU560" i="1"/>
  <c r="BH664" i="1"/>
  <c r="AU948" i="1"/>
  <c r="BH32" i="1"/>
  <c r="AU188" i="1"/>
  <c r="BU120" i="1"/>
  <c r="AU456" i="1"/>
  <c r="BU324" i="1"/>
  <c r="AU524" i="1"/>
  <c r="AU588" i="1"/>
  <c r="BH1000" i="1"/>
  <c r="BU516" i="1"/>
  <c r="AU992" i="1"/>
  <c r="AU704" i="1"/>
  <c r="AU444" i="1"/>
  <c r="AU576" i="1"/>
  <c r="BH120" i="1"/>
  <c r="BU616" i="1"/>
  <c r="BU170" i="1"/>
  <c r="BU132" i="1"/>
  <c r="BH132" i="1"/>
  <c r="BH896" i="1"/>
  <c r="AU816" i="1"/>
  <c r="AU860" i="1"/>
  <c r="BH36" i="1"/>
  <c r="AU352" i="1"/>
  <c r="AU104" i="1"/>
  <c r="AU924" i="1"/>
  <c r="AU872" i="1"/>
  <c r="AU892" i="1"/>
  <c r="AU128" i="1"/>
  <c r="AU852" i="1"/>
  <c r="BH844" i="1"/>
  <c r="AU812" i="1"/>
  <c r="AU168" i="1"/>
  <c r="AU340" i="1"/>
  <c r="AU244" i="1"/>
  <c r="AU236" i="1"/>
  <c r="BH176" i="1"/>
  <c r="AU744" i="1"/>
  <c r="AU344" i="1"/>
  <c r="BH352" i="1"/>
  <c r="BU244" i="1"/>
  <c r="AU48" i="1"/>
  <c r="BU672" i="1"/>
  <c r="AU264" i="1"/>
  <c r="BH564" i="1"/>
  <c r="BH728" i="1"/>
  <c r="BU704" i="1"/>
  <c r="BU912" i="1"/>
  <c r="BU433" i="1"/>
  <c r="BU646" i="1"/>
  <c r="AU132" i="1"/>
  <c r="BH916" i="1"/>
  <c r="AU600" i="1"/>
  <c r="AU984" i="1"/>
  <c r="AU728" i="1"/>
  <c r="AU952" i="1"/>
  <c r="AU220" i="1"/>
  <c r="BH748" i="1"/>
  <c r="BH304" i="1"/>
  <c r="AU936" i="1"/>
  <c r="AU488" i="1"/>
  <c r="AU84" i="1"/>
  <c r="AU940" i="1"/>
  <c r="AU540" i="1"/>
  <c r="AU80" i="1"/>
  <c r="AU888" i="1"/>
  <c r="BH640" i="1"/>
  <c r="AU204" i="1"/>
  <c r="AU76" i="1"/>
  <c r="BH624" i="1"/>
  <c r="BH644" i="1"/>
  <c r="AU596" i="1"/>
  <c r="BH440" i="1"/>
  <c r="AU216" i="1"/>
  <c r="AU964" i="1"/>
  <c r="AU336" i="1"/>
  <c r="AU904" i="1"/>
  <c r="AU500" i="1"/>
  <c r="AU116" i="1"/>
  <c r="AU392" i="1"/>
  <c r="BH544" i="1"/>
  <c r="BH296" i="1"/>
  <c r="BH408" i="1"/>
  <c r="BU820" i="1"/>
  <c r="BU348" i="1"/>
  <c r="BU976" i="1"/>
  <c r="AU692" i="1"/>
  <c r="BH908" i="1"/>
  <c r="BH560" i="1"/>
  <c r="AU724" i="1"/>
  <c r="BH124" i="1"/>
  <c r="BH96" i="1"/>
  <c r="BH912" i="1"/>
  <c r="BH656" i="1"/>
  <c r="BH904" i="1"/>
  <c r="BH769" i="1"/>
  <c r="BU564" i="1"/>
  <c r="BH204" i="1"/>
  <c r="BU952" i="1"/>
  <c r="BH200" i="1"/>
  <c r="BH980" i="1"/>
  <c r="BU416" i="1"/>
  <c r="BH692" i="1"/>
  <c r="BH432" i="1"/>
  <c r="BU920" i="1"/>
  <c r="BH164" i="1"/>
  <c r="BU340" i="1"/>
  <c r="BU356" i="1"/>
  <c r="BU852" i="1"/>
  <c r="BU480" i="1"/>
  <c r="BU780" i="1"/>
  <c r="BU360" i="1"/>
  <c r="BU168" i="1"/>
  <c r="AU492" i="1"/>
  <c r="AU648" i="1"/>
  <c r="AU736" i="1"/>
  <c r="AU252" i="1"/>
  <c r="BH436" i="1"/>
  <c r="BU68" i="1"/>
  <c r="BU792" i="1"/>
  <c r="BU184" i="1"/>
  <c r="BU264" i="1"/>
  <c r="BH256" i="1"/>
  <c r="BH616" i="1"/>
  <c r="BH704" i="1"/>
  <c r="BH992" i="1"/>
  <c r="BH104" i="1"/>
  <c r="BH732" i="1"/>
  <c r="BU240" i="1"/>
  <c r="AU360" i="1"/>
  <c r="AU224" i="1"/>
  <c r="AU272" i="1"/>
  <c r="BU560" i="1"/>
  <c r="BH248" i="1"/>
  <c r="BU996" i="1"/>
  <c r="AU400" i="1"/>
  <c r="AU864" i="1"/>
  <c r="AU804" i="1"/>
  <c r="BH452" i="1"/>
  <c r="BH320" i="1"/>
  <c r="BH540" i="1"/>
  <c r="BH724" i="1"/>
  <c r="BU1004" i="1"/>
  <c r="BU304" i="1"/>
  <c r="BH700" i="1"/>
  <c r="BH192" i="1"/>
  <c r="BU328" i="1"/>
  <c r="BU8" i="1"/>
  <c r="BU36" i="1"/>
  <c r="BU692" i="1"/>
  <c r="BU460" i="1"/>
  <c r="BU272" i="1"/>
  <c r="BU46" i="1"/>
  <c r="BU816" i="1"/>
  <c r="BU732" i="1"/>
  <c r="BU60" i="1"/>
  <c r="BH356" i="1"/>
  <c r="AU256" i="1"/>
  <c r="AU176" i="1"/>
  <c r="AU776" i="1"/>
  <c r="BH984" i="1"/>
  <c r="BH856" i="1"/>
  <c r="BH576" i="1"/>
  <c r="BH804" i="1"/>
  <c r="BU288" i="1"/>
  <c r="BU872" i="1"/>
  <c r="BU116" i="1"/>
  <c r="BU668" i="1"/>
  <c r="BH988" i="1"/>
  <c r="BH696" i="1"/>
  <c r="BU248" i="1"/>
  <c r="BH64" i="1"/>
  <c r="AU364" i="1"/>
  <c r="BH944" i="1"/>
  <c r="BU112" i="1"/>
  <c r="AU308" i="1"/>
  <c r="AU356" i="1"/>
  <c r="BH752" i="1"/>
  <c r="BU100" i="1"/>
  <c r="BU440" i="1"/>
  <c r="AU424" i="1"/>
  <c r="BH948" i="1"/>
  <c r="BH40" i="1"/>
  <c r="BH996" i="1"/>
  <c r="BH868" i="1"/>
  <c r="BH828" i="1"/>
  <c r="BU528" i="1"/>
  <c r="AU164" i="1"/>
  <c r="BU664" i="1"/>
  <c r="BU96" i="1"/>
  <c r="BU308" i="1"/>
  <c r="BU300" i="1"/>
  <c r="AU820" i="1"/>
  <c r="BH444" i="1"/>
  <c r="BH572" i="1"/>
  <c r="BH348" i="1"/>
  <c r="AU332" i="1"/>
  <c r="AU880" i="1"/>
  <c r="AU52" i="1"/>
  <c r="AU56" i="1"/>
  <c r="AU856" i="1"/>
  <c r="BH872" i="1"/>
  <c r="AU780" i="1"/>
  <c r="AU368" i="1"/>
  <c r="AU680" i="1"/>
  <c r="AU768" i="1"/>
  <c r="BH24" i="1"/>
  <c r="BU276" i="1"/>
  <c r="AU472" i="1"/>
  <c r="BH396" i="1"/>
  <c r="BH404" i="1"/>
  <c r="BH860" i="1"/>
  <c r="BU968" i="1"/>
  <c r="BU108" i="1"/>
  <c r="BH220" i="1"/>
  <c r="BH772" i="1"/>
  <c r="AU248" i="1"/>
  <c r="BH376" i="1"/>
  <c r="AU1004" i="1"/>
  <c r="AU848" i="1"/>
  <c r="BH568" i="1"/>
  <c r="BU500" i="1"/>
  <c r="BH328" i="1"/>
  <c r="BH476" i="1"/>
  <c r="BH384" i="1"/>
  <c r="BH76" i="1"/>
  <c r="BU156" i="1"/>
  <c r="BU620" i="1"/>
  <c r="BU592" i="1"/>
  <c r="BU148" i="1"/>
  <c r="BU220" i="1"/>
  <c r="BU504" i="1"/>
  <c r="BH688" i="1"/>
  <c r="BH672" i="1"/>
  <c r="AU440" i="1"/>
  <c r="AU548" i="1"/>
  <c r="AU688" i="1"/>
  <c r="AU476" i="1"/>
  <c r="BU24" i="1"/>
  <c r="BH532" i="1"/>
  <c r="BH136" i="1"/>
  <c r="BH680" i="1"/>
  <c r="BU376" i="1"/>
  <c r="BU48" i="1"/>
  <c r="BU12" i="1"/>
  <c r="BH660" i="1"/>
  <c r="BH592" i="1"/>
  <c r="BU824" i="1"/>
  <c r="BU808" i="1"/>
  <c r="BU776" i="1"/>
  <c r="BU888" i="1"/>
  <c r="BU836" i="1"/>
  <c r="BU84" i="1"/>
  <c r="BU216" i="1"/>
  <c r="BU900" i="1"/>
  <c r="BU612" i="1"/>
  <c r="BU572" i="1"/>
  <c r="BU76" i="1"/>
  <c r="BU40" i="1"/>
  <c r="BU140" i="1"/>
  <c r="BU164" i="1"/>
  <c r="BU904" i="1"/>
  <c r="BU988" i="1"/>
  <c r="BU790" i="1"/>
  <c r="BU344" i="1"/>
  <c r="BU984" i="1"/>
  <c r="BU860" i="1"/>
  <c r="BU784" i="1"/>
  <c r="BU916" i="1"/>
  <c r="BU472" i="1"/>
  <c r="BU178" i="1"/>
  <c r="BU532" i="1"/>
  <c r="BU190" i="1"/>
  <c r="BU644" i="1"/>
  <c r="BU16" i="1"/>
  <c r="BU956" i="1"/>
  <c r="BU106" i="1"/>
  <c r="BU680" i="1"/>
  <c r="BU696" i="1"/>
  <c r="BH128" i="1"/>
  <c r="BH780" i="1"/>
  <c r="BU144" i="1"/>
  <c r="BU408" i="1"/>
  <c r="BH968" i="1"/>
  <c r="BH428" i="1"/>
  <c r="BH148" i="1"/>
  <c r="BH764" i="1"/>
  <c r="BH932" i="1"/>
  <c r="BH56" i="1"/>
  <c r="BH216" i="1"/>
  <c r="BH112" i="1"/>
  <c r="BH424" i="1"/>
  <c r="AU836" i="1"/>
  <c r="BH228" i="1"/>
  <c r="AU428" i="1"/>
  <c r="AU844" i="1"/>
  <c r="BH364" i="1"/>
  <c r="AU740" i="1"/>
  <c r="AU60" i="1"/>
  <c r="AU304" i="1"/>
  <c r="AU700" i="1"/>
  <c r="AU432" i="1"/>
  <c r="AU972" i="1"/>
  <c r="AU732" i="1"/>
  <c r="AU20" i="1"/>
  <c r="AU152" i="1"/>
  <c r="BH244" i="1"/>
  <c r="AU408" i="1"/>
  <c r="BH876" i="1"/>
  <c r="BH260" i="1"/>
  <c r="BH760" i="1"/>
  <c r="BU456" i="1"/>
  <c r="BU676" i="1"/>
  <c r="BH324" i="1"/>
  <c r="AU708" i="1"/>
  <c r="AU916" i="1"/>
  <c r="BH920" i="1"/>
  <c r="BH756" i="1"/>
  <c r="BH528" i="1"/>
  <c r="AU612" i="1"/>
  <c r="AU416" i="1"/>
  <c r="BH848" i="1"/>
  <c r="BU404" i="1"/>
  <c r="BH800" i="1"/>
  <c r="BH116" i="1"/>
  <c r="BH508" i="1"/>
  <c r="BU772" i="1"/>
  <c r="BH852" i="1"/>
  <c r="BU736" i="1"/>
  <c r="BU880" i="1"/>
  <c r="AU212" i="1"/>
  <c r="AU44" i="1"/>
  <c r="BH392" i="1"/>
  <c r="AU468" i="1"/>
  <c r="AU556" i="1"/>
  <c r="AU16" i="1"/>
  <c r="BH284" i="1"/>
  <c r="BH556" i="1"/>
  <c r="BU608" i="1"/>
  <c r="BH252" i="1"/>
  <c r="BH580" i="1"/>
  <c r="BU192" i="1"/>
  <c r="BH88" i="1"/>
  <c r="BH684" i="1"/>
  <c r="BH160" i="1"/>
  <c r="BU260" i="1"/>
  <c r="BU844" i="1"/>
  <c r="BU512" i="1"/>
  <c r="BU740" i="1"/>
  <c r="BH188" i="1"/>
  <c r="BH740" i="1"/>
  <c r="BH784" i="1"/>
  <c r="BU932" i="1"/>
  <c r="BU152" i="1"/>
  <c r="BU652" i="1"/>
  <c r="BU800" i="1"/>
  <c r="BU636" i="1"/>
  <c r="BU20" i="1"/>
  <c r="BH84" i="1"/>
  <c r="BH152" i="1"/>
  <c r="AU716" i="1"/>
  <c r="AU552" i="1"/>
  <c r="BH420" i="1"/>
  <c r="AU396" i="1"/>
  <c r="AU624" i="1"/>
  <c r="AU184" i="1"/>
  <c r="AU24" i="1"/>
  <c r="BX24" i="1" s="1"/>
  <c r="BU924" i="1"/>
  <c r="BU596" i="1"/>
  <c r="BU760" i="1"/>
  <c r="BH472" i="1"/>
  <c r="BH796" i="1"/>
  <c r="BU364" i="1"/>
  <c r="BH612" i="1"/>
  <c r="AU316" i="1"/>
  <c r="BU944" i="1"/>
  <c r="BU980" i="1"/>
  <c r="BU180" i="1"/>
  <c r="BH900" i="1"/>
  <c r="BX900" i="1" s="1"/>
  <c r="AU404" i="1"/>
  <c r="BH652" i="1"/>
  <c r="BU292" i="1"/>
  <c r="BH80" i="1"/>
  <c r="BH676" i="1"/>
  <c r="BH928" i="1"/>
  <c r="BH336" i="1"/>
  <c r="BU252" i="1"/>
  <c r="BU908" i="1"/>
  <c r="BH972" i="1"/>
  <c r="BH308" i="1"/>
  <c r="BH100" i="1"/>
  <c r="AU144" i="1"/>
  <c r="BH632" i="1"/>
  <c r="BH416" i="1"/>
  <c r="BU768" i="1"/>
  <c r="BU444" i="1"/>
  <c r="BU804" i="1"/>
  <c r="BU864" i="1"/>
  <c r="BU196" i="1"/>
  <c r="BU992" i="1"/>
  <c r="AU668" i="1"/>
  <c r="BU224" i="1"/>
  <c r="BU752" i="1"/>
  <c r="BU964" i="1"/>
  <c r="BH12" i="1"/>
  <c r="AU296" i="1"/>
  <c r="BX296" i="1" s="1"/>
  <c r="BU960" i="1"/>
  <c r="AU328" i="1"/>
  <c r="BU368" i="1"/>
  <c r="BU632" i="1"/>
  <c r="AU644" i="1"/>
  <c r="AU652" i="1"/>
  <c r="AU240" i="1"/>
  <c r="AU348" i="1"/>
  <c r="BH864" i="1"/>
  <c r="BH816" i="1"/>
  <c r="BH588" i="1"/>
  <c r="BH952" i="1"/>
  <c r="BU44" i="1"/>
  <c r="BH156" i="1"/>
  <c r="BH956" i="1"/>
  <c r="BH464" i="1"/>
  <c r="BU552" i="1"/>
  <c r="BU796" i="1"/>
  <c r="BU208" i="1"/>
  <c r="BU372" i="1"/>
  <c r="BU972" i="1"/>
  <c r="BU660" i="1"/>
  <c r="AU8" i="1"/>
  <c r="BU32" i="1"/>
  <c r="BU484" i="1"/>
  <c r="BH264" i="1"/>
  <c r="AU660" i="1"/>
  <c r="AU320" i="1"/>
  <c r="BU544" i="1"/>
  <c r="AU12" i="1"/>
  <c r="AU372" i="1"/>
  <c r="BH716" i="1"/>
  <c r="BH8" i="1"/>
  <c r="AU196" i="1"/>
  <c r="BH400" i="1"/>
  <c r="BH460" i="1"/>
  <c r="BH388" i="1"/>
  <c r="BH924" i="1"/>
  <c r="BH668" i="1"/>
  <c r="BU490" i="1"/>
  <c r="BU884" i="1"/>
  <c r="BX884" i="1" s="1"/>
  <c r="BU278" i="1"/>
  <c r="BU172" i="1"/>
  <c r="BU948" i="1"/>
  <c r="BU332" i="1"/>
  <c r="BU536" i="1"/>
  <c r="BU640" i="1"/>
  <c r="BU28" i="1"/>
  <c r="BU160" i="1"/>
  <c r="BU80" i="1"/>
  <c r="BH548" i="1"/>
  <c r="BH344" i="1"/>
  <c r="BH456" i="1"/>
  <c r="BH880" i="1"/>
  <c r="AU528" i="1"/>
  <c r="AU36" i="1"/>
  <c r="AU912" i="1"/>
  <c r="BH60" i="1"/>
  <c r="BU600" i="1"/>
  <c r="BU576" i="1"/>
  <c r="BU72" i="1"/>
  <c r="BH596" i="1"/>
  <c r="BU708" i="1"/>
  <c r="BU688" i="1"/>
  <c r="BU788" i="1"/>
  <c r="BU656" i="1"/>
  <c r="BU256" i="1"/>
  <c r="BU476" i="1"/>
  <c r="BU136" i="1"/>
  <c r="BU720" i="1"/>
  <c r="BU400" i="1"/>
  <c r="BU380" i="1"/>
  <c r="BU200" i="1"/>
  <c r="BU936" i="1"/>
  <c r="BU448" i="1"/>
  <c r="BU580" i="1"/>
  <c r="BU458" i="1"/>
  <c r="BU268" i="1"/>
  <c r="BU832" i="1"/>
  <c r="BU848" i="1"/>
  <c r="BU878" i="1"/>
  <c r="BU420" i="1"/>
  <c r="BU232" i="1"/>
  <c r="BH524" i="1"/>
  <c r="BH16" i="1"/>
  <c r="BH840" i="1"/>
  <c r="BH788" i="1"/>
  <c r="AU312" i="1"/>
  <c r="AU996" i="1"/>
  <c r="BU128" i="1"/>
  <c r="BU228" i="1"/>
  <c r="BU280" i="1"/>
  <c r="BU724" i="1"/>
  <c r="BH736" i="1"/>
  <c r="BU296" i="1"/>
  <c r="BU604" i="1"/>
  <c r="BX604" i="1" s="1"/>
  <c r="BH552" i="1"/>
  <c r="BU92" i="1"/>
  <c r="BH144" i="1"/>
  <c r="BH824" i="1"/>
  <c r="BH288" i="1"/>
  <c r="BU756" i="1"/>
  <c r="BH412" i="1"/>
  <c r="BH72" i="1"/>
  <c r="BU488" i="1"/>
  <c r="BU624" i="1"/>
  <c r="BU892" i="1"/>
  <c r="BU284" i="1"/>
  <c r="BU388" i="1"/>
  <c r="BU940" i="1"/>
  <c r="BU176" i="1"/>
  <c r="BU204" i="1"/>
  <c r="BU812" i="1"/>
  <c r="BU436" i="1"/>
  <c r="BH500" i="1"/>
  <c r="BU432" i="1"/>
  <c r="BH168" i="1"/>
  <c r="BU424" i="1"/>
  <c r="BU716" i="1"/>
  <c r="BU352" i="1"/>
  <c r="BX352" i="1" s="1"/>
  <c r="BU584" i="1"/>
  <c r="BU104" i="1"/>
  <c r="AU232" i="1"/>
  <c r="BH92" i="1"/>
  <c r="BX92" i="1" s="1"/>
  <c r="BH636" i="1"/>
  <c r="BH280" i="1"/>
  <c r="BH888" i="1"/>
  <c r="BH808" i="1"/>
  <c r="BH272" i="1"/>
  <c r="BU468" i="1"/>
  <c r="BU518" i="1"/>
  <c r="BU464" i="1"/>
  <c r="BH372" i="1"/>
  <c r="BH28" i="1"/>
  <c r="BH108" i="1"/>
  <c r="BU452" i="1"/>
  <c r="BU588" i="1"/>
  <c r="BU840" i="1"/>
  <c r="BU1000" i="1"/>
  <c r="BU412" i="1"/>
  <c r="BH20" i="1"/>
  <c r="BH316" i="1"/>
  <c r="BH172" i="1"/>
  <c r="BH44" i="1"/>
  <c r="BU9" i="1"/>
  <c r="BU320" i="1"/>
  <c r="BH448" i="1"/>
  <c r="BH468" i="1"/>
  <c r="BH720" i="1"/>
  <c r="BU392" i="1"/>
  <c r="BU828" i="1"/>
  <c r="BU764" i="1"/>
  <c r="BU358" i="1"/>
  <c r="BU124" i="1"/>
  <c r="BU868" i="1"/>
  <c r="BU568" i="1"/>
  <c r="BU654" i="1"/>
  <c r="BU396" i="1"/>
  <c r="BU556" i="1"/>
  <c r="BU52" i="1"/>
  <c r="BU236" i="1"/>
  <c r="BU56" i="1"/>
  <c r="BU540" i="1"/>
  <c r="BU684" i="1"/>
  <c r="BX684" i="1" s="1"/>
  <c r="BU64" i="1"/>
  <c r="BU250" i="1"/>
  <c r="BU212" i="1"/>
  <c r="BH196" i="1"/>
  <c r="BU130" i="1"/>
  <c r="BU744" i="1"/>
  <c r="AU516" i="1"/>
  <c r="BU336" i="1"/>
  <c r="BU188" i="1"/>
  <c r="BU508" i="1"/>
  <c r="BU648" i="1"/>
  <c r="BU524" i="1"/>
  <c r="BU896" i="1"/>
  <c r="BU748" i="1"/>
  <c r="AU200" i="1"/>
  <c r="BU628" i="1"/>
  <c r="BH180" i="1"/>
  <c r="B76" i="80" a="1"/>
  <c r="B76" i="80"/>
  <c r="C76" i="80"/>
  <c r="A219" i="20"/>
  <c r="A223" i="20"/>
  <c r="A227" i="20"/>
  <c r="A231" i="20"/>
  <c r="A235" i="20"/>
  <c r="A239" i="20"/>
  <c r="A243" i="20"/>
  <c r="A247" i="20"/>
  <c r="A251" i="20"/>
  <c r="A255" i="20"/>
  <c r="A220" i="20"/>
  <c r="A224" i="20"/>
  <c r="A228" i="20"/>
  <c r="A232" i="20"/>
  <c r="A236" i="20"/>
  <c r="A240" i="20"/>
  <c r="A244" i="20"/>
  <c r="A248" i="20"/>
  <c r="A252" i="20"/>
  <c r="A221" i="20"/>
  <c r="A225" i="20"/>
  <c r="A229" i="20"/>
  <c r="A233" i="20"/>
  <c r="A237" i="20"/>
  <c r="A241" i="20"/>
  <c r="A245" i="20"/>
  <c r="A249" i="20"/>
  <c r="A253" i="20"/>
  <c r="A222" i="20"/>
  <c r="A226" i="20"/>
  <c r="A230" i="20"/>
  <c r="A234" i="20"/>
  <c r="A238" i="20"/>
  <c r="A242" i="20"/>
  <c r="A246" i="20"/>
  <c r="A250" i="20"/>
  <c r="A254" i="20"/>
  <c r="B65" i="51" a="1"/>
  <c r="B65" i="51"/>
  <c r="C64" i="51"/>
  <c r="W5"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6"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7" i="1"/>
  <c r="W11" i="1"/>
  <c r="W15" i="1"/>
  <c r="W19" i="1"/>
  <c r="W23" i="1"/>
  <c r="W27" i="1"/>
  <c r="W31" i="1"/>
  <c r="W35" i="1"/>
  <c r="W39" i="1"/>
  <c r="W43" i="1"/>
  <c r="W47" i="1"/>
  <c r="W51" i="1"/>
  <c r="W55" i="1"/>
  <c r="W59" i="1"/>
  <c r="W63" i="1"/>
  <c r="W67" i="1"/>
  <c r="W71" i="1"/>
  <c r="W75" i="1"/>
  <c r="W79" i="1"/>
  <c r="W83" i="1"/>
  <c r="W87" i="1"/>
  <c r="W91" i="1"/>
  <c r="W95" i="1"/>
  <c r="W99" i="1"/>
  <c r="W103" i="1"/>
  <c r="W107" i="1"/>
  <c r="W111" i="1"/>
  <c r="W115" i="1"/>
  <c r="W119" i="1"/>
  <c r="W123" i="1"/>
  <c r="W127" i="1"/>
  <c r="W131" i="1"/>
  <c r="W135" i="1"/>
  <c r="W139" i="1"/>
  <c r="W143" i="1"/>
  <c r="W147" i="1"/>
  <c r="W151" i="1"/>
  <c r="W155" i="1"/>
  <c r="W159" i="1"/>
  <c r="W163" i="1"/>
  <c r="W167" i="1"/>
  <c r="W171" i="1"/>
  <c r="W175" i="1"/>
  <c r="W179" i="1"/>
  <c r="W183" i="1"/>
  <c r="W187" i="1"/>
  <c r="W191" i="1"/>
  <c r="W195" i="1"/>
  <c r="W199" i="1"/>
  <c r="W203" i="1"/>
  <c r="W207" i="1"/>
  <c r="W211" i="1"/>
  <c r="W215" i="1"/>
  <c r="W219" i="1"/>
  <c r="W223" i="1"/>
  <c r="W227" i="1"/>
  <c r="W231" i="1"/>
  <c r="W235" i="1"/>
  <c r="W239" i="1"/>
  <c r="W243" i="1"/>
  <c r="W247" i="1"/>
  <c r="W251" i="1"/>
  <c r="W255" i="1"/>
  <c r="W259" i="1"/>
  <c r="W263" i="1"/>
  <c r="W267" i="1"/>
  <c r="W271" i="1"/>
  <c r="W275" i="1"/>
  <c r="W279" i="1"/>
  <c r="W283" i="1"/>
  <c r="W287" i="1"/>
  <c r="W291" i="1"/>
  <c r="W295" i="1"/>
  <c r="W299" i="1"/>
  <c r="W303" i="1"/>
  <c r="W307" i="1"/>
  <c r="W311" i="1"/>
  <c r="W315" i="1"/>
  <c r="W319" i="1"/>
  <c r="W323" i="1"/>
  <c r="W327" i="1"/>
  <c r="W331" i="1"/>
  <c r="W335" i="1"/>
  <c r="W339" i="1"/>
  <c r="W343" i="1"/>
  <c r="W8" i="1"/>
  <c r="W24" i="1"/>
  <c r="W40" i="1"/>
  <c r="W56" i="1"/>
  <c r="W72" i="1"/>
  <c r="W88" i="1"/>
  <c r="W104" i="1"/>
  <c r="W120" i="1"/>
  <c r="W136" i="1"/>
  <c r="W152" i="1"/>
  <c r="W168" i="1"/>
  <c r="W184" i="1"/>
  <c r="W200" i="1"/>
  <c r="W216" i="1"/>
  <c r="W232" i="1"/>
  <c r="W248" i="1"/>
  <c r="W264" i="1"/>
  <c r="W280" i="1"/>
  <c r="W296" i="1"/>
  <c r="W312" i="1"/>
  <c r="W328"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516" i="1"/>
  <c r="W520" i="1"/>
  <c r="W524" i="1"/>
  <c r="W528" i="1"/>
  <c r="W532" i="1"/>
  <c r="W536" i="1"/>
  <c r="W540" i="1"/>
  <c r="W544" i="1"/>
  <c r="W548" i="1"/>
  <c r="W552" i="1"/>
  <c r="W556" i="1"/>
  <c r="W560" i="1"/>
  <c r="W564" i="1"/>
  <c r="W568" i="1"/>
  <c r="W572" i="1"/>
  <c r="W576" i="1"/>
  <c r="W580" i="1"/>
  <c r="W584" i="1"/>
  <c r="W588" i="1"/>
  <c r="W592" i="1"/>
  <c r="W596" i="1"/>
  <c r="W600" i="1"/>
  <c r="W12" i="1"/>
  <c r="W28" i="1"/>
  <c r="W44" i="1"/>
  <c r="W60" i="1"/>
  <c r="W76" i="1"/>
  <c r="W92" i="1"/>
  <c r="W108" i="1"/>
  <c r="W124" i="1"/>
  <c r="W140" i="1"/>
  <c r="W156" i="1"/>
  <c r="W172" i="1"/>
  <c r="W188" i="1"/>
  <c r="W204" i="1"/>
  <c r="W220" i="1"/>
  <c r="W236" i="1"/>
  <c r="W252" i="1"/>
  <c r="W268" i="1"/>
  <c r="W284" i="1"/>
  <c r="W300" i="1"/>
  <c r="W316" i="1"/>
  <c r="W332"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505" i="1"/>
  <c r="W509" i="1"/>
  <c r="W513" i="1"/>
  <c r="W517" i="1"/>
  <c r="W521" i="1"/>
  <c r="W525" i="1"/>
  <c r="W529" i="1"/>
  <c r="W533" i="1"/>
  <c r="W537" i="1"/>
  <c r="W541" i="1"/>
  <c r="W545" i="1"/>
  <c r="W549" i="1"/>
  <c r="W553" i="1"/>
  <c r="W557" i="1"/>
  <c r="W561" i="1"/>
  <c r="W565" i="1"/>
  <c r="W569" i="1"/>
  <c r="W573" i="1"/>
  <c r="W577" i="1"/>
  <c r="W581" i="1"/>
  <c r="W585" i="1"/>
  <c r="W589" i="1"/>
  <c r="W593" i="1"/>
  <c r="W597" i="1"/>
  <c r="W16" i="1"/>
  <c r="W32" i="1"/>
  <c r="W48" i="1"/>
  <c r="W64" i="1"/>
  <c r="W80" i="1"/>
  <c r="W96" i="1"/>
  <c r="W112" i="1"/>
  <c r="W128" i="1"/>
  <c r="W144" i="1"/>
  <c r="W160" i="1"/>
  <c r="W176" i="1"/>
  <c r="W192" i="1"/>
  <c r="W208" i="1"/>
  <c r="W224" i="1"/>
  <c r="W240" i="1"/>
  <c r="W256" i="1"/>
  <c r="W272" i="1"/>
  <c r="W288" i="1"/>
  <c r="W304" i="1"/>
  <c r="W320" i="1"/>
  <c r="W336"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518" i="1"/>
  <c r="W522" i="1"/>
  <c r="W526" i="1"/>
  <c r="W530" i="1"/>
  <c r="W534" i="1"/>
  <c r="W538" i="1"/>
  <c r="W542" i="1"/>
  <c r="W546" i="1"/>
  <c r="W550" i="1"/>
  <c r="W554" i="1"/>
  <c r="W558" i="1"/>
  <c r="W562" i="1"/>
  <c r="W566" i="1"/>
  <c r="W570" i="1"/>
  <c r="W574" i="1"/>
  <c r="W578" i="1"/>
  <c r="W582" i="1"/>
  <c r="W586" i="1"/>
  <c r="W590" i="1"/>
  <c r="W594" i="1"/>
  <c r="W598" i="1"/>
  <c r="W20" i="1"/>
  <c r="W84" i="1"/>
  <c r="W148" i="1"/>
  <c r="W212" i="1"/>
  <c r="W276" i="1"/>
  <c r="W340" i="1"/>
  <c r="W359" i="1"/>
  <c r="W375" i="1"/>
  <c r="W391" i="1"/>
  <c r="W407" i="1"/>
  <c r="W423" i="1"/>
  <c r="W439" i="1"/>
  <c r="W455" i="1"/>
  <c r="W471" i="1"/>
  <c r="W487" i="1"/>
  <c r="W503" i="1"/>
  <c r="W519" i="1"/>
  <c r="W535" i="1"/>
  <c r="W551" i="1"/>
  <c r="W567" i="1"/>
  <c r="W583" i="1"/>
  <c r="W599" i="1"/>
  <c r="W604" i="1"/>
  <c r="W608" i="1"/>
  <c r="W612" i="1"/>
  <c r="W616" i="1"/>
  <c r="W620" i="1"/>
  <c r="W624" i="1"/>
  <c r="W628" i="1"/>
  <c r="W632" i="1"/>
  <c r="W636" i="1"/>
  <c r="W640" i="1"/>
  <c r="W644" i="1"/>
  <c r="W648" i="1"/>
  <c r="W652" i="1"/>
  <c r="W656" i="1"/>
  <c r="W660" i="1"/>
  <c r="W664" i="1"/>
  <c r="W668" i="1"/>
  <c r="W672" i="1"/>
  <c r="W676" i="1"/>
  <c r="W680" i="1"/>
  <c r="W684" i="1"/>
  <c r="W688" i="1"/>
  <c r="W692" i="1"/>
  <c r="W696" i="1"/>
  <c r="W700" i="1"/>
  <c r="W704" i="1"/>
  <c r="W708" i="1"/>
  <c r="W712" i="1"/>
  <c r="W716" i="1"/>
  <c r="W720" i="1"/>
  <c r="W724" i="1"/>
  <c r="W728" i="1"/>
  <c r="W732" i="1"/>
  <c r="W736" i="1"/>
  <c r="W740" i="1"/>
  <c r="W744" i="1"/>
  <c r="W748" i="1"/>
  <c r="W752" i="1"/>
  <c r="W756" i="1"/>
  <c r="W760" i="1"/>
  <c r="W764" i="1"/>
  <c r="W768" i="1"/>
  <c r="W772" i="1"/>
  <c r="W776" i="1"/>
  <c r="W780" i="1"/>
  <c r="W784" i="1"/>
  <c r="W788" i="1"/>
  <c r="W792" i="1"/>
  <c r="W796" i="1"/>
  <c r="W800" i="1"/>
  <c r="W804" i="1"/>
  <c r="W808" i="1"/>
  <c r="W812" i="1"/>
  <c r="W816" i="1"/>
  <c r="W820" i="1"/>
  <c r="W824" i="1"/>
  <c r="W828" i="1"/>
  <c r="W832" i="1"/>
  <c r="W836" i="1"/>
  <c r="W840" i="1"/>
  <c r="W844" i="1"/>
  <c r="W848" i="1"/>
  <c r="W852" i="1"/>
  <c r="W856" i="1"/>
  <c r="W36" i="1"/>
  <c r="W100" i="1"/>
  <c r="W164" i="1"/>
  <c r="W228" i="1"/>
  <c r="W292" i="1"/>
  <c r="W347" i="1"/>
  <c r="W363" i="1"/>
  <c r="W379" i="1"/>
  <c r="W395" i="1"/>
  <c r="W411" i="1"/>
  <c r="W427" i="1"/>
  <c r="W443" i="1"/>
  <c r="W459" i="1"/>
  <c r="W475" i="1"/>
  <c r="W491" i="1"/>
  <c r="W507" i="1"/>
  <c r="W523" i="1"/>
  <c r="W539" i="1"/>
  <c r="W555" i="1"/>
  <c r="W571" i="1"/>
  <c r="W58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829" i="1"/>
  <c r="W833" i="1"/>
  <c r="W837" i="1"/>
  <c r="W841" i="1"/>
  <c r="W845" i="1"/>
  <c r="W849" i="1"/>
  <c r="W853" i="1"/>
  <c r="W857" i="1"/>
  <c r="W52" i="1"/>
  <c r="W116" i="1"/>
  <c r="W180" i="1"/>
  <c r="W244" i="1"/>
  <c r="W308" i="1"/>
  <c r="W351" i="1"/>
  <c r="W367" i="1"/>
  <c r="W383" i="1"/>
  <c r="W399" i="1"/>
  <c r="W415" i="1"/>
  <c r="W431" i="1"/>
  <c r="W447" i="1"/>
  <c r="W463" i="1"/>
  <c r="W479" i="1"/>
  <c r="W495" i="1"/>
  <c r="W511" i="1"/>
  <c r="W527" i="1"/>
  <c r="W543" i="1"/>
  <c r="W559" i="1"/>
  <c r="W575" i="1"/>
  <c r="W591"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842" i="1"/>
  <c r="W846" i="1"/>
  <c r="W850" i="1"/>
  <c r="W854" i="1"/>
  <c r="W68" i="1"/>
  <c r="W324" i="1"/>
  <c r="W403" i="1"/>
  <c r="W467" i="1"/>
  <c r="W531" i="1"/>
  <c r="W595" i="1"/>
  <c r="W615" i="1"/>
  <c r="W631" i="1"/>
  <c r="W647" i="1"/>
  <c r="W663" i="1"/>
  <c r="W679" i="1"/>
  <c r="W695" i="1"/>
  <c r="W711" i="1"/>
  <c r="W727" i="1"/>
  <c r="W743" i="1"/>
  <c r="W759" i="1"/>
  <c r="W775" i="1"/>
  <c r="W791" i="1"/>
  <c r="W807" i="1"/>
  <c r="W823" i="1"/>
  <c r="W839" i="1"/>
  <c r="W855" i="1"/>
  <c r="W861" i="1"/>
  <c r="W865" i="1"/>
  <c r="W869" i="1"/>
  <c r="W873" i="1"/>
  <c r="W877" i="1"/>
  <c r="W881" i="1"/>
  <c r="W885" i="1"/>
  <c r="W889" i="1"/>
  <c r="W893" i="1"/>
  <c r="W897" i="1"/>
  <c r="W901" i="1"/>
  <c r="W905" i="1"/>
  <c r="W909" i="1"/>
  <c r="W913" i="1"/>
  <c r="W917" i="1"/>
  <c r="W921" i="1"/>
  <c r="W925" i="1"/>
  <c r="W929" i="1"/>
  <c r="W933" i="1"/>
  <c r="W937" i="1"/>
  <c r="W941" i="1"/>
  <c r="W945" i="1"/>
  <c r="W949" i="1"/>
  <c r="W953" i="1"/>
  <c r="W957" i="1"/>
  <c r="W961" i="1"/>
  <c r="W965" i="1"/>
  <c r="W969" i="1"/>
  <c r="W973" i="1"/>
  <c r="W977" i="1"/>
  <c r="W981" i="1"/>
  <c r="W985" i="1"/>
  <c r="W989" i="1"/>
  <c r="W993" i="1"/>
  <c r="W997" i="1"/>
  <c r="W1001" i="1"/>
  <c r="W1005" i="1"/>
  <c r="W451" i="1"/>
  <c r="W579" i="1"/>
  <c r="W611" i="1"/>
  <c r="W659" i="1"/>
  <c r="W707" i="1"/>
  <c r="W739" i="1"/>
  <c r="W771" i="1"/>
  <c r="W803" i="1"/>
  <c r="W835" i="1"/>
  <c r="W860" i="1"/>
  <c r="W868" i="1"/>
  <c r="W876" i="1"/>
  <c r="W884" i="1"/>
  <c r="W892" i="1"/>
  <c r="W908" i="1"/>
  <c r="W912" i="1"/>
  <c r="W916" i="1"/>
  <c r="W928" i="1"/>
  <c r="W940" i="1"/>
  <c r="W956" i="1"/>
  <c r="W964" i="1"/>
  <c r="W976" i="1"/>
  <c r="W992" i="1"/>
  <c r="W1000" i="1"/>
  <c r="W132" i="1"/>
  <c r="W355" i="1"/>
  <c r="W419" i="1"/>
  <c r="W483" i="1"/>
  <c r="W547" i="1"/>
  <c r="W603" i="1"/>
  <c r="W619" i="1"/>
  <c r="W635" i="1"/>
  <c r="W651" i="1"/>
  <c r="W667" i="1"/>
  <c r="W683" i="1"/>
  <c r="W699" i="1"/>
  <c r="W715" i="1"/>
  <c r="W731" i="1"/>
  <c r="W747" i="1"/>
  <c r="W763" i="1"/>
  <c r="W779" i="1"/>
  <c r="W795" i="1"/>
  <c r="W811" i="1"/>
  <c r="W827" i="1"/>
  <c r="W843" i="1"/>
  <c r="W858" i="1"/>
  <c r="W862" i="1"/>
  <c r="W866" i="1"/>
  <c r="W870" i="1"/>
  <c r="W874" i="1"/>
  <c r="W878" i="1"/>
  <c r="W882" i="1"/>
  <c r="W886" i="1"/>
  <c r="W890" i="1"/>
  <c r="W894" i="1"/>
  <c r="W898" i="1"/>
  <c r="W902" i="1"/>
  <c r="W906" i="1"/>
  <c r="W910" i="1"/>
  <c r="W914" i="1"/>
  <c r="W918" i="1"/>
  <c r="W922" i="1"/>
  <c r="W926" i="1"/>
  <c r="W930" i="1"/>
  <c r="W934" i="1"/>
  <c r="W938" i="1"/>
  <c r="W942" i="1"/>
  <c r="W946" i="1"/>
  <c r="W950" i="1"/>
  <c r="W954" i="1"/>
  <c r="W958" i="1"/>
  <c r="W962" i="1"/>
  <c r="W966" i="1"/>
  <c r="W970" i="1"/>
  <c r="W974" i="1"/>
  <c r="W978" i="1"/>
  <c r="W982" i="1"/>
  <c r="W986" i="1"/>
  <c r="W990" i="1"/>
  <c r="W994" i="1"/>
  <c r="W998" i="1"/>
  <c r="W1002" i="1"/>
  <c r="W387" i="1"/>
  <c r="W515" i="1"/>
  <c r="W627" i="1"/>
  <c r="W643" i="1"/>
  <c r="W675" i="1"/>
  <c r="W691" i="1"/>
  <c r="W723" i="1"/>
  <c r="W755" i="1"/>
  <c r="W787" i="1"/>
  <c r="W819" i="1"/>
  <c r="W851" i="1"/>
  <c r="W864" i="1"/>
  <c r="W872" i="1"/>
  <c r="W880" i="1"/>
  <c r="W888" i="1"/>
  <c r="W896" i="1"/>
  <c r="W904" i="1"/>
  <c r="W920" i="1"/>
  <c r="W932" i="1"/>
  <c r="W944" i="1"/>
  <c r="W952" i="1"/>
  <c r="W968" i="1"/>
  <c r="W980" i="1"/>
  <c r="W988" i="1"/>
  <c r="W1004" i="1"/>
  <c r="W196" i="1"/>
  <c r="W371" i="1"/>
  <c r="W435" i="1"/>
  <c r="W499" i="1"/>
  <c r="W563" i="1"/>
  <c r="W607" i="1"/>
  <c r="W623" i="1"/>
  <c r="W639" i="1"/>
  <c r="W655" i="1"/>
  <c r="W671" i="1"/>
  <c r="W687" i="1"/>
  <c r="W703" i="1"/>
  <c r="W719" i="1"/>
  <c r="W735" i="1"/>
  <c r="W751" i="1"/>
  <c r="W767" i="1"/>
  <c r="W783" i="1"/>
  <c r="W799" i="1"/>
  <c r="W815" i="1"/>
  <c r="W831" i="1"/>
  <c r="W847" i="1"/>
  <c r="W859" i="1"/>
  <c r="W863" i="1"/>
  <c r="W867" i="1"/>
  <c r="W871" i="1"/>
  <c r="W875" i="1"/>
  <c r="W879" i="1"/>
  <c r="W883" i="1"/>
  <c r="W887" i="1"/>
  <c r="W891" i="1"/>
  <c r="W895" i="1"/>
  <c r="W899" i="1"/>
  <c r="W903" i="1"/>
  <c r="W907" i="1"/>
  <c r="W911" i="1"/>
  <c r="W915" i="1"/>
  <c r="W919" i="1"/>
  <c r="W923" i="1"/>
  <c r="W927" i="1"/>
  <c r="W931" i="1"/>
  <c r="W935" i="1"/>
  <c r="W939" i="1"/>
  <c r="W943" i="1"/>
  <c r="W947" i="1"/>
  <c r="W951" i="1"/>
  <c r="W955" i="1"/>
  <c r="W959" i="1"/>
  <c r="W963" i="1"/>
  <c r="W967" i="1"/>
  <c r="W971" i="1"/>
  <c r="W975" i="1"/>
  <c r="W979" i="1"/>
  <c r="W983" i="1"/>
  <c r="W987" i="1"/>
  <c r="W991" i="1"/>
  <c r="W995" i="1"/>
  <c r="W999" i="1"/>
  <c r="W1003" i="1"/>
  <c r="W260" i="1"/>
  <c r="W900" i="1"/>
  <c r="W924" i="1"/>
  <c r="W936" i="1"/>
  <c r="W948" i="1"/>
  <c r="W960" i="1"/>
  <c r="W972" i="1"/>
  <c r="W984" i="1"/>
  <c r="W996" i="1"/>
  <c r="AH989" i="1"/>
  <c r="AH941" i="1"/>
  <c r="AH933" i="1"/>
  <c r="AH905" i="1"/>
  <c r="AH833" i="1"/>
  <c r="AH825" i="1"/>
  <c r="AH797" i="1"/>
  <c r="BX797" i="1" s="1"/>
  <c r="AH793" i="1"/>
  <c r="AH773" i="1"/>
  <c r="AH757" i="1"/>
  <c r="AH749" i="1"/>
  <c r="AH721" i="1"/>
  <c r="AH581" i="1"/>
  <c r="AH461" i="1"/>
  <c r="AH353" i="1"/>
  <c r="BX353" i="1" s="1"/>
  <c r="AH345" i="1"/>
  <c r="AH341" i="1"/>
  <c r="BX341" i="1" s="1"/>
  <c r="AH329" i="1"/>
  <c r="AH285" i="1"/>
  <c r="AH253" i="1"/>
  <c r="AH245" i="1"/>
  <c r="AH241" i="1"/>
  <c r="AH145" i="1"/>
  <c r="BX145" i="1" s="1"/>
  <c r="AH113" i="1"/>
  <c r="AH77" i="1"/>
  <c r="AH73" i="1"/>
  <c r="AH65" i="1"/>
  <c r="BX65" i="1" s="1"/>
  <c r="BU721" i="1"/>
  <c r="BU49" i="1"/>
  <c r="BH830" i="1"/>
  <c r="AH982" i="1"/>
  <c r="AH902" i="1"/>
  <c r="AH578" i="1"/>
  <c r="BU861" i="1"/>
  <c r="BU521" i="1"/>
  <c r="BU317" i="1"/>
  <c r="BU213" i="1"/>
  <c r="BU85" i="1"/>
  <c r="BU81" i="1"/>
  <c r="BU21" i="1"/>
  <c r="BU965" i="1"/>
  <c r="BU873" i="1"/>
  <c r="BU825" i="1"/>
  <c r="BU705" i="1"/>
  <c r="BU669" i="1"/>
  <c r="BU617" i="1"/>
  <c r="BU457" i="1"/>
  <c r="BU441" i="1"/>
  <c r="BU389" i="1"/>
  <c r="BU381" i="1"/>
  <c r="BU377" i="1"/>
  <c r="BU369" i="1"/>
  <c r="BU281" i="1"/>
  <c r="BU205" i="1"/>
  <c r="BU61" i="1"/>
  <c r="BU865" i="1"/>
  <c r="BU813" i="1"/>
  <c r="BU641" i="1"/>
  <c r="BU373" i="1"/>
  <c r="BU349" i="1"/>
  <c r="BU145" i="1"/>
  <c r="BU29" i="1"/>
  <c r="BU869" i="1"/>
  <c r="BU693" i="1"/>
  <c r="BU685" i="1"/>
  <c r="BU593" i="1"/>
  <c r="BU997" i="1"/>
  <c r="BU949" i="1"/>
  <c r="BU937" i="1"/>
  <c r="BU793" i="1"/>
  <c r="BU761" i="1"/>
  <c r="BU677" i="1"/>
  <c r="BU665" i="1"/>
  <c r="BU569" i="1"/>
  <c r="BU561" i="1"/>
  <c r="BU509" i="1"/>
  <c r="BU449" i="1"/>
  <c r="BU429" i="1"/>
  <c r="BU361" i="1"/>
  <c r="BU345" i="1"/>
  <c r="BU289" i="1"/>
  <c r="BU245" i="1"/>
  <c r="BU221" i="1"/>
  <c r="BU201" i="1"/>
  <c r="BU117" i="1"/>
  <c r="BU89" i="1"/>
  <c r="BU77" i="1"/>
  <c r="BU25" i="1"/>
  <c r="BU17" i="1"/>
  <c r="BU987" i="1"/>
  <c r="BU951" i="1"/>
  <c r="AH820" i="1"/>
  <c r="BU993" i="1"/>
  <c r="BU961" i="1"/>
  <c r="BU777" i="1"/>
  <c r="BU757" i="1"/>
  <c r="BU709" i="1"/>
  <c r="BU573" i="1"/>
  <c r="BU501" i="1"/>
  <c r="BU493" i="1"/>
  <c r="BU401" i="1"/>
  <c r="BU189" i="1"/>
  <c r="BU161" i="1"/>
  <c r="BU101" i="1"/>
  <c r="BU97" i="1"/>
  <c r="BU69" i="1"/>
  <c r="AH156" i="1"/>
  <c r="AH1003" i="1"/>
  <c r="AH995" i="1"/>
  <c r="AH983" i="1"/>
  <c r="AH979" i="1"/>
  <c r="AH971" i="1"/>
  <c r="AH935" i="1"/>
  <c r="AH907" i="1"/>
  <c r="AH899" i="1"/>
  <c r="AH871" i="1"/>
  <c r="AH855" i="1"/>
  <c r="AH843" i="1"/>
  <c r="AH831" i="1"/>
  <c r="AH771" i="1"/>
  <c r="AH731" i="1"/>
  <c r="AH727" i="1"/>
  <c r="AH687" i="1"/>
  <c r="AH679" i="1"/>
  <c r="AH663" i="1"/>
  <c r="AH655" i="1"/>
  <c r="AH647" i="1"/>
  <c r="AH639" i="1"/>
  <c r="AH615" i="1"/>
  <c r="AH579" i="1"/>
  <c r="AH559" i="1"/>
  <c r="AH547" i="1"/>
  <c r="AH523" i="1"/>
  <c r="AH519" i="1"/>
  <c r="AH515" i="1"/>
  <c r="AH511" i="1"/>
  <c r="AH479" i="1"/>
  <c r="AH407" i="1"/>
  <c r="AH403" i="1"/>
  <c r="AH395" i="1"/>
  <c r="AH391" i="1"/>
  <c r="AH387" i="1"/>
  <c r="AH371" i="1"/>
  <c r="AH319" i="1"/>
  <c r="AH279" i="1"/>
  <c r="AH271" i="1"/>
  <c r="AH247" i="1"/>
  <c r="AH223" i="1"/>
  <c r="AH183" i="1"/>
  <c r="AH179" i="1"/>
  <c r="AH151" i="1"/>
  <c r="AH147" i="1"/>
  <c r="AH143" i="1"/>
  <c r="AH139" i="1"/>
  <c r="AH87" i="1"/>
  <c r="AH43" i="1"/>
  <c r="AH39" i="1"/>
  <c r="AH15" i="1"/>
  <c r="BU270" i="1"/>
  <c r="BU894" i="1"/>
  <c r="BU770" i="1"/>
  <c r="BU606" i="1"/>
  <c r="BU534" i="1"/>
  <c r="BU502" i="1"/>
  <c r="BU410" i="1"/>
  <c r="AH5" i="1"/>
  <c r="AH849" i="1"/>
  <c r="AH809" i="1"/>
  <c r="AH665" i="1"/>
  <c r="AH509" i="1"/>
  <c r="AH389" i="1"/>
  <c r="AH105" i="1"/>
  <c r="BX105" i="1" s="1"/>
  <c r="BU989" i="1"/>
  <c r="BU921" i="1"/>
  <c r="BU809" i="1"/>
  <c r="BU657" i="1"/>
  <c r="BU649" i="1"/>
  <c r="BU637" i="1"/>
  <c r="BU601" i="1"/>
  <c r="BU589" i="1"/>
  <c r="BU585" i="1"/>
  <c r="BU549" i="1"/>
  <c r="BU505" i="1"/>
  <c r="BU477" i="1"/>
  <c r="BU461" i="1"/>
  <c r="BU413" i="1"/>
  <c r="BU405" i="1"/>
  <c r="BU301" i="1"/>
  <c r="BU297" i="1"/>
  <c r="BU253" i="1"/>
  <c r="BU241" i="1"/>
  <c r="BU237" i="1"/>
  <c r="BU225" i="1"/>
  <c r="BU181" i="1"/>
  <c r="BU177" i="1"/>
  <c r="BU165" i="1"/>
  <c r="BU109" i="1"/>
  <c r="BU73" i="1"/>
  <c r="BX73" i="1" s="1"/>
  <c r="BU57" i="1"/>
  <c r="BU41" i="1"/>
  <c r="AU807" i="1"/>
  <c r="AU127" i="1"/>
  <c r="AH998" i="1"/>
  <c r="AH602" i="1"/>
  <c r="AH526" i="1"/>
  <c r="AH406" i="1"/>
  <c r="AH378" i="1"/>
  <c r="AH282" i="1"/>
  <c r="AH1001" i="1"/>
  <c r="AH997" i="1"/>
  <c r="AH993" i="1"/>
  <c r="AH985" i="1"/>
  <c r="AH981" i="1"/>
  <c r="AH977" i="1"/>
  <c r="AH973" i="1"/>
  <c r="AH969" i="1"/>
  <c r="AH965" i="1"/>
  <c r="AH961" i="1"/>
  <c r="AH957" i="1"/>
  <c r="AH953" i="1"/>
  <c r="AH949" i="1"/>
  <c r="AH945" i="1"/>
  <c r="AH937" i="1"/>
  <c r="AH929" i="1"/>
  <c r="AH925" i="1"/>
  <c r="AH921" i="1"/>
  <c r="AH917" i="1"/>
  <c r="AH913" i="1"/>
  <c r="AH909" i="1"/>
  <c r="AH901" i="1"/>
  <c r="AH897" i="1"/>
  <c r="AH893" i="1"/>
  <c r="AH889" i="1"/>
  <c r="AH885" i="1"/>
  <c r="AH881" i="1"/>
  <c r="AH877" i="1"/>
  <c r="AH873" i="1"/>
  <c r="AH869" i="1"/>
  <c r="AH865" i="1"/>
  <c r="AH861" i="1"/>
  <c r="AH857" i="1"/>
  <c r="AH853" i="1"/>
  <c r="AH845" i="1"/>
  <c r="BX845" i="1" s="1"/>
  <c r="AH841" i="1"/>
  <c r="AH837" i="1"/>
  <c r="AH829" i="1"/>
  <c r="AH821" i="1"/>
  <c r="AH817" i="1"/>
  <c r="AH813" i="1"/>
  <c r="AH805" i="1"/>
  <c r="AH801" i="1"/>
  <c r="AH789" i="1"/>
  <c r="AH785" i="1"/>
  <c r="BU983" i="1"/>
  <c r="BU811" i="1"/>
  <c r="BU335" i="1"/>
  <c r="BU39" i="1"/>
  <c r="AH781" i="1"/>
  <c r="AH777" i="1"/>
  <c r="AH769" i="1"/>
  <c r="AH765" i="1"/>
  <c r="AH761" i="1"/>
  <c r="AH753" i="1"/>
  <c r="AH745" i="1"/>
  <c r="AH741" i="1"/>
  <c r="AH737" i="1"/>
  <c r="AH733" i="1"/>
  <c r="AH729" i="1"/>
  <c r="AH725" i="1"/>
  <c r="AH717" i="1"/>
  <c r="AH713" i="1"/>
  <c r="AH709" i="1"/>
  <c r="AH705" i="1"/>
  <c r="AH701" i="1"/>
  <c r="AH697" i="1"/>
  <c r="AH693" i="1"/>
  <c r="AH689" i="1"/>
  <c r="AH685" i="1"/>
  <c r="AH681" i="1"/>
  <c r="AH677" i="1"/>
  <c r="AH673" i="1"/>
  <c r="AH669" i="1"/>
  <c r="AH661" i="1"/>
  <c r="AH657" i="1"/>
  <c r="AH653" i="1"/>
  <c r="AH649" i="1"/>
  <c r="AH645" i="1"/>
  <c r="AH641" i="1"/>
  <c r="AH637" i="1"/>
  <c r="AH633" i="1"/>
  <c r="AH629" i="1"/>
  <c r="AH625" i="1"/>
  <c r="AH621" i="1"/>
  <c r="AH617" i="1"/>
  <c r="AH613" i="1"/>
  <c r="AH609" i="1"/>
  <c r="AH605" i="1"/>
  <c r="AH601" i="1"/>
  <c r="AH597" i="1"/>
  <c r="AH593" i="1"/>
  <c r="AH589" i="1"/>
  <c r="AH585" i="1"/>
  <c r="AH577" i="1"/>
  <c r="AH573" i="1"/>
  <c r="AH569" i="1"/>
  <c r="AH565" i="1"/>
  <c r="AH561" i="1"/>
  <c r="AH557" i="1"/>
  <c r="AH553" i="1"/>
  <c r="AH549" i="1"/>
  <c r="AH545" i="1"/>
  <c r="AH541" i="1"/>
  <c r="AH537" i="1"/>
  <c r="AH533" i="1"/>
  <c r="BX533" i="1" s="1"/>
  <c r="AH529" i="1"/>
  <c r="AH525" i="1"/>
  <c r="AH521" i="1"/>
  <c r="AH517" i="1"/>
  <c r="AH513" i="1"/>
  <c r="AH505" i="1"/>
  <c r="AH501" i="1"/>
  <c r="AH497" i="1"/>
  <c r="AH493" i="1"/>
  <c r="AH489" i="1"/>
  <c r="AH485" i="1"/>
  <c r="BX485" i="1" s="1"/>
  <c r="AH481" i="1"/>
  <c r="AH477" i="1"/>
  <c r="AH473" i="1"/>
  <c r="AH469" i="1"/>
  <c r="BX469" i="1" s="1"/>
  <c r="AH465" i="1"/>
  <c r="AH457" i="1"/>
  <c r="AH453" i="1"/>
  <c r="AH449" i="1"/>
  <c r="AH445" i="1"/>
  <c r="AH441" i="1"/>
  <c r="AH437" i="1"/>
  <c r="BX437" i="1" s="1"/>
  <c r="AH433" i="1"/>
  <c r="AH429" i="1"/>
  <c r="AH425" i="1"/>
  <c r="AH421" i="1"/>
  <c r="AH417" i="1"/>
  <c r="AH413" i="1"/>
  <c r="BX832" i="1"/>
  <c r="BX364" i="1"/>
  <c r="BU515" i="1"/>
  <c r="BU79" i="1"/>
  <c r="BU35" i="1"/>
  <c r="AH978" i="1"/>
  <c r="AH954" i="1"/>
  <c r="AH858" i="1"/>
  <c r="AH854" i="1"/>
  <c r="AH846" i="1"/>
  <c r="AH834" i="1"/>
  <c r="AH798" i="1"/>
  <c r="AH770" i="1"/>
  <c r="BX770" i="1" s="1"/>
  <c r="AH766" i="1"/>
  <c r="AH742" i="1"/>
  <c r="AH734" i="1"/>
  <c r="AH706" i="1"/>
  <c r="AH686" i="1"/>
  <c r="AH634" i="1"/>
  <c r="AH598" i="1"/>
  <c r="AH586" i="1"/>
  <c r="AH498" i="1"/>
  <c r="AH494" i="1"/>
  <c r="AH490" i="1"/>
  <c r="AH462" i="1"/>
  <c r="AH394" i="1"/>
  <c r="AH334" i="1"/>
  <c r="AH330" i="1"/>
  <c r="AH286" i="1"/>
  <c r="AH274" i="1"/>
  <c r="AH242" i="1"/>
  <c r="AH218" i="1"/>
  <c r="AH214" i="1"/>
  <c r="AH194" i="1"/>
  <c r="AH182" i="1"/>
  <c r="AH142" i="1"/>
  <c r="AH102" i="1"/>
  <c r="AH50" i="1"/>
  <c r="AH38" i="1"/>
  <c r="AH34" i="1"/>
  <c r="BU954" i="1"/>
  <c r="BU946" i="1"/>
  <c r="BU838" i="1"/>
  <c r="BU834" i="1"/>
  <c r="BU814" i="1"/>
  <c r="BU762" i="1"/>
  <c r="BU722" i="1"/>
  <c r="BU662" i="1"/>
  <c r="BU562" i="1"/>
  <c r="BU486" i="1"/>
  <c r="BU374" i="1"/>
  <c r="BU342" i="1"/>
  <c r="BU338" i="1"/>
  <c r="BU294" i="1"/>
  <c r="BU290" i="1"/>
  <c r="BU206" i="1"/>
  <c r="BU198" i="1"/>
  <c r="BU90" i="1"/>
  <c r="BU30" i="1"/>
  <c r="AH376" i="1"/>
  <c r="BU535" i="1"/>
  <c r="BU399" i="1"/>
  <c r="BU359" i="1"/>
  <c r="BU243" i="1"/>
  <c r="BU171" i="1"/>
  <c r="BU131" i="1"/>
  <c r="BU991" i="1"/>
  <c r="BU971" i="1"/>
  <c r="BU955" i="1"/>
  <c r="BU619" i="1"/>
  <c r="BU999" i="1"/>
  <c r="BU979" i="1"/>
  <c r="BU963" i="1"/>
  <c r="BU367" i="1"/>
  <c r="BU319" i="1"/>
  <c r="BU1003" i="1"/>
  <c r="BU995" i="1"/>
  <c r="BU975" i="1"/>
  <c r="BU967" i="1"/>
  <c r="BU959" i="1"/>
  <c r="BU743" i="1"/>
  <c r="BU671" i="1"/>
  <c r="BU939" i="1"/>
  <c r="BU927" i="1"/>
  <c r="BU915" i="1"/>
  <c r="BU903" i="1"/>
  <c r="BU887" i="1"/>
  <c r="BU871" i="1"/>
  <c r="BU859" i="1"/>
  <c r="BU847" i="1"/>
  <c r="BU835" i="1"/>
  <c r="BU823" i="1"/>
  <c r="BU803" i="1"/>
  <c r="BU791" i="1"/>
  <c r="BU779" i="1"/>
  <c r="BU767" i="1"/>
  <c r="BU751" i="1"/>
  <c r="BU735" i="1"/>
  <c r="BU723" i="1"/>
  <c r="BU711" i="1"/>
  <c r="BU699" i="1"/>
  <c r="BU683" i="1"/>
  <c r="BU667" i="1"/>
  <c r="BU655" i="1"/>
  <c r="BU643" i="1"/>
  <c r="BU631" i="1"/>
  <c r="BU607" i="1"/>
  <c r="BU595" i="1"/>
  <c r="BU567" i="1"/>
  <c r="AH967" i="1"/>
  <c r="AH963" i="1"/>
  <c r="AH959" i="1"/>
  <c r="AH955" i="1"/>
  <c r="AH951" i="1"/>
  <c r="AH939" i="1"/>
  <c r="AH847" i="1"/>
  <c r="AH835" i="1"/>
  <c r="AH827" i="1"/>
  <c r="AH703" i="1"/>
  <c r="AH627" i="1"/>
  <c r="AH611" i="1"/>
  <c r="AH587" i="1"/>
  <c r="AH543" i="1"/>
  <c r="AH531" i="1"/>
  <c r="AH527" i="1"/>
  <c r="AH499" i="1"/>
  <c r="AH483" i="1"/>
  <c r="AH471" i="1"/>
  <c r="AH463" i="1"/>
  <c r="AH455" i="1"/>
  <c r="AH451" i="1"/>
  <c r="AH423" i="1"/>
  <c r="AH419" i="1"/>
  <c r="AH399" i="1"/>
  <c r="AH363" i="1"/>
  <c r="AH351" i="1"/>
  <c r="AH343" i="1"/>
  <c r="AH331" i="1"/>
  <c r="AH327" i="1"/>
  <c r="AH227" i="1"/>
  <c r="AH219" i="1"/>
  <c r="AH215" i="1"/>
  <c r="AH163" i="1"/>
  <c r="AH131" i="1"/>
  <c r="AH127" i="1"/>
  <c r="AH115" i="1"/>
  <c r="AH111" i="1"/>
  <c r="AH103" i="1"/>
  <c r="AH99" i="1"/>
  <c r="AH95" i="1"/>
  <c r="AH71" i="1"/>
  <c r="AH63" i="1"/>
  <c r="BU947" i="1"/>
  <c r="BU935" i="1"/>
  <c r="BU923" i="1"/>
  <c r="BU911" i="1"/>
  <c r="BU899" i="1"/>
  <c r="BU891" i="1"/>
  <c r="BU879" i="1"/>
  <c r="BU867" i="1"/>
  <c r="BU855" i="1"/>
  <c r="BX855" i="1" s="1"/>
  <c r="BU839" i="1"/>
  <c r="BU827" i="1"/>
  <c r="BU815" i="1"/>
  <c r="BU795" i="1"/>
  <c r="BU783" i="1"/>
  <c r="BU771" i="1"/>
  <c r="BU759" i="1"/>
  <c r="BU747" i="1"/>
  <c r="BU731" i="1"/>
  <c r="BU715" i="1"/>
  <c r="BU703" i="1"/>
  <c r="BU691" i="1"/>
  <c r="BU679" i="1"/>
  <c r="BU659" i="1"/>
  <c r="BU651" i="1"/>
  <c r="BU639" i="1"/>
  <c r="BU627" i="1"/>
  <c r="BU611" i="1"/>
  <c r="BU599" i="1"/>
  <c r="BU587" i="1"/>
  <c r="BU579" i="1"/>
  <c r="BU575" i="1"/>
  <c r="BU559" i="1"/>
  <c r="BU527" i="1"/>
  <c r="BU511" i="1"/>
  <c r="BU483" i="1"/>
  <c r="BU451" i="1"/>
  <c r="BU439" i="1"/>
  <c r="BU407" i="1"/>
  <c r="BU307" i="1"/>
  <c r="BU279" i="1"/>
  <c r="BU199" i="1"/>
  <c r="BU183" i="1"/>
  <c r="BU151" i="1"/>
  <c r="BU127" i="1"/>
  <c r="BU115" i="1"/>
  <c r="BU107" i="1"/>
  <c r="BU51" i="1"/>
  <c r="BU11" i="1"/>
  <c r="BU943" i="1"/>
  <c r="BU931" i="1"/>
  <c r="BU919" i="1"/>
  <c r="BU907" i="1"/>
  <c r="BU895" i="1"/>
  <c r="BU883" i="1"/>
  <c r="BU875" i="1"/>
  <c r="BU863" i="1"/>
  <c r="BU851" i="1"/>
  <c r="BU843" i="1"/>
  <c r="BU831" i="1"/>
  <c r="BU819" i="1"/>
  <c r="BU807" i="1"/>
  <c r="BU799" i="1"/>
  <c r="BU787" i="1"/>
  <c r="BU775" i="1"/>
  <c r="BU763" i="1"/>
  <c r="BU755" i="1"/>
  <c r="BU739" i="1"/>
  <c r="BU727" i="1"/>
  <c r="BU719" i="1"/>
  <c r="BU707" i="1"/>
  <c r="BU695" i="1"/>
  <c r="BU687" i="1"/>
  <c r="BU675" i="1"/>
  <c r="BU663" i="1"/>
  <c r="BU647" i="1"/>
  <c r="BU635" i="1"/>
  <c r="BU623" i="1"/>
  <c r="BU615" i="1"/>
  <c r="BU603" i="1"/>
  <c r="BU591" i="1"/>
  <c r="BU583" i="1"/>
  <c r="BU571" i="1"/>
  <c r="BU563" i="1"/>
  <c r="BU519" i="1"/>
  <c r="BU491" i="1"/>
  <c r="BU479" i="1"/>
  <c r="BU443" i="1"/>
  <c r="BU431" i="1"/>
  <c r="BU379" i="1"/>
  <c r="BU303" i="1"/>
  <c r="BU287" i="1"/>
  <c r="BU207" i="1"/>
  <c r="BU167" i="1"/>
  <c r="BU159" i="1"/>
  <c r="BU123" i="1"/>
  <c r="BU111" i="1"/>
  <c r="BU103" i="1"/>
  <c r="BU47" i="1"/>
  <c r="BU555" i="1"/>
  <c r="BU547" i="1"/>
  <c r="BU539" i="1"/>
  <c r="BU503" i="1"/>
  <c r="BU495" i="1"/>
  <c r="BU487" i="1"/>
  <c r="BU471" i="1"/>
  <c r="BU463" i="1"/>
  <c r="BU455" i="1"/>
  <c r="BU447" i="1"/>
  <c r="BU435" i="1"/>
  <c r="BU427" i="1"/>
  <c r="BU419" i="1"/>
  <c r="BU411" i="1"/>
  <c r="BU403" i="1"/>
  <c r="BU395" i="1"/>
  <c r="BU387" i="1"/>
  <c r="BU371" i="1"/>
  <c r="BU351" i="1"/>
  <c r="BU343" i="1"/>
  <c r="BU327" i="1"/>
  <c r="BU311" i="1"/>
  <c r="BU295" i="1"/>
  <c r="BU271" i="1"/>
  <c r="BU263" i="1"/>
  <c r="BU255" i="1"/>
  <c r="BU247" i="1"/>
  <c r="BU235" i="1"/>
  <c r="BU227" i="1"/>
  <c r="BU219" i="1"/>
  <c r="BU211" i="1"/>
  <c r="BU195" i="1"/>
  <c r="BU187" i="1"/>
  <c r="BU179" i="1"/>
  <c r="BU163" i="1"/>
  <c r="BU155" i="1"/>
  <c r="BU147" i="1"/>
  <c r="BU139" i="1"/>
  <c r="BU119" i="1"/>
  <c r="BU95" i="1"/>
  <c r="BU87" i="1"/>
  <c r="BU71" i="1"/>
  <c r="BU63" i="1"/>
  <c r="BU55" i="1"/>
  <c r="BU31" i="1"/>
  <c r="BU23" i="1"/>
  <c r="AH987" i="1"/>
  <c r="AH947" i="1"/>
  <c r="AH931" i="1"/>
  <c r="AH923" i="1"/>
  <c r="AH915" i="1"/>
  <c r="AH891" i="1"/>
  <c r="AH883" i="1"/>
  <c r="AH875" i="1"/>
  <c r="AH863" i="1"/>
  <c r="AH823" i="1"/>
  <c r="AH815" i="1"/>
  <c r="AH807" i="1"/>
  <c r="AH799" i="1"/>
  <c r="AH795" i="1"/>
  <c r="AH787" i="1"/>
  <c r="AH779" i="1"/>
  <c r="AH763" i="1"/>
  <c r="BX763" i="1" s="1"/>
  <c r="AH755" i="1"/>
  <c r="AH747" i="1"/>
  <c r="AH739" i="1"/>
  <c r="AH723" i="1"/>
  <c r="AH715" i="1"/>
  <c r="AH707" i="1"/>
  <c r="AH695" i="1"/>
  <c r="AH683" i="1"/>
  <c r="AH671" i="1"/>
  <c r="AH651" i="1"/>
  <c r="AH643" i="1"/>
  <c r="AH635" i="1"/>
  <c r="AH619" i="1"/>
  <c r="AH603" i="1"/>
  <c r="AH595" i="1"/>
  <c r="AH571" i="1"/>
  <c r="AH563" i="1"/>
  <c r="AH555" i="1"/>
  <c r="AH539" i="1"/>
  <c r="AH503" i="1"/>
  <c r="AH495" i="1"/>
  <c r="AH491" i="1"/>
  <c r="AH487" i="1"/>
  <c r="AH475" i="1"/>
  <c r="AH467" i="1"/>
  <c r="AH459" i="1"/>
  <c r="AH447" i="1"/>
  <c r="BX447" i="1" s="1"/>
  <c r="AH439" i="1"/>
  <c r="AH431" i="1"/>
  <c r="AH415" i="1"/>
  <c r="AH383" i="1"/>
  <c r="AH375" i="1"/>
  <c r="AH367" i="1"/>
  <c r="AH359" i="1"/>
  <c r="AH347" i="1"/>
  <c r="AH339" i="1"/>
  <c r="AH315" i="1"/>
  <c r="AH307" i="1"/>
  <c r="AH299" i="1"/>
  <c r="AH291" i="1"/>
  <c r="AH283" i="1"/>
  <c r="AH275" i="1"/>
  <c r="AH267" i="1"/>
  <c r="AH259" i="1"/>
  <c r="AH251" i="1"/>
  <c r="AH243" i="1"/>
  <c r="AH235" i="1"/>
  <c r="AH207" i="1"/>
  <c r="AH199" i="1"/>
  <c r="AH191" i="1"/>
  <c r="AH171" i="1"/>
  <c r="AH155" i="1"/>
  <c r="AH123" i="1"/>
  <c r="AH107" i="1"/>
  <c r="AH83" i="1"/>
  <c r="AH75" i="1"/>
  <c r="AH55" i="1"/>
  <c r="AH47" i="1"/>
  <c r="AH31" i="1"/>
  <c r="AH23" i="1"/>
  <c r="AH7" i="1"/>
  <c r="BU998" i="1"/>
  <c r="BU978" i="1"/>
  <c r="BU942" i="1"/>
  <c r="BU930" i="1"/>
  <c r="BU906" i="1"/>
  <c r="BU882" i="1"/>
  <c r="BU870" i="1"/>
  <c r="BU826" i="1"/>
  <c r="BU810" i="1"/>
  <c r="BU798" i="1"/>
  <c r="BU778" i="1"/>
  <c r="BU742" i="1"/>
  <c r="BU730" i="1"/>
  <c r="BU718" i="1"/>
  <c r="BU694" i="1"/>
  <c r="BU682" i="1"/>
  <c r="BU630" i="1"/>
  <c r="BU570" i="1"/>
  <c r="BU558" i="1"/>
  <c r="BU546" i="1"/>
  <c r="BU506" i="1"/>
  <c r="BU474" i="1"/>
  <c r="BU450" i="1"/>
  <c r="BU398" i="1"/>
  <c r="BU386" i="1"/>
  <c r="BU362" i="1"/>
  <c r="BU350" i="1"/>
  <c r="BU334" i="1"/>
  <c r="BU322" i="1"/>
  <c r="BU298" i="1"/>
  <c r="BU242" i="1"/>
  <c r="BU166" i="1"/>
  <c r="BU134" i="1"/>
  <c r="BU110" i="1"/>
  <c r="BU82" i="1"/>
  <c r="BU58" i="1"/>
  <c r="BU34" i="1"/>
  <c r="BU551" i="1"/>
  <c r="BU543" i="1"/>
  <c r="BU531" i="1"/>
  <c r="BU523" i="1"/>
  <c r="BU507" i="1"/>
  <c r="BU499" i="1"/>
  <c r="BU475" i="1"/>
  <c r="BU467" i="1"/>
  <c r="BU459" i="1"/>
  <c r="BU423" i="1"/>
  <c r="BU415" i="1"/>
  <c r="BU391" i="1"/>
  <c r="BU383" i="1"/>
  <c r="BX383" i="1" s="1"/>
  <c r="BU375" i="1"/>
  <c r="BU363" i="1"/>
  <c r="BU355" i="1"/>
  <c r="BU347" i="1"/>
  <c r="BU339" i="1"/>
  <c r="BU331" i="1"/>
  <c r="BU323" i="1"/>
  <c r="BU315" i="1"/>
  <c r="BU299" i="1"/>
  <c r="BU291" i="1"/>
  <c r="BU283" i="1"/>
  <c r="BU275" i="1"/>
  <c r="BU267" i="1"/>
  <c r="BU259" i="1"/>
  <c r="BU251" i="1"/>
  <c r="BU239" i="1"/>
  <c r="BU231" i="1"/>
  <c r="BU223" i="1"/>
  <c r="BU215" i="1"/>
  <c r="BU203" i="1"/>
  <c r="BU191" i="1"/>
  <c r="BU175" i="1"/>
  <c r="BU143" i="1"/>
  <c r="BU135" i="1"/>
  <c r="BU99" i="1"/>
  <c r="BU91" i="1"/>
  <c r="BU83" i="1"/>
  <c r="BU75" i="1"/>
  <c r="BU67" i="1"/>
  <c r="BU59" i="1"/>
  <c r="BU43" i="1"/>
  <c r="BU27" i="1"/>
  <c r="BU19" i="1"/>
  <c r="BU15" i="1"/>
  <c r="BU7" i="1"/>
  <c r="AH999" i="1"/>
  <c r="AH991" i="1"/>
  <c r="AH975" i="1"/>
  <c r="AH943" i="1"/>
  <c r="AH927" i="1"/>
  <c r="AH919" i="1"/>
  <c r="AH911" i="1"/>
  <c r="AH903" i="1"/>
  <c r="AH895" i="1"/>
  <c r="AH887" i="1"/>
  <c r="AH879" i="1"/>
  <c r="AH867" i="1"/>
  <c r="AH859" i="1"/>
  <c r="AH851" i="1"/>
  <c r="AH839" i="1"/>
  <c r="AH819" i="1"/>
  <c r="AH811" i="1"/>
  <c r="AH803" i="1"/>
  <c r="AH791" i="1"/>
  <c r="AH783" i="1"/>
  <c r="AH775" i="1"/>
  <c r="AH767" i="1"/>
  <c r="AH759" i="1"/>
  <c r="AH751" i="1"/>
  <c r="AH743" i="1"/>
  <c r="AH735" i="1"/>
  <c r="AH719" i="1"/>
  <c r="AH711" i="1"/>
  <c r="AH699" i="1"/>
  <c r="AH691" i="1"/>
  <c r="AH675" i="1"/>
  <c r="AH667" i="1"/>
  <c r="AH659" i="1"/>
  <c r="AH631" i="1"/>
  <c r="AH623" i="1"/>
  <c r="AH607" i="1"/>
  <c r="AH599" i="1"/>
  <c r="AH591" i="1"/>
  <c r="AH583" i="1"/>
  <c r="AH575" i="1"/>
  <c r="AH567" i="1"/>
  <c r="AH551" i="1"/>
  <c r="AH535" i="1"/>
  <c r="AH507" i="1"/>
  <c r="AH443" i="1"/>
  <c r="AH435" i="1"/>
  <c r="AH427" i="1"/>
  <c r="AH411" i="1"/>
  <c r="AH379" i="1"/>
  <c r="AH355" i="1"/>
  <c r="AH335" i="1"/>
  <c r="AH323" i="1"/>
  <c r="AH311" i="1"/>
  <c r="AH303" i="1"/>
  <c r="AH295" i="1"/>
  <c r="AH287" i="1"/>
  <c r="AH263" i="1"/>
  <c r="AH255" i="1"/>
  <c r="AH239" i="1"/>
  <c r="AH231" i="1"/>
  <c r="AH211" i="1"/>
  <c r="AH203" i="1"/>
  <c r="AH195" i="1"/>
  <c r="AH187" i="1"/>
  <c r="AH175" i="1"/>
  <c r="AH167" i="1"/>
  <c r="AH159" i="1"/>
  <c r="BX159" i="1" s="1"/>
  <c r="AH135" i="1"/>
  <c r="AH119" i="1"/>
  <c r="AH91" i="1"/>
  <c r="AH79" i="1"/>
  <c r="AH67" i="1"/>
  <c r="AH59" i="1"/>
  <c r="AH51" i="1"/>
  <c r="AH35" i="1"/>
  <c r="AH27" i="1"/>
  <c r="AH19" i="1"/>
  <c r="AH11" i="1"/>
  <c r="BU18" i="1"/>
  <c r="BU6" i="1"/>
  <c r="BU1002" i="1"/>
  <c r="BU986" i="1"/>
  <c r="BU974" i="1"/>
  <c r="BU958" i="1"/>
  <c r="BU934" i="1"/>
  <c r="BU914" i="1"/>
  <c r="BU910" i="1"/>
  <c r="BU902" i="1"/>
  <c r="BU898" i="1"/>
  <c r="BU890" i="1"/>
  <c r="BU886" i="1"/>
  <c r="BU874" i="1"/>
  <c r="BU866" i="1"/>
  <c r="BU854" i="1"/>
  <c r="BU846" i="1"/>
  <c r="BU822" i="1"/>
  <c r="BU806" i="1"/>
  <c r="BU794" i="1"/>
  <c r="BU786" i="1"/>
  <c r="BU782" i="1"/>
  <c r="BU758" i="1"/>
  <c r="BU746" i="1"/>
  <c r="BU738" i="1"/>
  <c r="BU734" i="1"/>
  <c r="BU726" i="1"/>
  <c r="BU714" i="1"/>
  <c r="BU710" i="1"/>
  <c r="BU702" i="1"/>
  <c r="BU686" i="1"/>
  <c r="BU678" i="1"/>
  <c r="BU666" i="1"/>
  <c r="BU638" i="1"/>
  <c r="BU634" i="1"/>
  <c r="BU626" i="1"/>
  <c r="BU598" i="1"/>
  <c r="BU590" i="1"/>
  <c r="BU586" i="1"/>
  <c r="BU578" i="1"/>
  <c r="BU554" i="1"/>
  <c r="BU538" i="1"/>
  <c r="BU530" i="1"/>
  <c r="BU522" i="1"/>
  <c r="BU514" i="1"/>
  <c r="BU510" i="1"/>
  <c r="BU494" i="1"/>
  <c r="BU482" i="1"/>
  <c r="BU454" i="1"/>
  <c r="BU446" i="1"/>
  <c r="BU438" i="1"/>
  <c r="BU430" i="1"/>
  <c r="BU426" i="1"/>
  <c r="BU414" i="1"/>
  <c r="BU394" i="1"/>
  <c r="BU382" i="1"/>
  <c r="BU378" i="1"/>
  <c r="BU370" i="1"/>
  <c r="BU354" i="1"/>
  <c r="BU330" i="1"/>
  <c r="BU318" i="1"/>
  <c r="BU306" i="1"/>
  <c r="BU258" i="1"/>
  <c r="BU246" i="1"/>
  <c r="BU238" i="1"/>
  <c r="BU234" i="1"/>
  <c r="BU226" i="1"/>
  <c r="BU218" i="1"/>
  <c r="BX218" i="1" s="1"/>
  <c r="BU194" i="1"/>
  <c r="BU182" i="1"/>
  <c r="BU174" i="1"/>
  <c r="BU154" i="1"/>
  <c r="BU150" i="1"/>
  <c r="BU142" i="1"/>
  <c r="BU138" i="1"/>
  <c r="BU98" i="1"/>
  <c r="BU94" i="1"/>
  <c r="BU86" i="1"/>
  <c r="BU78" i="1"/>
  <c r="BU66" i="1"/>
  <c r="BU50" i="1"/>
  <c r="BU38" i="1"/>
  <c r="AH1002" i="1"/>
  <c r="AH994" i="1"/>
  <c r="AH990" i="1"/>
  <c r="AH986" i="1"/>
  <c r="AH974" i="1"/>
  <c r="AH970" i="1"/>
  <c r="AH966" i="1"/>
  <c r="AH962" i="1"/>
  <c r="AH958" i="1"/>
  <c r="AH950" i="1"/>
  <c r="AH946" i="1"/>
  <c r="AH942" i="1"/>
  <c r="AH938" i="1"/>
  <c r="AH934" i="1"/>
  <c r="AH930" i="1"/>
  <c r="AH926" i="1"/>
  <c r="AH922" i="1"/>
  <c r="AH918" i="1"/>
  <c r="AH914" i="1"/>
  <c r="AH910" i="1"/>
  <c r="AH906" i="1"/>
  <c r="AH898" i="1"/>
  <c r="AH894" i="1"/>
  <c r="AH890" i="1"/>
  <c r="AH886" i="1"/>
  <c r="AH882" i="1"/>
  <c r="AH878" i="1"/>
  <c r="AH874" i="1"/>
  <c r="AH870" i="1"/>
  <c r="AH866" i="1"/>
  <c r="AH862" i="1"/>
  <c r="AH850" i="1"/>
  <c r="BX850" i="1" s="1"/>
  <c r="AH842" i="1"/>
  <c r="AH838" i="1"/>
  <c r="AH830" i="1"/>
  <c r="AH826" i="1"/>
  <c r="AH822" i="1"/>
  <c r="AH818" i="1"/>
  <c r="AH814" i="1"/>
  <c r="AH810" i="1"/>
  <c r="AH806" i="1"/>
  <c r="BX806" i="1" s="1"/>
  <c r="AH802" i="1"/>
  <c r="AH794" i="1"/>
  <c r="AH790" i="1"/>
  <c r="BX790" i="1" s="1"/>
  <c r="AH786" i="1"/>
  <c r="AH782" i="1"/>
  <c r="AH778" i="1"/>
  <c r="AH774" i="1"/>
  <c r="AH762" i="1"/>
  <c r="AH758" i="1"/>
  <c r="AH754" i="1"/>
  <c r="AH750" i="1"/>
  <c r="AH746" i="1"/>
  <c r="AH738" i="1"/>
  <c r="AH730" i="1"/>
  <c r="AH726" i="1"/>
  <c r="AH722" i="1"/>
  <c r="AH718" i="1"/>
  <c r="AH714" i="1"/>
  <c r="AH710" i="1"/>
  <c r="AH702" i="1"/>
  <c r="AH698" i="1"/>
  <c r="AH694" i="1"/>
  <c r="AH690" i="1"/>
  <c r="AH682" i="1"/>
  <c r="AH678" i="1"/>
  <c r="AH674" i="1"/>
  <c r="AH670" i="1"/>
  <c r="AH666" i="1"/>
  <c r="AH662" i="1"/>
  <c r="AH658" i="1"/>
  <c r="AH654" i="1"/>
  <c r="AH650" i="1"/>
  <c r="AH646" i="1"/>
  <c r="AH642" i="1"/>
  <c r="AH638" i="1"/>
  <c r="AH630" i="1"/>
  <c r="AH626" i="1"/>
  <c r="AH622" i="1"/>
  <c r="AH618" i="1"/>
  <c r="AH614" i="1"/>
  <c r="AH610" i="1"/>
  <c r="AH606" i="1"/>
  <c r="AH594" i="1"/>
  <c r="AH590" i="1"/>
  <c r="AH582" i="1"/>
  <c r="AH574" i="1"/>
  <c r="AH570" i="1"/>
  <c r="AH566" i="1"/>
  <c r="AH562" i="1"/>
  <c r="AH558" i="1"/>
  <c r="AH554" i="1"/>
  <c r="AH550" i="1"/>
  <c r="AH546" i="1"/>
  <c r="AH542" i="1"/>
  <c r="AH538" i="1"/>
  <c r="AH534" i="1"/>
  <c r="AH530" i="1"/>
  <c r="AH522" i="1"/>
  <c r="AH518" i="1"/>
  <c r="AH514" i="1"/>
  <c r="AH510" i="1"/>
  <c r="AH506" i="1"/>
  <c r="AH502" i="1"/>
  <c r="AH486" i="1"/>
  <c r="AH482" i="1"/>
  <c r="AH478" i="1"/>
  <c r="AH474" i="1"/>
  <c r="AH470" i="1"/>
  <c r="AH466" i="1"/>
  <c r="AH458" i="1"/>
  <c r="AH454" i="1"/>
  <c r="AH450" i="1"/>
  <c r="AH446" i="1"/>
  <c r="AH442" i="1"/>
  <c r="AH438" i="1"/>
  <c r="AH434" i="1"/>
  <c r="AH430" i="1"/>
  <c r="AH426" i="1"/>
  <c r="AH422" i="1"/>
  <c r="AH418" i="1"/>
  <c r="AH414" i="1"/>
  <c r="AH410" i="1"/>
  <c r="AH402" i="1"/>
  <c r="AH398" i="1"/>
  <c r="AH390" i="1"/>
  <c r="AH386" i="1"/>
  <c r="AH382" i="1"/>
  <c r="AH374" i="1"/>
  <c r="AH370" i="1"/>
  <c r="AH366" i="1"/>
  <c r="AH362" i="1"/>
  <c r="AH358" i="1"/>
  <c r="AH354" i="1"/>
  <c r="AH350" i="1"/>
  <c r="AH346" i="1"/>
  <c r="AH342" i="1"/>
  <c r="AH338" i="1"/>
  <c r="AH326" i="1"/>
  <c r="AH322" i="1"/>
  <c r="AH318" i="1"/>
  <c r="AH314" i="1"/>
  <c r="AH310" i="1"/>
  <c r="AH306" i="1"/>
  <c r="AH302" i="1"/>
  <c r="AH298" i="1"/>
  <c r="AH294" i="1"/>
  <c r="AH290" i="1"/>
  <c r="AH278" i="1"/>
  <c r="AH270" i="1"/>
  <c r="AH266" i="1"/>
  <c r="AH262" i="1"/>
  <c r="AH258" i="1"/>
  <c r="AH254" i="1"/>
  <c r="AH250" i="1"/>
  <c r="AH246" i="1"/>
  <c r="AH238" i="1"/>
  <c r="AH234" i="1"/>
  <c r="AH230" i="1"/>
  <c r="AH226" i="1"/>
  <c r="AH222" i="1"/>
  <c r="AH210" i="1"/>
  <c r="AH206" i="1"/>
  <c r="AH202" i="1"/>
  <c r="AH198" i="1"/>
  <c r="AH190" i="1"/>
  <c r="AH186" i="1"/>
  <c r="BX186" i="1" s="1"/>
  <c r="AH178" i="1"/>
  <c r="AH174" i="1"/>
  <c r="AH170" i="1"/>
  <c r="AH166" i="1"/>
  <c r="AH162" i="1"/>
  <c r="AH158" i="1"/>
  <c r="AH154" i="1"/>
  <c r="AH150" i="1"/>
  <c r="AH146" i="1"/>
  <c r="AH138" i="1"/>
  <c r="AH134" i="1"/>
  <c r="AH130" i="1"/>
  <c r="AH126" i="1"/>
  <c r="BX126" i="1" s="1"/>
  <c r="AH122" i="1"/>
  <c r="AH118" i="1"/>
  <c r="AH114" i="1"/>
  <c r="AH110" i="1"/>
  <c r="AH106" i="1"/>
  <c r="BX106" i="1" s="1"/>
  <c r="AH98" i="1"/>
  <c r="AH94" i="1"/>
  <c r="AH90" i="1"/>
  <c r="AH86" i="1"/>
  <c r="AH82" i="1"/>
  <c r="AH78" i="1"/>
  <c r="AH74" i="1"/>
  <c r="BX74" i="1" s="1"/>
  <c r="AH70" i="1"/>
  <c r="AH66" i="1"/>
  <c r="AH62" i="1"/>
  <c r="AH58" i="1"/>
  <c r="AH54" i="1"/>
  <c r="AH46" i="1"/>
  <c r="AH42" i="1"/>
  <c r="BX42" i="1" s="1"/>
  <c r="AH30" i="1"/>
  <c r="AH26" i="1"/>
  <c r="AH22" i="1"/>
  <c r="AH18" i="1"/>
  <c r="AH14" i="1"/>
  <c r="AH10" i="1"/>
  <c r="AH409" i="1"/>
  <c r="AH405" i="1"/>
  <c r="AH401" i="1"/>
  <c r="AH397" i="1"/>
  <c r="AH393" i="1"/>
  <c r="AH385" i="1"/>
  <c r="AH381" i="1"/>
  <c r="AH377" i="1"/>
  <c r="AH373" i="1"/>
  <c r="AH369" i="1"/>
  <c r="AH365" i="1"/>
  <c r="AH361" i="1"/>
  <c r="AH357" i="1"/>
  <c r="AH349" i="1"/>
  <c r="AH337" i="1"/>
  <c r="AH333" i="1"/>
  <c r="AH325" i="1"/>
  <c r="BX325" i="1" s="1"/>
  <c r="AH321" i="1"/>
  <c r="AH317" i="1"/>
  <c r="AH313" i="1"/>
  <c r="AH309" i="1"/>
  <c r="BX309" i="1" s="1"/>
  <c r="AH305" i="1"/>
  <c r="AH301" i="1"/>
  <c r="AH297" i="1"/>
  <c r="AH293" i="1"/>
  <c r="BX293" i="1" s="1"/>
  <c r="AH289" i="1"/>
  <c r="AH281" i="1"/>
  <c r="AH277" i="1"/>
  <c r="AH273" i="1"/>
  <c r="BX273" i="1" s="1"/>
  <c r="AH269" i="1"/>
  <c r="AH265" i="1"/>
  <c r="AH261" i="1"/>
  <c r="AH257" i="1"/>
  <c r="BX257" i="1" s="1"/>
  <c r="AH249" i="1"/>
  <c r="AH237" i="1"/>
  <c r="AH233" i="1"/>
  <c r="AH229" i="1"/>
  <c r="BX229" i="1" s="1"/>
  <c r="AH225" i="1"/>
  <c r="AH221" i="1"/>
  <c r="AH217" i="1"/>
  <c r="AH213" i="1"/>
  <c r="AH209" i="1"/>
  <c r="AH205" i="1"/>
  <c r="AH201" i="1"/>
  <c r="AH197" i="1"/>
  <c r="BX197" i="1" s="1"/>
  <c r="AH193" i="1"/>
  <c r="AH189" i="1"/>
  <c r="AH185" i="1"/>
  <c r="AH181" i="1"/>
  <c r="AH177" i="1"/>
  <c r="AH173" i="1"/>
  <c r="AH169" i="1"/>
  <c r="AH165" i="1"/>
  <c r="AH161" i="1"/>
  <c r="AH157" i="1"/>
  <c r="AH153" i="1"/>
  <c r="AH149" i="1"/>
  <c r="AH141" i="1"/>
  <c r="AH137" i="1"/>
  <c r="AH133" i="1"/>
  <c r="AH129" i="1"/>
  <c r="AH125" i="1"/>
  <c r="AH121" i="1"/>
  <c r="AH117" i="1"/>
  <c r="AH109" i="1"/>
  <c r="AH101" i="1"/>
  <c r="AH97" i="1"/>
  <c r="AH93" i="1"/>
  <c r="AH89" i="1"/>
  <c r="AH85" i="1"/>
  <c r="BX85" i="1" s="1"/>
  <c r="AH81" i="1"/>
  <c r="AH69" i="1"/>
  <c r="BX69" i="1" s="1"/>
  <c r="AH61" i="1"/>
  <c r="AH57" i="1"/>
  <c r="AH53" i="1"/>
  <c r="AH49" i="1"/>
  <c r="AH45" i="1"/>
  <c r="AH41" i="1"/>
  <c r="AH37" i="1"/>
  <c r="AH33" i="1"/>
  <c r="AH29" i="1"/>
  <c r="AH25" i="1"/>
  <c r="AH21" i="1"/>
  <c r="AH17" i="1"/>
  <c r="AH13" i="1"/>
  <c r="AH6" i="1"/>
  <c r="A213" i="17"/>
  <c r="A209" i="17"/>
  <c r="A205" i="17"/>
  <c r="A201" i="17"/>
  <c r="A212" i="17"/>
  <c r="A208" i="17"/>
  <c r="A204" i="17"/>
  <c r="A200" i="17"/>
  <c r="A211" i="17"/>
  <c r="A207" i="17"/>
  <c r="A203" i="17"/>
  <c r="A214" i="17"/>
  <c r="A210" i="17"/>
  <c r="A206" i="17"/>
  <c r="A202" i="17"/>
  <c r="AH9" i="1"/>
  <c r="BX232" i="1"/>
  <c r="BU1001" i="1"/>
  <c r="BU973" i="1"/>
  <c r="BU941" i="1"/>
  <c r="BU929" i="1"/>
  <c r="BU901" i="1"/>
  <c r="BU749" i="1"/>
  <c r="BU737" i="1"/>
  <c r="BU681" i="1"/>
  <c r="BU529" i="1"/>
  <c r="BU453" i="1"/>
  <c r="BU129" i="1"/>
  <c r="BU53" i="1"/>
  <c r="BU45" i="1"/>
  <c r="BU37" i="1"/>
  <c r="AU1005" i="1"/>
  <c r="A177" i="17"/>
  <c r="A152" i="20"/>
  <c r="A193" i="17"/>
  <c r="BU994" i="1"/>
  <c r="BU970" i="1"/>
  <c r="BU962" i="1"/>
  <c r="BU938" i="1"/>
  <c r="BU926" i="1"/>
  <c r="BU918" i="1"/>
  <c r="BU858" i="1"/>
  <c r="BU842" i="1"/>
  <c r="BU830" i="1"/>
  <c r="BU774" i="1"/>
  <c r="BU706" i="1"/>
  <c r="BU698" i="1"/>
  <c r="BU690" i="1"/>
  <c r="BU674" i="1"/>
  <c r="BU658" i="1"/>
  <c r="BU642" i="1"/>
  <c r="BU622" i="1"/>
  <c r="BU478" i="1"/>
  <c r="BU466" i="1"/>
  <c r="BU442" i="1"/>
  <c r="BU418" i="1"/>
  <c r="BU402" i="1"/>
  <c r="BU326" i="1"/>
  <c r="BU314" i="1"/>
  <c r="BU310" i="1"/>
  <c r="BU274" i="1"/>
  <c r="BU266" i="1"/>
  <c r="BU254" i="1"/>
  <c r="BU222" i="1"/>
  <c r="BU214" i="1"/>
  <c r="BU210" i="1"/>
  <c r="BU158" i="1"/>
  <c r="BU114" i="1"/>
  <c r="BU102" i="1"/>
  <c r="BU54" i="1"/>
  <c r="BU14" i="1"/>
  <c r="BU10" i="1"/>
  <c r="AH1005" i="1"/>
  <c r="BU1005" i="1"/>
  <c r="BH1005" i="1"/>
  <c r="A190" i="17"/>
  <c r="A218" i="20"/>
  <c r="A217" i="20"/>
  <c r="A154" i="17"/>
  <c r="AY4" i="1" s="1"/>
  <c r="A166" i="17"/>
  <c r="A176" i="20"/>
  <c r="A116" i="20"/>
  <c r="A183" i="17"/>
  <c r="A180" i="17"/>
  <c r="A216" i="20"/>
  <c r="A160" i="17"/>
  <c r="H46" i="80" s="1"/>
  <c r="A9" i="17"/>
  <c r="A19" i="20"/>
  <c r="A169" i="20"/>
  <c r="A114" i="20"/>
  <c r="A177" i="20"/>
  <c r="A193" i="20"/>
  <c r="A146" i="17"/>
  <c r="A130" i="17"/>
  <c r="A49" i="17"/>
  <c r="AD4" i="1" s="1"/>
  <c r="P14" i="77" s="1"/>
  <c r="A36" i="20"/>
  <c r="A54" i="17"/>
  <c r="AI4" i="1" s="1"/>
  <c r="A173" i="20"/>
  <c r="A195" i="20"/>
  <c r="A59" i="17"/>
  <c r="AP4" i="1" s="1"/>
  <c r="A124" i="17"/>
  <c r="A150" i="20"/>
  <c r="A151" i="20"/>
  <c r="A82" i="20"/>
  <c r="A30" i="20"/>
  <c r="A61" i="17"/>
  <c r="AR4" i="1" s="1"/>
  <c r="A22" i="17"/>
  <c r="A5" i="17"/>
  <c r="A96" i="17"/>
  <c r="A131" i="20"/>
  <c r="A76" i="17"/>
  <c r="BI4" i="1" s="1"/>
  <c r="A51" i="17"/>
  <c r="AF4" i="1" s="1"/>
  <c r="K19" i="77" s="1"/>
  <c r="A117" i="20"/>
  <c r="A194" i="17"/>
  <c r="A181" i="17"/>
  <c r="A23" i="20"/>
  <c r="A21" i="20"/>
  <c r="A18" i="20"/>
  <c r="A44" i="20"/>
  <c r="A11" i="20"/>
  <c r="A165" i="17"/>
  <c r="A103" i="20"/>
  <c r="A85" i="20"/>
  <c r="A180" i="20"/>
  <c r="A178" i="17"/>
  <c r="A45" i="17"/>
  <c r="Z4" i="1" s="1"/>
  <c r="C4" i="77" s="1"/>
  <c r="A65" i="20"/>
  <c r="A162" i="17"/>
  <c r="A63" i="17"/>
  <c r="AT4" i="1" s="1"/>
  <c r="A72" i="20"/>
  <c r="A121" i="17"/>
  <c r="A36" i="17"/>
  <c r="A160" i="20"/>
  <c r="A200" i="20"/>
  <c r="A8" i="20"/>
  <c r="A194" i="20"/>
  <c r="A129" i="17"/>
  <c r="A107" i="17"/>
  <c r="A52" i="17"/>
  <c r="AG4" i="1" s="1"/>
  <c r="A116" i="17"/>
  <c r="A56" i="20"/>
  <c r="A59" i="20"/>
  <c r="A135" i="17"/>
  <c r="A65" i="17"/>
  <c r="AV4" i="1" s="1"/>
  <c r="A158" i="20"/>
  <c r="A191" i="17"/>
  <c r="A213" i="20"/>
  <c r="A90" i="20"/>
  <c r="A70" i="20"/>
  <c r="A167" i="20"/>
  <c r="A132" i="20"/>
  <c r="A95" i="20"/>
  <c r="A157" i="17"/>
  <c r="A185" i="20"/>
  <c r="A186" i="20"/>
  <c r="A57" i="20"/>
  <c r="A144" i="17"/>
  <c r="C15" i="80" s="1"/>
  <c r="A4" i="20"/>
  <c r="A63" i="20"/>
  <c r="A105" i="17"/>
  <c r="A27" i="17"/>
  <c r="A147" i="20"/>
  <c r="A113" i="17"/>
  <c r="A169" i="17"/>
  <c r="A185" i="17"/>
  <c r="A170" i="17"/>
  <c r="A71" i="20"/>
  <c r="A102" i="20"/>
  <c r="A121" i="20"/>
  <c r="A195" i="17"/>
  <c r="A207" i="20"/>
  <c r="A22" i="20"/>
  <c r="A148" i="20"/>
  <c r="A62" i="20"/>
  <c r="A168" i="17"/>
  <c r="C64" i="80" s="1"/>
  <c r="A142" i="20"/>
  <c r="A17" i="20"/>
  <c r="A128" i="20"/>
  <c r="A168" i="20"/>
  <c r="A40" i="20"/>
  <c r="A113" i="20"/>
  <c r="A32" i="20"/>
  <c r="A74" i="20"/>
  <c r="A40" i="17"/>
  <c r="A69" i="20"/>
  <c r="A125" i="20"/>
  <c r="A201" i="20"/>
  <c r="A100" i="20"/>
  <c r="A7" i="20"/>
  <c r="A25" i="20"/>
  <c r="A64" i="17"/>
  <c r="AU4" i="1" s="1"/>
  <c r="A120" i="17"/>
  <c r="A144" i="20"/>
  <c r="A188" i="17"/>
  <c r="A45" i="20"/>
  <c r="A6" i="20"/>
  <c r="A187" i="20"/>
  <c r="A162" i="20"/>
  <c r="A187" i="17"/>
  <c r="A171" i="17"/>
  <c r="A16" i="20"/>
  <c r="A14" i="20"/>
  <c r="A43" i="20"/>
  <c r="A188" i="20"/>
  <c r="A167" i="17"/>
  <c r="A29" i="20"/>
  <c r="A170" i="20"/>
  <c r="A179" i="20"/>
  <c r="A137" i="20"/>
  <c r="A98" i="20"/>
  <c r="A109" i="20"/>
  <c r="A136" i="20"/>
  <c r="A12" i="20"/>
  <c r="A172" i="17"/>
  <c r="A176" i="17"/>
  <c r="A197" i="17"/>
  <c r="A46" i="17"/>
  <c r="AA4" i="1" s="1"/>
  <c r="A205" i="20"/>
  <c r="A104" i="20"/>
  <c r="A147" i="17"/>
  <c r="D29" i="15" s="1"/>
  <c r="A52" i="20"/>
  <c r="A178" i="20"/>
  <c r="A55" i="20"/>
  <c r="A43" i="17"/>
  <c r="A106" i="17"/>
  <c r="A5" i="20"/>
  <c r="A56" i="17"/>
  <c r="AM4" i="1" s="1"/>
  <c r="C24" i="77" s="1"/>
  <c r="A93" i="20"/>
  <c r="A174" i="17"/>
  <c r="X16" i="61" s="1"/>
  <c r="A179" i="17"/>
  <c r="A2" i="20"/>
  <c r="A175" i="20"/>
  <c r="A161" i="17"/>
  <c r="M15" i="51" s="1"/>
  <c r="A174" i="20"/>
  <c r="A173" i="17"/>
  <c r="A107" i="20"/>
  <c r="A198" i="20"/>
  <c r="A86" i="20"/>
  <c r="A80" i="20"/>
  <c r="A119" i="20"/>
  <c r="A163" i="17"/>
  <c r="W15" i="51" s="1"/>
  <c r="A129" i="20"/>
  <c r="A182" i="20"/>
  <c r="A105" i="20"/>
  <c r="A146" i="20"/>
  <c r="A108" i="20"/>
  <c r="A153" i="17"/>
  <c r="AL4" i="1" s="1"/>
  <c r="U24" i="77" s="1"/>
  <c r="A48" i="20"/>
  <c r="A53" i="20"/>
  <c r="A132" i="17"/>
  <c r="A38" i="20"/>
  <c r="A16" i="17"/>
  <c r="A91" i="17"/>
  <c r="A41" i="20"/>
  <c r="A60" i="20"/>
  <c r="A159" i="17"/>
  <c r="A155" i="20"/>
  <c r="A96" i="20"/>
  <c r="A42" i="17"/>
  <c r="A60" i="17"/>
  <c r="AQ4" i="1" s="1"/>
  <c r="A131" i="17"/>
  <c r="A212" i="20"/>
  <c r="A3" i="20"/>
  <c r="A77" i="20"/>
  <c r="A97" i="20"/>
  <c r="A157" i="20"/>
  <c r="A97" i="17"/>
  <c r="A4" i="1" s="1"/>
  <c r="A199" i="17"/>
  <c r="A106" i="20"/>
  <c r="A133" i="17"/>
  <c r="A191" i="20"/>
  <c r="A145" i="20"/>
  <c r="A89" i="17"/>
  <c r="BY4" i="1" s="1"/>
  <c r="A134" i="17"/>
  <c r="A133" i="20"/>
  <c r="A172" i="20"/>
  <c r="A77" i="17"/>
  <c r="BK4" i="1" s="1"/>
  <c r="A103" i="17"/>
  <c r="A82" i="17"/>
  <c r="BQ4" i="1" s="1"/>
  <c r="K74" i="77" s="1"/>
  <c r="A88" i="20"/>
  <c r="A78" i="20"/>
  <c r="A155" i="17"/>
  <c r="BL4" i="1" s="1"/>
  <c r="A135" i="20"/>
  <c r="A134" i="20"/>
  <c r="A94" i="20"/>
  <c r="A37" i="17"/>
  <c r="A149" i="17"/>
  <c r="A30" i="15" s="1"/>
  <c r="A87" i="17"/>
  <c r="BV4" i="1" s="1"/>
  <c r="A15" i="17"/>
  <c r="A74" i="17"/>
  <c r="BG4" i="1" s="1"/>
  <c r="A138" i="17"/>
  <c r="A164" i="20"/>
  <c r="A140" i="17"/>
  <c r="A29" i="17"/>
  <c r="A197" i="20"/>
  <c r="A158" i="17"/>
  <c r="A198" i="17"/>
  <c r="A184" i="17"/>
  <c r="A189" i="17"/>
  <c r="A215" i="20"/>
  <c r="A28" i="17"/>
  <c r="A31" i="20"/>
  <c r="A90" i="17"/>
  <c r="A9" i="20"/>
  <c r="A127" i="20"/>
  <c r="A204" i="20"/>
  <c r="A94" i="17"/>
  <c r="BZ4" i="1" s="1"/>
  <c r="A35" i="20"/>
  <c r="A138" i="20"/>
  <c r="A50" i="20"/>
  <c r="A32" i="17"/>
  <c r="A18" i="17"/>
  <c r="A13" i="17"/>
  <c r="A104" i="17"/>
  <c r="A81" i="20"/>
  <c r="A175" i="17"/>
  <c r="A68" i="20"/>
  <c r="A164" i="17"/>
  <c r="A171" i="20"/>
  <c r="A101" i="20"/>
  <c r="A61" i="20"/>
  <c r="A33" i="20"/>
  <c r="A209" i="20"/>
  <c r="A81" i="17"/>
  <c r="BP4" i="1" s="1"/>
  <c r="A202" i="20"/>
  <c r="A67" i="17"/>
  <c r="AZ4" i="1" s="1"/>
  <c r="A151" i="17"/>
  <c r="A39" i="15" s="1"/>
  <c r="A38" i="17"/>
  <c r="A84" i="17"/>
  <c r="BS4" i="1" s="1"/>
  <c r="A128" i="17"/>
  <c r="A149" i="20"/>
  <c r="A73" i="20"/>
  <c r="A98" i="17"/>
  <c r="C4" i="1" s="1"/>
  <c r="A1" i="75"/>
  <c r="A7" i="17"/>
  <c r="A6" i="17"/>
  <c r="A20" i="17"/>
  <c r="A161" i="20"/>
  <c r="A112" i="20"/>
  <c r="A192" i="17"/>
  <c r="A196" i="17"/>
  <c r="A186" i="17"/>
  <c r="D32" i="15"/>
  <c r="A68" i="17"/>
  <c r="BA4" i="1" s="1"/>
  <c r="A48" i="17"/>
  <c r="AC4" i="1" s="1"/>
  <c r="A80" i="17"/>
  <c r="BO4" i="1" s="1"/>
  <c r="U69" i="77" s="1"/>
  <c r="A189" i="20"/>
  <c r="A76" i="20"/>
  <c r="A31" i="17"/>
  <c r="A69" i="17"/>
  <c r="BB4" i="1" s="1"/>
  <c r="C49" i="77" s="1"/>
  <c r="A123" i="20"/>
  <c r="A112" i="17"/>
  <c r="A99" i="17"/>
  <c r="E4" i="1" s="1"/>
  <c r="A49" i="20"/>
  <c r="A91" i="20"/>
  <c r="A75" i="20"/>
  <c r="A79" i="20"/>
  <c r="A10" i="20"/>
  <c r="A24" i="20"/>
  <c r="A24" i="17"/>
  <c r="A109" i="17"/>
  <c r="A95" i="17"/>
  <c r="CA4" i="1" s="1"/>
  <c r="A17" i="17"/>
  <c r="A62" i="17"/>
  <c r="AS4" i="1" s="1"/>
  <c r="P39" i="77" s="1"/>
  <c r="A110" i="17"/>
  <c r="A28" i="20"/>
  <c r="A156" i="17"/>
  <c r="A156" i="20"/>
  <c r="A84" i="20"/>
  <c r="A159" i="20"/>
  <c r="A27" i="20"/>
  <c r="A12" i="17"/>
  <c r="A101" i="17"/>
  <c r="T4" i="1" s="1"/>
  <c r="A211" i="20"/>
  <c r="A83" i="17"/>
  <c r="BR4" i="1" s="1"/>
  <c r="A3" i="17"/>
  <c r="A1" i="15" s="1"/>
  <c r="A50" i="17"/>
  <c r="AE4" i="1" s="1"/>
  <c r="A92" i="17"/>
  <c r="A136" i="17"/>
  <c r="A20" i="20"/>
  <c r="A181" i="20"/>
  <c r="A93" i="17"/>
  <c r="A75" i="17"/>
  <c r="BH4" i="1" s="1"/>
  <c r="A71" i="17"/>
  <c r="BD4" i="1" s="1"/>
  <c r="A19" i="17"/>
  <c r="A51" i="20"/>
  <c r="A42" i="20"/>
  <c r="A46" i="20"/>
  <c r="A148" i="17"/>
  <c r="C29" i="15" s="1"/>
  <c r="A115" i="17"/>
  <c r="A4" i="17"/>
  <c r="A139" i="20"/>
  <c r="A88" i="17"/>
  <c r="BX4" i="1" s="1"/>
  <c r="A35" i="17"/>
  <c r="J1" i="15" s="1"/>
  <c r="A39" i="20"/>
  <c r="A182" i="17"/>
  <c r="A196" i="20"/>
  <c r="A143" i="20"/>
  <c r="A130" i="20"/>
  <c r="A126" i="20"/>
  <c r="A47" i="20"/>
  <c r="A208" i="20"/>
  <c r="A41" i="17"/>
  <c r="A125" i="17"/>
  <c r="A30" i="17"/>
  <c r="A111" i="17"/>
  <c r="A25" i="17"/>
  <c r="A78" i="17"/>
  <c r="BM4" i="1" s="1"/>
  <c r="C64" i="77" s="1"/>
  <c r="A118" i="17"/>
  <c r="A214" i="20"/>
  <c r="A124" i="20"/>
  <c r="A100" i="17"/>
  <c r="H4" i="1" s="1"/>
  <c r="A139" i="17"/>
  <c r="A153" i="20"/>
  <c r="A137" i="17"/>
  <c r="A10" i="17"/>
  <c r="A34" i="20"/>
  <c r="A183" i="20"/>
  <c r="A122" i="17"/>
  <c r="A55" i="17"/>
  <c r="AK4" i="1" s="1"/>
  <c r="A67" i="20"/>
  <c r="A58" i="17"/>
  <c r="AO4" i="1" s="1"/>
  <c r="D29" i="77" s="1"/>
  <c r="A117" i="17"/>
  <c r="A64" i="20"/>
  <c r="A99" i="20"/>
  <c r="A58" i="20"/>
  <c r="A184" i="20"/>
  <c r="A111" i="20"/>
  <c r="A118" i="20"/>
  <c r="A166" i="20"/>
  <c r="A199" i="20"/>
  <c r="A57" i="17"/>
  <c r="AN4" i="1" s="1"/>
  <c r="A47" i="17"/>
  <c r="AB4" i="1" s="1"/>
  <c r="L9" i="77" s="1"/>
  <c r="A127" i="17"/>
  <c r="A44" i="17"/>
  <c r="X4" i="1" s="1"/>
  <c r="A86" i="17"/>
  <c r="BU4" i="1" s="1"/>
  <c r="A126" i="17"/>
  <c r="A26" i="20"/>
  <c r="A89" i="20"/>
  <c r="A120" i="20"/>
  <c r="A163" i="20"/>
  <c r="A190" i="20"/>
  <c r="A53" i="17"/>
  <c r="AH4" i="1" s="1"/>
  <c r="A145" i="17"/>
  <c r="C46" i="80" s="1"/>
  <c r="A39" i="17"/>
  <c r="A123" i="17"/>
  <c r="A23" i="17"/>
  <c r="A72" i="17"/>
  <c r="BE4" i="1" s="1"/>
  <c r="A114" i="17"/>
  <c r="A152" i="17"/>
  <c r="Y4" i="1" s="1"/>
  <c r="A54" i="20"/>
  <c r="A110" i="20"/>
  <c r="A26" i="17"/>
  <c r="A154" i="20"/>
  <c r="A150" i="17"/>
  <c r="A31" i="15" s="1"/>
  <c r="A11" i="17"/>
  <c r="A108" i="17"/>
  <c r="A203" i="20"/>
  <c r="A119" i="17"/>
  <c r="A85" i="17"/>
  <c r="BT4" i="1" s="1"/>
  <c r="A15" i="20"/>
  <c r="A66" i="17"/>
  <c r="AX4" i="1" s="1"/>
  <c r="T44" i="77" s="1"/>
  <c r="A92" i="20"/>
  <c r="A122" i="20"/>
  <c r="A115" i="20"/>
  <c r="A142" i="17"/>
  <c r="A21" i="17"/>
  <c r="A206" i="20"/>
  <c r="A210" i="20"/>
  <c r="A140" i="20"/>
  <c r="A37" i="20"/>
  <c r="A83" i="20"/>
  <c r="A165" i="20"/>
  <c r="A141" i="20"/>
  <c r="A87" i="20"/>
  <c r="A13" i="20"/>
  <c r="A66" i="20"/>
  <c r="A192" i="20"/>
  <c r="A8" i="17"/>
  <c r="A4" i="15" s="1"/>
  <c r="A73" i="17"/>
  <c r="BF4" i="1" s="1"/>
  <c r="B59" i="77" s="1"/>
  <c r="A141" i="17"/>
  <c r="I4" i="1" s="1"/>
  <c r="A14" i="17"/>
  <c r="A79" i="17"/>
  <c r="BN4" i="1" s="1"/>
  <c r="A143" i="17"/>
  <c r="C10" i="80" s="1"/>
  <c r="A33" i="17"/>
  <c r="A70" i="17"/>
  <c r="BC4" i="1" s="1"/>
  <c r="A102" i="17"/>
  <c r="Y5" i="1"/>
  <c r="AA5" i="1" s="1"/>
  <c r="Y6" i="1"/>
  <c r="AE6" i="1" s="1"/>
  <c r="B77" i="80" a="1"/>
  <c r="B77" i="80"/>
  <c r="C77" i="80"/>
  <c r="C65" i="51"/>
  <c r="B66" i="51" a="1"/>
  <c r="B66" i="51"/>
  <c r="BX245" i="1"/>
  <c r="C15" i="51"/>
  <c r="AK15" i="1"/>
  <c r="AL15" i="1" s="1"/>
  <c r="AR15" i="1" s="1"/>
  <c r="AX15" i="1"/>
  <c r="AK16" i="1"/>
  <c r="AL16" i="1" s="1"/>
  <c r="AX16" i="1"/>
  <c r="AY16" i="1" s="1"/>
  <c r="AK13" i="1"/>
  <c r="AL13" i="1" s="1"/>
  <c r="AT13" i="1" s="1"/>
  <c r="AX13" i="1"/>
  <c r="AX14" i="1"/>
  <c r="AY14" i="1" s="1"/>
  <c r="AK14" i="1"/>
  <c r="AL14" i="1" s="1"/>
  <c r="B78" i="80" a="1"/>
  <c r="B78" i="80"/>
  <c r="C78" i="80"/>
  <c r="C66" i="51"/>
  <c r="B67" i="51" a="1"/>
  <c r="B67" i="51"/>
  <c r="Y16" i="1"/>
  <c r="Y11" i="1"/>
  <c r="Y7" i="1"/>
  <c r="Y9" i="1"/>
  <c r="Y15" i="1"/>
  <c r="Y10" i="1"/>
  <c r="AG10" i="1" s="1"/>
  <c r="Y13" i="1"/>
  <c r="Y8" i="1"/>
  <c r="AA8" i="1" s="1"/>
  <c r="AL744" i="1"/>
  <c r="Y974" i="1"/>
  <c r="Y534" i="1"/>
  <c r="Y181" i="1"/>
  <c r="Y75" i="1"/>
  <c r="BL655" i="1"/>
  <c r="Y142" i="1"/>
  <c r="AY710" i="1"/>
  <c r="Y621" i="1"/>
  <c r="Y594" i="1"/>
  <c r="BL94" i="1"/>
  <c r="BL829" i="1"/>
  <c r="Y690" i="1"/>
  <c r="AL518" i="1"/>
  <c r="Y948" i="1"/>
  <c r="Y759" i="1"/>
  <c r="BL792" i="1"/>
  <c r="Y446" i="1"/>
  <c r="Y489" i="1"/>
  <c r="Y277" i="1"/>
  <c r="AL387" i="1"/>
  <c r="BL177" i="1"/>
  <c r="AL933" i="1"/>
  <c r="Y143" i="1"/>
  <c r="Y247" i="1"/>
  <c r="Y631" i="1"/>
  <c r="Y525" i="1"/>
  <c r="Y321" i="1"/>
  <c r="BL422" i="1"/>
  <c r="BL680" i="1"/>
  <c r="AL553" i="1"/>
  <c r="AL46" i="1"/>
  <c r="Y521" i="1"/>
  <c r="Y442" i="1"/>
  <c r="BL755" i="1"/>
  <c r="Y947" i="1"/>
  <c r="Y679" i="1"/>
  <c r="Y535" i="1"/>
  <c r="Y453" i="1"/>
  <c r="Y283" i="1"/>
  <c r="AY599" i="1"/>
  <c r="BE599" i="1" s="1"/>
  <c r="BL39" i="1"/>
  <c r="AY554" i="1"/>
  <c r="AL174" i="1"/>
  <c r="AY992" i="1"/>
  <c r="BG992" i="1" s="1"/>
  <c r="Y785" i="1"/>
  <c r="Y683" i="1"/>
  <c r="Y804" i="1"/>
  <c r="Y298" i="1"/>
  <c r="Y833" i="1"/>
  <c r="AA833" i="1" s="1"/>
  <c r="Y171" i="1"/>
  <c r="Y952" i="1"/>
  <c r="BL325" i="1"/>
  <c r="BN325" i="1" s="1"/>
  <c r="Y494" i="1"/>
  <c r="Y551" i="1"/>
  <c r="Y735" i="1"/>
  <c r="AY249" i="1"/>
  <c r="BG249" i="1" s="1"/>
  <c r="Y492" i="1"/>
  <c r="AL498" i="1"/>
  <c r="AL894" i="1"/>
  <c r="Y657" i="1"/>
  <c r="AG657" i="1" s="1"/>
  <c r="Y613" i="1"/>
  <c r="Y249" i="1"/>
  <c r="Y393" i="1"/>
  <c r="Y552" i="1"/>
  <c r="AC552" i="1" s="1"/>
  <c r="Y261" i="1"/>
  <c r="Y522" i="1"/>
  <c r="Y748" i="1"/>
  <c r="Y739" i="1"/>
  <c r="AE739" i="1" s="1"/>
  <c r="Y967" i="1"/>
  <c r="Y962" i="1"/>
  <c r="BL605" i="1"/>
  <c r="AL429" i="1"/>
  <c r="AT429" i="1" s="1"/>
  <c r="AY557" i="1"/>
  <c r="AL886" i="1"/>
  <c r="AY647" i="1"/>
  <c r="Y587" i="1"/>
  <c r="AA587" i="1" s="1"/>
  <c r="AY512" i="1"/>
  <c r="BL688" i="1"/>
  <c r="AL300" i="1"/>
  <c r="Y436" i="1"/>
  <c r="BL426" i="1"/>
  <c r="BN426" i="1" s="1"/>
  <c r="AY130" i="1"/>
  <c r="Y257" i="1"/>
  <c r="Y896" i="1"/>
  <c r="Y472" i="1"/>
  <c r="Y617" i="1"/>
  <c r="Y512" i="1"/>
  <c r="Y954" i="1"/>
  <c r="Y178" i="1"/>
  <c r="Y524" i="1"/>
  <c r="Y43" i="1"/>
  <c r="Y693" i="1"/>
  <c r="Y826" i="1"/>
  <c r="Y788" i="1"/>
  <c r="Y895" i="1"/>
  <c r="Y306" i="1"/>
  <c r="AA306" i="1" s="1"/>
  <c r="Y816" i="1"/>
  <c r="Y440" i="1"/>
  <c r="Y471" i="1"/>
  <c r="Y593" i="1"/>
  <c r="Y744" i="1"/>
  <c r="Y619" i="1"/>
  <c r="Y647" i="1"/>
  <c r="Y929" i="1"/>
  <c r="AC929" i="1" s="1"/>
  <c r="Y659" i="1"/>
  <c r="Y560" i="1"/>
  <c r="Y447" i="1"/>
  <c r="Y757" i="1"/>
  <c r="Y590" i="1"/>
  <c r="Y239" i="1"/>
  <c r="AE239" i="1" s="1"/>
  <c r="Y538" i="1"/>
  <c r="BL308" i="1"/>
  <c r="BT308" i="1" s="1"/>
  <c r="BL367" i="1"/>
  <c r="AL56" i="1"/>
  <c r="AL261" i="1"/>
  <c r="Y607" i="1"/>
  <c r="Y208" i="1"/>
  <c r="BL893" i="1"/>
  <c r="AL171" i="1"/>
  <c r="AL743" i="1"/>
  <c r="AT743" i="1" s="1"/>
  <c r="Y330" i="1"/>
  <c r="AY911" i="1"/>
  <c r="BA911" i="1" s="1"/>
  <c r="AL1003" i="1"/>
  <c r="BL336" i="1"/>
  <c r="Y74" i="1"/>
  <c r="BL740" i="1"/>
  <c r="AL958" i="1"/>
  <c r="BL508" i="1"/>
  <c r="BP508" i="1" s="1"/>
  <c r="AL985" i="1"/>
  <c r="AL354" i="1"/>
  <c r="AL818" i="1"/>
  <c r="AY925" i="1"/>
  <c r="BG925" i="1" s="1"/>
  <c r="Y875" i="1"/>
  <c r="Y495" i="1"/>
  <c r="AY487" i="1"/>
  <c r="AL458" i="1"/>
  <c r="AL288" i="1"/>
  <c r="BL438" i="1"/>
  <c r="Y871" i="1"/>
  <c r="AY843" i="1"/>
  <c r="BG843" i="1" s="1"/>
  <c r="BL102" i="1"/>
  <c r="BP102" i="1" s="1"/>
  <c r="AL21" i="1"/>
  <c r="Y69" i="1"/>
  <c r="Y290" i="1"/>
  <c r="Y709" i="1"/>
  <c r="Y396" i="1"/>
  <c r="Y863" i="1"/>
  <c r="Y93" i="1"/>
  <c r="Y793" i="1"/>
  <c r="Y874" i="1"/>
  <c r="Y217" i="1"/>
  <c r="BL982" i="1"/>
  <c r="BT982" i="1" s="1"/>
  <c r="AY222" i="1"/>
  <c r="BL733" i="1"/>
  <c r="BL821" i="1"/>
  <c r="AL197" i="1"/>
  <c r="AR197" i="1" s="1"/>
  <c r="Y636" i="1"/>
  <c r="BL580" i="1"/>
  <c r="Y661" i="1"/>
  <c r="AL606" i="1"/>
  <c r="AY477" i="1"/>
  <c r="BA477" i="1" s="1"/>
  <c r="AY357" i="1"/>
  <c r="BL548" i="1"/>
  <c r="AY763" i="1"/>
  <c r="BA763" i="1" s="1"/>
  <c r="AY812" i="1"/>
  <c r="BA812" i="1" s="1"/>
  <c r="AL347" i="1"/>
  <c r="AY285" i="1"/>
  <c r="AY387" i="1"/>
  <c r="BL453" i="1"/>
  <c r="AL206" i="1"/>
  <c r="AR206" i="1" s="1"/>
  <c r="BL93" i="1"/>
  <c r="AL905" i="1"/>
  <c r="AN905" i="1" s="1"/>
  <c r="AL201" i="1"/>
  <c r="AL944" i="1"/>
  <c r="AY433" i="1"/>
  <c r="BE433" i="1" s="1"/>
  <c r="AY403" i="1"/>
  <c r="BE403" i="1" s="1"/>
  <c r="BL436" i="1"/>
  <c r="Y264" i="1"/>
  <c r="Y250" i="1"/>
  <c r="Y135" i="1"/>
  <c r="Y109" i="1"/>
  <c r="AA109" i="1" s="1"/>
  <c r="Y965" i="1"/>
  <c r="Y708" i="1"/>
  <c r="AC708" i="1" s="1"/>
  <c r="Y361" i="1"/>
  <c r="Y740" i="1"/>
  <c r="Y887" i="1"/>
  <c r="Y329" i="1"/>
  <c r="Y163" i="1"/>
  <c r="AY990" i="1"/>
  <c r="BL306" i="1"/>
  <c r="BL151" i="1"/>
  <c r="BL68" i="1"/>
  <c r="BN68" i="1" s="1"/>
  <c r="BL959" i="1"/>
  <c r="AL926" i="1"/>
  <c r="AY665" i="1"/>
  <c r="AL234" i="1"/>
  <c r="AL798" i="1"/>
  <c r="AL385" i="1"/>
  <c r="AL277" i="1"/>
  <c r="AL413" i="1"/>
  <c r="AT413" i="1" s="1"/>
  <c r="AL569" i="1"/>
  <c r="AL251" i="1"/>
  <c r="AY207" i="1"/>
  <c r="AL851" i="1"/>
  <c r="AL887" i="1"/>
  <c r="AR887" i="1" s="1"/>
  <c r="AY352" i="1"/>
  <c r="AY821" i="1"/>
  <c r="AY483" i="1"/>
  <c r="BC483" i="1" s="1"/>
  <c r="BL800" i="1"/>
  <c r="BR800" i="1" s="1"/>
  <c r="BL494" i="1"/>
  <c r="AY70" i="1"/>
  <c r="Y32" i="1"/>
  <c r="Y518" i="1"/>
  <c r="AE518" i="1" s="1"/>
  <c r="Y285" i="1"/>
  <c r="Y484" i="1"/>
  <c r="Y30" i="1"/>
  <c r="Y175" i="1"/>
  <c r="AG175" i="1" s="1"/>
  <c r="Y362" i="1"/>
  <c r="Y423" i="1"/>
  <c r="Y97" i="1"/>
  <c r="Y166" i="1"/>
  <c r="Y870" i="1"/>
  <c r="Y734" i="1"/>
  <c r="AG734" i="1" s="1"/>
  <c r="Y508" i="1"/>
  <c r="Y919" i="1"/>
  <c r="AG919" i="1" s="1"/>
  <c r="Y923" i="1"/>
  <c r="Y407" i="1"/>
  <c r="AA407" i="1" s="1"/>
  <c r="Y528" i="1"/>
  <c r="Y736" i="1"/>
  <c r="Y652" i="1"/>
  <c r="BL717" i="1"/>
  <c r="BL889" i="1"/>
  <c r="BN889" i="1" s="1"/>
  <c r="BL692" i="1"/>
  <c r="BR692" i="1" s="1"/>
  <c r="AL580" i="1"/>
  <c r="AL817" i="1"/>
  <c r="AN817" i="1" s="1"/>
  <c r="AL757" i="1"/>
  <c r="AL293" i="1"/>
  <c r="AP293" i="1" s="1"/>
  <c r="AL311" i="1"/>
  <c r="AL457" i="1"/>
  <c r="AL706" i="1"/>
  <c r="AL984" i="1"/>
  <c r="AT984" i="1" s="1"/>
  <c r="AL151" i="1"/>
  <c r="AY45" i="1"/>
  <c r="BE45" i="1" s="1"/>
  <c r="AY372" i="1"/>
  <c r="AY982" i="1"/>
  <c r="BL489" i="1"/>
  <c r="AL897" i="1"/>
  <c r="BL437" i="1"/>
  <c r="AY526" i="1"/>
  <c r="BL278" i="1"/>
  <c r="BL896" i="1"/>
  <c r="AL990" i="1"/>
  <c r="AL181" i="1"/>
  <c r="AN181" i="1" s="1"/>
  <c r="AL898" i="1"/>
  <c r="AL339" i="1"/>
  <c r="AY879" i="1"/>
  <c r="BL80" i="1"/>
  <c r="Y245" i="1"/>
  <c r="Y627" i="1"/>
  <c r="AC627" i="1" s="1"/>
  <c r="Y533" i="1"/>
  <c r="Y772" i="1"/>
  <c r="Y956" i="1"/>
  <c r="Y645" i="1"/>
  <c r="Y908" i="1"/>
  <c r="Y211" i="1"/>
  <c r="Y516" i="1"/>
  <c r="BL275" i="1"/>
  <c r="AY572" i="1"/>
  <c r="BG572" i="1" s="1"/>
  <c r="BL709" i="1"/>
  <c r="BL416" i="1"/>
  <c r="AL456" i="1"/>
  <c r="AL365" i="1"/>
  <c r="AP365" i="1" s="1"/>
  <c r="AL666" i="1"/>
  <c r="AL341" i="1"/>
  <c r="AL870" i="1"/>
  <c r="AL626" i="1"/>
  <c r="AR626" i="1" s="1"/>
  <c r="AL239" i="1"/>
  <c r="AR239" i="1" s="1"/>
  <c r="AL956" i="1"/>
  <c r="AY311" i="1"/>
  <c r="BC311" i="1" s="1"/>
  <c r="AY759" i="1"/>
  <c r="BL583" i="1"/>
  <c r="BP583" i="1" s="1"/>
  <c r="AY371" i="1"/>
  <c r="BL212" i="1"/>
  <c r="Y372" i="1"/>
  <c r="Y212" i="1"/>
  <c r="Y599" i="1"/>
  <c r="Y67" i="1"/>
  <c r="Y626" i="1"/>
  <c r="Y149" i="1"/>
  <c r="AE149" i="1" s="1"/>
  <c r="Y367" i="1"/>
  <c r="Y543" i="1"/>
  <c r="Y390" i="1"/>
  <c r="Y509" i="1"/>
  <c r="AC509" i="1" s="1"/>
  <c r="Y915" i="1"/>
  <c r="Y912" i="1"/>
  <c r="Y824" i="1"/>
  <c r="Y632" i="1"/>
  <c r="AY836" i="1"/>
  <c r="BL909" i="1"/>
  <c r="AY424" i="1"/>
  <c r="BC424" i="1" s="1"/>
  <c r="AL471" i="1"/>
  <c r="AL44" i="1"/>
  <c r="AL349" i="1"/>
  <c r="AL697" i="1"/>
  <c r="AL946" i="1"/>
  <c r="AL169" i="1"/>
  <c r="BL541" i="1"/>
  <c r="BL825" i="1"/>
  <c r="AL917" i="1"/>
  <c r="AL390" i="1"/>
  <c r="AL476" i="1"/>
  <c r="BL152" i="1"/>
  <c r="AL325" i="1"/>
  <c r="AL486" i="1"/>
  <c r="AL729" i="1"/>
  <c r="AL850" i="1"/>
  <c r="AL989" i="1"/>
  <c r="AR989" i="1" s="1"/>
  <c r="AY801" i="1"/>
  <c r="AY905" i="1"/>
  <c r="BE905" i="1" s="1"/>
  <c r="AY143" i="1"/>
  <c r="BL522" i="1"/>
  <c r="AL883" i="1"/>
  <c r="AL101" i="1"/>
  <c r="AL521" i="1"/>
  <c r="AL509" i="1"/>
  <c r="AL446" i="1"/>
  <c r="AL227" i="1"/>
  <c r="AL869" i="1"/>
  <c r="BL365" i="1"/>
  <c r="BR365" i="1" s="1"/>
  <c r="AY949" i="1"/>
  <c r="AY226" i="1"/>
  <c r="BC226" i="1" s="1"/>
  <c r="BL634" i="1"/>
  <c r="BR634" i="1" s="1"/>
  <c r="AY540" i="1"/>
  <c r="AY939" i="1"/>
  <c r="BL142" i="1"/>
  <c r="Y144" i="1"/>
  <c r="Y454" i="1"/>
  <c r="Y130" i="1"/>
  <c r="Y750" i="1"/>
  <c r="Y957" i="1"/>
  <c r="Y352" i="1"/>
  <c r="AC352" i="1" s="1"/>
  <c r="BL781" i="1"/>
  <c r="AL273" i="1"/>
  <c r="AL140" i="1"/>
  <c r="AL192" i="1"/>
  <c r="AT192" i="1" s="1"/>
  <c r="AL541" i="1"/>
  <c r="AL264" i="1"/>
  <c r="AL932" i="1"/>
  <c r="AL749" i="1"/>
  <c r="AN749" i="1" s="1"/>
  <c r="BL506" i="1"/>
  <c r="BR506" i="1" s="1"/>
  <c r="BL758" i="1"/>
  <c r="BR758" i="1" s="1"/>
  <c r="BL504" i="1"/>
  <c r="BP504" i="1" s="1"/>
  <c r="BL870" i="1"/>
  <c r="BN870" i="1" s="1"/>
  <c r="AY348" i="1"/>
  <c r="AY1003" i="1"/>
  <c r="BL90" i="1"/>
  <c r="BL764" i="1"/>
  <c r="Y131" i="1"/>
  <c r="Y328" i="1"/>
  <c r="AG328" i="1" s="1"/>
  <c r="Y794" i="1"/>
  <c r="Y989" i="1"/>
  <c r="Y140" i="1"/>
  <c r="AE140" i="1" s="1"/>
  <c r="AY254" i="1"/>
  <c r="AL955" i="1"/>
  <c r="AL837" i="1"/>
  <c r="AN837" i="1" s="1"/>
  <c r="AL375" i="1"/>
  <c r="AL882" i="1"/>
  <c r="AT882" i="1" s="1"/>
  <c r="AL333" i="1"/>
  <c r="AL804" i="1"/>
  <c r="AL310" i="1"/>
  <c r="AY384" i="1"/>
  <c r="BE384" i="1" s="1"/>
  <c r="BL1002" i="1"/>
  <c r="AY314" i="1"/>
  <c r="BL647" i="1"/>
  <c r="BL154" i="1"/>
  <c r="BL565" i="1"/>
  <c r="BL562" i="1"/>
  <c r="BL244" i="1"/>
  <c r="BL689" i="1"/>
  <c r="Y274" i="1"/>
  <c r="AC274" i="1" s="1"/>
  <c r="Y28" i="1"/>
  <c r="Y258" i="1"/>
  <c r="AE258" i="1" s="1"/>
  <c r="Y834" i="1"/>
  <c r="Y799" i="1"/>
  <c r="Y784" i="1"/>
  <c r="AC784" i="1" s="1"/>
  <c r="Y194" i="1"/>
  <c r="AL858" i="1"/>
  <c r="AY358" i="1"/>
  <c r="AL705" i="1"/>
  <c r="AL268" i="1"/>
  <c r="AL414" i="1"/>
  <c r="AN414" i="1" s="1"/>
  <c r="AL921" i="1"/>
  <c r="AN921" i="1" s="1"/>
  <c r="AL928" i="1"/>
  <c r="AL393" i="1"/>
  <c r="AL508" i="1"/>
  <c r="AL778" i="1"/>
  <c r="AL821" i="1"/>
  <c r="AY250" i="1"/>
  <c r="BL810" i="1"/>
  <c r="BL28" i="1"/>
  <c r="BL285" i="1"/>
  <c r="BN285" i="1" s="1"/>
  <c r="BL998" i="1"/>
  <c r="AY101" i="1"/>
  <c r="BL429" i="1"/>
  <c r="BP429" i="1" s="1"/>
  <c r="BL690" i="1"/>
  <c r="AY162" i="1"/>
  <c r="AY401" i="1"/>
  <c r="BG401" i="1" s="1"/>
  <c r="Y18" i="1"/>
  <c r="Y419" i="1"/>
  <c r="AG419" i="1" s="1"/>
  <c r="Y244" i="1"/>
  <c r="Y117" i="1"/>
  <c r="Y354" i="1"/>
  <c r="Y820" i="1"/>
  <c r="AG820" i="1" s="1"/>
  <c r="Y575" i="1"/>
  <c r="AL162" i="1"/>
  <c r="BL874" i="1"/>
  <c r="BN874" i="1" s="1"/>
  <c r="Y210" i="1"/>
  <c r="AG210" i="1" s="1"/>
  <c r="AL696" i="1"/>
  <c r="AL830" i="1"/>
  <c r="BL796" i="1"/>
  <c r="BL321" i="1"/>
  <c r="BN321" i="1" s="1"/>
  <c r="Y459" i="1"/>
  <c r="AL207" i="1"/>
  <c r="AL906" i="1"/>
  <c r="AY243" i="1"/>
  <c r="BL572" i="1"/>
  <c r="Y501" i="1"/>
  <c r="AL290" i="1"/>
  <c r="AL386" i="1"/>
  <c r="AT386" i="1" s="1"/>
  <c r="AY448" i="1"/>
  <c r="BL168" i="1"/>
  <c r="BL636" i="1"/>
  <c r="Y513" i="1"/>
  <c r="Y507" i="1"/>
  <c r="Y24" i="1"/>
  <c r="AG24" i="1" s="1"/>
  <c r="Y1000" i="1"/>
  <c r="AA1000" i="1" s="1"/>
  <c r="Y727" i="1"/>
  <c r="Y775" i="1"/>
  <c r="Y714" i="1"/>
  <c r="Y505" i="1"/>
  <c r="Y449" i="1"/>
  <c r="Y792" i="1"/>
  <c r="Y469" i="1"/>
  <c r="AG469" i="1" s="1"/>
  <c r="Y766" i="1"/>
  <c r="Y539" i="1"/>
  <c r="AA539" i="1" s="1"/>
  <c r="Y691" i="1"/>
  <c r="AY941" i="1"/>
  <c r="AY860" i="1"/>
  <c r="BL782" i="1"/>
  <c r="BR782" i="1" s="1"/>
  <c r="BL52" i="1"/>
  <c r="AL97" i="1"/>
  <c r="AT97" i="1" s="1"/>
  <c r="BL843" i="1"/>
  <c r="AL534" i="1"/>
  <c r="AT534" i="1" s="1"/>
  <c r="AL572" i="1"/>
  <c r="AT572" i="1" s="1"/>
  <c r="AY591" i="1"/>
  <c r="Y383" i="1"/>
  <c r="Y499" i="1"/>
  <c r="AA499" i="1" s="1"/>
  <c r="Y151" i="1"/>
  <c r="AE151" i="1" s="1"/>
  <c r="Y359" i="1"/>
  <c r="Y235" i="1"/>
  <c r="Y673" i="1"/>
  <c r="AG673" i="1" s="1"/>
  <c r="BL886" i="1"/>
  <c r="BT886" i="1" s="1"/>
  <c r="AL901" i="1"/>
  <c r="BL159" i="1"/>
  <c r="BP159" i="1" s="1"/>
  <c r="BL771" i="1"/>
  <c r="AL542" i="1"/>
  <c r="AR542" i="1" s="1"/>
  <c r="AL134" i="1"/>
  <c r="AL566" i="1"/>
  <c r="AN566" i="1" s="1"/>
  <c r="AL367" i="1"/>
  <c r="AL595" i="1"/>
  <c r="AT595" i="1" s="1"/>
  <c r="AL733" i="1"/>
  <c r="BL150" i="1"/>
  <c r="BL38" i="1"/>
  <c r="BL754" i="1"/>
  <c r="BR754" i="1" s="1"/>
  <c r="Y302" i="1"/>
  <c r="Y602" i="1"/>
  <c r="Y268" i="1"/>
  <c r="Y831" i="1"/>
  <c r="AG831" i="1" s="1"/>
  <c r="Y1001" i="1"/>
  <c r="Y969" i="1"/>
  <c r="Y620" i="1"/>
  <c r="AE620" i="1" s="1"/>
  <c r="Y275" i="1"/>
  <c r="AA275" i="1" s="1"/>
  <c r="Y179" i="1"/>
  <c r="Y346" i="1"/>
  <c r="AY8" i="1"/>
  <c r="BA8" i="1" s="1"/>
  <c r="BL995" i="1"/>
  <c r="BT995" i="1" s="1"/>
  <c r="AL494" i="1"/>
  <c r="AL781" i="1"/>
  <c r="AL119" i="1"/>
  <c r="AL953" i="1"/>
  <c r="AR953" i="1" s="1"/>
  <c r="AL1000" i="1"/>
  <c r="BL705" i="1"/>
  <c r="AY600" i="1"/>
  <c r="BC600" i="1" s="1"/>
  <c r="BL749" i="1"/>
  <c r="BP749" i="1" s="1"/>
  <c r="AL771" i="1"/>
  <c r="AL182" i="1"/>
  <c r="AL74" i="1"/>
  <c r="AL344" i="1"/>
  <c r="AL342" i="1"/>
  <c r="AL212" i="1"/>
  <c r="AP212" i="1" s="1"/>
  <c r="AY482" i="1"/>
  <c r="BC482" i="1" s="1"/>
  <c r="BL526" i="1"/>
  <c r="BL119" i="1"/>
  <c r="AL86" i="1"/>
  <c r="AN86" i="1" s="1"/>
  <c r="AL761" i="1"/>
  <c r="AL254" i="1"/>
  <c r="AL548" i="1"/>
  <c r="AL981" i="1"/>
  <c r="BL527" i="1"/>
  <c r="BT527" i="1" s="1"/>
  <c r="BL440" i="1"/>
  <c r="BL864" i="1"/>
  <c r="AY481" i="1"/>
  <c r="AY104" i="1"/>
  <c r="BC104" i="1" s="1"/>
  <c r="Y272" i="1"/>
  <c r="Y116" i="1"/>
  <c r="Y403" i="1"/>
  <c r="AE403" i="1" s="1"/>
  <c r="Y493" i="1"/>
  <c r="AY318" i="1"/>
  <c r="BA318" i="1" s="1"/>
  <c r="AL145" i="1"/>
  <c r="AL216" i="1"/>
  <c r="AL274" i="1"/>
  <c r="AL522" i="1"/>
  <c r="AT522" i="1" s="1"/>
  <c r="AY264" i="1"/>
  <c r="AY979" i="1"/>
  <c r="BA979" i="1" s="1"/>
  <c r="AY458" i="1"/>
  <c r="BA458" i="1" s="1"/>
  <c r="BL17" i="1"/>
  <c r="BP17" i="1" s="1"/>
  <c r="BL640" i="1"/>
  <c r="BL468" i="1"/>
  <c r="Y304" i="1"/>
  <c r="AE304" i="1" s="1"/>
  <c r="Y854" i="1"/>
  <c r="Y206" i="1"/>
  <c r="Y898" i="1"/>
  <c r="AE898" i="1" s="1"/>
  <c r="BL618" i="1"/>
  <c r="AL98" i="1"/>
  <c r="AL229" i="1"/>
  <c r="AL642" i="1"/>
  <c r="AL531" i="1"/>
  <c r="AL384" i="1"/>
  <c r="AR384" i="1" s="1"/>
  <c r="AY215" i="1"/>
  <c r="AY209" i="1"/>
  <c r="BG209" i="1" s="1"/>
  <c r="BL729" i="1"/>
  <c r="BP729" i="1" s="1"/>
  <c r="BL26" i="1"/>
  <c r="AY270" i="1"/>
  <c r="AY662" i="1"/>
  <c r="BC662" i="1" s="1"/>
  <c r="BL477" i="1"/>
  <c r="Y377" i="1"/>
  <c r="AC377" i="1" s="1"/>
  <c r="Y20" i="1"/>
  <c r="Y666" i="1"/>
  <c r="Y893" i="1"/>
  <c r="Y503" i="1"/>
  <c r="AY987" i="1"/>
  <c r="AL874" i="1"/>
  <c r="AL680" i="1"/>
  <c r="AL306" i="1"/>
  <c r="AL674" i="1"/>
  <c r="AL113" i="1"/>
  <c r="AL312" i="1"/>
  <c r="AL951" i="1"/>
  <c r="AY279" i="1"/>
  <c r="BL744" i="1"/>
  <c r="AY49" i="1"/>
  <c r="BG49" i="1" s="1"/>
  <c r="BL676" i="1"/>
  <c r="BT676" i="1" s="1"/>
  <c r="BL486" i="1"/>
  <c r="BL920" i="1"/>
  <c r="BL205" i="1"/>
  <c r="Y167" i="1"/>
  <c r="AE167" i="1" s="1"/>
  <c r="Y790" i="1"/>
  <c r="Y87" i="1"/>
  <c r="AG87" i="1" s="1"/>
  <c r="Y544" i="1"/>
  <c r="AA544" i="1" s="1"/>
  <c r="Y465" i="1"/>
  <c r="Y559" i="1"/>
  <c r="AG559" i="1" s="1"/>
  <c r="Y186" i="1"/>
  <c r="Y997" i="1"/>
  <c r="AE997" i="1" s="1"/>
  <c r="Y654" i="1"/>
  <c r="Y857" i="1"/>
  <c r="Y540" i="1"/>
  <c r="Y326" i="1"/>
  <c r="AC326" i="1" s="1"/>
  <c r="Y924" i="1"/>
  <c r="Y976" i="1"/>
  <c r="Y227" i="1"/>
  <c r="Y860" i="1"/>
  <c r="AA860" i="1" s="1"/>
  <c r="Y624" i="1"/>
  <c r="AC624" i="1" s="1"/>
  <c r="Y648" i="1"/>
  <c r="Y185" i="1"/>
  <c r="Y905" i="1"/>
  <c r="Y773" i="1"/>
  <c r="AE773" i="1" s="1"/>
  <c r="Y563" i="1"/>
  <c r="Y966" i="1"/>
  <c r="Y676" i="1"/>
  <c r="AA676" i="1" s="1"/>
  <c r="Y482" i="1"/>
  <c r="Y399" i="1"/>
  <c r="Y811" i="1"/>
  <c r="AG811" i="1" s="1"/>
  <c r="Y426" i="1"/>
  <c r="Y270" i="1"/>
  <c r="AE270" i="1" s="1"/>
  <c r="Y771" i="1"/>
  <c r="Y369" i="1"/>
  <c r="Y207" i="1"/>
  <c r="Y674" i="1"/>
  <c r="Y934" i="1"/>
  <c r="Y70" i="1"/>
  <c r="Y864" i="1"/>
  <c r="Y916" i="1"/>
  <c r="AA916" i="1" s="1"/>
  <c r="Y573" i="1"/>
  <c r="Y26" i="1"/>
  <c r="AG26" i="1" s="1"/>
  <c r="Y933" i="1"/>
  <c r="AC933" i="1" s="1"/>
  <c r="Y542" i="1"/>
  <c r="AE542" i="1" s="1"/>
  <c r="Y477" i="1"/>
  <c r="AA477" i="1" s="1"/>
  <c r="Y106" i="1"/>
  <c r="Y762" i="1"/>
  <c r="Y918" i="1"/>
  <c r="AG918" i="1" s="1"/>
  <c r="Y971" i="1"/>
  <c r="Y496" i="1"/>
  <c r="Y385" i="1"/>
  <c r="AA385" i="1" s="1"/>
  <c r="Y287" i="1"/>
  <c r="Y331" i="1"/>
  <c r="Y876" i="1"/>
  <c r="Y872" i="1"/>
  <c r="AG872" i="1" s="1"/>
  <c r="Y696" i="1"/>
  <c r="Y415" i="1"/>
  <c r="Y865" i="1"/>
  <c r="AG865" i="1" s="1"/>
  <c r="Y884" i="1"/>
  <c r="Y880" i="1"/>
  <c r="Y448" i="1"/>
  <c r="AG448" i="1" s="1"/>
  <c r="Y977" i="1"/>
  <c r="Y350" i="1"/>
  <c r="Y549" i="1"/>
  <c r="Y985" i="1"/>
  <c r="Y246" i="1"/>
  <c r="AG246" i="1" s="1"/>
  <c r="Y478" i="1"/>
  <c r="AC478" i="1" s="1"/>
  <c r="Y278" i="1"/>
  <c r="Y851" i="1"/>
  <c r="Y888" i="1"/>
  <c r="Y434" i="1"/>
  <c r="Y203" i="1"/>
  <c r="Y755" i="1"/>
  <c r="Y846" i="1"/>
  <c r="Y457" i="1"/>
  <c r="Y641" i="1"/>
  <c r="AA641" i="1" s="1"/>
  <c r="Y476" i="1"/>
  <c r="Y802" i="1"/>
  <c r="AE802" i="1" s="1"/>
  <c r="Y289" i="1"/>
  <c r="Y567" i="1"/>
  <c r="AG567" i="1" s="1"/>
  <c r="Y717" i="1"/>
  <c r="Y119" i="1"/>
  <c r="AE119" i="1" s="1"/>
  <c r="BL222" i="1"/>
  <c r="AY902" i="1"/>
  <c r="AL765" i="1"/>
  <c r="AY684" i="1"/>
  <c r="AL579" i="1"/>
  <c r="AY965" i="1"/>
  <c r="AL788" i="1"/>
  <c r="AL152" i="1"/>
  <c r="AT152" i="1" s="1"/>
  <c r="BL701" i="1"/>
  <c r="AY315" i="1"/>
  <c r="Y189" i="1"/>
  <c r="Y848" i="1"/>
  <c r="Y458" i="1"/>
  <c r="AE458" i="1" s="1"/>
  <c r="Y597" i="1"/>
  <c r="AG597" i="1" s="1"/>
  <c r="Y107" i="1"/>
  <c r="Y883" i="1"/>
  <c r="Y462" i="1"/>
  <c r="BL296" i="1"/>
  <c r="AY861" i="1"/>
  <c r="AY202" i="1"/>
  <c r="BA202" i="1" s="1"/>
  <c r="AL48" i="1"/>
  <c r="AT48" i="1" s="1"/>
  <c r="AL910" i="1"/>
  <c r="AL262" i="1"/>
  <c r="AL505" i="1"/>
  <c r="AL648" i="1"/>
  <c r="AL612" i="1"/>
  <c r="AR612" i="1" s="1"/>
  <c r="BL229" i="1"/>
  <c r="BL254" i="1"/>
  <c r="AY380" i="1"/>
  <c r="BL500" i="1"/>
  <c r="Y220" i="1"/>
  <c r="Y523" i="1"/>
  <c r="Y498" i="1"/>
  <c r="Y600" i="1"/>
  <c r="Y680" i="1"/>
  <c r="Y808" i="1"/>
  <c r="Y241" i="1"/>
  <c r="Y936" i="1"/>
  <c r="AC936" i="1" s="1"/>
  <c r="Y809" i="1"/>
  <c r="AY701" i="1"/>
  <c r="AY398" i="1"/>
  <c r="BE398" i="1" s="1"/>
  <c r="AL296" i="1"/>
  <c r="AP296" i="1" s="1"/>
  <c r="AL150" i="1"/>
  <c r="AP150" i="1" s="1"/>
  <c r="AL454" i="1"/>
  <c r="AL313" i="1"/>
  <c r="AY77" i="1"/>
  <c r="AL645" i="1"/>
  <c r="AP645" i="1" s="1"/>
  <c r="BL497" i="1"/>
  <c r="AL528" i="1"/>
  <c r="AL751" i="1"/>
  <c r="AT751" i="1" s="1"/>
  <c r="AL76" i="1"/>
  <c r="AP76" i="1" s="1"/>
  <c r="AL242" i="1"/>
  <c r="AL857" i="1"/>
  <c r="AT857" i="1" s="1"/>
  <c r="AL605" i="1"/>
  <c r="AL99" i="1"/>
  <c r="AY494" i="1"/>
  <c r="AL622" i="1"/>
  <c r="AL257" i="1"/>
  <c r="AL88" i="1"/>
  <c r="AL83" i="1"/>
  <c r="AR83" i="1" s="1"/>
  <c r="AL479" i="1"/>
  <c r="BL202" i="1"/>
  <c r="BN202" i="1" s="1"/>
  <c r="BL407" i="1"/>
  <c r="BT407" i="1" s="1"/>
  <c r="BL65" i="1"/>
  <c r="BL575" i="1"/>
  <c r="BL395" i="1"/>
  <c r="Y284" i="1"/>
  <c r="Y411" i="1"/>
  <c r="Y994" i="1"/>
  <c r="AL409" i="1"/>
  <c r="AL157" i="1"/>
  <c r="AL786" i="1"/>
  <c r="AL695" i="1"/>
  <c r="AR695" i="1" s="1"/>
  <c r="AY320" i="1"/>
  <c r="BA320" i="1" s="1"/>
  <c r="BL551" i="1"/>
  <c r="BL67" i="1"/>
  <c r="BL962" i="1"/>
  <c r="Y388" i="1"/>
  <c r="Y148" i="1"/>
  <c r="Y445" i="1"/>
  <c r="BL388" i="1"/>
  <c r="AL583" i="1"/>
  <c r="AT583" i="1" s="1"/>
  <c r="AL388" i="1"/>
  <c r="AL875" i="1"/>
  <c r="AN875" i="1" s="1"/>
  <c r="BL518" i="1"/>
  <c r="AY948" i="1"/>
  <c r="BL612" i="1"/>
  <c r="AY811" i="1"/>
  <c r="AY61" i="1"/>
  <c r="BC61" i="1" s="1"/>
  <c r="Y502" i="1"/>
  <c r="AC502" i="1" s="1"/>
  <c r="Y29" i="1"/>
  <c r="AG29" i="1" s="1"/>
  <c r="Y65" i="1"/>
  <c r="AC65" i="1" s="1"/>
  <c r="Y228" i="1"/>
  <c r="AY503" i="1"/>
  <c r="AY177" i="1"/>
  <c r="AL678" i="1"/>
  <c r="AL914" i="1"/>
  <c r="AL849" i="1"/>
  <c r="AL371" i="1"/>
  <c r="AP371" i="1" s="1"/>
  <c r="BL642" i="1"/>
  <c r="BL376" i="1"/>
  <c r="BL775" i="1"/>
  <c r="BL768" i="1"/>
  <c r="AY60" i="1"/>
  <c r="Y317" i="1"/>
  <c r="Y72" i="1"/>
  <c r="AC72" i="1" s="1"/>
  <c r="Y371" i="1"/>
  <c r="Y656" i="1"/>
  <c r="Y279" i="1"/>
  <c r="Y248" i="1"/>
  <c r="Y397" i="1"/>
  <c r="Y487" i="1"/>
  <c r="Y429" i="1"/>
  <c r="Y663" i="1"/>
  <c r="AE663" i="1" s="1"/>
  <c r="Y381" i="1"/>
  <c r="Y68" i="1"/>
  <c r="Y681" i="1"/>
  <c r="AA681" i="1" s="1"/>
  <c r="Y963" i="1"/>
  <c r="Y315" i="1"/>
  <c r="Y172" i="1"/>
  <c r="Y22" i="1"/>
  <c r="Y76" i="1"/>
  <c r="Y687" i="1"/>
  <c r="Y460" i="1"/>
  <c r="Y625" i="1"/>
  <c r="Y732" i="1"/>
  <c r="AC732" i="1" s="1"/>
  <c r="Y568" i="1"/>
  <c r="AC568" i="1" s="1"/>
  <c r="Y265" i="1"/>
  <c r="Y452" i="1"/>
  <c r="Y155" i="1"/>
  <c r="AC155" i="1" s="1"/>
  <c r="Y421" i="1"/>
  <c r="Y375" i="1"/>
  <c r="Y120" i="1"/>
  <c r="Y945" i="1"/>
  <c r="AC945" i="1" s="1"/>
  <c r="Y537" i="1"/>
  <c r="Y733" i="1"/>
  <c r="Y995" i="1"/>
  <c r="Y605" i="1"/>
  <c r="Y786" i="1"/>
  <c r="AE786" i="1" s="1"/>
  <c r="BL137" i="1"/>
  <c r="AY460" i="1"/>
  <c r="BE460" i="1" s="1"/>
  <c r="BL114" i="1"/>
  <c r="AL138" i="1"/>
  <c r="AN138" i="1" s="1"/>
  <c r="BL630" i="1"/>
  <c r="Y428" i="1"/>
  <c r="AG428" i="1" s="1"/>
  <c r="Y886" i="1"/>
  <c r="Y712" i="1"/>
  <c r="AY455" i="1"/>
  <c r="BE455" i="1" s="1"/>
  <c r="AY598" i="1"/>
  <c r="AL223" i="1"/>
  <c r="AL330" i="1"/>
  <c r="AL510" i="1"/>
  <c r="AY233" i="1"/>
  <c r="BL994" i="1"/>
  <c r="BR994" i="1" s="1"/>
  <c r="Y514" i="1"/>
  <c r="Y577" i="1"/>
  <c r="AE577" i="1" s="1"/>
  <c r="Y490" i="1"/>
  <c r="Y819" i="1"/>
  <c r="Y33" i="1"/>
  <c r="AL75" i="1"/>
  <c r="AL420" i="1"/>
  <c r="AN420" i="1" s="1"/>
  <c r="AL950" i="1"/>
  <c r="AR950" i="1" s="1"/>
  <c r="AY929" i="1"/>
  <c r="BL117" i="1"/>
  <c r="AL624" i="1"/>
  <c r="AT624" i="1" s="1"/>
  <c r="AL982" i="1"/>
  <c r="AY312" i="1"/>
  <c r="BL290" i="1"/>
  <c r="AL861" i="1"/>
  <c r="AT861" i="1" s="1"/>
  <c r="BL15" i="1"/>
  <c r="AL424" i="1"/>
  <c r="AY140" i="1"/>
  <c r="BL389" i="1"/>
  <c r="BR389" i="1" s="1"/>
  <c r="BL554" i="1"/>
  <c r="BR554" i="1" s="1"/>
  <c r="Y364" i="1"/>
  <c r="Y466" i="1"/>
  <c r="AL118" i="1"/>
  <c r="AL95" i="1"/>
  <c r="AL637" i="1"/>
  <c r="AY195" i="1"/>
  <c r="BL417" i="1"/>
  <c r="BT417" i="1" s="1"/>
  <c r="Y176" i="1"/>
  <c r="Y408" i="1"/>
  <c r="AC408" i="1" s="1"/>
  <c r="Y754" i="1"/>
  <c r="AL236" i="1"/>
  <c r="AR236" i="1" s="1"/>
  <c r="BL22" i="1"/>
  <c r="AY164" i="1"/>
  <c r="BL342" i="1"/>
  <c r="BL532" i="1"/>
  <c r="BR532" i="1" s="1"/>
  <c r="Y200" i="1"/>
  <c r="AC200" i="1" s="1"/>
  <c r="Y456" i="1"/>
  <c r="BL750" i="1"/>
  <c r="AL353" i="1"/>
  <c r="AT353" i="1" s="1"/>
  <c r="AL665" i="1"/>
  <c r="AN665" i="1" s="1"/>
  <c r="AL915" i="1"/>
  <c r="AY55" i="1"/>
  <c r="BG55" i="1" s="1"/>
  <c r="BL964" i="1"/>
  <c r="AY985" i="1"/>
  <c r="AY789" i="1"/>
  <c r="Y112" i="1"/>
  <c r="Y232" i="1"/>
  <c r="Y165" i="1"/>
  <c r="AG165" i="1" s="1"/>
  <c r="Y638" i="1"/>
  <c r="Y425" i="1"/>
  <c r="Y365" i="1"/>
  <c r="AC365" i="1" s="1"/>
  <c r="Y94" i="1"/>
  <c r="AC94" i="1" s="1"/>
  <c r="Y177" i="1"/>
  <c r="Y197" i="1"/>
  <c r="Y707" i="1"/>
  <c r="AC707" i="1" s="1"/>
  <c r="Y601" i="1"/>
  <c r="Y519" i="1"/>
  <c r="Y301" i="1"/>
  <c r="Y564" i="1"/>
  <c r="Y858" i="1"/>
  <c r="Y59" i="1"/>
  <c r="Y89" i="1"/>
  <c r="Y812" i="1"/>
  <c r="AA812" i="1" s="1"/>
  <c r="Y85" i="1"/>
  <c r="AE85" i="1" s="1"/>
  <c r="Y704" i="1"/>
  <c r="Y251" i="1"/>
  <c r="Y640" i="1"/>
  <c r="AE640" i="1" s="1"/>
  <c r="Y628" i="1"/>
  <c r="Y718" i="1"/>
  <c r="BL115" i="1"/>
  <c r="AY103" i="1"/>
  <c r="BA103" i="1" s="1"/>
  <c r="AY770" i="1"/>
  <c r="AL954" i="1"/>
  <c r="BL578" i="1"/>
  <c r="Y226" i="1"/>
  <c r="AE226" i="1" s="1"/>
  <c r="Y798" i="1"/>
  <c r="Y391" i="1"/>
  <c r="Y405" i="1"/>
  <c r="AY754" i="1"/>
  <c r="BE754" i="1" s="1"/>
  <c r="AL737" i="1"/>
  <c r="AL238" i="1"/>
  <c r="BL95" i="1"/>
  <c r="AY377" i="1"/>
  <c r="BG377" i="1" s="1"/>
  <c r="AY907" i="1"/>
  <c r="Y308" i="1"/>
  <c r="Y417" i="1"/>
  <c r="Y849" i="1"/>
  <c r="Y219" i="1"/>
  <c r="Y723" i="1"/>
  <c r="AY978" i="1"/>
  <c r="AL654" i="1"/>
  <c r="AN654" i="1" s="1"/>
  <c r="AL822" i="1"/>
  <c r="AY816" i="1"/>
  <c r="AY892" i="1"/>
  <c r="AL983" i="1"/>
  <c r="AR983" i="1" s="1"/>
  <c r="AL726" i="1"/>
  <c r="AL672" i="1"/>
  <c r="BL263" i="1"/>
  <c r="AL184" i="1"/>
  <c r="AL59" i="1"/>
  <c r="AL823" i="1"/>
  <c r="AY48" i="1"/>
  <c r="BE48" i="1" s="1"/>
  <c r="AY102" i="1"/>
  <c r="BA102" i="1" s="1"/>
  <c r="BL334" i="1"/>
  <c r="Y141" i="1"/>
  <c r="Y374" i="1"/>
  <c r="AL592" i="1"/>
  <c r="AL976" i="1"/>
  <c r="AL469" i="1"/>
  <c r="AY339" i="1"/>
  <c r="BL625" i="1"/>
  <c r="BN625" i="1" s="1"/>
  <c r="Y199" i="1"/>
  <c r="AC199" i="1" s="1"/>
  <c r="Y526" i="1"/>
  <c r="AL219" i="1"/>
  <c r="AP219" i="1" s="1"/>
  <c r="BL104" i="1"/>
  <c r="BR104" i="1" s="1"/>
  <c r="AL909" i="1"/>
  <c r="BL133" i="1"/>
  <c r="AY412" i="1"/>
  <c r="BL246" i="1"/>
  <c r="Y630" i="1"/>
  <c r="AE630" i="1" s="1"/>
  <c r="Y99" i="1"/>
  <c r="Y810" i="1"/>
  <c r="AG810" i="1" s="1"/>
  <c r="AL499" i="1"/>
  <c r="AT499" i="1" s="1"/>
  <c r="AL425" i="1"/>
  <c r="AL574" i="1"/>
  <c r="AL688" i="1"/>
  <c r="AR688" i="1" s="1"/>
  <c r="AY731" i="1"/>
  <c r="BL72" i="1"/>
  <c r="AY875" i="1"/>
  <c r="Y60" i="1"/>
  <c r="Y692" i="1"/>
  <c r="Y409" i="1"/>
  <c r="Y53" i="1"/>
  <c r="Y752" i="1"/>
  <c r="Y789" i="1"/>
  <c r="Y546" i="1"/>
  <c r="Y416" i="1"/>
  <c r="Y951" i="1"/>
  <c r="Y325" i="1"/>
  <c r="Y939" i="1"/>
  <c r="Y332" i="1"/>
  <c r="Y154" i="1"/>
  <c r="Y961" i="1"/>
  <c r="AG961" i="1" s="1"/>
  <c r="Y132" i="1"/>
  <c r="Y236" i="1"/>
  <c r="Y765" i="1"/>
  <c r="Y344" i="1"/>
  <c r="Y840" i="1"/>
  <c r="Y50" i="1"/>
  <c r="Y293" i="1"/>
  <c r="Y105" i="1"/>
  <c r="Y300" i="1"/>
  <c r="Y996" i="1"/>
  <c r="Y731" i="1"/>
  <c r="Y855" i="1"/>
  <c r="AA855" i="1" s="1"/>
  <c r="Y595" i="1"/>
  <c r="AE595" i="1" s="1"/>
  <c r="Y845" i="1"/>
  <c r="Y711" i="1"/>
  <c r="Y979" i="1"/>
  <c r="Y113" i="1"/>
  <c r="Y162" i="1"/>
  <c r="Y310" i="1"/>
  <c r="AG310" i="1" s="1"/>
  <c r="Y410" i="1"/>
  <c r="Y829" i="1"/>
  <c r="Y767" i="1"/>
  <c r="Y547" i="1"/>
  <c r="AE547" i="1" s="1"/>
  <c r="Y743" i="1"/>
  <c r="Y724" i="1"/>
  <c r="Y313" i="1"/>
  <c r="Y548" i="1"/>
  <c r="AE548" i="1" s="1"/>
  <c r="Y455" i="1"/>
  <c r="Y406" i="1"/>
  <c r="Y675" i="1"/>
  <c r="Y911" i="1"/>
  <c r="Y737" i="1"/>
  <c r="Y110" i="1"/>
  <c r="Y800" i="1"/>
  <c r="Y589" i="1"/>
  <c r="AE589" i="1" s="1"/>
  <c r="Y556" i="1"/>
  <c r="Y572" i="1"/>
  <c r="Y955" i="1"/>
  <c r="Y491" i="1"/>
  <c r="AC491" i="1" s="1"/>
  <c r="Y158" i="1"/>
  <c r="AC158" i="1" s="1"/>
  <c r="Y576" i="1"/>
  <c r="AY476" i="1"/>
  <c r="Y38" i="1"/>
  <c r="Y877" i="1"/>
  <c r="AL232" i="1"/>
  <c r="AN232" i="1" s="1"/>
  <c r="AL104" i="1"/>
  <c r="AL734" i="1"/>
  <c r="AN734" i="1" s="1"/>
  <c r="Y964" i="1"/>
  <c r="AL283" i="1"/>
  <c r="Y978" i="1"/>
  <c r="BL715" i="1"/>
  <c r="BR715" i="1" s="1"/>
  <c r="Y751" i="1"/>
  <c r="Y993" i="1"/>
  <c r="Y378" i="1"/>
  <c r="Y764" i="1"/>
  <c r="AA764" i="1" s="1"/>
  <c r="Y937" i="1"/>
  <c r="Y488" i="1"/>
  <c r="AA488" i="1" s="1"/>
  <c r="Y830" i="1"/>
  <c r="Y903" i="1"/>
  <c r="AG903" i="1" s="1"/>
  <c r="Y62" i="1"/>
  <c r="Y906" i="1"/>
  <c r="Y213" i="1"/>
  <c r="Y204" i="1"/>
  <c r="Y255" i="1"/>
  <c r="Y975" i="1"/>
  <c r="Y581" i="1"/>
  <c r="Y1003" i="1"/>
  <c r="AG1003" i="1" s="1"/>
  <c r="Y986" i="1"/>
  <c r="Y894" i="1"/>
  <c r="AA894" i="1" s="1"/>
  <c r="Y337" i="1"/>
  <c r="Y463" i="1"/>
  <c r="AC463" i="1" s="1"/>
  <c r="Y609" i="1"/>
  <c r="Y832" i="1"/>
  <c r="Y196" i="1"/>
  <c r="Y370" i="1"/>
  <c r="Y483" i="1"/>
  <c r="Y19" i="1"/>
  <c r="Y254" i="1"/>
  <c r="Y847" i="1"/>
  <c r="AE847" i="1" s="1"/>
  <c r="Y54" i="1"/>
  <c r="BL331" i="1"/>
  <c r="AY214" i="1"/>
  <c r="AL439" i="1"/>
  <c r="AN439" i="1" s="1"/>
  <c r="AL129" i="1"/>
  <c r="AT129" i="1" s="1"/>
  <c r="Y930" i="1"/>
  <c r="Y125" i="1"/>
  <c r="BL742" i="1"/>
  <c r="AL977" i="1"/>
  <c r="BL495" i="1"/>
  <c r="Y726" i="1"/>
  <c r="BL992" i="1"/>
  <c r="BR992" i="1" s="1"/>
  <c r="AL593" i="1"/>
  <c r="AR593" i="1" s="1"/>
  <c r="BL827" i="1"/>
  <c r="Y566" i="1"/>
  <c r="AY847" i="1"/>
  <c r="AL372" i="1"/>
  <c r="AT372" i="1" s="1"/>
  <c r="BL826" i="1"/>
  <c r="BT826" i="1" s="1"/>
  <c r="AL610" i="1"/>
  <c r="AL226" i="1"/>
  <c r="AL573" i="1"/>
  <c r="AT573" i="1" s="1"/>
  <c r="AY724" i="1"/>
  <c r="Y776" i="1"/>
  <c r="Y485" i="1"/>
  <c r="AC485" i="1" s="1"/>
  <c r="Y160" i="1"/>
  <c r="AL824" i="1"/>
  <c r="AR824" i="1" s="1"/>
  <c r="AL840" i="1"/>
  <c r="BL89" i="1"/>
  <c r="BT89" i="1" s="1"/>
  <c r="Y999" i="1"/>
  <c r="AC999" i="1" s="1"/>
  <c r="BL276" i="1"/>
  <c r="BR276" i="1" s="1"/>
  <c r="BL418" i="1"/>
  <c r="AY111" i="1"/>
  <c r="BE111" i="1" s="1"/>
  <c r="BL452" i="1"/>
  <c r="BR452" i="1" s="1"/>
  <c r="BL118" i="1"/>
  <c r="AL452" i="1"/>
  <c r="AL655" i="1"/>
  <c r="AY52" i="1"/>
  <c r="BC52" i="1" s="1"/>
  <c r="BL912" i="1"/>
  <c r="AY914" i="1"/>
  <c r="AY346" i="1"/>
  <c r="BA346" i="1" s="1"/>
  <c r="AL826" i="1"/>
  <c r="AL908" i="1"/>
  <c r="AL430" i="1"/>
  <c r="AL805" i="1"/>
  <c r="AR805" i="1" s="1"/>
  <c r="AY40" i="1"/>
  <c r="AY853" i="1"/>
  <c r="AY552" i="1"/>
  <c r="AL302" i="1"/>
  <c r="AL188" i="1"/>
  <c r="AL774" i="1"/>
  <c r="AL608" i="1"/>
  <c r="AL484" i="1"/>
  <c r="AY247" i="1"/>
  <c r="BC247" i="1" s="1"/>
  <c r="BL221" i="1"/>
  <c r="BL48" i="1"/>
  <c r="BL802" i="1"/>
  <c r="BT802" i="1" s="1"/>
  <c r="BL604" i="1"/>
  <c r="Y742" i="1"/>
  <c r="Y558" i="1"/>
  <c r="Y14" i="1"/>
  <c r="Y322" i="1"/>
  <c r="AA322" i="1" s="1"/>
  <c r="Y36" i="1"/>
  <c r="AG36" i="1" s="1"/>
  <c r="Y137" i="1"/>
  <c r="Y422" i="1"/>
  <c r="Y672" i="1"/>
  <c r="AA672" i="1" s="1"/>
  <c r="Y532" i="1"/>
  <c r="Y386" i="1"/>
  <c r="Y615" i="1"/>
  <c r="Y904" i="1"/>
  <c r="Y697" i="1"/>
  <c r="AE697" i="1" s="1"/>
  <c r="Y260" i="1"/>
  <c r="Y980" i="1"/>
  <c r="AY119" i="1"/>
  <c r="AY100" i="1"/>
  <c r="BA100" i="1" s="1"/>
  <c r="BL58" i="1"/>
  <c r="BL814" i="1"/>
  <c r="AL464" i="1"/>
  <c r="AY728" i="1"/>
  <c r="AY397" i="1"/>
  <c r="AY139" i="1"/>
  <c r="BL79" i="1"/>
  <c r="AL337" i="1"/>
  <c r="AL78" i="1"/>
  <c r="AL732" i="1"/>
  <c r="AL629" i="1"/>
  <c r="AL156" i="1"/>
  <c r="AL271" i="1"/>
  <c r="AL806" i="1"/>
  <c r="AT806" i="1" s="1"/>
  <c r="AL809" i="1"/>
  <c r="AR809" i="1" s="1"/>
  <c r="AL994" i="1"/>
  <c r="AL992" i="1"/>
  <c r="AL529" i="1"/>
  <c r="AL799" i="1"/>
  <c r="AL776" i="1"/>
  <c r="AP776" i="1" s="1"/>
  <c r="BL765" i="1"/>
  <c r="BT765" i="1" s="1"/>
  <c r="AY873" i="1"/>
  <c r="BL536" i="1"/>
  <c r="BL570" i="1"/>
  <c r="AY81" i="1"/>
  <c r="AY206" i="1"/>
  <c r="AY916" i="1"/>
  <c r="BG916" i="1" s="1"/>
  <c r="BL353" i="1"/>
  <c r="Y224" i="1"/>
  <c r="Y774" i="1"/>
  <c r="Y55" i="1"/>
  <c r="Y169" i="1"/>
  <c r="Y973" i="1"/>
  <c r="Y233" i="1"/>
  <c r="Y722" i="1"/>
  <c r="AC722" i="1" s="1"/>
  <c r="Y387" i="1"/>
  <c r="Y451" i="1"/>
  <c r="Y280" i="1"/>
  <c r="Y747" i="1"/>
  <c r="AG747" i="1" s="1"/>
  <c r="Y920" i="1"/>
  <c r="Y86" i="1"/>
  <c r="Y637" i="1"/>
  <c r="AC637" i="1" s="1"/>
  <c r="AY5" i="1"/>
  <c r="BA5" i="1" s="1"/>
  <c r="BL730" i="1"/>
  <c r="AY472" i="1"/>
  <c r="AY126" i="1"/>
  <c r="BA126" i="1" s="1"/>
  <c r="BL631" i="1"/>
  <c r="BP631" i="1" s="1"/>
  <c r="BL328" i="1"/>
  <c r="BL979" i="1"/>
  <c r="AL11" i="1"/>
  <c r="AP11" i="1" s="1"/>
  <c r="AY714" i="1"/>
  <c r="BG714" i="1" s="1"/>
  <c r="AL972" i="1"/>
  <c r="BL481" i="1"/>
  <c r="BR481" i="1" s="1"/>
  <c r="BL812" i="1"/>
  <c r="BT812" i="1" s="1"/>
  <c r="AY541" i="1"/>
  <c r="AY981" i="1"/>
  <c r="BE981" i="1" s="1"/>
  <c r="BL450" i="1"/>
  <c r="BL659" i="1"/>
  <c r="BT659" i="1" s="1"/>
  <c r="BL502" i="1"/>
  <c r="BP502" i="1" s="1"/>
  <c r="AY299" i="1"/>
  <c r="BE299" i="1" s="1"/>
  <c r="AY621" i="1"/>
  <c r="AY574" i="1"/>
  <c r="AY895" i="1"/>
  <c r="BG895" i="1" s="1"/>
  <c r="AY135" i="1"/>
  <c r="BE135" i="1" s="1"/>
  <c r="BL445" i="1"/>
  <c r="BL324" i="1"/>
  <c r="BN324" i="1" s="1"/>
  <c r="AY679" i="1"/>
  <c r="BE679" i="1" s="1"/>
  <c r="AL570" i="1"/>
  <c r="AL210" i="1"/>
  <c r="AL756" i="1"/>
  <c r="AR756" i="1" s="1"/>
  <c r="BL741" i="1"/>
  <c r="BR741" i="1" s="1"/>
  <c r="BL918" i="1"/>
  <c r="AY727" i="1"/>
  <c r="BL29" i="1"/>
  <c r="AY133" i="1"/>
  <c r="BE133" i="1" s="1"/>
  <c r="AY62" i="1"/>
  <c r="BC62" i="1" s="1"/>
  <c r="BL62" i="1"/>
  <c r="BT62" i="1" s="1"/>
  <c r="BL954" i="1"/>
  <c r="AL719" i="1"/>
  <c r="AL137" i="1"/>
  <c r="AR137" i="1" s="1"/>
  <c r="AL611" i="1"/>
  <c r="AL839" i="1"/>
  <c r="BL25" i="1"/>
  <c r="BT25" i="1" s="1"/>
  <c r="AL309" i="1"/>
  <c r="AP309" i="1" s="1"/>
  <c r="AL396" i="1"/>
  <c r="AL408" i="1"/>
  <c r="AL331" i="1"/>
  <c r="AL589" i="1"/>
  <c r="AT589" i="1" s="1"/>
  <c r="AY280" i="1"/>
  <c r="AL638" i="1"/>
  <c r="AL996" i="1"/>
  <c r="AL448" i="1"/>
  <c r="AY416" i="1"/>
  <c r="AY782" i="1"/>
  <c r="BL164" i="1"/>
  <c r="BT164" i="1" s="1"/>
  <c r="BL761" i="1"/>
  <c r="AY857" i="1"/>
  <c r="AY275" i="1"/>
  <c r="BL725" i="1"/>
  <c r="BN725" i="1" s="1"/>
  <c r="AY699" i="1"/>
  <c r="BL129" i="1"/>
  <c r="BL398" i="1"/>
  <c r="BN398" i="1" s="1"/>
  <c r="Y256" i="1"/>
  <c r="Y159" i="1"/>
  <c r="AA159" i="1" s="1"/>
  <c r="Y806" i="1"/>
  <c r="Y340" i="1"/>
  <c r="Y642" i="1"/>
  <c r="Y565" i="1"/>
  <c r="Y841" i="1"/>
  <c r="Y677" i="1"/>
  <c r="AC677" i="1" s="1"/>
  <c r="Y473" i="1"/>
  <c r="Y323" i="1"/>
  <c r="AE323" i="1" s="1"/>
  <c r="Y418" i="1"/>
  <c r="Y761" i="1"/>
  <c r="Y368" i="1"/>
  <c r="Y111" i="1"/>
  <c r="AE111" i="1" s="1"/>
  <c r="Y520" i="1"/>
  <c r="Y667" i="1"/>
  <c r="Y47" i="1"/>
  <c r="Y650" i="1"/>
  <c r="Y479" i="1"/>
  <c r="Y797" i="1"/>
  <c r="Y497" i="1"/>
  <c r="AE497" i="1" s="1"/>
  <c r="Y66" i="1"/>
  <c r="Y665" i="1"/>
  <c r="Y118" i="1"/>
  <c r="Y618" i="1"/>
  <c r="AY484" i="1"/>
  <c r="BE484" i="1" s="1"/>
  <c r="AY664" i="1"/>
  <c r="AY799" i="1"/>
  <c r="AL819" i="1"/>
  <c r="AP819" i="1" s="1"/>
  <c r="AY330" i="1"/>
  <c r="AY977" i="1"/>
  <c r="BL179" i="1"/>
  <c r="BP179" i="1" s="1"/>
  <c r="AY758" i="1"/>
  <c r="BC758" i="1" s="1"/>
  <c r="AY556" i="1"/>
  <c r="BA556" i="1" s="1"/>
  <c r="BL338" i="1"/>
  <c r="BR338" i="1" s="1"/>
  <c r="AY562" i="1"/>
  <c r="BA562" i="1" s="1"/>
  <c r="BL442" i="1"/>
  <c r="BR442" i="1" s="1"/>
  <c r="AL506" i="1"/>
  <c r="BL557" i="1"/>
  <c r="BL351" i="1"/>
  <c r="BN351" i="1" s="1"/>
  <c r="AY610" i="1"/>
  <c r="AL248" i="1"/>
  <c r="BL646" i="1"/>
  <c r="AY995" i="1"/>
  <c r="BC995" i="1" s="1"/>
  <c r="AL315" i="1"/>
  <c r="AL419" i="1"/>
  <c r="BL396" i="1"/>
  <c r="AY328" i="1"/>
  <c r="BC328" i="1" s="1"/>
  <c r="AL435" i="1"/>
  <c r="AP435" i="1" s="1"/>
  <c r="BL369" i="1"/>
  <c r="BL91" i="1"/>
  <c r="AY924" i="1"/>
  <c r="AL852" i="1"/>
  <c r="AN852" i="1" s="1"/>
  <c r="AL185" i="1"/>
  <c r="AL67" i="1"/>
  <c r="AT67" i="1" s="1"/>
  <c r="AL60" i="1"/>
  <c r="AP60" i="1" s="1"/>
  <c r="AL128" i="1"/>
  <c r="AR128" i="1" s="1"/>
  <c r="AL722" i="1"/>
  <c r="AP722" i="1" s="1"/>
  <c r="AL864" i="1"/>
  <c r="AL179" i="1"/>
  <c r="AL503" i="1"/>
  <c r="BL120" i="1"/>
  <c r="AY286" i="1"/>
  <c r="BL312" i="1"/>
  <c r="BL183" i="1"/>
  <c r="AY189" i="1"/>
  <c r="BL736" i="1"/>
  <c r="BL856" i="1"/>
  <c r="BL458" i="1"/>
  <c r="Y320" i="1"/>
  <c r="Y614" i="1"/>
  <c r="Y84" i="1"/>
  <c r="AE84" i="1" s="1"/>
  <c r="Y730" i="1"/>
  <c r="AA730" i="1" s="1"/>
  <c r="Y541" i="1"/>
  <c r="Y579" i="1"/>
  <c r="Y23" i="1"/>
  <c r="Y670" i="1"/>
  <c r="Y644" i="1"/>
  <c r="Y294" i="1"/>
  <c r="Y603" i="1"/>
  <c r="Y90" i="1"/>
  <c r="AE90" i="1" s="1"/>
  <c r="Y787" i="1"/>
  <c r="AA787" i="1" s="1"/>
  <c r="Y435" i="1"/>
  <c r="Y481" i="1"/>
  <c r="Y286" i="1"/>
  <c r="AA286" i="1" s="1"/>
  <c r="Y778" i="1"/>
  <c r="Y795" i="1"/>
  <c r="Y126" i="1"/>
  <c r="AC126" i="1" s="1"/>
  <c r="Y902" i="1"/>
  <c r="Y769" i="1"/>
  <c r="Y561" i="1"/>
  <c r="Y879" i="1"/>
  <c r="AC879" i="1" s="1"/>
  <c r="Y796" i="1"/>
  <c r="Y746" i="1"/>
  <c r="AC746" i="1" s="1"/>
  <c r="Y669" i="1"/>
  <c r="Y803" i="1"/>
  <c r="AY655" i="1"/>
  <c r="BG655" i="1" s="1"/>
  <c r="AY872" i="1"/>
  <c r="AY899" i="1"/>
  <c r="BC899" i="1" s="1"/>
  <c r="AY180" i="1"/>
  <c r="BL247" i="1"/>
  <c r="BN247" i="1" s="1"/>
  <c r="BL337" i="1"/>
  <c r="AL437" i="1"/>
  <c r="AP437" i="1" s="1"/>
  <c r="AY989" i="1"/>
  <c r="AY830" i="1"/>
  <c r="BC830" i="1" s="1"/>
  <c r="BL880" i="1"/>
  <c r="AY561" i="1"/>
  <c r="BA561" i="1" s="1"/>
  <c r="AY885" i="1"/>
  <c r="BL327" i="1"/>
  <c r="BP327" i="1" s="1"/>
  <c r="AY445" i="1"/>
  <c r="BE445" i="1" s="1"/>
  <c r="AY272" i="1"/>
  <c r="BG272" i="1" s="1"/>
  <c r="AL831" i="1"/>
  <c r="AL691" i="1"/>
  <c r="AT691" i="1" s="1"/>
  <c r="AL141" i="1"/>
  <c r="AP141" i="1" s="1"/>
  <c r="AL317" i="1"/>
  <c r="AL500" i="1"/>
  <c r="AL442" i="1"/>
  <c r="AR442" i="1" s="1"/>
  <c r="AL504" i="1"/>
  <c r="AL70" i="1"/>
  <c r="AL284" i="1"/>
  <c r="AL405" i="1"/>
  <c r="AL178" i="1"/>
  <c r="AT178" i="1" s="1"/>
  <c r="AL502" i="1"/>
  <c r="AT502" i="1" s="1"/>
  <c r="AL998" i="1"/>
  <c r="AL745" i="1"/>
  <c r="AR745" i="1" s="1"/>
  <c r="AL377" i="1"/>
  <c r="AL802" i="1"/>
  <c r="AL664" i="1"/>
  <c r="BL70" i="1"/>
  <c r="AL142" i="1"/>
  <c r="AP142" i="1" s="1"/>
  <c r="AL307" i="1"/>
  <c r="AT307" i="1" s="1"/>
  <c r="AL939" i="1"/>
  <c r="AP939" i="1" s="1"/>
  <c r="AL785" i="1"/>
  <c r="AP785" i="1" s="1"/>
  <c r="AL714" i="1"/>
  <c r="AL488" i="1"/>
  <c r="BL55" i="1"/>
  <c r="BN55" i="1" s="1"/>
  <c r="BL333" i="1"/>
  <c r="BL648" i="1"/>
  <c r="BL970" i="1"/>
  <c r="AY65" i="1"/>
  <c r="BC65" i="1" s="1"/>
  <c r="BL408" i="1"/>
  <c r="BN408" i="1" s="1"/>
  <c r="BL697" i="1"/>
  <c r="BL902" i="1"/>
  <c r="AY742" i="1"/>
  <c r="AY220" i="1"/>
  <c r="BL455" i="1"/>
  <c r="BP455" i="1" s="1"/>
  <c r="BL767" i="1"/>
  <c r="BL5" i="1"/>
  <c r="BR5" i="1" s="1"/>
  <c r="AY127" i="1"/>
  <c r="BL363" i="1"/>
  <c r="BN363" i="1" s="1"/>
  <c r="AY538" i="1"/>
  <c r="BE538" i="1" s="1"/>
  <c r="Y146" i="1"/>
  <c r="Y398" i="1"/>
  <c r="AA398" i="1" s="1"/>
  <c r="Y838" i="1"/>
  <c r="Y124" i="1"/>
  <c r="Y81" i="1"/>
  <c r="Y686" i="1"/>
  <c r="Y150" i="1"/>
  <c r="AG150" i="1" s="1"/>
  <c r="Y909" i="1"/>
  <c r="AG909" i="1" s="1"/>
  <c r="Y720" i="1"/>
  <c r="Y100" i="1"/>
  <c r="AG100" i="1" s="1"/>
  <c r="Y223" i="1"/>
  <c r="Y339" i="1"/>
  <c r="Y913" i="1"/>
  <c r="Y850" i="1"/>
  <c r="AE850" i="1" s="1"/>
  <c r="Y921" i="1"/>
  <c r="Y42" i="1"/>
  <c r="Y327" i="1"/>
  <c r="Y584" i="1"/>
  <c r="AA584" i="1" s="1"/>
  <c r="Y357" i="1"/>
  <c r="Y791" i="1"/>
  <c r="Y891" i="1"/>
  <c r="AG891" i="1" s="1"/>
  <c r="Y443" i="1"/>
  <c r="Y305" i="1"/>
  <c r="AA305" i="1" s="1"/>
  <c r="Y297" i="1"/>
  <c r="Y324" i="1"/>
  <c r="AE324" i="1" s="1"/>
  <c r="Y101" i="1"/>
  <c r="Y852" i="1"/>
  <c r="Y958" i="1"/>
  <c r="Y940" i="1"/>
  <c r="Y664" i="1"/>
  <c r="Y828" i="1"/>
  <c r="AE828" i="1" s="1"/>
  <c r="Y716" i="1"/>
  <c r="AC716" i="1" s="1"/>
  <c r="Y574" i="1"/>
  <c r="Y695" i="1"/>
  <c r="Y209" i="1"/>
  <c r="Y844" i="1"/>
  <c r="AE844" i="1" s="1"/>
  <c r="Y237" i="1"/>
  <c r="AA237" i="1" s="1"/>
  <c r="Y959" i="1"/>
  <c r="Y634" i="1"/>
  <c r="BL238" i="1"/>
  <c r="BR238" i="1" s="1"/>
  <c r="BL791" i="1"/>
  <c r="AY443" i="1"/>
  <c r="BE443" i="1" s="1"/>
  <c r="AY944" i="1"/>
  <c r="BA944" i="1" s="1"/>
  <c r="AY12" i="1"/>
  <c r="AY688" i="1"/>
  <c r="BE688" i="1" s="1"/>
  <c r="AY589" i="1"/>
  <c r="AY835" i="1"/>
  <c r="BG835" i="1" s="1"/>
  <c r="AY137" i="1"/>
  <c r="AY810" i="1"/>
  <c r="BG810" i="1" s="1"/>
  <c r="BL716" i="1"/>
  <c r="BP716" i="1" s="1"/>
  <c r="AY402" i="1"/>
  <c r="BG402" i="1" s="1"/>
  <c r="BL679" i="1"/>
  <c r="AY732" i="1"/>
  <c r="AY865" i="1"/>
  <c r="BG865" i="1" s="1"/>
  <c r="AL862" i="1"/>
  <c r="AL440" i="1"/>
  <c r="AP440" i="1" s="1"/>
  <c r="AL884" i="1"/>
  <c r="AR884" i="1" s="1"/>
  <c r="AY22" i="1"/>
  <c r="AY167" i="1"/>
  <c r="BL882" i="1"/>
  <c r="AY765" i="1"/>
  <c r="AL967" i="1"/>
  <c r="AP967" i="1" s="1"/>
  <c r="AL816" i="1"/>
  <c r="AL51" i="1"/>
  <c r="AL565" i="1"/>
  <c r="AL55" i="1"/>
  <c r="AL601" i="1"/>
  <c r="AL324" i="1"/>
  <c r="AT324" i="1" s="1"/>
  <c r="AL362" i="1"/>
  <c r="AT362" i="1" s="1"/>
  <c r="AL586" i="1"/>
  <c r="AR586" i="1" s="1"/>
  <c r="BL573" i="1"/>
  <c r="BL43" i="1"/>
  <c r="BL957" i="1"/>
  <c r="BL474" i="1"/>
  <c r="BL726" i="1"/>
  <c r="BN726" i="1" s="1"/>
  <c r="AY373" i="1"/>
  <c r="BC373" i="1" s="1"/>
  <c r="Y338" i="1"/>
  <c r="Y243" i="1"/>
  <c r="AE243" i="1" s="1"/>
  <c r="Y941" i="1"/>
  <c r="AA941" i="1" s="1"/>
  <c r="Y334" i="1"/>
  <c r="Y83" i="1"/>
  <c r="Y164" i="1"/>
  <c r="AC164" i="1" s="1"/>
  <c r="Y262" i="1"/>
  <c r="AE262" i="1" s="1"/>
  <c r="Y779" i="1"/>
  <c r="Y414" i="1"/>
  <c r="Y942" i="1"/>
  <c r="Y335" i="1"/>
  <c r="Y885" i="1"/>
  <c r="Y152" i="1"/>
  <c r="Y394" i="1"/>
  <c r="Y983" i="1"/>
  <c r="Y604" i="1"/>
  <c r="Y760" i="1"/>
  <c r="Y653" i="1"/>
  <c r="Y689" i="1"/>
  <c r="AY20" i="1"/>
  <c r="AY656" i="1"/>
  <c r="BG656" i="1" s="1"/>
  <c r="AL109" i="1"/>
  <c r="AL845" i="1"/>
  <c r="BL499" i="1"/>
  <c r="AL415" i="1"/>
  <c r="AY672" i="1"/>
  <c r="AY498" i="1"/>
  <c r="BL189" i="1"/>
  <c r="AY368" i="1"/>
  <c r="BE368" i="1" s="1"/>
  <c r="BL35" i="1"/>
  <c r="AY176" i="1"/>
  <c r="AL964" i="1"/>
  <c r="AL135" i="1"/>
  <c r="AR135" i="1" s="1"/>
  <c r="AL620" i="1"/>
  <c r="AL895" i="1"/>
  <c r="BL69" i="1"/>
  <c r="AL85" i="1"/>
  <c r="AP85" i="1" s="1"/>
  <c r="AL100" i="1"/>
  <c r="AP100" i="1" s="1"/>
  <c r="AL438" i="1"/>
  <c r="AL369" i="1"/>
  <c r="AL873" i="1"/>
  <c r="AT873" i="1" s="1"/>
  <c r="AL738" i="1"/>
  <c r="AT738" i="1" s="1"/>
  <c r="AL920" i="1"/>
  <c r="AY216" i="1"/>
  <c r="AL301" i="1"/>
  <c r="AL96" i="1"/>
  <c r="AT96" i="1" s="1"/>
  <c r="AL359" i="1"/>
  <c r="AL399" i="1"/>
  <c r="AY304" i="1"/>
  <c r="BL430" i="1"/>
  <c r="BN430" i="1" s="1"/>
  <c r="BL842" i="1"/>
  <c r="AY93" i="1"/>
  <c r="BL350" i="1"/>
  <c r="AY815" i="1"/>
  <c r="BG815" i="1" s="1"/>
  <c r="BL18" i="1"/>
  <c r="BP18" i="1" s="1"/>
  <c r="AY508" i="1"/>
  <c r="BL672" i="1"/>
  <c r="BR672" i="1" s="1"/>
  <c r="BL984" i="1"/>
  <c r="BN984" i="1" s="1"/>
  <c r="BL203" i="1"/>
  <c r="BL657" i="1"/>
  <c r="Y295" i="1"/>
  <c r="AE295" i="1" s="1"/>
  <c r="Y646" i="1"/>
  <c r="AG646" i="1" s="1"/>
  <c r="Y45" i="1"/>
  <c r="Y230" i="1"/>
  <c r="Y319" i="1"/>
  <c r="Y861" i="1"/>
  <c r="AE861" i="1" s="1"/>
  <c r="Y882" i="1"/>
  <c r="Y77" i="1"/>
  <c r="Y139" i="1"/>
  <c r="Y424" i="1"/>
  <c r="AC424" i="1" s="1"/>
  <c r="Y719" i="1"/>
  <c r="Y837" i="1"/>
  <c r="Y238" i="1"/>
  <c r="AC238" i="1" s="1"/>
  <c r="Y585" i="1"/>
  <c r="AG585" i="1" s="1"/>
  <c r="Y616" i="1"/>
  <c r="Y269" i="1"/>
  <c r="Y527" i="1"/>
  <c r="Y982" i="1"/>
  <c r="AE982" i="1" s="1"/>
  <c r="Y360" i="1"/>
  <c r="Y379" i="1"/>
  <c r="AE379" i="1" s="1"/>
  <c r="Y688" i="1"/>
  <c r="Y358" i="1"/>
  <c r="AC358" i="1" s="1"/>
  <c r="Y907" i="1"/>
  <c r="Y21" i="1"/>
  <c r="Y807" i="1"/>
  <c r="Y910" i="1"/>
  <c r="AC910" i="1" s="1"/>
  <c r="Y222" i="1"/>
  <c r="Y700" i="1"/>
  <c r="Y515" i="1"/>
  <c r="AA515" i="1" s="1"/>
  <c r="BL963" i="1"/>
  <c r="BR963" i="1" s="1"/>
  <c r="BL116" i="1"/>
  <c r="BN116" i="1" s="1"/>
  <c r="AY465" i="1"/>
  <c r="AL410" i="1"/>
  <c r="AL682" i="1"/>
  <c r="AT682" i="1" s="1"/>
  <c r="AL255" i="1"/>
  <c r="AL698" i="1"/>
  <c r="AR698" i="1" s="1"/>
  <c r="AY256" i="1"/>
  <c r="BE256" i="1" s="1"/>
  <c r="AL165" i="1"/>
  <c r="AN165" i="1" s="1"/>
  <c r="AL292" i="1"/>
  <c r="AL694" i="1"/>
  <c r="AR694" i="1" s="1"/>
  <c r="AL585" i="1"/>
  <c r="AL450" i="1"/>
  <c r="AR450" i="1" s="1"/>
  <c r="AL461" i="1"/>
  <c r="BL61" i="1"/>
  <c r="AL106" i="1"/>
  <c r="BL871" i="1"/>
  <c r="BP871" i="1" s="1"/>
  <c r="AY721" i="1"/>
  <c r="AY35" i="1"/>
  <c r="BL520" i="1"/>
  <c r="BP520" i="1" s="1"/>
  <c r="BL198" i="1"/>
  <c r="BR198" i="1" s="1"/>
  <c r="AL191" i="1"/>
  <c r="AT191" i="1" s="1"/>
  <c r="AL527" i="1"/>
  <c r="AR527" i="1" s="1"/>
  <c r="AL960" i="1"/>
  <c r="AL204" i="1"/>
  <c r="AT204" i="1" s="1"/>
  <c r="AL164" i="1"/>
  <c r="AL614" i="1"/>
  <c r="AL489" i="1"/>
  <c r="AL482" i="1"/>
  <c r="AP482" i="1" s="1"/>
  <c r="AL493" i="1"/>
  <c r="BL63" i="1"/>
  <c r="AY80" i="1"/>
  <c r="BG80" i="1" s="1"/>
  <c r="AL163" i="1"/>
  <c r="AR163" i="1" s="1"/>
  <c r="AY157" i="1"/>
  <c r="BL588" i="1"/>
  <c r="AY543" i="1"/>
  <c r="AL1004" i="1"/>
  <c r="AR1004" i="1" s="1"/>
  <c r="AL536" i="1"/>
  <c r="AL357" i="1"/>
  <c r="AL758" i="1"/>
  <c r="AL754" i="1"/>
  <c r="AR754" i="1" s="1"/>
  <c r="BL146" i="1"/>
  <c r="AL619" i="1"/>
  <c r="AL892" i="1"/>
  <c r="AL991" i="1"/>
  <c r="AR991" i="1" s="1"/>
  <c r="BL77" i="1"/>
  <c r="BN77" i="1" s="1"/>
  <c r="BL669" i="1"/>
  <c r="BL770" i="1"/>
  <c r="BL185" i="1"/>
  <c r="BT185" i="1" s="1"/>
  <c r="AY415" i="1"/>
  <c r="AY715" i="1"/>
  <c r="AY252" i="1"/>
  <c r="BL576" i="1"/>
  <c r="BL598" i="1"/>
  <c r="BL235" i="1"/>
  <c r="BL700" i="1"/>
  <c r="BP700" i="1" s="1"/>
  <c r="Y356" i="1"/>
  <c r="AE356" i="1" s="1"/>
  <c r="Y694" i="1"/>
  <c r="Y276" i="1"/>
  <c r="AE276" i="1" s="1"/>
  <c r="Y578" i="1"/>
  <c r="AA578" i="1" s="1"/>
  <c r="Y303" i="1"/>
  <c r="AE303" i="1" s="1"/>
  <c r="Y866" i="1"/>
  <c r="Y174" i="1"/>
  <c r="AY625" i="1"/>
  <c r="AL812" i="1"/>
  <c r="AR812" i="1" s="1"/>
  <c r="AL871" i="1"/>
  <c r="AL133" i="1"/>
  <c r="AL790" i="1"/>
  <c r="AT790" i="1" s="1"/>
  <c r="AL546" i="1"/>
  <c r="AR546" i="1" s="1"/>
  <c r="AY43" i="1"/>
  <c r="BG43" i="1" s="1"/>
  <c r="AL659" i="1"/>
  <c r="AT659" i="1" s="1"/>
  <c r="AL764" i="1"/>
  <c r="AL863" i="1"/>
  <c r="AR863" i="1" s="1"/>
  <c r="BL78" i="1"/>
  <c r="AY513" i="1"/>
  <c r="BL938" i="1"/>
  <c r="BL216" i="1"/>
  <c r="BR216" i="1" s="1"/>
  <c r="BL665" i="1"/>
  <c r="BL762" i="1"/>
  <c r="AY316" i="1"/>
  <c r="BA316" i="1" s="1"/>
  <c r="BL757" i="1"/>
  <c r="BN757" i="1" s="1"/>
  <c r="BL949" i="1"/>
  <c r="BL299" i="1"/>
  <c r="BT299" i="1" s="1"/>
  <c r="AY479" i="1"/>
  <c r="Y82" i="1"/>
  <c r="AE82" i="1" s="1"/>
  <c r="Y598" i="1"/>
  <c r="Y183" i="1"/>
  <c r="Y450" i="1"/>
  <c r="Y389" i="1"/>
  <c r="AE389" i="1" s="1"/>
  <c r="Y741" i="1"/>
  <c r="Y412" i="1"/>
  <c r="AY155" i="1"/>
  <c r="BA155" i="1" s="1"/>
  <c r="AY59" i="1"/>
  <c r="BC59" i="1" s="1"/>
  <c r="AL318" i="1"/>
  <c r="AN318" i="1" s="1"/>
  <c r="AL214" i="1"/>
  <c r="AL285" i="1"/>
  <c r="AL889" i="1"/>
  <c r="AT889" i="1" s="1"/>
  <c r="AL800" i="1"/>
  <c r="AL336" i="1"/>
  <c r="AL465" i="1"/>
  <c r="AL735" i="1"/>
  <c r="AN735" i="1" s="1"/>
  <c r="AL640" i="1"/>
  <c r="AY375" i="1"/>
  <c r="AY470" i="1"/>
  <c r="BA470" i="1" s="1"/>
  <c r="BL84" i="1"/>
  <c r="BP84" i="1" s="1"/>
  <c r="BL490" i="1"/>
  <c r="BL934" i="1"/>
  <c r="BT934" i="1" s="1"/>
  <c r="BL108" i="1"/>
  <c r="AY145" i="1"/>
  <c r="BA145" i="1" s="1"/>
  <c r="BL704" i="1"/>
  <c r="AY571" i="1"/>
  <c r="AY76" i="1"/>
  <c r="BL385" i="1"/>
  <c r="BP385" i="1" s="1"/>
  <c r="Y80" i="1"/>
  <c r="Y187" i="1"/>
  <c r="Y758" i="1"/>
  <c r="Y188" i="1"/>
  <c r="AC188" i="1" s="1"/>
  <c r="Y309" i="1"/>
  <c r="Y282" i="1"/>
  <c r="Y649" i="1"/>
  <c r="Y401" i="1"/>
  <c r="AG401" i="1" s="1"/>
  <c r="Y182" i="1"/>
  <c r="Y586" i="1"/>
  <c r="BL839" i="1"/>
  <c r="AL428" i="1"/>
  <c r="AP428" i="1" s="1"/>
  <c r="AL731" i="1"/>
  <c r="AL639" i="1"/>
  <c r="AL246" i="1"/>
  <c r="AL247" i="1"/>
  <c r="AR247" i="1" s="1"/>
  <c r="AL918" i="1"/>
  <c r="AL416" i="1"/>
  <c r="AL856" i="1"/>
  <c r="AL45" i="1"/>
  <c r="AN45" i="1" s="1"/>
  <c r="AL747" i="1"/>
  <c r="AL676" i="1"/>
  <c r="AL607" i="1"/>
  <c r="AP607" i="1" s="1"/>
  <c r="AL552" i="1"/>
  <c r="AR552" i="1" s="1"/>
  <c r="BL101" i="1"/>
  <c r="AY410" i="1"/>
  <c r="AY851" i="1"/>
  <c r="BL872" i="1"/>
  <c r="BN872" i="1" s="1"/>
  <c r="BL207" i="1"/>
  <c r="BL513" i="1"/>
  <c r="BL465" i="1"/>
  <c r="AY932" i="1"/>
  <c r="BC932" i="1" s="1"/>
  <c r="AY307" i="1"/>
  <c r="BL629" i="1"/>
  <c r="BL834" i="1"/>
  <c r="AY996" i="1"/>
  <c r="BE996" i="1" s="1"/>
  <c r="BL340" i="1"/>
  <c r="BL753" i="1"/>
  <c r="Y240" i="1"/>
  <c r="AG240" i="1" s="1"/>
  <c r="Y17" i="1"/>
  <c r="AE17" i="1" s="1"/>
  <c r="Y662" i="1"/>
  <c r="Y71" i="1"/>
  <c r="Y311" i="1"/>
  <c r="Y706" i="1"/>
  <c r="AE706" i="1" s="1"/>
  <c r="Y201" i="1"/>
  <c r="Y925" i="1"/>
  <c r="Y827" i="1"/>
  <c r="Y312" i="1"/>
  <c r="AA312" i="1" s="1"/>
  <c r="Y35" i="1"/>
  <c r="Y612" i="1"/>
  <c r="Y221" i="1"/>
  <c r="Y63" i="1"/>
  <c r="Y633" i="1"/>
  <c r="Y950" i="1"/>
  <c r="Y392" i="1"/>
  <c r="Y873" i="1"/>
  <c r="AC873" i="1" s="1"/>
  <c r="Y349" i="1"/>
  <c r="Y685" i="1"/>
  <c r="Y348" i="1"/>
  <c r="Y836" i="1"/>
  <c r="AE836" i="1" s="1"/>
  <c r="Y147" i="1"/>
  <c r="Y562" i="1"/>
  <c r="Y557" i="1"/>
  <c r="AC557" i="1" s="1"/>
  <c r="Y972" i="1"/>
  <c r="AC972" i="1" s="1"/>
  <c r="Y968" i="1"/>
  <c r="Y943" i="1"/>
  <c r="Y134" i="1"/>
  <c r="Y225" i="1"/>
  <c r="AE225" i="1" s="1"/>
  <c r="Y998" i="1"/>
  <c r="Y468" i="1"/>
  <c r="Y291" i="1"/>
  <c r="AE291" i="1" s="1"/>
  <c r="Y889" i="1"/>
  <c r="AA889" i="1" s="1"/>
  <c r="Y145" i="1"/>
  <c r="Y464" i="1"/>
  <c r="Y901" i="1"/>
  <c r="Y990" i="1"/>
  <c r="AE990" i="1" s="1"/>
  <c r="Y138" i="1"/>
  <c r="Y536" i="1"/>
  <c r="Y988" i="1"/>
  <c r="Y668" i="1"/>
  <c r="AC668" i="1" s="1"/>
  <c r="Y606" i="1"/>
  <c r="Y500" i="1"/>
  <c r="Y932" i="1"/>
  <c r="AG932" i="1" s="1"/>
  <c r="Y299" i="1"/>
  <c r="AA299" i="1" s="1"/>
  <c r="Y651" i="1"/>
  <c r="Y161" i="1"/>
  <c r="Y753" i="1"/>
  <c r="Y801" i="1"/>
  <c r="AE801" i="1" s="1"/>
  <c r="Y991" i="1"/>
  <c r="Y721" i="1"/>
  <c r="Y122" i="1"/>
  <c r="Y698" i="1"/>
  <c r="AA698" i="1" s="1"/>
  <c r="Y729" i="1"/>
  <c r="Y333" i="1"/>
  <c r="Y214" i="1"/>
  <c r="AA214" i="1" s="1"/>
  <c r="Y745" i="1"/>
  <c r="AC745" i="1" s="1"/>
  <c r="Y862" i="1"/>
  <c r="Y34" i="1"/>
  <c r="Y655" i="1"/>
  <c r="Y431" i="1"/>
  <c r="Y813" i="1"/>
  <c r="Y259" i="1"/>
  <c r="Y41" i="1"/>
  <c r="BL197" i="1"/>
  <c r="BP197" i="1" s="1"/>
  <c r="AY586" i="1"/>
  <c r="AY115" i="1"/>
  <c r="BL931" i="1"/>
  <c r="BT931" i="1" s="1"/>
  <c r="AL867" i="1"/>
  <c r="AR867" i="1" s="1"/>
  <c r="AY454" i="1"/>
  <c r="BL666" i="1"/>
  <c r="BL652" i="1"/>
  <c r="BN652" i="1" s="1"/>
  <c r="AL186" i="1"/>
  <c r="AR186" i="1" s="1"/>
  <c r="BL88" i="1"/>
  <c r="BP88" i="1" s="1"/>
  <c r="AY522" i="1"/>
  <c r="AL577" i="1"/>
  <c r="AL407" i="1"/>
  <c r="AT407" i="1" s="1"/>
  <c r="AY776" i="1"/>
  <c r="AY345" i="1"/>
  <c r="BL723" i="1"/>
  <c r="BL710" i="1"/>
  <c r="BN710" i="1" s="1"/>
  <c r="AY945" i="1"/>
  <c r="BL752" i="1"/>
  <c r="AY319" i="1"/>
  <c r="BA319" i="1" s="1"/>
  <c r="AL116" i="1"/>
  <c r="AR116" i="1" s="1"/>
  <c r="AL925" i="1"/>
  <c r="AY36" i="1"/>
  <c r="AY760" i="1"/>
  <c r="BA760" i="1" s="1"/>
  <c r="BL13" i="1"/>
  <c r="BL439" i="1"/>
  <c r="BL319" i="1"/>
  <c r="BL488" i="1"/>
  <c r="BL45" i="1"/>
  <c r="BP45" i="1" s="1"/>
  <c r="AY923" i="1"/>
  <c r="AY117" i="1"/>
  <c r="BL282" i="1"/>
  <c r="AL692" i="1"/>
  <c r="AN692" i="1" s="1"/>
  <c r="AL126" i="1"/>
  <c r="AR126" i="1" s="1"/>
  <c r="AL532" i="1"/>
  <c r="AY906" i="1"/>
  <c r="BC906" i="1" s="1"/>
  <c r="AY671" i="1"/>
  <c r="AY489" i="1"/>
  <c r="AY661" i="1"/>
  <c r="AL689" i="1"/>
  <c r="AY313" i="1"/>
  <c r="BA313" i="1" s="1"/>
  <c r="BL531" i="1"/>
  <c r="BL619" i="1"/>
  <c r="AY831" i="1"/>
  <c r="BC831" i="1" s="1"/>
  <c r="BL382" i="1"/>
  <c r="BN382" i="1" s="1"/>
  <c r="AY369" i="1"/>
  <c r="AL360" i="1"/>
  <c r="AL803" i="1"/>
  <c r="AL590" i="1"/>
  <c r="AL971" i="1"/>
  <c r="AL366" i="1"/>
  <c r="AL853" i="1"/>
  <c r="AR853" i="1" s="1"/>
  <c r="AL124" i="1"/>
  <c r="AL72" i="1"/>
  <c r="AL332" i="1"/>
  <c r="AL838" i="1"/>
  <c r="AL649" i="1"/>
  <c r="AR649" i="1" s="1"/>
  <c r="AL658" i="1"/>
  <c r="AN658" i="1" s="1"/>
  <c r="AL477" i="1"/>
  <c r="AL968" i="1"/>
  <c r="AL295" i="1"/>
  <c r="AL723" i="1"/>
  <c r="AL828" i="1"/>
  <c r="AL927" i="1"/>
  <c r="AP927" i="1" s="1"/>
  <c r="AL725" i="1"/>
  <c r="AY160" i="1"/>
  <c r="BA160" i="1" s="1"/>
  <c r="AY819" i="1"/>
  <c r="AY718" i="1"/>
  <c r="BE718" i="1" s="1"/>
  <c r="BL344" i="1"/>
  <c r="BT344" i="1" s="1"/>
  <c r="BL644" i="1"/>
  <c r="AY805" i="1"/>
  <c r="BL140" i="1"/>
  <c r="AY234" i="1"/>
  <c r="BA234" i="1" s="1"/>
  <c r="BL409" i="1"/>
  <c r="BL930" i="1"/>
  <c r="BL310" i="1"/>
  <c r="BR310" i="1" s="1"/>
  <c r="BL503" i="1"/>
  <c r="Y128" i="1"/>
  <c r="AE128" i="1" s="1"/>
  <c r="Y253" i="1"/>
  <c r="Y438" i="1"/>
  <c r="AE438" i="1" s="1"/>
  <c r="Y180" i="1"/>
  <c r="Y168" i="1"/>
  <c r="Y153" i="1"/>
  <c r="BL981" i="1"/>
  <c r="AY750" i="1"/>
  <c r="BC750" i="1" s="1"/>
  <c r="AY975" i="1"/>
  <c r="BL509" i="1"/>
  <c r="BL280" i="1"/>
  <c r="AY1001" i="1"/>
  <c r="BE1001" i="1" s="1"/>
  <c r="AY787" i="1"/>
  <c r="BG787" i="1" s="1"/>
  <c r="BL293" i="1"/>
  <c r="AY114" i="1"/>
  <c r="AL512" i="1"/>
  <c r="AR512" i="1" s="1"/>
  <c r="AL567" i="1"/>
  <c r="AP567" i="1" s="1"/>
  <c r="AL636" i="1"/>
  <c r="AL702" i="1"/>
  <c r="AL263" i="1"/>
  <c r="AL728" i="1"/>
  <c r="AL395" i="1"/>
  <c r="AL646" i="1"/>
  <c r="AL89" i="1"/>
  <c r="AP89" i="1" s="1"/>
  <c r="AY138" i="1"/>
  <c r="BC138" i="1" s="1"/>
  <c r="AL588" i="1"/>
  <c r="AL208" i="1"/>
  <c r="BL988" i="1"/>
  <c r="AL497" i="1"/>
  <c r="Y281" i="1"/>
  <c r="Y79" i="1"/>
  <c r="Y318" i="1"/>
  <c r="Y629" i="1"/>
  <c r="AE629" i="1" s="1"/>
  <c r="Y622" i="1"/>
  <c r="Y316" i="1"/>
  <c r="Y156" i="1"/>
  <c r="Y486" i="1"/>
  <c r="Y231" i="1"/>
  <c r="AA231" i="1" s="1"/>
  <c r="Y48" i="1"/>
  <c r="AY426" i="1"/>
  <c r="BC426" i="1" s="1"/>
  <c r="AY149" i="1"/>
  <c r="BC149" i="1" s="1"/>
  <c r="AY841" i="1"/>
  <c r="BE841" i="1" s="1"/>
  <c r="BL703" i="1"/>
  <c r="BL213" i="1"/>
  <c r="BL166" i="1"/>
  <c r="BT166" i="1" s="1"/>
  <c r="AY933" i="1"/>
  <c r="BA933" i="1" s="1"/>
  <c r="AY519" i="1"/>
  <c r="BC519" i="1" s="1"/>
  <c r="BL361" i="1"/>
  <c r="BR361" i="1" s="1"/>
  <c r="AY131" i="1"/>
  <c r="BL901" i="1"/>
  <c r="BT901" i="1" s="1"/>
  <c r="BL616" i="1"/>
  <c r="AY188" i="1"/>
  <c r="AL893" i="1"/>
  <c r="AN893" i="1" s="1"/>
  <c r="AL176" i="1"/>
  <c r="AR176" i="1" s="1"/>
  <c r="AL327" i="1"/>
  <c r="AL422" i="1"/>
  <c r="AL491" i="1"/>
  <c r="AT491" i="1" s="1"/>
  <c r="BL160" i="1"/>
  <c r="BT160" i="1" s="1"/>
  <c r="AL187" i="1"/>
  <c r="AL793" i="1"/>
  <c r="AL550" i="1"/>
  <c r="AL389" i="1"/>
  <c r="AP389" i="1" s="1"/>
  <c r="BL54" i="1"/>
  <c r="AL995" i="1"/>
  <c r="AL885" i="1"/>
  <c r="AP885" i="1" s="1"/>
  <c r="AY620" i="1"/>
  <c r="BE620" i="1" s="1"/>
  <c r="BL322" i="1"/>
  <c r="Y56" i="1"/>
  <c r="Y699" i="1"/>
  <c r="AA699" i="1" s="1"/>
  <c r="Y569" i="1"/>
  <c r="AC569" i="1" s="1"/>
  <c r="Y129" i="1"/>
  <c r="Y195" i="1"/>
  <c r="Y104" i="1"/>
  <c r="Y822" i="1"/>
  <c r="AA822" i="1" s="1"/>
  <c r="Y273" i="1"/>
  <c r="Y61" i="1"/>
  <c r="AY262" i="1"/>
  <c r="BA262" i="1" s="1"/>
  <c r="BL404" i="1"/>
  <c r="BT404" i="1" s="1"/>
  <c r="BL20" i="1"/>
  <c r="BL898" i="1"/>
  <c r="BT898" i="1" s="1"/>
  <c r="BL693" i="1"/>
  <c r="BT693" i="1" s="1"/>
  <c r="BL258" i="1"/>
  <c r="BT258" i="1" s="1"/>
  <c r="BL948" i="1"/>
  <c r="BL806" i="1"/>
  <c r="BL601" i="1"/>
  <c r="BL271" i="1"/>
  <c r="BR271" i="1" s="1"/>
  <c r="BL1000" i="1"/>
  <c r="AY915" i="1"/>
  <c r="BA915" i="1" s="1"/>
  <c r="BL461" i="1"/>
  <c r="BN461" i="1" s="1"/>
  <c r="AY89" i="1"/>
  <c r="BG89" i="1" s="1"/>
  <c r="AL597" i="1"/>
  <c r="AL650" i="1"/>
  <c r="AR650" i="1" s="1"/>
  <c r="AL721" i="1"/>
  <c r="AN721" i="1" s="1"/>
  <c r="AL787" i="1"/>
  <c r="AN787" i="1" s="1"/>
  <c r="AL218" i="1"/>
  <c r="AL848" i="1"/>
  <c r="AL514" i="1"/>
  <c r="AP514" i="1" s="1"/>
  <c r="AL64" i="1"/>
  <c r="AP64" i="1" s="1"/>
  <c r="AL114" i="1"/>
  <c r="AL108" i="1"/>
  <c r="AL810" i="1"/>
  <c r="AT810" i="1" s="1"/>
  <c r="AL215" i="1"/>
  <c r="AR215" i="1" s="1"/>
  <c r="BL375" i="1"/>
  <c r="AY200" i="1"/>
  <c r="BL975" i="1"/>
  <c r="AY597" i="1"/>
  <c r="BG597" i="1" s="1"/>
  <c r="AY797" i="1"/>
  <c r="AY291" i="1"/>
  <c r="BC291" i="1" s="1"/>
  <c r="BL148" i="1"/>
  <c r="BT148" i="1" s="1"/>
  <c r="BL162" i="1"/>
  <c r="BT162" i="1" s="1"/>
  <c r="AL720" i="1"/>
  <c r="AL978" i="1"/>
  <c r="AP978" i="1" s="1"/>
  <c r="AL352" i="1"/>
  <c r="AT352" i="1" s="1"/>
  <c r="AL617" i="1"/>
  <c r="AR617" i="1" s="1"/>
  <c r="AL854" i="1"/>
  <c r="AL394" i="1"/>
  <c r="AR394" i="1" s="1"/>
  <c r="AL217" i="1"/>
  <c r="AL69" i="1"/>
  <c r="AP69" i="1" s="1"/>
  <c r="AL54" i="1"/>
  <c r="AR54" i="1" s="1"/>
  <c r="AL480" i="1"/>
  <c r="AN480" i="1" s="1"/>
  <c r="AL929" i="1"/>
  <c r="AT929" i="1" s="1"/>
  <c r="AL478" i="1"/>
  <c r="AP478" i="1" s="1"/>
  <c r="AL455" i="1"/>
  <c r="BL857" i="1"/>
  <c r="AY292" i="1"/>
  <c r="BG292" i="1" s="1"/>
  <c r="AY912" i="1"/>
  <c r="BG912" i="1" s="1"/>
  <c r="AL999" i="1"/>
  <c r="AL120" i="1"/>
  <c r="AN120" i="1" s="1"/>
  <c r="AY568" i="1"/>
  <c r="AL12" i="1"/>
  <c r="AR12" i="1" s="1"/>
  <c r="AY248" i="1"/>
  <c r="BE248" i="1" s="1"/>
  <c r="AL712" i="1"/>
  <c r="AT712" i="1" s="1"/>
  <c r="AL294" i="1"/>
  <c r="AR294" i="1" s="1"/>
  <c r="AL578" i="1"/>
  <c r="AR578" i="1" s="1"/>
  <c r="AL825" i="1"/>
  <c r="AL297" i="1"/>
  <c r="AL582" i="1"/>
  <c r="AN582" i="1" s="1"/>
  <c r="AL202" i="1"/>
  <c r="AN202" i="1" s="1"/>
  <c r="AL421" i="1"/>
  <c r="AL172" i="1"/>
  <c r="BL71" i="1"/>
  <c r="AL922" i="1"/>
  <c r="AT922" i="1" s="1"/>
  <c r="AL351" i="1"/>
  <c r="AL177" i="1"/>
  <c r="AT177" i="1" s="1"/>
  <c r="AL677" i="1"/>
  <c r="AR677" i="1" s="1"/>
  <c r="BL304" i="1"/>
  <c r="BR304" i="1" s="1"/>
  <c r="BL204" i="1"/>
  <c r="BN204" i="1" s="1"/>
  <c r="AY594" i="1"/>
  <c r="BA594" i="1" s="1"/>
  <c r="AY935" i="1"/>
  <c r="BG935" i="1" s="1"/>
  <c r="AY951" i="1"/>
  <c r="BG951" i="1" s="1"/>
  <c r="AY650" i="1"/>
  <c r="BE650" i="1" s="1"/>
  <c r="Y88" i="1"/>
  <c r="Y596" i="1"/>
  <c r="Y944" i="1"/>
  <c r="AA944" i="1" s="1"/>
  <c r="Y121" i="1"/>
  <c r="AA121" i="1" s="1"/>
  <c r="Y987" i="1"/>
  <c r="Y78" i="1"/>
  <c r="AE78" i="1" s="1"/>
  <c r="Y927" i="1"/>
  <c r="Y867" i="1"/>
  <c r="AE867" i="1" s="1"/>
  <c r="Y938" i="1"/>
  <c r="Y781" i="1"/>
  <c r="AA781" i="1" s="1"/>
  <c r="Y817" i="1"/>
  <c r="AE817" i="1" s="1"/>
  <c r="Y835" i="1"/>
  <c r="AG835" i="1" s="1"/>
  <c r="Y684" i="1"/>
  <c r="Y583" i="1"/>
  <c r="AG583" i="1" s="1"/>
  <c r="Y843" i="1"/>
  <c r="AE843" i="1" s="1"/>
  <c r="Y981" i="1"/>
  <c r="Y571" i="1"/>
  <c r="Y506" i="1"/>
  <c r="AG506" i="1" s="1"/>
  <c r="Y461" i="1"/>
  <c r="Y545" i="1"/>
  <c r="AA545" i="1" s="1"/>
  <c r="Y715" i="1"/>
  <c r="Y783" i="1"/>
  <c r="AC783" i="1" s="1"/>
  <c r="Y73" i="1"/>
  <c r="AA73" i="1" s="1"/>
  <c r="Y899" i="1"/>
  <c r="Y643" i="1"/>
  <c r="AG643" i="1" s="1"/>
  <c r="Y58" i="1"/>
  <c r="AG58" i="1" s="1"/>
  <c r="Y890" i="1"/>
  <c r="Y825" i="1"/>
  <c r="AG825" i="1" s="1"/>
  <c r="Y702" i="1"/>
  <c r="Y701" i="1"/>
  <c r="Y926" i="1"/>
  <c r="Y441" i="1"/>
  <c r="Y510" i="1"/>
  <c r="AG510" i="1" s="1"/>
  <c r="Y815" i="1"/>
  <c r="AA815" i="1" s="1"/>
  <c r="Y475" i="1"/>
  <c r="Y610" i="1"/>
  <c r="Y380" i="1"/>
  <c r="Y413" i="1"/>
  <c r="Y805" i="1"/>
  <c r="Y267" i="1"/>
  <c r="Y671" i="1"/>
  <c r="AE671" i="1" s="1"/>
  <c r="Y608" i="1"/>
  <c r="Y345" i="1"/>
  <c r="Y173" i="1"/>
  <c r="AE173" i="1" s="1"/>
  <c r="Y40" i="1"/>
  <c r="Y52" i="1"/>
  <c r="Y582" i="1"/>
  <c r="Y102" i="1"/>
  <c r="AE102" i="1" s="1"/>
  <c r="Y288" i="1"/>
  <c r="BL668" i="1"/>
  <c r="AY451" i="1"/>
  <c r="AY187" i="1"/>
  <c r="AY95" i="1"/>
  <c r="BA95" i="1" s="1"/>
  <c r="AY969" i="1"/>
  <c r="BG969" i="1" s="1"/>
  <c r="AY438" i="1"/>
  <c r="AY547" i="1"/>
  <c r="BG547" i="1" s="1"/>
  <c r="BL277" i="1"/>
  <c r="AY211" i="1"/>
  <c r="BL74" i="1"/>
  <c r="BL614" i="1"/>
  <c r="BN614" i="1" s="1"/>
  <c r="AY943" i="1"/>
  <c r="BC943" i="1" s="1"/>
  <c r="AY278" i="1"/>
  <c r="BC278" i="1" s="1"/>
  <c r="BL393" i="1"/>
  <c r="BL248" i="1"/>
  <c r="BN248" i="1" s="1"/>
  <c r="AY686" i="1"/>
  <c r="BE686" i="1" s="1"/>
  <c r="BL965" i="1"/>
  <c r="BL719" i="1"/>
  <c r="BL637" i="1"/>
  <c r="BR637" i="1" s="1"/>
  <c r="AY343" i="1"/>
  <c r="BL135" i="1"/>
  <c r="AL773" i="1"/>
  <c r="AL272" i="1"/>
  <c r="AL543" i="1"/>
  <c r="AR543" i="1" s="1"/>
  <c r="AL868" i="1"/>
  <c r="AL444" i="1"/>
  <c r="AL683" i="1"/>
  <c r="AT683" i="1" s="1"/>
  <c r="AL418" i="1"/>
  <c r="AP418" i="1" s="1"/>
  <c r="AL127" i="1"/>
  <c r="BL127" i="1"/>
  <c r="AL736" i="1"/>
  <c r="AT736" i="1" s="1"/>
  <c r="AL557" i="1"/>
  <c r="AL866" i="1"/>
  <c r="AL562" i="1"/>
  <c r="AR562" i="1" s="1"/>
  <c r="AL1001" i="1"/>
  <c r="AL633" i="1"/>
  <c r="AL256" i="1"/>
  <c r="AP256" i="1" s="1"/>
  <c r="AL742" i="1"/>
  <c r="AL280" i="1"/>
  <c r="AL93" i="1"/>
  <c r="AN93" i="1" s="1"/>
  <c r="AL153" i="1"/>
  <c r="AN153" i="1" s="1"/>
  <c r="AL149" i="1"/>
  <c r="AL92" i="1"/>
  <c r="AT92" i="1" s="1"/>
  <c r="BL192" i="1"/>
  <c r="BR192" i="1" s="1"/>
  <c r="AL685" i="1"/>
  <c r="AL783" i="1"/>
  <c r="AL961" i="1"/>
  <c r="AL107" i="1"/>
  <c r="AR107" i="1" s="1"/>
  <c r="AL368" i="1"/>
  <c r="AL507" i="1"/>
  <c r="AL878" i="1"/>
  <c r="AL423" i="1"/>
  <c r="AR423" i="1" s="1"/>
  <c r="AL704" i="1"/>
  <c r="AT704" i="1" s="1"/>
  <c r="AY457" i="1"/>
  <c r="AY602" i="1"/>
  <c r="BA602" i="1" s="1"/>
  <c r="BL206" i="1"/>
  <c r="BT206" i="1" s="1"/>
  <c r="AL487" i="1"/>
  <c r="AR487" i="1" s="1"/>
  <c r="AY521" i="1"/>
  <c r="AY804" i="1"/>
  <c r="BA804" i="1" s="1"/>
  <c r="AY780" i="1"/>
  <c r="BL428" i="1"/>
  <c r="AY617" i="1"/>
  <c r="AY564" i="1"/>
  <c r="AL835" i="1"/>
  <c r="BL122" i="1"/>
  <c r="BL411" i="1"/>
  <c r="BN411" i="1" s="1"/>
  <c r="BL798" i="1"/>
  <c r="BR798" i="1" s="1"/>
  <c r="AL282" i="1"/>
  <c r="AT282" i="1" s="1"/>
  <c r="AY269" i="1"/>
  <c r="BL784" i="1"/>
  <c r="BL813" i="1"/>
  <c r="AL544" i="1"/>
  <c r="Y853" i="1"/>
  <c r="Y623" i="1"/>
  <c r="Y342" i="1"/>
  <c r="AE342" i="1" s="1"/>
  <c r="Y992" i="1"/>
  <c r="Y402" i="1"/>
  <c r="Y859" i="1"/>
  <c r="AE859" i="1" s="1"/>
  <c r="Y395" i="1"/>
  <c r="Y931" i="1"/>
  <c r="AG931" i="1" s="1"/>
  <c r="Y749" i="1"/>
  <c r="Y1004" i="1"/>
  <c r="Y57" i="1"/>
  <c r="AG57" i="1" s="1"/>
  <c r="Y51" i="1"/>
  <c r="Y205" i="1"/>
  <c r="Y439" i="1"/>
  <c r="Y444" i="1"/>
  <c r="AA444" i="1" s="1"/>
  <c r="Y271" i="1"/>
  <c r="Y44" i="1"/>
  <c r="AE44" i="1" s="1"/>
  <c r="Y856" i="1"/>
  <c r="Y433" i="1"/>
  <c r="AE433" i="1" s="1"/>
  <c r="Y193" i="1"/>
  <c r="AE193" i="1" s="1"/>
  <c r="Y191" i="1"/>
  <c r="Y818" i="1"/>
  <c r="Y108" i="1"/>
  <c r="AE108" i="1" s="1"/>
  <c r="Y170" i="1"/>
  <c r="Y353" i="1"/>
  <c r="Y660" i="1"/>
  <c r="Y517" i="1"/>
  <c r="AG517" i="1" s="1"/>
  <c r="Y570" i="1"/>
  <c r="Y263" i="1"/>
  <c r="Y953" i="1"/>
  <c r="AA953" i="1" s="1"/>
  <c r="Y37" i="1"/>
  <c r="AE37" i="1" s="1"/>
  <c r="Y782" i="1"/>
  <c r="AE782" i="1" s="1"/>
  <c r="Y123" i="1"/>
  <c r="Y12" i="1"/>
  <c r="Y914" i="1"/>
  <c r="Y363" i="1"/>
  <c r="Y713" i="1"/>
  <c r="Y49" i="1"/>
  <c r="Y91" i="1"/>
  <c r="AG91" i="1" s="1"/>
  <c r="Y266" i="1"/>
  <c r="Y114" i="1"/>
  <c r="Y215" i="1"/>
  <c r="AG215" i="1" s="1"/>
  <c r="Y550" i="1"/>
  <c r="AE550" i="1" s="1"/>
  <c r="Y46" i="1"/>
  <c r="Y39" i="1"/>
  <c r="AE39" i="1" s="1"/>
  <c r="Y64" i="1"/>
  <c r="BL721" i="1"/>
  <c r="AY98" i="1"/>
  <c r="BL181" i="1"/>
  <c r="BL932" i="1"/>
  <c r="BL626" i="1"/>
  <c r="BL639" i="1"/>
  <c r="BP639" i="1" s="1"/>
  <c r="BL597" i="1"/>
  <c r="BN597" i="1" s="1"/>
  <c r="AY444" i="1"/>
  <c r="AY134" i="1"/>
  <c r="BG134" i="1" s="1"/>
  <c r="AY687" i="1"/>
  <c r="BL966" i="1"/>
  <c r="BN966" i="1" s="1"/>
  <c r="BL505" i="1"/>
  <c r="BL335" i="1"/>
  <c r="AY603" i="1"/>
  <c r="BC603" i="1" s="1"/>
  <c r="BL591" i="1"/>
  <c r="BP591" i="1" s="1"/>
  <c r="BL397" i="1"/>
  <c r="AY154" i="1"/>
  <c r="AL613" i="1"/>
  <c r="AN613" i="1" s="1"/>
  <c r="AL759" i="1"/>
  <c r="AL913" i="1"/>
  <c r="AL267" i="1"/>
  <c r="AL364" i="1"/>
  <c r="AT364" i="1" s="1"/>
  <c r="AL180" i="1"/>
  <c r="AP180" i="1" s="1"/>
  <c r="BL136" i="1"/>
  <c r="AL792" i="1"/>
  <c r="AL962" i="1"/>
  <c r="AN962" i="1" s="1"/>
  <c r="AL594" i="1"/>
  <c r="AL777" i="1"/>
  <c r="AL323" i="1"/>
  <c r="AR323" i="1" s="1"/>
  <c r="AL662" i="1"/>
  <c r="AL221" i="1"/>
  <c r="AN221" i="1" s="1"/>
  <c r="AL193" i="1"/>
  <c r="AL117" i="1"/>
  <c r="AP117" i="1" s="1"/>
  <c r="AL102" i="1"/>
  <c r="AN102" i="1" s="1"/>
  <c r="AL888" i="1"/>
  <c r="AN888" i="1" s="1"/>
  <c r="AL727" i="1"/>
  <c r="AL561" i="1"/>
  <c r="AP561" i="1" s="1"/>
  <c r="AL462" i="1"/>
  <c r="AL115" i="1"/>
  <c r="AN115" i="1" s="1"/>
  <c r="AL547" i="1"/>
  <c r="AL195" i="1"/>
  <c r="AT195" i="1" s="1"/>
  <c r="AL936" i="1"/>
  <c r="BL907" i="1"/>
  <c r="BP907" i="1" s="1"/>
  <c r="AY183" i="1"/>
  <c r="BL318" i="1"/>
  <c r="BL483" i="1"/>
  <c r="BL910" i="1"/>
  <c r="BR910" i="1" s="1"/>
  <c r="AY67" i="1"/>
  <c r="BL100" i="1"/>
  <c r="BL794" i="1"/>
  <c r="AL397" i="1"/>
  <c r="AT397" i="1" s="1"/>
  <c r="AL286" i="1"/>
  <c r="AY940" i="1"/>
  <c r="BG940" i="1" s="1"/>
  <c r="AY560" i="1"/>
  <c r="AY657" i="1"/>
  <c r="BC657" i="1" s="1"/>
  <c r="AY551" i="1"/>
  <c r="AL988" i="1"/>
  <c r="AR988" i="1" s="1"/>
  <c r="AL715" i="1"/>
  <c r="AR715" i="1" s="1"/>
  <c r="AL379" i="1"/>
  <c r="AP379" i="1" s="1"/>
  <c r="AL643" i="1"/>
  <c r="AL621" i="1"/>
  <c r="AY510" i="1"/>
  <c r="BG510" i="1" s="1"/>
  <c r="BL295" i="1"/>
  <c r="AY404" i="1"/>
  <c r="AY874" i="1"/>
  <c r="BC874" i="1" s="1"/>
  <c r="BL106" i="1"/>
  <c r="BN106" i="1" s="1"/>
  <c r="AL829" i="1"/>
  <c r="BL947" i="1"/>
  <c r="AL146" i="1"/>
  <c r="AR146" i="1" s="1"/>
  <c r="AY431" i="1"/>
  <c r="BE431" i="1" s="1"/>
  <c r="AY674" i="1"/>
  <c r="BG674" i="1" s="1"/>
  <c r="AY709" i="1"/>
  <c r="AY112" i="1"/>
  <c r="BA112" i="1" s="1"/>
  <c r="BL911" i="1"/>
  <c r="BP911" i="1" s="1"/>
  <c r="BL592" i="1"/>
  <c r="BR592" i="1" s="1"/>
  <c r="AY463" i="1"/>
  <c r="BL707" i="1"/>
  <c r="AL627" i="1"/>
  <c r="AL634" i="1"/>
  <c r="AR634" i="1" s="1"/>
  <c r="AY333" i="1"/>
  <c r="AY253" i="1"/>
  <c r="BC253" i="1" s="1"/>
  <c r="AL795" i="1"/>
  <c r="AL38" i="1"/>
  <c r="AP38" i="1" s="1"/>
  <c r="BL138" i="1"/>
  <c r="AY964" i="1"/>
  <c r="BL914" i="1"/>
  <c r="BR914" i="1" s="1"/>
  <c r="AY777" i="1"/>
  <c r="BG777" i="1" s="1"/>
  <c r="AL796" i="1"/>
  <c r="BL939" i="1"/>
  <c r="BT939" i="1" s="1"/>
  <c r="AY282" i="1"/>
  <c r="BG282" i="1" s="1"/>
  <c r="AY231" i="1"/>
  <c r="BC231" i="1" s="1"/>
  <c r="BL759" i="1"/>
  <c r="BL378" i="1"/>
  <c r="BN378" i="1" s="1"/>
  <c r="BL51" i="1"/>
  <c r="BR51" i="1" s="1"/>
  <c r="BL406" i="1"/>
  <c r="BP406" i="1" s="1"/>
  <c r="AY673" i="1"/>
  <c r="AL304" i="1"/>
  <c r="AN304" i="1" s="1"/>
  <c r="AL348" i="1"/>
  <c r="AY393" i="1"/>
  <c r="BL433" i="1"/>
  <c r="AY854" i="1"/>
  <c r="AL258" i="1"/>
  <c r="AY238" i="1"/>
  <c r="BE238" i="1" s="1"/>
  <c r="AL31" i="1"/>
  <c r="AP31" i="1" s="1"/>
  <c r="AY618" i="1"/>
  <c r="BL976" i="1"/>
  <c r="BL66" i="1"/>
  <c r="BL251" i="1"/>
  <c r="AY223" i="1"/>
  <c r="BL883" i="1"/>
  <c r="AL82" i="1"/>
  <c r="AP82" i="1" s="1"/>
  <c r="AY884" i="1"/>
  <c r="BL435" i="1"/>
  <c r="BR435" i="1" s="1"/>
  <c r="AY34" i="1"/>
  <c r="BC34" i="1" s="1"/>
  <c r="AY683" i="1"/>
  <c r="BL927" i="1"/>
  <c r="BT927" i="1" s="1"/>
  <c r="AY360" i="1"/>
  <c r="BC360" i="1" s="1"/>
  <c r="AY926" i="1"/>
  <c r="BA926" i="1" s="1"/>
  <c r="AY528" i="1"/>
  <c r="BG528" i="1" s="1"/>
  <c r="AY142" i="1"/>
  <c r="AL63" i="1"/>
  <c r="AR63" i="1" s="1"/>
  <c r="AL335" i="1"/>
  <c r="AT335" i="1" s="1"/>
  <c r="AY156" i="1"/>
  <c r="BG156" i="1" s="1"/>
  <c r="AY499" i="1"/>
  <c r="BL603" i="1"/>
  <c r="BT603" i="1" s="1"/>
  <c r="AY388" i="1"/>
  <c r="BG388" i="1" s="1"/>
  <c r="BL23" i="1"/>
  <c r="BL980" i="1"/>
  <c r="BL380" i="1"/>
  <c r="BT380" i="1" s="1"/>
  <c r="AY593" i="1"/>
  <c r="BG593" i="1" s="1"/>
  <c r="AY629" i="1"/>
  <c r="BC629" i="1" s="1"/>
  <c r="AY370" i="1"/>
  <c r="BL611" i="1"/>
  <c r="AL105" i="1"/>
  <c r="BL459" i="1"/>
  <c r="BT459" i="1" s="1"/>
  <c r="AY606" i="1"/>
  <c r="AY109" i="1"/>
  <c r="BL462" i="1"/>
  <c r="AY527" i="1"/>
  <c r="BL862" i="1"/>
  <c r="BL242" i="1"/>
  <c r="BL559" i="1"/>
  <c r="BL844" i="1"/>
  <c r="BL211" i="1"/>
  <c r="BP211" i="1" s="1"/>
  <c r="AL575" i="1"/>
  <c r="AN575" i="1" s="1"/>
  <c r="AY520" i="1"/>
  <c r="BE520" i="1" s="1"/>
  <c r="BL530" i="1"/>
  <c r="BP530" i="1" s="1"/>
  <c r="AY960" i="1"/>
  <c r="BC960" i="1" s="1"/>
  <c r="BL81" i="1"/>
  <c r="BN81" i="1" s="1"/>
  <c r="AY957" i="1"/>
  <c r="AY430" i="1"/>
  <c r="BL650" i="1"/>
  <c r="BL243" i="1"/>
  <c r="AY769" i="1"/>
  <c r="BC769" i="1" s="1"/>
  <c r="AY818" i="1"/>
  <c r="BC818" i="1" s="1"/>
  <c r="BL600" i="1"/>
  <c r="AY901" i="1"/>
  <c r="AY588" i="1"/>
  <c r="BC588" i="1" s="1"/>
  <c r="AY355" i="1"/>
  <c r="AY826" i="1"/>
  <c r="BG826" i="1" s="1"/>
  <c r="BL317" i="1"/>
  <c r="BP317" i="1" s="1"/>
  <c r="BL940" i="1"/>
  <c r="BT940" i="1" s="1"/>
  <c r="AY509" i="1"/>
  <c r="BG509" i="1" s="1"/>
  <c r="BL799" i="1"/>
  <c r="BP799" i="1" s="1"/>
  <c r="BL514" i="1"/>
  <c r="BT514" i="1" s="1"/>
  <c r="AY349" i="1"/>
  <c r="BG349" i="1" s="1"/>
  <c r="BL21" i="1"/>
  <c r="BL262" i="1"/>
  <c r="AL376" i="1"/>
  <c r="AL899" i="1"/>
  <c r="AR899" i="1" s="1"/>
  <c r="AY697" i="1"/>
  <c r="BG697" i="1" s="1"/>
  <c r="BL320" i="1"/>
  <c r="AY374" i="1"/>
  <c r="BL297" i="1"/>
  <c r="BL139" i="1"/>
  <c r="BP139" i="1" s="1"/>
  <c r="BL867" i="1"/>
  <c r="BR867" i="1" s="1"/>
  <c r="BL348" i="1"/>
  <c r="BT348" i="1" s="1"/>
  <c r="AY525" i="1"/>
  <c r="BC525" i="1" s="1"/>
  <c r="AY273" i="1"/>
  <c r="BL492" i="1"/>
  <c r="BT492" i="1" s="1"/>
  <c r="AY413" i="1"/>
  <c r="BG413" i="1" s="1"/>
  <c r="AY203" i="1"/>
  <c r="BC203" i="1" s="1"/>
  <c r="AY752" i="1"/>
  <c r="BC752" i="1" s="1"/>
  <c r="AY539" i="1"/>
  <c r="BG539" i="1" s="1"/>
  <c r="BL126" i="1"/>
  <c r="BL236" i="1"/>
  <c r="AY545" i="1"/>
  <c r="BC545" i="1" s="1"/>
  <c r="BL180" i="1"/>
  <c r="AY579" i="1"/>
  <c r="BA579" i="1" s="1"/>
  <c r="BL590" i="1"/>
  <c r="BN590" i="1" s="1"/>
  <c r="AY92" i="1"/>
  <c r="AY659" i="1"/>
  <c r="BL482" i="1"/>
  <c r="BN482" i="1" s="1"/>
  <c r="AL492" i="1"/>
  <c r="AR492" i="1" s="1"/>
  <c r="BL112" i="1"/>
  <c r="BR112" i="1" s="1"/>
  <c r="BL374" i="1"/>
  <c r="BP374" i="1" s="1"/>
  <c r="AL907" i="1"/>
  <c r="AY274" i="1"/>
  <c r="BE274" i="1" s="1"/>
  <c r="AL980" i="1"/>
  <c r="AP980" i="1" s="1"/>
  <c r="AY575" i="1"/>
  <c r="BC575" i="1" s="1"/>
  <c r="AY329" i="1"/>
  <c r="AL709" i="1"/>
  <c r="AR709" i="1" s="1"/>
  <c r="AY607" i="1"/>
  <c r="BL858" i="1"/>
  <c r="AY627" i="1"/>
  <c r="BC627" i="1" s="1"/>
  <c r="BL662" i="1"/>
  <c r="BT662" i="1" s="1"/>
  <c r="AY289" i="1"/>
  <c r="AY910" i="1"/>
  <c r="BG910" i="1" s="1"/>
  <c r="AY523" i="1"/>
  <c r="BG523" i="1" s="1"/>
  <c r="BL286" i="1"/>
  <c r="BL187" i="1"/>
  <c r="AY553" i="1"/>
  <c r="BL877" i="1"/>
  <c r="BL968" i="1"/>
  <c r="AL628" i="1"/>
  <c r="AN628" i="1" s="1"/>
  <c r="BL828" i="1"/>
  <c r="BN828" i="1" s="1"/>
  <c r="BL675" i="1"/>
  <c r="AY148" i="1"/>
  <c r="AY744" i="1"/>
  <c r="BC744" i="1" s="1"/>
  <c r="AL609" i="1"/>
  <c r="AY72" i="1"/>
  <c r="AY677" i="1"/>
  <c r="AY425" i="1"/>
  <c r="BG425" i="1" s="1"/>
  <c r="BL556" i="1"/>
  <c r="BL878" i="1"/>
  <c r="BN878" i="1" s="1"/>
  <c r="BL905" i="1"/>
  <c r="AY96" i="1"/>
  <c r="AY27" i="1"/>
  <c r="BL383" i="1"/>
  <c r="AY515" i="1"/>
  <c r="BG515" i="1" s="1"/>
  <c r="AY590" i="1"/>
  <c r="AY820" i="1"/>
  <c r="AL1002" i="1"/>
  <c r="BL958" i="1"/>
  <c r="BT958" i="1" s="1"/>
  <c r="AL632" i="1"/>
  <c r="AT632" i="1" s="1"/>
  <c r="AY453" i="1"/>
  <c r="BL577" i="1"/>
  <c r="AL472" i="1"/>
  <c r="AP472" i="1" s="1"/>
  <c r="AY232" i="1"/>
  <c r="BL471" i="1"/>
  <c r="AY988" i="1"/>
  <c r="BL860" i="1"/>
  <c r="BN860" i="1" s="1"/>
  <c r="AY225" i="1"/>
  <c r="BC225" i="1" s="1"/>
  <c r="BL301" i="1"/>
  <c r="BL774" i="1"/>
  <c r="BL260" i="1"/>
  <c r="BN260" i="1" s="1"/>
  <c r="AY417" i="1"/>
  <c r="BL817" i="1"/>
  <c r="BL381" i="1"/>
  <c r="AY276" i="1"/>
  <c r="BL622" i="1"/>
  <c r="BN622" i="1" s="1"/>
  <c r="AL957" i="1"/>
  <c r="AY615" i="1"/>
  <c r="BL738" i="1"/>
  <c r="BP738" i="1" s="1"/>
  <c r="AY492" i="1"/>
  <c r="BG492" i="1" s="1"/>
  <c r="AL540" i="1"/>
  <c r="AY390" i="1"/>
  <c r="BL623" i="1"/>
  <c r="AY366" i="1"/>
  <c r="AY191" i="1"/>
  <c r="AY791" i="1"/>
  <c r="BE791" i="1" s="1"/>
  <c r="BL645" i="1"/>
  <c r="BP645" i="1" s="1"/>
  <c r="BL149" i="1"/>
  <c r="BL464" i="1"/>
  <c r="AY832" i="1"/>
  <c r="BA832" i="1" s="1"/>
  <c r="BL473" i="1"/>
  <c r="BR473" i="1" s="1"/>
  <c r="BL53" i="1"/>
  <c r="BN53" i="1" s="1"/>
  <c r="AL762" i="1"/>
  <c r="AL513" i="1"/>
  <c r="AT513" i="1" s="1"/>
  <c r="AL84" i="1"/>
  <c r="AL402" i="1"/>
  <c r="AL122" i="1"/>
  <c r="AL942" i="1"/>
  <c r="AT942" i="1" s="1"/>
  <c r="AL644" i="1"/>
  <c r="AL334" i="1"/>
  <c r="AN334" i="1" s="1"/>
  <c r="AY986" i="1"/>
  <c r="AY788" i="1"/>
  <c r="BA788" i="1" s="1"/>
  <c r="BL897" i="1"/>
  <c r="BR897" i="1" s="1"/>
  <c r="BL253" i="1"/>
  <c r="BN253" i="1" s="1"/>
  <c r="AY689" i="1"/>
  <c r="BG689" i="1" s="1"/>
  <c r="AY54" i="1"/>
  <c r="BC54" i="1" s="1"/>
  <c r="BL496" i="1"/>
  <c r="BR496" i="1" s="1"/>
  <c r="AY361" i="1"/>
  <c r="BG361" i="1" s="1"/>
  <c r="AY337" i="1"/>
  <c r="BL188" i="1"/>
  <c r="BP188" i="1" s="1"/>
  <c r="AL935" i="1"/>
  <c r="AT935" i="1" s="1"/>
  <c r="AY418" i="1"/>
  <c r="BC418" i="1" s="1"/>
  <c r="AL460" i="1"/>
  <c r="AY405" i="1"/>
  <c r="BC405" i="1" s="1"/>
  <c r="AY301" i="1"/>
  <c r="BA301" i="1" s="1"/>
  <c r="BL259" i="1"/>
  <c r="BP259" i="1" s="1"/>
  <c r="BL852" i="1"/>
  <c r="BN852" i="1" s="1"/>
  <c r="AY490" i="1"/>
  <c r="BA490" i="1" s="1"/>
  <c r="BL803" i="1"/>
  <c r="BR803" i="1" s="1"/>
  <c r="AY530" i="1"/>
  <c r="BE530" i="1" s="1"/>
  <c r="BL875" i="1"/>
  <c r="AL668" i="1"/>
  <c r="BL424" i="1"/>
  <c r="BT424" i="1" s="1"/>
  <c r="BL670" i="1"/>
  <c r="BR670" i="1" s="1"/>
  <c r="BL305" i="1"/>
  <c r="BN305" i="1" s="1"/>
  <c r="AY255" i="1"/>
  <c r="AL568" i="1"/>
  <c r="AP568" i="1" s="1"/>
  <c r="AL535" i="1"/>
  <c r="AN535" i="1" s="1"/>
  <c r="AL433" i="1"/>
  <c r="AN433" i="1" s="1"/>
  <c r="AL147" i="1"/>
  <c r="AP147" i="1" s="1"/>
  <c r="AL111" i="1"/>
  <c r="AT111" i="1" s="1"/>
  <c r="AL451" i="1"/>
  <c r="AT451" i="1" s="1"/>
  <c r="AL170" i="1"/>
  <c r="AL739" i="1"/>
  <c r="AR739" i="1" s="1"/>
  <c r="AL449" i="1"/>
  <c r="AR449" i="1" s="1"/>
  <c r="AL900" i="1"/>
  <c r="AT900" i="1" s="1"/>
  <c r="AL615" i="1"/>
  <c r="AL305" i="1"/>
  <c r="AP305" i="1" s="1"/>
  <c r="AL965" i="1"/>
  <c r="AR965" i="1" s="1"/>
  <c r="BL186" i="1"/>
  <c r="BP186" i="1" s="1"/>
  <c r="AL230" i="1"/>
  <c r="AL252" i="1"/>
  <c r="AN252" i="1" s="1"/>
  <c r="AL245" i="1"/>
  <c r="AL110" i="1"/>
  <c r="AL228" i="1"/>
  <c r="AL370" i="1"/>
  <c r="AP370" i="1" s="1"/>
  <c r="AL470" i="1"/>
  <c r="AL710" i="1"/>
  <c r="AT710" i="1" s="1"/>
  <c r="AL966" i="1"/>
  <c r="AR966" i="1" s="1"/>
  <c r="AL473" i="1"/>
  <c r="AN473" i="1" s="1"/>
  <c r="AL713" i="1"/>
  <c r="AP713" i="1" s="1"/>
  <c r="AL969" i="1"/>
  <c r="AN969" i="1" s="1"/>
  <c r="AL530" i="1"/>
  <c r="AL770" i="1"/>
  <c r="AL123" i="1"/>
  <c r="AL525" i="1"/>
  <c r="AR525" i="1" s="1"/>
  <c r="AL912" i="1"/>
  <c r="AR912" i="1" s="1"/>
  <c r="BL44" i="1"/>
  <c r="BR44" i="1" s="1"/>
  <c r="AY185" i="1"/>
  <c r="BA185" i="1" s="1"/>
  <c r="AL68" i="1"/>
  <c r="AR68" i="1" s="1"/>
  <c r="AL250" i="1"/>
  <c r="AL467" i="1"/>
  <c r="AN467" i="1" s="1"/>
  <c r="AL811" i="1"/>
  <c r="AP811" i="1" s="1"/>
  <c r="AL401" i="1"/>
  <c r="AL740" i="1"/>
  <c r="AP740" i="1" s="1"/>
  <c r="AL299" i="1"/>
  <c r="AP299" i="1" s="1"/>
  <c r="AL671" i="1"/>
  <c r="AL91" i="1"/>
  <c r="AP91" i="1" s="1"/>
  <c r="AL653" i="1"/>
  <c r="AL797" i="1"/>
  <c r="AY224" i="1"/>
  <c r="BA224" i="1" s="1"/>
  <c r="AY544" i="1"/>
  <c r="BE544" i="1" s="1"/>
  <c r="BL487" i="1"/>
  <c r="BL584" i="1"/>
  <c r="BP584" i="1" s="1"/>
  <c r="AY947" i="1"/>
  <c r="BG947" i="1" s="1"/>
  <c r="BL837" i="1"/>
  <c r="AY774" i="1"/>
  <c r="BE774" i="1" s="1"/>
  <c r="BL99" i="1"/>
  <c r="BR99" i="1" s="1"/>
  <c r="BL303" i="1"/>
  <c r="BT303" i="1" s="1"/>
  <c r="BL329" i="1"/>
  <c r="BR329" i="1" s="1"/>
  <c r="BL633" i="1"/>
  <c r="BL772" i="1"/>
  <c r="BT772" i="1" s="1"/>
  <c r="BL838" i="1"/>
  <c r="BT838" i="1" s="1"/>
  <c r="AY983" i="1"/>
  <c r="BG983" i="1" s="1"/>
  <c r="AY808" i="1"/>
  <c r="AY737" i="1"/>
  <c r="BA737" i="1" s="1"/>
  <c r="BL392" i="1"/>
  <c r="BP392" i="1" s="1"/>
  <c r="AY342" i="1"/>
  <c r="AY268" i="1"/>
  <c r="BA268" i="1" s="1"/>
  <c r="BL537" i="1"/>
  <c r="AL200" i="1"/>
  <c r="AL328" i="1"/>
  <c r="AY353" i="1"/>
  <c r="BC353" i="1" s="1"/>
  <c r="AY129" i="1"/>
  <c r="BG129" i="1" s="1"/>
  <c r="AL144" i="1"/>
  <c r="AY219" i="1"/>
  <c r="BC219" i="1" s="1"/>
  <c r="BL386" i="1"/>
  <c r="BT386" i="1" s="1"/>
  <c r="AY99" i="1"/>
  <c r="BE99" i="1" s="1"/>
  <c r="AY864" i="1"/>
  <c r="BG864" i="1" s="1"/>
  <c r="AY643" i="1"/>
  <c r="AL463" i="1"/>
  <c r="AR463" i="1" s="1"/>
  <c r="AY876" i="1"/>
  <c r="BL797" i="1"/>
  <c r="BT797" i="1" s="1"/>
  <c r="BL105" i="1"/>
  <c r="BR105" i="1" s="1"/>
  <c r="AY695" i="1"/>
  <c r="BG695" i="1" s="1"/>
  <c r="BL245" i="1"/>
  <c r="AL699" i="1"/>
  <c r="AN699" i="1" s="1"/>
  <c r="AL58" i="1"/>
  <c r="BL925" i="1"/>
  <c r="BL307" i="1"/>
  <c r="BP307" i="1" s="1"/>
  <c r="AY535" i="1"/>
  <c r="BL163" i="1"/>
  <c r="BN163" i="1" s="1"/>
  <c r="BL6" i="1"/>
  <c r="AY767" i="1"/>
  <c r="AY783" i="1"/>
  <c r="BC783" i="1" s="1"/>
  <c r="AY502" i="1"/>
  <c r="BC502" i="1" s="1"/>
  <c r="AY532" i="1"/>
  <c r="AY660" i="1"/>
  <c r="BE660" i="1" s="1"/>
  <c r="AY822" i="1"/>
  <c r="BA822" i="1" s="1"/>
  <c r="BL747" i="1"/>
  <c r="BT747" i="1" s="1"/>
  <c r="AL791" i="1"/>
  <c r="AY147" i="1"/>
  <c r="BG147" i="1" s="1"/>
  <c r="BL201" i="1"/>
  <c r="AY385" i="1"/>
  <c r="BL339" i="1"/>
  <c r="BT339" i="1" s="1"/>
  <c r="BL831" i="1"/>
  <c r="BT831" i="1" s="1"/>
  <c r="BL658" i="1"/>
  <c r="BR658" i="1" s="1"/>
  <c r="AY921" i="1"/>
  <c r="BC921" i="1" s="1"/>
  <c r="AL37" i="1"/>
  <c r="AL807" i="1"/>
  <c r="AN807" i="1" s="1"/>
  <c r="AL938" i="1"/>
  <c r="AP938" i="1" s="1"/>
  <c r="BL734" i="1"/>
  <c r="AY542" i="1"/>
  <c r="BC542" i="1" s="1"/>
  <c r="AL125" i="1"/>
  <c r="BL900" i="1"/>
  <c r="BT900" i="1" s="1"/>
  <c r="AY863" i="1"/>
  <c r="BL316" i="1"/>
  <c r="BP316" i="1" s="1"/>
  <c r="BL449" i="1"/>
  <c r="BL887" i="1"/>
  <c r="BR887" i="1" s="1"/>
  <c r="AL707" i="1"/>
  <c r="BL933" i="1"/>
  <c r="AY327" i="1"/>
  <c r="BA327" i="1" s="1"/>
  <c r="AL986" i="1"/>
  <c r="AR986" i="1" s="1"/>
  <c r="AL843" i="1"/>
  <c r="AR843" i="1" s="1"/>
  <c r="AL71" i="1"/>
  <c r="AL103" i="1"/>
  <c r="AL224" i="1"/>
  <c r="AL876" i="1"/>
  <c r="AN876" i="1" s="1"/>
  <c r="BL412" i="1"/>
  <c r="BN412" i="1" s="1"/>
  <c r="AY208" i="1"/>
  <c r="BE208" i="1" s="1"/>
  <c r="BL833" i="1"/>
  <c r="BL33" i="1"/>
  <c r="AY616" i="1"/>
  <c r="BE616" i="1" s="1"/>
  <c r="AL846" i="1"/>
  <c r="AT846" i="1" s="1"/>
  <c r="BL568" i="1"/>
  <c r="AY461" i="1"/>
  <c r="BA461" i="1" s="1"/>
  <c r="AL511" i="1"/>
  <c r="AN511" i="1" s="1"/>
  <c r="BL391" i="1"/>
  <c r="AY991" i="1"/>
  <c r="BC991" i="1" s="1"/>
  <c r="AY241" i="1"/>
  <c r="BL783" i="1"/>
  <c r="BN783" i="1" s="1"/>
  <c r="BL291" i="1"/>
  <c r="BT291" i="1" s="1"/>
  <c r="AY356" i="1"/>
  <c r="AY91" i="1"/>
  <c r="AL526" i="1"/>
  <c r="AY56" i="1"/>
  <c r="BL760" i="1"/>
  <c r="AY146" i="1"/>
  <c r="BE146" i="1" s="1"/>
  <c r="AL911" i="1"/>
  <c r="AL660" i="1"/>
  <c r="AT660" i="1" s="1"/>
  <c r="AL90" i="1"/>
  <c r="AR90" i="1" s="1"/>
  <c r="AL253" i="1"/>
  <c r="AL199" i="1"/>
  <c r="AN199" i="1" s="1"/>
  <c r="AL859" i="1"/>
  <c r="AP859" i="1" s="1"/>
  <c r="AL673" i="1"/>
  <c r="AP673" i="1" s="1"/>
  <c r="AL495" i="1"/>
  <c r="AL453" i="1"/>
  <c r="AP453" i="1" s="1"/>
  <c r="BL36" i="1"/>
  <c r="BP36" i="1" s="1"/>
  <c r="AL166" i="1"/>
  <c r="AL53" i="1"/>
  <c r="AL373" i="1"/>
  <c r="AL143" i="1"/>
  <c r="AN143" i="1" s="1"/>
  <c r="AL168" i="1"/>
  <c r="AP168" i="1" s="1"/>
  <c r="AL598" i="1"/>
  <c r="AR598" i="1" s="1"/>
  <c r="AL902" i="1"/>
  <c r="AN902" i="1" s="1"/>
  <c r="AL537" i="1"/>
  <c r="AN537" i="1" s="1"/>
  <c r="AL841" i="1"/>
  <c r="AP841" i="1" s="1"/>
  <c r="AL466" i="1"/>
  <c r="AL834" i="1"/>
  <c r="AL406" i="1"/>
  <c r="AT406" i="1" s="1"/>
  <c r="AL656" i="1"/>
  <c r="AY84" i="1"/>
  <c r="BA84" i="1" s="1"/>
  <c r="AL81" i="1"/>
  <c r="AR81" i="1" s="1"/>
  <c r="AL130" i="1"/>
  <c r="AT130" i="1" s="1"/>
  <c r="AL555" i="1"/>
  <c r="AL979" i="1"/>
  <c r="AL657" i="1"/>
  <c r="AL412" i="1"/>
  <c r="AL842" i="1"/>
  <c r="AL533" i="1"/>
  <c r="AY38" i="1"/>
  <c r="BL266" i="1"/>
  <c r="BP266" i="1" s="1"/>
  <c r="BL358" i="1"/>
  <c r="BL712" i="1"/>
  <c r="BL906" i="1"/>
  <c r="BL808" i="1"/>
  <c r="BT808" i="1" s="1"/>
  <c r="AY166" i="1"/>
  <c r="BA166" i="1" s="1"/>
  <c r="BL472" i="1"/>
  <c r="AY423" i="1"/>
  <c r="BA423" i="1" s="1"/>
  <c r="BL711" i="1"/>
  <c r="BN711" i="1" s="1"/>
  <c r="BL698" i="1"/>
  <c r="BL928" i="1"/>
  <c r="AY88" i="1"/>
  <c r="AY284" i="1"/>
  <c r="BA284" i="1" s="1"/>
  <c r="AY172" i="1"/>
  <c r="BC172" i="1" s="1"/>
  <c r="AY506" i="1"/>
  <c r="BL608" i="1"/>
  <c r="BT608" i="1" s="1"/>
  <c r="AY971" i="1"/>
  <c r="BA971" i="1" s="1"/>
  <c r="BL885" i="1"/>
  <c r="AY734" i="1"/>
  <c r="AY136" i="1"/>
  <c r="BL267" i="1"/>
  <c r="BR267" i="1" s="1"/>
  <c r="AY210" i="1"/>
  <c r="BL593" i="1"/>
  <c r="BL732" i="1"/>
  <c r="BT732" i="1" s="1"/>
  <c r="Y192" i="1"/>
  <c r="AG192" i="1" s="1"/>
  <c r="Y103" i="1"/>
  <c r="AA103" i="1" s="1"/>
  <c r="Y404" i="1"/>
  <c r="Y355" i="1"/>
  <c r="AC355" i="1" s="1"/>
  <c r="Y678" i="1"/>
  <c r="AE678" i="1" s="1"/>
  <c r="Y92" i="1"/>
  <c r="Y98" i="1"/>
  <c r="Y252" i="1"/>
  <c r="AC252" i="1" s="1"/>
  <c r="Y343" i="1"/>
  <c r="Y474" i="1"/>
  <c r="AE474" i="1" s="1"/>
  <c r="Y814" i="1"/>
  <c r="AC814" i="1" s="1"/>
  <c r="Y480" i="1"/>
  <c r="AG480" i="1" s="1"/>
  <c r="Y427" i="1"/>
  <c r="Y777" i="1"/>
  <c r="Y218" i="1"/>
  <c r="Y763" i="1"/>
  <c r="AA763" i="1" s="1"/>
  <c r="Y133" i="1"/>
  <c r="AA133" i="1" s="1"/>
  <c r="Y184" i="1"/>
  <c r="Y25" i="1"/>
  <c r="AG25" i="1" s="1"/>
  <c r="Y554" i="1"/>
  <c r="AE554" i="1" s="1"/>
  <c r="Y234" i="1"/>
  <c r="AC234" i="1" s="1"/>
  <c r="Y314" i="1"/>
  <c r="Y869" i="1"/>
  <c r="Y292" i="1"/>
  <c r="Y95" i="1"/>
  <c r="Y682" i="1"/>
  <c r="AA682" i="1" s="1"/>
  <c r="Y432" i="1"/>
  <c r="Y341" i="1"/>
  <c r="Y881" i="1"/>
  <c r="AA881" i="1" s="1"/>
  <c r="Y529" i="1"/>
  <c r="AE529" i="1" s="1"/>
  <c r="Y970" i="1"/>
  <c r="Y611" i="1"/>
  <c r="Y31" i="1"/>
  <c r="AE31" i="1" s="1"/>
  <c r="Y347" i="1"/>
  <c r="Y917" i="1"/>
  <c r="Y821" i="1"/>
  <c r="AE821" i="1" s="1"/>
  <c r="Y511" i="1"/>
  <c r="AG511" i="1" s="1"/>
  <c r="Y705" i="1"/>
  <c r="Y728" i="1"/>
  <c r="Y504" i="1"/>
  <c r="Y400" i="1"/>
  <c r="AE400" i="1" s="1"/>
  <c r="Y555" i="1"/>
  <c r="Y127" i="1"/>
  <c r="Y922" i="1"/>
  <c r="AA922" i="1" s="1"/>
  <c r="Y900" i="1"/>
  <c r="AE900" i="1" s="1"/>
  <c r="Y382" i="1"/>
  <c r="Y897" i="1"/>
  <c r="Y768" i="1"/>
  <c r="AC768" i="1" s="1"/>
  <c r="Y198" i="1"/>
  <c r="Y588" i="1"/>
  <c r="AA588" i="1" s="1"/>
  <c r="Y553" i="1"/>
  <c r="Y580" i="1"/>
  <c r="AA580" i="1" s="1"/>
  <c r="Y928" i="1"/>
  <c r="Y467" i="1"/>
  <c r="AE467" i="1" s="1"/>
  <c r="Y376" i="1"/>
  <c r="Y780" i="1"/>
  <c r="AA780" i="1" s="1"/>
  <c r="Y639" i="1"/>
  <c r="Y960" i="1"/>
  <c r="Y878" i="1"/>
  <c r="AG878" i="1" s="1"/>
  <c r="Y984" i="1"/>
  <c r="AE984" i="1" s="1"/>
  <c r="Y823" i="1"/>
  <c r="AG823" i="1" s="1"/>
  <c r="Y949" i="1"/>
  <c r="AC949" i="1" s="1"/>
  <c r="AL20" i="1"/>
  <c r="AY364" i="1"/>
  <c r="BG364" i="1" s="1"/>
  <c r="AY738" i="1"/>
  <c r="BC738" i="1" s="1"/>
  <c r="BL748" i="1"/>
  <c r="BT748" i="1" s="1"/>
  <c r="BL609" i="1"/>
  <c r="AY834" i="1"/>
  <c r="BL182" i="1"/>
  <c r="BN182" i="1" s="1"/>
  <c r="BL686" i="1"/>
  <c r="AL746" i="1"/>
  <c r="AY654" i="1"/>
  <c r="BE654" i="1" s="1"/>
  <c r="AY976" i="1"/>
  <c r="BG976" i="1" s="1"/>
  <c r="AL426" i="1"/>
  <c r="AY400" i="1"/>
  <c r="AY773" i="1"/>
  <c r="BG773" i="1" s="1"/>
  <c r="BI773" i="1" s="1"/>
  <c r="BL400" i="1"/>
  <c r="AY428" i="1"/>
  <c r="BL110" i="1"/>
  <c r="AY217" i="1"/>
  <c r="BA217" i="1" s="1"/>
  <c r="AY422" i="1"/>
  <c r="BE422" i="1" s="1"/>
  <c r="BL850" i="1"/>
  <c r="AY930" i="1"/>
  <c r="BL431" i="1"/>
  <c r="BT431" i="1" s="1"/>
  <c r="AL265" i="1"/>
  <c r="AR265" i="1" s="1"/>
  <c r="BL224" i="1"/>
  <c r="AY518" i="1"/>
  <c r="AY596" i="1"/>
  <c r="BC596" i="1" s="1"/>
  <c r="AY336" i="1"/>
  <c r="BE336" i="1" s="1"/>
  <c r="AL941" i="1"/>
  <c r="AL602" i="1"/>
  <c r="AL545" i="1"/>
  <c r="AP545" i="1" s="1"/>
  <c r="AL443" i="1"/>
  <c r="AT443" i="1" s="1"/>
  <c r="AL249" i="1"/>
  <c r="AL343" i="1"/>
  <c r="AL308" i="1"/>
  <c r="AN308" i="1" s="1"/>
  <c r="AL686" i="1"/>
  <c r="AL383" i="1"/>
  <c r="AL844" i="1"/>
  <c r="AL554" i="1"/>
  <c r="AP554" i="1" s="1"/>
  <c r="AL112" i="1"/>
  <c r="AR112" i="1" s="1"/>
  <c r="AL741" i="1"/>
  <c r="AN741" i="1" s="1"/>
  <c r="BL143" i="1"/>
  <c r="BP143" i="1" s="1"/>
  <c r="AL198" i="1"/>
  <c r="AL220" i="1"/>
  <c r="AT220" i="1" s="1"/>
  <c r="AL213" i="1"/>
  <c r="AL65" i="1"/>
  <c r="AL183" i="1"/>
  <c r="AT183" i="1" s="1"/>
  <c r="AL266" i="1"/>
  <c r="AL350" i="1"/>
  <c r="AL630" i="1"/>
  <c r="AL934" i="1"/>
  <c r="AP934" i="1" s="1"/>
  <c r="AL441" i="1"/>
  <c r="AT441" i="1" s="1"/>
  <c r="AL681" i="1"/>
  <c r="AL937" i="1"/>
  <c r="AL434" i="1"/>
  <c r="AT434" i="1" s="1"/>
  <c r="AL690" i="1"/>
  <c r="AP690" i="1" s="1"/>
  <c r="AL930" i="1"/>
  <c r="AL445" i="1"/>
  <c r="AL784" i="1"/>
  <c r="BL8" i="1"/>
  <c r="BT8" i="1" s="1"/>
  <c r="BL194" i="1"/>
  <c r="AL225" i="1"/>
  <c r="AR225" i="1" s="1"/>
  <c r="AL189" i="1"/>
  <c r="AT189" i="1" s="1"/>
  <c r="AL427" i="1"/>
  <c r="AP427" i="1" s="1"/>
  <c r="AL766" i="1"/>
  <c r="AL340" i="1"/>
  <c r="AL700" i="1"/>
  <c r="AP700" i="1" s="1"/>
  <c r="AV700" i="1" s="1"/>
  <c r="AL131" i="1"/>
  <c r="AL631" i="1"/>
  <c r="AP631" i="1" s="1"/>
  <c r="AL970" i="1"/>
  <c r="AL576" i="1"/>
  <c r="AL896" i="1"/>
  <c r="AP896" i="1" s="1"/>
  <c r="AY169" i="1"/>
  <c r="AY480" i="1"/>
  <c r="AY435" i="1"/>
  <c r="BE435" i="1" s="1"/>
  <c r="AY511" i="1"/>
  <c r="BE511" i="1" s="1"/>
  <c r="AY883" i="1"/>
  <c r="BL706" i="1"/>
  <c r="BL936" i="1"/>
  <c r="BR936" i="1" s="1"/>
  <c r="AY108" i="1"/>
  <c r="BL239" i="1"/>
  <c r="BL399" i="1"/>
  <c r="BL569" i="1"/>
  <c r="BP569" i="1" s="1"/>
  <c r="BL708" i="1"/>
  <c r="BT708" i="1" s="1"/>
  <c r="BL778" i="1"/>
  <c r="BP778" i="1" s="1"/>
  <c r="AY587" i="1"/>
  <c r="AY702" i="1"/>
  <c r="BA702" i="1" s="1"/>
  <c r="BL131" i="1"/>
  <c r="BR131" i="1" s="1"/>
  <c r="BL195" i="1"/>
  <c r="BL357" i="1"/>
  <c r="BL661" i="1"/>
  <c r="BN661" i="1" s="1"/>
  <c r="BL491" i="1"/>
  <c r="BT491" i="1" s="1"/>
  <c r="BL866" i="1"/>
  <c r="AY917" i="1"/>
  <c r="BL9" i="1"/>
  <c r="BP9" i="1" s="1"/>
  <c r="AY194" i="1"/>
  <c r="BA194" i="1" s="1"/>
  <c r="BL372" i="1"/>
  <c r="BL269" i="1"/>
  <c r="AY141" i="1"/>
  <c r="BE141" i="1" s="1"/>
  <c r="Y96" i="1"/>
  <c r="Y336" i="1"/>
  <c r="AE336" i="1" s="1"/>
  <c r="Y420" i="1"/>
  <c r="Y470" i="1"/>
  <c r="AE470" i="1" s="1"/>
  <c r="Y710" i="1"/>
  <c r="AA710" i="1" s="1"/>
  <c r="Y136" i="1"/>
  <c r="Y157" i="1"/>
  <c r="Y296" i="1"/>
  <c r="AE296" i="1" s="1"/>
  <c r="Y384" i="1"/>
  <c r="AE384" i="1" s="1"/>
  <c r="Y430" i="1"/>
  <c r="Y770" i="1"/>
  <c r="Y437" i="1"/>
  <c r="AE437" i="1" s="1"/>
  <c r="Y351" i="1"/>
  <c r="Y756" i="1"/>
  <c r="Y115" i="1"/>
  <c r="Y635" i="1"/>
  <c r="AG635" i="1" s="1"/>
  <c r="Y946" i="1"/>
  <c r="AE946" i="1" s="1"/>
  <c r="Y531" i="1"/>
  <c r="Y242" i="1"/>
  <c r="Y366" i="1"/>
  <c r="AE366" i="1" s="1"/>
  <c r="Y842" i="1"/>
  <c r="AA842" i="1" s="1"/>
  <c r="Y592" i="1"/>
  <c r="AA592" i="1" s="1"/>
  <c r="Y703" i="1"/>
  <c r="Y202" i="1"/>
  <c r="AE202" i="1" s="1"/>
  <c r="Y738" i="1"/>
  <c r="AA738" i="1" s="1"/>
  <c r="Y591" i="1"/>
  <c r="Y27" i="1"/>
  <c r="Y725" i="1"/>
  <c r="AE725" i="1" s="1"/>
  <c r="Y307" i="1"/>
  <c r="AE307" i="1" s="1"/>
  <c r="Y868" i="1"/>
  <c r="Y530" i="1"/>
  <c r="Y190" i="1"/>
  <c r="AC190" i="1" s="1"/>
  <c r="Y373" i="1"/>
  <c r="Y1002" i="1"/>
  <c r="Y892" i="1"/>
  <c r="Y935" i="1"/>
  <c r="AE935" i="1" s="1"/>
  <c r="Y839" i="1"/>
  <c r="AA839" i="1" s="1"/>
  <c r="Y216" i="1"/>
  <c r="Y658" i="1"/>
  <c r="AY53" i="1"/>
  <c r="AL801" i="1"/>
  <c r="AY639" i="1"/>
  <c r="AL808" i="1"/>
  <c r="AR808" i="1" s="1"/>
  <c r="AY719" i="1"/>
  <c r="BA719" i="1" s="1"/>
  <c r="AL708" i="1"/>
  <c r="AY838" i="1"/>
  <c r="BE838" i="1" s="1"/>
  <c r="AY972" i="1"/>
  <c r="BG972" i="1" s="1"/>
  <c r="AL42" i="1"/>
  <c r="AL789" i="1"/>
  <c r="AL670" i="1"/>
  <c r="BL370" i="1"/>
  <c r="BL607" i="1"/>
  <c r="BR607" i="1" s="1"/>
  <c r="AY680" i="1"/>
  <c r="BA680" i="1" s="1"/>
  <c r="AL515" i="1"/>
  <c r="AP515" i="1" s="1"/>
  <c r="AY394" i="1"/>
  <c r="AY894" i="1"/>
  <c r="AL241" i="1"/>
  <c r="AT241" i="1" s="1"/>
  <c r="BL421" i="1"/>
  <c r="BL85" i="1"/>
  <c r="AY745" i="1"/>
  <c r="AY848" i="1"/>
  <c r="AL836" i="1"/>
  <c r="AL711" i="1"/>
  <c r="AN711" i="1" s="1"/>
  <c r="BL579" i="1"/>
  <c r="BN579" i="1" s="1"/>
  <c r="BL681" i="1"/>
  <c r="BP681" i="1" s="1"/>
  <c r="AY341" i="1"/>
  <c r="BL175" i="1"/>
  <c r="BL86" i="1"/>
  <c r="BP86" i="1" s="1"/>
  <c r="BL475" i="1"/>
  <c r="BN475" i="1" s="1"/>
  <c r="AY170" i="1"/>
  <c r="BG170" i="1" s="1"/>
  <c r="BL879" i="1"/>
  <c r="BL695" i="1"/>
  <c r="BP695" i="1" s="1"/>
  <c r="AY79" i="1"/>
  <c r="AY524" i="1"/>
  <c r="AY576" i="1"/>
  <c r="BC576" i="1" s="1"/>
  <c r="AY271" i="1"/>
  <c r="BL542" i="1"/>
  <c r="BL209" i="1"/>
  <c r="BP209" i="1" s="1"/>
  <c r="AY937" i="1"/>
  <c r="BG937" i="1" s="1"/>
  <c r="AL538" i="1"/>
  <c r="BL735" i="1"/>
  <c r="AY567" i="1"/>
  <c r="AL750" i="1"/>
  <c r="BL156" i="1"/>
  <c r="AY559" i="1"/>
  <c r="AY362" i="1"/>
  <c r="BL713" i="1"/>
  <c r="AY408" i="1"/>
  <c r="BL790" i="1"/>
  <c r="BR790" i="1" s="1"/>
  <c r="BL443" i="1"/>
  <c r="BL722" i="1"/>
  <c r="BP722" i="1" s="1"/>
  <c r="AL222" i="1"/>
  <c r="AL278" i="1"/>
  <c r="BL103" i="1"/>
  <c r="BT103" i="1" s="1"/>
  <c r="BL478" i="1"/>
  <c r="BN478" i="1" s="1"/>
  <c r="AL833" i="1"/>
  <c r="AN833" i="1" s="1"/>
  <c r="BL560" i="1"/>
  <c r="AY844" i="1"/>
  <c r="BE844" i="1" s="1"/>
  <c r="AY302" i="1"/>
  <c r="BG302" i="1" s="1"/>
  <c r="BL173" i="1"/>
  <c r="AY325" i="1"/>
  <c r="BE325" i="1" s="1"/>
  <c r="BL816" i="1"/>
  <c r="AY409" i="1"/>
  <c r="BG409" i="1" s="1"/>
  <c r="AY582" i="1"/>
  <c r="AY467" i="1"/>
  <c r="BG467" i="1" s="1"/>
  <c r="BL945" i="1"/>
  <c r="BL200" i="1"/>
  <c r="AY13" i="1"/>
  <c r="BG13" i="1" s="1"/>
  <c r="BL929" i="1"/>
  <c r="BL323" i="1"/>
  <c r="BR323" i="1" s="1"/>
  <c r="AY898" i="1"/>
  <c r="AY251" i="1"/>
  <c r="AY595" i="1"/>
  <c r="AY968" i="1"/>
  <c r="BC968" i="1" s="1"/>
  <c r="AL860" i="1"/>
  <c r="AT860" i="1" s="1"/>
  <c r="AY165" i="1"/>
  <c r="BG165" i="1" s="1"/>
  <c r="AY486" i="1"/>
  <c r="BL511" i="1"/>
  <c r="BP511" i="1" s="1"/>
  <c r="AL718" i="1"/>
  <c r="AN718" i="1" s="1"/>
  <c r="AL276" i="1"/>
  <c r="AL196" i="1"/>
  <c r="BL989" i="1"/>
  <c r="AL949" i="1"/>
  <c r="BL37" i="1"/>
  <c r="BT37" i="1" s="1"/>
  <c r="AY57" i="1"/>
  <c r="BL904" i="1"/>
  <c r="BL157" i="1"/>
  <c r="AY441" i="1"/>
  <c r="BG441" i="1" s="1"/>
  <c r="AY918" i="1"/>
  <c r="AY288" i="1"/>
  <c r="BC288" i="1" s="1"/>
  <c r="AY9" i="1"/>
  <c r="BA9" i="1" s="1"/>
  <c r="AY31" i="1"/>
  <c r="BG31" i="1" s="1"/>
  <c r="BL109" i="1"/>
  <c r="BR109" i="1" s="1"/>
  <c r="BL991" i="1"/>
  <c r="BL534" i="1"/>
  <c r="AY335" i="1"/>
  <c r="BC335" i="1" s="1"/>
  <c r="AL436" i="1"/>
  <c r="AY205" i="1"/>
  <c r="BL161" i="1"/>
  <c r="AY626" i="1"/>
  <c r="BL394" i="1"/>
  <c r="AY954" i="1"/>
  <c r="AL475" i="1"/>
  <c r="AL501" i="1"/>
  <c r="AR501" i="1" s="1"/>
  <c r="AY228" i="1"/>
  <c r="AY974" i="1"/>
  <c r="BL41" i="1"/>
  <c r="BP41" i="1" s="1"/>
  <c r="AL1005" i="1"/>
  <c r="BL261" i="1"/>
  <c r="AY106" i="1"/>
  <c r="BC106" i="1" s="1"/>
  <c r="AL32" i="1"/>
  <c r="AR32" i="1" s="1"/>
  <c r="AY300" i="1"/>
  <c r="AY768" i="1"/>
  <c r="BL990" i="1"/>
  <c r="BN990" i="1" s="1"/>
  <c r="AY890" i="1"/>
  <c r="BC890" i="1" s="1"/>
  <c r="AY452" i="1"/>
  <c r="BL894" i="1"/>
  <c r="AY475" i="1"/>
  <c r="BE475" i="1" s="1"/>
  <c r="BL766" i="1"/>
  <c r="BL419" i="1"/>
  <c r="AY212" i="1"/>
  <c r="BL610" i="1"/>
  <c r="BL851" i="1"/>
  <c r="BR851" i="1" s="1"/>
  <c r="BL863" i="1"/>
  <c r="AY201" i="1"/>
  <c r="BL190" i="1"/>
  <c r="BT190" i="1" s="1"/>
  <c r="AY646" i="1"/>
  <c r="BA646" i="1" s="1"/>
  <c r="AL769" i="1"/>
  <c r="BL745" i="1"/>
  <c r="AY382" i="1"/>
  <c r="BE382" i="1" s="1"/>
  <c r="BL284" i="1"/>
  <c r="AL329" i="1"/>
  <c r="AL80" i="1"/>
  <c r="AL591" i="1"/>
  <c r="AN591" i="1" s="1"/>
  <c r="AY507" i="1"/>
  <c r="BE507" i="1" s="1"/>
  <c r="AY73" i="1"/>
  <c r="AL652" i="1"/>
  <c r="AY931" i="1"/>
  <c r="BC931" i="1" s="1"/>
  <c r="BL617" i="1"/>
  <c r="BP617" i="1" s="1"/>
  <c r="BL11" i="1"/>
  <c r="BL519" i="1"/>
  <c r="BL824" i="1"/>
  <c r="BR824" i="1" s="1"/>
  <c r="AL17" i="1"/>
  <c r="AY678" i="1"/>
  <c r="AY469" i="1"/>
  <c r="BL656" i="1"/>
  <c r="BL678" i="1"/>
  <c r="BN678" i="1" s="1"/>
  <c r="AY829" i="1"/>
  <c r="BL446" i="1"/>
  <c r="BL349" i="1"/>
  <c r="BL613" i="1"/>
  <c r="AY580" i="1"/>
  <c r="AY266" i="1"/>
  <c r="AY466" i="1"/>
  <c r="AY739" i="1"/>
  <c r="BE739" i="1" s="1"/>
  <c r="AY922" i="1"/>
  <c r="BL405" i="1"/>
  <c r="BT405" i="1" s="1"/>
  <c r="AY168" i="1"/>
  <c r="BG168" i="1" s="1"/>
  <c r="BL27" i="1"/>
  <c r="AL391" i="1"/>
  <c r="AY959" i="1"/>
  <c r="AY429" i="1"/>
  <c r="BL283" i="1"/>
  <c r="AY529" i="1"/>
  <c r="BA529" i="1" s="1"/>
  <c r="AL319" i="1"/>
  <c r="AL432" i="1"/>
  <c r="AN432" i="1" s="1"/>
  <c r="AL326" i="1"/>
  <c r="AN326" i="1" s="1"/>
  <c r="AL880" i="1"/>
  <c r="AP880" i="1" s="1"/>
  <c r="AY649" i="1"/>
  <c r="BG649" i="1" s="1"/>
  <c r="AL259" i="1"/>
  <c r="BL346" i="1"/>
  <c r="BT346" i="1" s="1"/>
  <c r="BL635" i="1"/>
  <c r="BT635" i="1" s="1"/>
  <c r="AY850" i="1"/>
  <c r="BE850" i="1" s="1"/>
  <c r="AY399" i="1"/>
  <c r="AL891" i="1"/>
  <c r="BL683" i="1"/>
  <c r="BN683" i="1" s="1"/>
  <c r="AY334" i="1"/>
  <c r="AY548" i="1"/>
  <c r="BA548" i="1" s="1"/>
  <c r="AL755" i="1"/>
  <c r="AP755" i="1" s="1"/>
  <c r="BL950" i="1"/>
  <c r="BL818" i="1"/>
  <c r="AY221" i="1"/>
  <c r="BL294" i="1"/>
  <c r="AL618" i="1"/>
  <c r="AN618" i="1" s="1"/>
  <c r="AY227" i="1"/>
  <c r="AL136" i="1"/>
  <c r="AY75" i="1"/>
  <c r="AL815" i="1"/>
  <c r="BL368" i="1"/>
  <c r="AY635" i="1"/>
  <c r="AY722" i="1"/>
  <c r="AY367" i="1"/>
  <c r="BC367" i="1" s="1"/>
  <c r="AL279" i="1"/>
  <c r="AN279" i="1" s="1"/>
  <c r="BL330" i="1"/>
  <c r="BT330" i="1" s="1"/>
  <c r="BL469" i="1"/>
  <c r="AY708" i="1"/>
  <c r="AY290" i="1"/>
  <c r="BC290" i="1" s="1"/>
  <c r="AL496" i="1"/>
  <c r="AY516" i="1"/>
  <c r="AL772" i="1"/>
  <c r="BL776" i="1"/>
  <c r="BR776" i="1" s="1"/>
  <c r="AL35" i="1"/>
  <c r="BL252" i="1"/>
  <c r="AY730" i="1"/>
  <c r="AY792" i="1"/>
  <c r="BC792" i="1" s="1"/>
  <c r="AL947" i="1"/>
  <c r="AY578" i="1"/>
  <c r="AY691" i="1"/>
  <c r="BL240" i="1"/>
  <c r="BT240" i="1" s="1"/>
  <c r="AY514" i="1"/>
  <c r="AY950" i="1"/>
  <c r="BE950" i="1" s="1"/>
  <c r="AL635" i="1"/>
  <c r="AP635" i="1" s="1"/>
  <c r="AY6" i="1"/>
  <c r="BL671" i="1"/>
  <c r="AL160" i="1"/>
  <c r="BL10" i="1"/>
  <c r="AY871" i="1"/>
  <c r="AL847" i="1"/>
  <c r="AL173" i="1"/>
  <c r="BL82" i="1"/>
  <c r="BP82" i="1" s="1"/>
  <c r="BL463" i="1"/>
  <c r="AY670" i="1"/>
  <c r="AL411" i="1"/>
  <c r="AY845" i="1"/>
  <c r="BA845" i="1" s="1"/>
  <c r="BL971" i="1"/>
  <c r="BN971" i="1" s="1"/>
  <c r="AY712" i="1"/>
  <c r="BL804" i="1"/>
  <c r="AY963" i="1"/>
  <c r="BE963" i="1" s="1"/>
  <c r="AY389" i="1"/>
  <c r="BL973" i="1"/>
  <c r="AL7" i="1"/>
  <c r="AL27" i="1"/>
  <c r="AN27" i="1" s="1"/>
  <c r="AY326" i="1"/>
  <c r="AY795" i="1"/>
  <c r="AL924" i="1"/>
  <c r="AY893" i="1"/>
  <c r="BE893" i="1" s="1"/>
  <c r="AY936" i="1"/>
  <c r="BG936" i="1" s="1"/>
  <c r="BL34" i="1"/>
  <c r="BR34" i="1" s="1"/>
  <c r="AY178" i="1"/>
  <c r="AY611" i="1"/>
  <c r="BL208" i="1"/>
  <c r="AY736" i="1"/>
  <c r="BL315" i="1"/>
  <c r="BP315" i="1" s="1"/>
  <c r="BL96" i="1"/>
  <c r="BT96" i="1" s="1"/>
  <c r="AY825" i="1"/>
  <c r="AY531" i="1"/>
  <c r="BL32" i="1"/>
  <c r="BP32" i="1" s="1"/>
  <c r="AY740" i="1"/>
  <c r="BE740" i="1" s="1"/>
  <c r="AY420" i="1"/>
  <c r="BE420" i="1" s="1"/>
  <c r="AY653" i="1"/>
  <c r="AL748" i="1"/>
  <c r="AL948" i="1"/>
  <c r="BL859" i="1"/>
  <c r="BL377" i="1"/>
  <c r="BL696" i="1"/>
  <c r="BR696" i="1" s="1"/>
  <c r="BL823" i="1"/>
  <c r="BN823" i="1" s="1"/>
  <c r="BL210" i="1"/>
  <c r="AY534" i="1"/>
  <c r="AY784" i="1"/>
  <c r="BE784" i="1" s="1"/>
  <c r="AY563" i="1"/>
  <c r="BG563" i="1" s="1"/>
  <c r="AY980" i="1"/>
  <c r="BG980" i="1" s="1"/>
  <c r="BL953" i="1"/>
  <c r="BR953" i="1" s="1"/>
  <c r="BL620" i="1"/>
  <c r="BL884" i="1"/>
  <c r="BL922" i="1"/>
  <c r="BL983" i="1"/>
  <c r="BR983" i="1" s="1"/>
  <c r="BL12" i="1"/>
  <c r="BN12" i="1" s="1"/>
  <c r="BL364" i="1"/>
  <c r="AY840" i="1"/>
  <c r="BG840" i="1" s="1"/>
  <c r="AY869" i="1"/>
  <c r="AY581" i="1"/>
  <c r="BL840" i="1"/>
  <c r="AY450" i="1"/>
  <c r="BA450" i="1" s="1"/>
  <c r="BL387" i="1"/>
  <c r="AL558" i="1"/>
  <c r="AL679" i="1"/>
  <c r="AL753" i="1"/>
  <c r="AN753" i="1" s="1"/>
  <c r="AY344" i="1"/>
  <c r="BE344" i="1" s="1"/>
  <c r="AY966" i="1"/>
  <c r="BC966" i="1" s="1"/>
  <c r="BL256" i="1"/>
  <c r="BP256" i="1" s="1"/>
  <c r="AL381" i="1"/>
  <c r="AR381" i="1" s="1"/>
  <c r="AY218" i="1"/>
  <c r="BE218" i="1" s="1"/>
  <c r="BL985" i="1"/>
  <c r="BT985" i="1" s="1"/>
  <c r="AY258" i="1"/>
  <c r="AY866" i="1"/>
  <c r="BA866" i="1" s="1"/>
  <c r="AY331" i="1"/>
  <c r="BG331" i="1" s="1"/>
  <c r="AY827" i="1"/>
  <c r="BE827" i="1" s="1"/>
  <c r="AY566" i="1"/>
  <c r="BL214" i="1"/>
  <c r="AY648" i="1"/>
  <c r="AY796" i="1"/>
  <c r="BG796" i="1" s="1"/>
  <c r="AY794" i="1"/>
  <c r="AY306" i="1"/>
  <c r="BL908" i="1"/>
  <c r="BL427" i="1"/>
  <c r="BN427" i="1" s="1"/>
  <c r="BL46" i="1"/>
  <c r="BL602" i="1"/>
  <c r="BL466" i="1"/>
  <c r="BN466" i="1" s="1"/>
  <c r="AY569" i="1"/>
  <c r="BA569" i="1" s="1"/>
  <c r="AY309" i="1"/>
  <c r="BG309" i="1" s="1"/>
  <c r="BL169" i="1"/>
  <c r="BN169" i="1" s="1"/>
  <c r="AY870" i="1"/>
  <c r="BE870" i="1" s="1"/>
  <c r="AY501" i="1"/>
  <c r="BA501" i="1" s="1"/>
  <c r="AY15" i="1"/>
  <c r="BE15" i="1" s="1"/>
  <c r="BL567" i="1"/>
  <c r="BR567" i="1" s="1"/>
  <c r="AY350" i="1"/>
  <c r="BC350" i="1" s="1"/>
  <c r="AY846" i="1"/>
  <c r="BA846" i="1" s="1"/>
  <c r="BL155" i="1"/>
  <c r="BN155" i="1" s="1"/>
  <c r="AY692" i="1"/>
  <c r="BL24" i="1"/>
  <c r="BR24" i="1" s="1"/>
  <c r="AY550" i="1"/>
  <c r="BG550" i="1" s="1"/>
  <c r="AY938" i="1"/>
  <c r="AY790" i="1"/>
  <c r="BL444" i="1"/>
  <c r="BN444" i="1" s="1"/>
  <c r="AY419" i="1"/>
  <c r="BC419" i="1" s="1"/>
  <c r="AL275" i="1"/>
  <c r="AT275" i="1" s="1"/>
  <c r="AL855" i="1"/>
  <c r="BL507" i="1"/>
  <c r="AY471" i="1"/>
  <c r="BC471" i="1" s="1"/>
  <c r="BL521" i="1"/>
  <c r="BL128" i="1"/>
  <c r="AY729" i="1"/>
  <c r="BC729" i="1" s="1"/>
  <c r="AY880" i="1"/>
  <c r="BE880" i="1" s="1"/>
  <c r="BL300" i="1"/>
  <c r="AY257" i="1"/>
  <c r="BL599" i="1"/>
  <c r="AY546" i="1"/>
  <c r="BG546" i="1" s="1"/>
  <c r="AY317" i="1"/>
  <c r="BG317" i="1" s="1"/>
  <c r="AY658" i="1"/>
  <c r="BC658" i="1" s="1"/>
  <c r="BL457" i="1"/>
  <c r="BR457" i="1" s="1"/>
  <c r="BL147" i="1"/>
  <c r="BN147" i="1" s="1"/>
  <c r="AY757" i="1"/>
  <c r="BC757" i="1" s="1"/>
  <c r="AY997" i="1"/>
  <c r="BC997" i="1" s="1"/>
  <c r="AY144" i="1"/>
  <c r="BC144" i="1" s="1"/>
  <c r="AL775" i="1"/>
  <c r="AP775" i="1" s="1"/>
  <c r="BL87" i="1"/>
  <c r="BT87" i="1" s="1"/>
  <c r="BL432" i="1"/>
  <c r="BL1004" i="1"/>
  <c r="AY984" i="1"/>
  <c r="BC984" i="1" s="1"/>
  <c r="AY955" i="1"/>
  <c r="BG955" i="1" s="1"/>
  <c r="BL881" i="1"/>
  <c r="AL693" i="1"/>
  <c r="AY517" i="1"/>
  <c r="BA517" i="1" s="1"/>
  <c r="BL993" i="1"/>
  <c r="BP993" i="1" s="1"/>
  <c r="AY781" i="1"/>
  <c r="BG781" i="1" s="1"/>
  <c r="AY693" i="1"/>
  <c r="AY50" i="1"/>
  <c r="BC50" i="1" s="1"/>
  <c r="BL403" i="1"/>
  <c r="BN403" i="1" s="1"/>
  <c r="AY436" i="1"/>
  <c r="BC436" i="1" s="1"/>
  <c r="AY624" i="1"/>
  <c r="BA624" i="1" s="1"/>
  <c r="BL19" i="1"/>
  <c r="BT19" i="1" s="1"/>
  <c r="BL31" i="1"/>
  <c r="AL782" i="1"/>
  <c r="AL190" i="1"/>
  <c r="AY161" i="1"/>
  <c r="BG161" i="1" s="1"/>
  <c r="AY667" i="1"/>
  <c r="BL402" i="1"/>
  <c r="BR402" i="1" s="1"/>
  <c r="AL669" i="1"/>
  <c r="AT669" i="1" s="1"/>
  <c r="AY622" i="1"/>
  <c r="BE622" i="1" s="1"/>
  <c r="BL628" i="1"/>
  <c r="BT628" i="1" s="1"/>
  <c r="AY908" i="1"/>
  <c r="BC908" i="1" s="1"/>
  <c r="BL493" i="1"/>
  <c r="BR493" i="1" s="1"/>
  <c r="AY365" i="1"/>
  <c r="BE365" i="1" s="1"/>
  <c r="BL268" i="1"/>
  <c r="BT268" i="1" s="1"/>
  <c r="BL651" i="1"/>
  <c r="BT651" i="1" s="1"/>
  <c r="BL845" i="1"/>
  <c r="BR845" i="1" s="1"/>
  <c r="AY685" i="1"/>
  <c r="BE685" i="1" s="1"/>
  <c r="BL888" i="1"/>
  <c r="BR888" i="1" s="1"/>
  <c r="AY237" i="1"/>
  <c r="BE237" i="1" s="1"/>
  <c r="AY973" i="1"/>
  <c r="BG973" i="1" s="1"/>
  <c r="AY107" i="1"/>
  <c r="BE107" i="1" s="1"/>
  <c r="AL952" i="1"/>
  <c r="AR952" i="1" s="1"/>
  <c r="BL215" i="1"/>
  <c r="BR215" i="1" s="1"/>
  <c r="BL955" i="1"/>
  <c r="BP955" i="1" s="1"/>
  <c r="AY464" i="1"/>
  <c r="BE464" i="1" s="1"/>
  <c r="AL26" i="1"/>
  <c r="BL517" i="1"/>
  <c r="BL846" i="1"/>
  <c r="BL835" i="1"/>
  <c r="BN835" i="1" s="1"/>
  <c r="AY807" i="1"/>
  <c r="BG807" i="1" s="1"/>
  <c r="BI807" i="1" s="1"/>
  <c r="AY324" i="1"/>
  <c r="BL56" i="1"/>
  <c r="AY771" i="1"/>
  <c r="BA771" i="1" s="1"/>
  <c r="AY347" i="1"/>
  <c r="BA347" i="1" s="1"/>
  <c r="BL345" i="1"/>
  <c r="BP345" i="1" s="1"/>
  <c r="BL969" i="1"/>
  <c r="AY993" i="1"/>
  <c r="BG993" i="1" s="1"/>
  <c r="AY235" i="1"/>
  <c r="BA235" i="1" s="1"/>
  <c r="AL240" i="1"/>
  <c r="BL448" i="1"/>
  <c r="BP448" i="1" s="1"/>
  <c r="BL298" i="1"/>
  <c r="BR298" i="1" s="1"/>
  <c r="BL470" i="1"/>
  <c r="AY716" i="1"/>
  <c r="BL413" i="1"/>
  <c r="BP413" i="1" s="1"/>
  <c r="AL987" i="1"/>
  <c r="AT987" i="1" s="1"/>
  <c r="AL94" i="1"/>
  <c r="AL717" i="1"/>
  <c r="AR717" i="1" s="1"/>
  <c r="BL728" i="1"/>
  <c r="BL287" i="1"/>
  <c r="BR287" i="1" s="1"/>
  <c r="AY351" i="1"/>
  <c r="BL125" i="1"/>
  <c r="BN125" i="1" s="1"/>
  <c r="AY786" i="1"/>
  <c r="AY308" i="1"/>
  <c r="BG308" i="1" s="1"/>
  <c r="BL787" i="1"/>
  <c r="AY128" i="1"/>
  <c r="AY229" i="1"/>
  <c r="BL847" i="1"/>
  <c r="BT847" i="1" s="1"/>
  <c r="AY619" i="1"/>
  <c r="BE619" i="1" s="1"/>
  <c r="BL217" i="1"/>
  <c r="BR217" i="1" s="1"/>
  <c r="AY151" i="1"/>
  <c r="BC151" i="1" s="1"/>
  <c r="AY798" i="1"/>
  <c r="BG798" i="1" s="1"/>
  <c r="AY363" i="1"/>
  <c r="AY952" i="1"/>
  <c r="AY310" i="1"/>
  <c r="BL869" i="1"/>
  <c r="BP869" i="1" s="1"/>
  <c r="AL23" i="1"/>
  <c r="AT23" i="1" s="1"/>
  <c r="BL501" i="1"/>
  <c r="BT501" i="1" s="1"/>
  <c r="AY125" i="1"/>
  <c r="BC125" i="1" s="1"/>
  <c r="AY900" i="1"/>
  <c r="BA900" i="1" s="1"/>
  <c r="BL820" i="1"/>
  <c r="AY1004" i="1"/>
  <c r="BL485" i="1"/>
  <c r="BN485" i="1" s="1"/>
  <c r="AY558" i="1"/>
  <c r="BA558" i="1" s="1"/>
  <c r="BL895" i="1"/>
  <c r="BR895" i="1" s="1"/>
  <c r="AY496" i="1"/>
  <c r="BC496" i="1" s="1"/>
  <c r="AY608" i="1"/>
  <c r="BL563" i="1"/>
  <c r="BP563" i="1" s="1"/>
  <c r="AY778" i="1"/>
  <c r="BA778" i="1" s="1"/>
  <c r="BL64" i="1"/>
  <c r="BN64" i="1" s="1"/>
  <c r="BL191" i="1"/>
  <c r="AY802" i="1"/>
  <c r="BG802" i="1" s="1"/>
  <c r="AL865" i="1"/>
  <c r="BL425" i="1"/>
  <c r="BL288" i="1"/>
  <c r="BT288" i="1" s="1"/>
  <c r="AY332" i="1"/>
  <c r="BA332" i="1" s="1"/>
  <c r="AL167" i="1"/>
  <c r="AN167" i="1" s="1"/>
  <c r="AL730" i="1"/>
  <c r="AP730" i="1" s="1"/>
  <c r="AL820" i="1"/>
  <c r="AY359" i="1"/>
  <c r="AY743" i="1"/>
  <c r="BE743" i="1" s="1"/>
  <c r="AL459" i="1"/>
  <c r="AY628" i="1"/>
  <c r="AY386" i="1"/>
  <c r="AY909" i="1"/>
  <c r="BG909" i="1" s="1"/>
  <c r="AY379" i="1"/>
  <c r="BC379" i="1" s="1"/>
  <c r="BL594" i="1"/>
  <c r="BL228" i="1"/>
  <c r="BP228" i="1" s="1"/>
  <c r="AY637" i="1"/>
  <c r="BA637" i="1" s="1"/>
  <c r="AY842" i="1"/>
  <c r="BL586" i="1"/>
  <c r="AY293" i="1"/>
  <c r="BL510" i="1"/>
  <c r="BT510" i="1" s="1"/>
  <c r="AY705" i="1"/>
  <c r="AY110" i="1"/>
  <c r="BA110" i="1" s="1"/>
  <c r="BL999" i="1"/>
  <c r="BR999" i="1" s="1"/>
  <c r="BL232" i="1"/>
  <c r="BN232" i="1" s="1"/>
  <c r="AY29" i="1"/>
  <c r="BL525" i="1"/>
  <c r="AY132" i="1"/>
  <c r="BL220" i="1"/>
  <c r="BR220" i="1" s="1"/>
  <c r="BL113" i="1"/>
  <c r="AY614" i="1"/>
  <c r="BL769" i="1"/>
  <c r="AL355" i="1"/>
  <c r="AR355" i="1" s="1"/>
  <c r="AY497" i="1"/>
  <c r="AY833" i="1"/>
  <c r="AY733" i="1"/>
  <c r="BE733" i="1" s="1"/>
  <c r="AL194" i="1"/>
  <c r="AN194" i="1" s="1"/>
  <c r="BL923" i="1"/>
  <c r="AY193" i="1"/>
  <c r="AY793" i="1"/>
  <c r="BL853" i="1"/>
  <c r="BN853" i="1" s="1"/>
  <c r="BL673" i="1"/>
  <c r="BL942" i="1"/>
  <c r="BT942" i="1" s="1"/>
  <c r="BL638" i="1"/>
  <c r="BL718" i="1"/>
  <c r="BT718" i="1" s="1"/>
  <c r="BL178" i="1"/>
  <c r="BP178" i="1" s="1"/>
  <c r="AL49" i="1"/>
  <c r="AY78" i="1"/>
  <c r="AY998" i="1"/>
  <c r="BC998" i="1" s="1"/>
  <c r="BL621" i="1"/>
  <c r="BT621" i="1" s="1"/>
  <c r="BL130" i="1"/>
  <c r="AL417" i="1"/>
  <c r="AL363" i="1"/>
  <c r="AP363" i="1" s="1"/>
  <c r="AL139" i="1"/>
  <c r="AN139" i="1" s="1"/>
  <c r="AL154" i="1"/>
  <c r="AL260" i="1"/>
  <c r="AN260" i="1" s="1"/>
  <c r="AL563" i="1"/>
  <c r="AR563" i="1" s="1"/>
  <c r="AL378" i="1"/>
  <c r="AT378" i="1" s="1"/>
  <c r="AL827" i="1"/>
  <c r="AL599" i="1"/>
  <c r="BL919" i="1"/>
  <c r="BT919" i="1" s="1"/>
  <c r="BL917" i="1"/>
  <c r="AY244" i="1"/>
  <c r="BA244" i="1" s="1"/>
  <c r="AL481" i="1"/>
  <c r="AT481" i="1" s="1"/>
  <c r="AL724" i="1"/>
  <c r="AN724" i="1" s="1"/>
  <c r="AY42" i="1"/>
  <c r="BG42" i="1" s="1"/>
  <c r="BL523" i="1"/>
  <c r="BP523" i="1" s="1"/>
  <c r="AY675" i="1"/>
  <c r="AY634" i="1"/>
  <c r="BL512" i="1"/>
  <c r="BR512" i="1" s="1"/>
  <c r="AY159" i="1"/>
  <c r="AL923" i="1"/>
  <c r="AN923" i="1" s="1"/>
  <c r="AL243" i="1"/>
  <c r="AP243" i="1" s="1"/>
  <c r="AL539" i="1"/>
  <c r="AP539" i="1" s="1"/>
  <c r="AL281" i="1"/>
  <c r="BL176" i="1"/>
  <c r="BL60" i="1"/>
  <c r="AL524" i="1"/>
  <c r="AT524" i="1" s="1"/>
  <c r="AY681" i="1"/>
  <c r="BA681" i="1" s="1"/>
  <c r="AY640" i="1"/>
  <c r="AY447" i="1"/>
  <c r="BA447" i="1" s="1"/>
  <c r="AY573" i="1"/>
  <c r="BE573" i="1" s="1"/>
  <c r="BL943" i="1"/>
  <c r="BL47" i="1"/>
  <c r="BT47" i="1" s="1"/>
  <c r="AY184" i="1"/>
  <c r="BA184" i="1" s="1"/>
  <c r="AY565" i="1"/>
  <c r="BA565" i="1" s="1"/>
  <c r="AL752" i="1"/>
  <c r="AY505" i="1"/>
  <c r="AY192" i="1"/>
  <c r="AL474" i="1"/>
  <c r="BL30" i="1"/>
  <c r="AY163" i="1"/>
  <c r="BC163" i="1" s="1"/>
  <c r="BL218" i="1"/>
  <c r="BP218" i="1" s="1"/>
  <c r="BL292" i="1"/>
  <c r="AY748" i="1"/>
  <c r="BA748" i="1" s="1"/>
  <c r="BL807" i="1"/>
  <c r="BL848" i="1"/>
  <c r="AL36" i="1"/>
  <c r="AP36" i="1" s="1"/>
  <c r="AL945" i="1"/>
  <c r="AP945" i="1" s="1"/>
  <c r="BL946" i="1"/>
  <c r="BR946" i="1" s="1"/>
  <c r="AY449" i="1"/>
  <c r="BA449" i="1" s="1"/>
  <c r="AL485" i="1"/>
  <c r="AN485" i="1" s="1"/>
  <c r="BL702" i="1"/>
  <c r="AY396" i="1"/>
  <c r="BG396" i="1" s="1"/>
  <c r="AY323" i="1"/>
  <c r="AY537" i="1"/>
  <c r="AY19" i="1"/>
  <c r="BL739" i="1"/>
  <c r="BT739" i="1" s="1"/>
  <c r="AY267" i="1"/>
  <c r="AY378" i="1"/>
  <c r="BL684" i="1"/>
  <c r="AY555" i="1"/>
  <c r="AY741" i="1"/>
  <c r="BG741" i="1" s="1"/>
  <c r="AL767" i="1"/>
  <c r="AY803" i="1"/>
  <c r="AL975" i="1"/>
  <c r="AP975" i="1" s="1"/>
  <c r="AY297" i="1"/>
  <c r="BA297" i="1" s="1"/>
  <c r="BL134" i="1"/>
  <c r="BN134" i="1" s="1"/>
  <c r="BL460" i="1"/>
  <c r="BL98" i="1"/>
  <c r="BL967" i="1"/>
  <c r="AL34" i="1"/>
  <c r="AY158" i="1"/>
  <c r="BG158" i="1" s="1"/>
  <c r="AY934" i="1"/>
  <c r="AL916" i="1"/>
  <c r="BL196" i="1"/>
  <c r="BR196" i="1" s="1"/>
  <c r="AL380" i="1"/>
  <c r="AL483" i="1"/>
  <c r="AP483" i="1" s="1"/>
  <c r="AY113" i="1"/>
  <c r="BL854" i="1"/>
  <c r="BN854" i="1" s="1"/>
  <c r="AY623" i="1"/>
  <c r="BA623" i="1" s="1"/>
  <c r="AY577" i="1"/>
  <c r="BC577" i="1" s="1"/>
  <c r="BL667" i="1"/>
  <c r="AY242" i="1"/>
  <c r="BG242" i="1" s="1"/>
  <c r="AY265" i="1"/>
  <c r="AY17" i="1"/>
  <c r="AY83" i="1"/>
  <c r="BE83" i="1" s="1"/>
  <c r="AY10" i="1"/>
  <c r="BL627" i="1"/>
  <c r="AY32" i="1"/>
  <c r="BA32" i="1" s="1"/>
  <c r="BL899" i="1"/>
  <c r="BR899" i="1" s="1"/>
  <c r="BL227" i="1"/>
  <c r="BL545" i="1"/>
  <c r="BR545" i="1" s="1"/>
  <c r="AL158" i="1"/>
  <c r="AR158" i="1" s="1"/>
  <c r="BL581" i="1"/>
  <c r="BR581" i="1" s="1"/>
  <c r="AY999" i="1"/>
  <c r="BA999" i="1" s="1"/>
  <c r="AY338" i="1"/>
  <c r="BE338" i="1" s="1"/>
  <c r="BL876" i="1"/>
  <c r="BN876" i="1" s="1"/>
  <c r="AL943" i="1"/>
  <c r="AL233" i="1"/>
  <c r="BL986" i="1"/>
  <c r="BL997" i="1"/>
  <c r="BT997" i="1" s="1"/>
  <c r="BL359" i="1"/>
  <c r="BL815" i="1"/>
  <c r="BR815" i="1" s="1"/>
  <c r="BL174" i="1"/>
  <c r="BP174" i="1" s="1"/>
  <c r="AL780" i="1"/>
  <c r="AN780" i="1" s="1"/>
  <c r="AY295" i="1"/>
  <c r="BE295" i="1" s="1"/>
  <c r="AL148" i="1"/>
  <c r="AR148" i="1" s="1"/>
  <c r="BL795" i="1"/>
  <c r="BP795" i="1" s="1"/>
  <c r="AY240" i="1"/>
  <c r="AY828" i="1"/>
  <c r="BA828" i="1" s="1"/>
  <c r="BL935" i="1"/>
  <c r="BP935" i="1" s="1"/>
  <c r="AY120" i="1"/>
  <c r="BL42" i="1"/>
  <c r="BP42" i="1" s="1"/>
  <c r="AL159" i="1"/>
  <c r="AN159" i="1" s="1"/>
  <c r="AY663" i="1"/>
  <c r="AL603" i="1"/>
  <c r="AR603" i="1" s="1"/>
  <c r="BL313" i="1"/>
  <c r="BT313" i="1" s="1"/>
  <c r="BL632" i="1"/>
  <c r="BR632" i="1" s="1"/>
  <c r="BL674" i="1"/>
  <c r="BN674" i="1" s="1"/>
  <c r="AY124" i="1"/>
  <c r="BA124" i="1" s="1"/>
  <c r="BL552" i="1"/>
  <c r="BT552" i="1" s="1"/>
  <c r="AL814" i="1"/>
  <c r="BL547" i="1"/>
  <c r="BP547" i="1" s="1"/>
  <c r="BL311" i="1"/>
  <c r="BL743" i="1"/>
  <c r="BT743" i="1" s="1"/>
  <c r="AY703" i="1"/>
  <c r="BA703" i="1" s="1"/>
  <c r="BL274" i="1"/>
  <c r="BN274" i="1" s="1"/>
  <c r="BL257" i="1"/>
  <c r="BN257" i="1" s="1"/>
  <c r="BL1001" i="1"/>
  <c r="BR1001" i="1" s="1"/>
  <c r="BL145" i="1"/>
  <c r="BN145" i="1" s="1"/>
  <c r="BL447" i="1"/>
  <c r="BN447" i="1" s="1"/>
  <c r="AY919" i="1"/>
  <c r="BE919" i="1" s="1"/>
  <c r="AY747" i="1"/>
  <c r="BG747" i="1" s="1"/>
  <c r="BL467" i="1"/>
  <c r="BP467" i="1" s="1"/>
  <c r="AY230" i="1"/>
  <c r="BL516" i="1"/>
  <c r="AY68" i="1"/>
  <c r="BG68" i="1" s="1"/>
  <c r="BL937" i="1"/>
  <c r="BN937" i="1" s="1"/>
  <c r="AY764" i="1"/>
  <c r="BG764" i="1" s="1"/>
  <c r="BL410" i="1"/>
  <c r="BR410" i="1" s="1"/>
  <c r="AY173" i="1"/>
  <c r="BC173" i="1" s="1"/>
  <c r="AY824" i="1"/>
  <c r="BC824" i="1" s="1"/>
  <c r="BL951" i="1"/>
  <c r="BR951" i="1" s="1"/>
  <c r="AY491" i="1"/>
  <c r="BL49" i="1"/>
  <c r="BP49" i="1" s="1"/>
  <c r="BL751" i="1"/>
  <c r="BR751" i="1" s="1"/>
  <c r="AY239" i="1"/>
  <c r="BA239" i="1" s="1"/>
  <c r="AL203" i="1"/>
  <c r="AN203" i="1" s="1"/>
  <c r="BL343" i="1"/>
  <c r="BP343" i="1" s="1"/>
  <c r="BL836" i="1"/>
  <c r="BR836" i="1" s="1"/>
  <c r="AY406" i="1"/>
  <c r="BL326" i="1"/>
  <c r="AL904" i="1"/>
  <c r="AR904" i="1" s="1"/>
  <c r="AL447" i="1"/>
  <c r="AT447" i="1" s="1"/>
  <c r="AL291" i="1"/>
  <c r="AT291" i="1" s="1"/>
  <c r="AL879" i="1"/>
  <c r="AN879" i="1" s="1"/>
  <c r="AL641" i="1"/>
  <c r="AT641" i="1" s="1"/>
  <c r="AL314" i="1"/>
  <c r="AR314" i="1" s="1"/>
  <c r="BL249" i="1"/>
  <c r="BT249" i="1" s="1"/>
  <c r="BL158" i="1"/>
  <c r="AY814" i="1"/>
  <c r="BG814" i="1" s="1"/>
  <c r="AY85" i="1"/>
  <c r="BA85" i="1" s="1"/>
  <c r="BL960" i="1"/>
  <c r="BP960" i="1" s="1"/>
  <c r="BL415" i="1"/>
  <c r="BR415" i="1" s="1"/>
  <c r="AY383" i="1"/>
  <c r="BG383" i="1" s="1"/>
  <c r="AL161" i="1"/>
  <c r="AR161" i="1" s="1"/>
  <c r="AY198" i="1"/>
  <c r="BC198" i="1" s="1"/>
  <c r="BL891" i="1"/>
  <c r="AL559" i="1"/>
  <c r="AP559" i="1" s="1"/>
  <c r="AY174" i="1"/>
  <c r="BG174" i="1" s="1"/>
  <c r="BL724" i="1"/>
  <c r="BR724" i="1" s="1"/>
  <c r="AL87" i="1"/>
  <c r="AP87" i="1" s="1"/>
  <c r="BL941" i="1"/>
  <c r="BN941" i="1" s="1"/>
  <c r="BL663" i="1"/>
  <c r="BP663" i="1" s="1"/>
  <c r="AY186" i="1"/>
  <c r="AY604" i="1"/>
  <c r="AY897" i="1"/>
  <c r="BC897" i="1" s="1"/>
  <c r="BL643" i="1"/>
  <c r="BR643" i="1" s="1"/>
  <c r="BL624" i="1"/>
  <c r="BR624" i="1" s="1"/>
  <c r="AY868" i="1"/>
  <c r="BA868" i="1" s="1"/>
  <c r="BL279" i="1"/>
  <c r="BN279" i="1" s="1"/>
  <c r="AL403" i="1"/>
  <c r="AT403" i="1" s="1"/>
  <c r="AY246" i="1"/>
  <c r="BC246" i="1" s="1"/>
  <c r="AY751" i="1"/>
  <c r="AY723" i="1"/>
  <c r="AY414" i="1"/>
  <c r="BC414" i="1" s="1"/>
  <c r="BL779" i="1"/>
  <c r="AY495" i="1"/>
  <c r="BE495" i="1" s="1"/>
  <c r="AY171" i="1"/>
  <c r="BC171" i="1" s="1"/>
  <c r="BL529" i="1"/>
  <c r="BR529" i="1" s="1"/>
  <c r="AL661" i="1"/>
  <c r="AP661" i="1" s="1"/>
  <c r="AY90" i="1"/>
  <c r="BL987" i="1"/>
  <c r="BT987" i="1" s="1"/>
  <c r="BL355" i="1"/>
  <c r="BT355" i="1" s="1"/>
  <c r="BL414" i="1"/>
  <c r="BR414" i="1" s="1"/>
  <c r="BL773" i="1"/>
  <c r="BR773" i="1" s="1"/>
  <c r="BL956" i="1"/>
  <c r="BN956" i="1" s="1"/>
  <c r="AY877" i="1"/>
  <c r="BA877" i="1" s="1"/>
  <c r="AL30" i="1"/>
  <c r="AR30" i="1" s="1"/>
  <c r="AY23" i="1"/>
  <c r="BC23" i="1" s="1"/>
  <c r="AY682" i="1"/>
  <c r="BC682" i="1" s="1"/>
  <c r="AY636" i="1"/>
  <c r="BL314" i="1"/>
  <c r="BP314" i="1" s="1"/>
  <c r="AY118" i="1"/>
  <c r="BC118" i="1" s="1"/>
  <c r="BL654" i="1"/>
  <c r="BP654" i="1" s="1"/>
  <c r="BL756" i="1"/>
  <c r="BL480" i="1"/>
  <c r="BR480" i="1" s="1"/>
  <c r="AY785" i="1"/>
  <c r="BA785" i="1" s="1"/>
  <c r="BL685" i="1"/>
  <c r="BT685" i="1" s="1"/>
  <c r="AL813" i="1"/>
  <c r="AL132" i="1"/>
  <c r="AT132" i="1" s="1"/>
  <c r="BL231" i="1"/>
  <c r="BN231" i="1" s="1"/>
  <c r="AY849" i="1"/>
  <c r="BG849" i="1" s="1"/>
  <c r="BL664" i="1"/>
  <c r="AY456" i="1"/>
  <c r="BA456" i="1" s="1"/>
  <c r="AL560" i="1"/>
  <c r="AR560" i="1" s="1"/>
  <c r="AL556" i="1"/>
  <c r="AN556" i="1" s="1"/>
  <c r="AL701" i="1"/>
  <c r="AL519" i="1"/>
  <c r="AT519" i="1" s="1"/>
  <c r="AL931" i="1"/>
  <c r="AN931" i="1" s="1"/>
  <c r="AL121" i="1"/>
  <c r="AR121" i="1" s="1"/>
  <c r="AY261" i="1"/>
  <c r="AY583" i="1"/>
  <c r="BG583" i="1" s="1"/>
  <c r="AY652" i="1"/>
  <c r="BA652" i="1" s="1"/>
  <c r="AY260" i="1"/>
  <c r="BG260" i="1" s="1"/>
  <c r="AY946" i="1"/>
  <c r="BL75" i="1"/>
  <c r="BP75" i="1" s="1"/>
  <c r="AY296" i="1"/>
  <c r="BA296" i="1" s="1"/>
  <c r="AY281" i="1"/>
  <c r="BA281" i="1" s="1"/>
  <c r="BL270" i="1"/>
  <c r="AY644" i="1"/>
  <c r="BA644" i="1" s="1"/>
  <c r="AL903" i="1"/>
  <c r="AR903" i="1" s="1"/>
  <c r="BL653" i="1"/>
  <c r="BN653" i="1" s="1"/>
  <c r="BL479" i="1"/>
  <c r="BL892" i="1"/>
  <c r="BP892" i="1" s="1"/>
  <c r="BL865" i="1"/>
  <c r="BP865" i="1" s="1"/>
  <c r="BL539" i="1"/>
  <c r="BN539" i="1" s="1"/>
  <c r="BL952" i="1"/>
  <c r="AY395" i="1"/>
  <c r="BL660" i="1"/>
  <c r="BP660" i="1" s="1"/>
  <c r="AL600" i="1"/>
  <c r="AN600" i="1" s="1"/>
  <c r="AY442" i="1"/>
  <c r="AY856" i="1"/>
  <c r="BG856" i="1" s="1"/>
  <c r="AY41" i="1"/>
  <c r="AL320" i="1"/>
  <c r="AN320" i="1" s="1"/>
  <c r="AY651" i="1"/>
  <c r="AY459" i="1"/>
  <c r="BE459" i="1" s="1"/>
  <c r="AL940" i="1"/>
  <c r="AN940" i="1" s="1"/>
  <c r="BL281" i="1"/>
  <c r="BN281" i="1" s="1"/>
  <c r="BL582" i="1"/>
  <c r="AY605" i="1"/>
  <c r="BC605" i="1" s="1"/>
  <c r="AY942" i="1"/>
  <c r="BE942" i="1" s="1"/>
  <c r="BL528" i="1"/>
  <c r="BP528" i="1" s="1"/>
  <c r="BL809" i="1"/>
  <c r="BT809" i="1" s="1"/>
  <c r="AY432" i="1"/>
  <c r="BL165" i="1"/>
  <c r="BT165" i="1" s="1"/>
  <c r="BL352" i="1"/>
  <c r="BN352" i="1" s="1"/>
  <c r="AY839" i="1"/>
  <c r="AY967" i="1"/>
  <c r="BL40" i="1"/>
  <c r="BT40" i="1" s="1"/>
  <c r="BL543" i="1"/>
  <c r="BN543" i="1" s="1"/>
  <c r="AL18" i="1"/>
  <c r="AY30" i="1"/>
  <c r="BC30" i="1" s="1"/>
  <c r="AY123" i="1"/>
  <c r="BL123" i="1"/>
  <c r="BR123" i="1" s="1"/>
  <c r="AY94" i="1"/>
  <c r="BG94" i="1" s="1"/>
  <c r="AY707" i="1"/>
  <c r="AY958" i="1"/>
  <c r="BC958" i="1" s="1"/>
  <c r="BL830" i="1"/>
  <c r="BT830" i="1" s="1"/>
  <c r="BL832" i="1"/>
  <c r="AL584" i="1"/>
  <c r="AY762" i="1"/>
  <c r="BG762" i="1" s="1"/>
  <c r="AL321" i="1"/>
  <c r="AL303" i="1"/>
  <c r="AT303" i="1" s="1"/>
  <c r="AY1005" i="1"/>
  <c r="AL62" i="1"/>
  <c r="AL794" i="1"/>
  <c r="AY713" i="1"/>
  <c r="BL255" i="1"/>
  <c r="BL7" i="1"/>
  <c r="BT7" i="1" s="1"/>
  <c r="AY913" i="1"/>
  <c r="BG913" i="1" s="1"/>
  <c r="BL132" i="1"/>
  <c r="BN132" i="1" s="1"/>
  <c r="AY630" i="1"/>
  <c r="BL714" i="1"/>
  <c r="BL434" i="1"/>
  <c r="BL915" i="1"/>
  <c r="BN915" i="1" s="1"/>
  <c r="AY961" i="1"/>
  <c r="BC961" i="1" s="1"/>
  <c r="AY772" i="1"/>
  <c r="BC772" i="1" s="1"/>
  <c r="AL358" i="1"/>
  <c r="AN358" i="1" s="1"/>
  <c r="BL606" i="1"/>
  <c r="BR606" i="1" s="1"/>
  <c r="AL684" i="1"/>
  <c r="AL244" i="1"/>
  <c r="BL184" i="1"/>
  <c r="AY704" i="1"/>
  <c r="BC704" i="1" s="1"/>
  <c r="BL16" i="1"/>
  <c r="BL913" i="1"/>
  <c r="BT913" i="1" s="1"/>
  <c r="BL456" i="1"/>
  <c r="AY706" i="1"/>
  <c r="BC706" i="1" s="1"/>
  <c r="AY852" i="1"/>
  <c r="AL9" i="1"/>
  <c r="AP9" i="1" s="1"/>
  <c r="AL523" i="1"/>
  <c r="AR523" i="1" s="1"/>
  <c r="AY485" i="1"/>
  <c r="BL57" i="1"/>
  <c r="BP57" i="1" s="1"/>
  <c r="AY196" i="1"/>
  <c r="BL977" i="1"/>
  <c r="BL649" i="1"/>
  <c r="BN649" i="1" s="1"/>
  <c r="BL558" i="1"/>
  <c r="BR558" i="1" s="1"/>
  <c r="BL332" i="1"/>
  <c r="AL28" i="1"/>
  <c r="AR28" i="1" s="1"/>
  <c r="BL234" i="1"/>
  <c r="BL777" i="1"/>
  <c r="BN777" i="1" s="1"/>
  <c r="AY859" i="1"/>
  <c r="BC859" i="1" s="1"/>
  <c r="AY889" i="1"/>
  <c r="AY82" i="1"/>
  <c r="AY259" i="1"/>
  <c r="BA259" i="1" s="1"/>
  <c r="AY536" i="1"/>
  <c r="BL535" i="1"/>
  <c r="AY46" i="1"/>
  <c r="AY584" i="1"/>
  <c r="AY354" i="1"/>
  <c r="AL716" i="1"/>
  <c r="BL694" i="1"/>
  <c r="AL890" i="1"/>
  <c r="AN890" i="1" s="1"/>
  <c r="BL746" i="1"/>
  <c r="AY287" i="1"/>
  <c r="BG287" i="1" s="1"/>
  <c r="AY720" i="1"/>
  <c r="BE720" i="1" s="1"/>
  <c r="BL171" i="1"/>
  <c r="BT171" i="1" s="1"/>
  <c r="AY645" i="1"/>
  <c r="BL589" i="1"/>
  <c r="AL877" i="1"/>
  <c r="AT877" i="1" s="1"/>
  <c r="BL153" i="1"/>
  <c r="BL596" i="1"/>
  <c r="BR596" i="1" s="1"/>
  <c r="BL566" i="1"/>
  <c r="BL237" i="1"/>
  <c r="AL551" i="1"/>
  <c r="AL663" i="1"/>
  <c r="BL641" i="1"/>
  <c r="BT641" i="1" s="1"/>
  <c r="BL193" i="1"/>
  <c r="BN193" i="1" s="1"/>
  <c r="AY7" i="1"/>
  <c r="BE7" i="1" s="1"/>
  <c r="AL25" i="1"/>
  <c r="AR25" i="1" s="1"/>
  <c r="AY24" i="1"/>
  <c r="BL515" i="1"/>
  <c r="BN515" i="1" s="1"/>
  <c r="BL801" i="1"/>
  <c r="BL373" i="1"/>
  <c r="AY612" i="1"/>
  <c r="AY800" i="1"/>
  <c r="BG800" i="1" s="1"/>
  <c r="BL172" i="1"/>
  <c r="BL341" i="1"/>
  <c r="AL289" i="1"/>
  <c r="BL549" i="1"/>
  <c r="BN549" i="1" s="1"/>
  <c r="AL270" i="1"/>
  <c r="AP270" i="1" s="1"/>
  <c r="AL604" i="1"/>
  <c r="AR604" i="1" s="1"/>
  <c r="BL199" i="1"/>
  <c r="BP199" i="1" s="1"/>
  <c r="AL549" i="1"/>
  <c r="AP549" i="1" s="1"/>
  <c r="BL691" i="1"/>
  <c r="BP691" i="1" s="1"/>
  <c r="BL737" i="1"/>
  <c r="AY493" i="1"/>
  <c r="BE493" i="1" s="1"/>
  <c r="AY809" i="1"/>
  <c r="AL490" i="1"/>
  <c r="Y1005" i="1"/>
  <c r="AG1005" i="1" s="1"/>
  <c r="BL720" i="1"/>
  <c r="BR720" i="1" s="1"/>
  <c r="AL997" i="1"/>
  <c r="AT997" i="1" s="1"/>
  <c r="AY439" i="1"/>
  <c r="AL647" i="1"/>
  <c r="AN647" i="1" s="1"/>
  <c r="AL571" i="1"/>
  <c r="AY585" i="1"/>
  <c r="AY340" i="1"/>
  <c r="BL587" i="1"/>
  <c r="BL595" i="1"/>
  <c r="AY478" i="1"/>
  <c r="BL226" i="1"/>
  <c r="BL861" i="1"/>
  <c r="BT861" i="1" s="1"/>
  <c r="AY182" i="1"/>
  <c r="AY37" i="1"/>
  <c r="BL855" i="1"/>
  <c r="BL272" i="1"/>
  <c r="AY601" i="1"/>
  <c r="BA601" i="1" s="1"/>
  <c r="AL667" i="1"/>
  <c r="AL703" i="1"/>
  <c r="BL92" i="1"/>
  <c r="AY631" i="1"/>
  <c r="BL682" i="1"/>
  <c r="BT682" i="1" s="1"/>
  <c r="BL441" i="1"/>
  <c r="BT441" i="1" s="1"/>
  <c r="BL14" i="1"/>
  <c r="BL362" i="1"/>
  <c r="BL550" i="1"/>
  <c r="BL170" i="1"/>
  <c r="AY437" i="1"/>
  <c r="AY305" i="1"/>
  <c r="AY928" i="1"/>
  <c r="BC928" i="1" s="1"/>
  <c r="AL43" i="1"/>
  <c r="AY150" i="1"/>
  <c r="BL484" i="1"/>
  <c r="BL788" i="1"/>
  <c r="BR788" i="1" s="1"/>
  <c r="BL996" i="1"/>
  <c r="AY711" i="1"/>
  <c r="AY903" i="1"/>
  <c r="BE903" i="1" s="1"/>
  <c r="BL50" i="1"/>
  <c r="BN50" i="1" s="1"/>
  <c r="BL97" i="1"/>
  <c r="AL392" i="1"/>
  <c r="AY632" i="1"/>
  <c r="AY888" i="1"/>
  <c r="AY855" i="1"/>
  <c r="AY152" i="1"/>
  <c r="BL961" i="1"/>
  <c r="BL677" i="1"/>
  <c r="BL926" i="1"/>
  <c r="AL10" i="1"/>
  <c r="AY33" i="1"/>
  <c r="AY956" i="1"/>
  <c r="AY878" i="1"/>
  <c r="BL225" i="1"/>
  <c r="AY468" i="1"/>
  <c r="BL59" i="1"/>
  <c r="AY994" i="1"/>
  <c r="BL454" i="1"/>
  <c r="AY121" i="1"/>
  <c r="BC121" i="1" s="1"/>
  <c r="AY698" i="1"/>
  <c r="BL546" i="1"/>
  <c r="AL687" i="1"/>
  <c r="BL451" i="1"/>
  <c r="BP451" i="1" s="1"/>
  <c r="AY190" i="1"/>
  <c r="BL793" i="1"/>
  <c r="AY761" i="1"/>
  <c r="AY263" i="1"/>
  <c r="AL919" i="1"/>
  <c r="AR919" i="1" s="1"/>
  <c r="AL963" i="1"/>
  <c r="AL581" i="1"/>
  <c r="AL993" i="1"/>
  <c r="AN993" i="1" s="1"/>
  <c r="AL675" i="1"/>
  <c r="AY887" i="1"/>
  <c r="BL420" i="1"/>
  <c r="BL574" i="1"/>
  <c r="AY641" i="1"/>
  <c r="BE641" i="1" s="1"/>
  <c r="BL76" i="1"/>
  <c r="BL699" i="1"/>
  <c r="BL921" i="1"/>
  <c r="BN921" i="1" s="1"/>
  <c r="AL517" i="1"/>
  <c r="BL615" i="1"/>
  <c r="AY86" i="1"/>
  <c r="BL390" i="1"/>
  <c r="AL404" i="1"/>
  <c r="AP404" i="1" s="1"/>
  <c r="AL346" i="1"/>
  <c r="BL811" i="1"/>
  <c r="AY1000" i="1"/>
  <c r="AY1002" i="1"/>
  <c r="AY175" i="1"/>
  <c r="BE175" i="1" s="1"/>
  <c r="AY746" i="1"/>
  <c r="BG746" i="1" s="1"/>
  <c r="AY204" i="1"/>
  <c r="BL360" i="1"/>
  <c r="BP360" i="1" s="1"/>
  <c r="AL587" i="1"/>
  <c r="AY500" i="1"/>
  <c r="AY962" i="1"/>
  <c r="BG962" i="1" s="1"/>
  <c r="BL890" i="1"/>
  <c r="AL400" i="1"/>
  <c r="BL819" i="1"/>
  <c r="BL727" i="1"/>
  <c r="AY427" i="1"/>
  <c r="BE427" i="1" s="1"/>
  <c r="AY970" i="1"/>
  <c r="BG970" i="1" s="1"/>
  <c r="AY642" i="1"/>
  <c r="BL371" i="1"/>
  <c r="BP371" i="1" s="1"/>
  <c r="AY700" i="1"/>
  <c r="BE700" i="1" s="1"/>
  <c r="BL241" i="1"/>
  <c r="BL540" i="1"/>
  <c r="BL233" i="1"/>
  <c r="BN233" i="1" s="1"/>
  <c r="AY749" i="1"/>
  <c r="BL538" i="1"/>
  <c r="AY953" i="1"/>
  <c r="AY474" i="1"/>
  <c r="BE474" i="1" s="1"/>
  <c r="BL366" i="1"/>
  <c r="BP366" i="1" s="1"/>
  <c r="AY381" i="1"/>
  <c r="AL33" i="1"/>
  <c r="AY21" i="1"/>
  <c r="BL1005" i="1"/>
  <c r="BL571" i="1"/>
  <c r="AY823" i="1"/>
  <c r="BE823" i="1" s="1"/>
  <c r="AY725" i="1"/>
  <c r="AY592" i="1"/>
  <c r="BC592" i="1" s="1"/>
  <c r="BL121" i="1"/>
  <c r="BL347" i="1"/>
  <c r="BT347" i="1" s="1"/>
  <c r="BL167" i="1"/>
  <c r="BT167" i="1" s="1"/>
  <c r="AL235" i="1"/>
  <c r="AY676" i="1"/>
  <c r="BC676" i="1" s="1"/>
  <c r="AL316" i="1"/>
  <c r="AL651" i="1"/>
  <c r="AL66" i="1"/>
  <c r="AR66" i="1" s="1"/>
  <c r="AL382" i="1"/>
  <c r="AR382" i="1" s="1"/>
  <c r="AL760" i="1"/>
  <c r="AY867" i="1"/>
  <c r="BC867" i="1" s="1"/>
  <c r="AY213" i="1"/>
  <c r="BA213" i="1" s="1"/>
  <c r="AY488" i="1"/>
  <c r="BL302" i="1"/>
  <c r="AY199" i="1"/>
  <c r="BL230" i="1"/>
  <c r="BP230" i="1" s="1"/>
  <c r="BL944" i="1"/>
  <c r="BR944" i="1" s="1"/>
  <c r="BL219" i="1"/>
  <c r="AY753" i="1"/>
  <c r="BL903" i="1"/>
  <c r="BR903" i="1" s="1"/>
  <c r="AY392" i="1"/>
  <c r="AL287" i="1"/>
  <c r="AR287" i="1" s="1"/>
  <c r="AY446" i="1"/>
  <c r="BE446" i="1" s="1"/>
  <c r="AL231" i="1"/>
  <c r="AT231" i="1" s="1"/>
  <c r="BL401" i="1"/>
  <c r="AY690" i="1"/>
  <c r="BA690" i="1" s="1"/>
  <c r="AY66" i="1"/>
  <c r="BL805" i="1"/>
  <c r="AY633" i="1"/>
  <c r="BL111" i="1"/>
  <c r="BN111" i="1" s="1"/>
  <c r="BL978" i="1"/>
  <c r="BL785" i="1"/>
  <c r="BT785" i="1" s="1"/>
  <c r="BL916" i="1"/>
  <c r="BT916" i="1" s="1"/>
  <c r="AL356" i="1"/>
  <c r="AN356" i="1" s="1"/>
  <c r="BL356" i="1"/>
  <c r="BP356" i="1" s="1"/>
  <c r="AY613" i="1"/>
  <c r="BG613" i="1" s="1"/>
  <c r="AY756" i="1"/>
  <c r="BA756" i="1" s="1"/>
  <c r="AY669" i="1"/>
  <c r="BG669" i="1" s="1"/>
  <c r="AL974" i="1"/>
  <c r="AL47" i="1"/>
  <c r="AP47" i="1" s="1"/>
  <c r="AY813" i="1"/>
  <c r="BG813" i="1" s="1"/>
  <c r="AY726" i="1"/>
  <c r="AY321" i="1"/>
  <c r="BE321" i="1" s="1"/>
  <c r="AY882" i="1"/>
  <c r="BC882" i="1" s="1"/>
  <c r="AY97" i="1"/>
  <c r="BL780" i="1"/>
  <c r="BR780" i="1" s="1"/>
  <c r="AY817" i="1"/>
  <c r="BL822" i="1"/>
  <c r="BN822" i="1" s="1"/>
  <c r="AY71" i="1"/>
  <c r="BA71" i="1" s="1"/>
  <c r="BL544" i="1"/>
  <c r="AL338" i="1"/>
  <c r="AY87" i="1"/>
  <c r="AY440" i="1"/>
  <c r="BA440" i="1" s="1"/>
  <c r="BL731" i="1"/>
  <c r="BN731" i="1" s="1"/>
  <c r="AY891" i="1"/>
  <c r="BG891" i="1" s="1"/>
  <c r="BL553" i="1"/>
  <c r="BN553" i="1" s="1"/>
  <c r="AY181" i="1"/>
  <c r="BG181" i="1" s="1"/>
  <c r="AY904" i="1"/>
  <c r="BA904" i="1" s="1"/>
  <c r="AY245" i="1"/>
  <c r="BC245" i="1" s="1"/>
  <c r="AL959" i="1"/>
  <c r="AY277" i="1"/>
  <c r="BL250" i="1"/>
  <c r="AL596" i="1"/>
  <c r="AP596" i="1" s="1"/>
  <c r="BL873" i="1"/>
  <c r="AY570" i="1"/>
  <c r="AL431" i="1"/>
  <c r="BL972" i="1"/>
  <c r="AY609" i="1"/>
  <c r="BL289" i="1"/>
  <c r="AY694" i="1"/>
  <c r="AL41" i="1"/>
  <c r="AR41" i="1" s="1"/>
  <c r="BL498" i="1"/>
  <c r="AL19" i="1"/>
  <c r="AR19" i="1" s="1"/>
  <c r="AL8" i="1"/>
  <c r="AL24" i="1"/>
  <c r="BL585" i="1"/>
  <c r="BR585" i="1" s="1"/>
  <c r="AY18" i="1"/>
  <c r="AL516" i="1"/>
  <c r="BL141" i="1"/>
  <c r="BL763" i="1"/>
  <c r="BR763" i="1" s="1"/>
  <c r="AY775" i="1"/>
  <c r="AY755" i="1"/>
  <c r="BG755" i="1" s="1"/>
  <c r="AL361" i="1"/>
  <c r="AL872" i="1"/>
  <c r="AR872" i="1" s="1"/>
  <c r="AL322" i="1"/>
  <c r="AN322" i="1" s="1"/>
  <c r="AY303" i="1"/>
  <c r="BG303" i="1" s="1"/>
  <c r="AY105" i="1"/>
  <c r="BA105" i="1" s="1"/>
  <c r="BL533" i="1"/>
  <c r="BN533" i="1" s="1"/>
  <c r="BL868" i="1"/>
  <c r="AY668" i="1"/>
  <c r="BL144" i="1"/>
  <c r="BP144" i="1" s="1"/>
  <c r="BL687" i="1"/>
  <c r="AL298" i="1"/>
  <c r="BL73" i="1"/>
  <c r="AY837" i="1"/>
  <c r="BL309" i="1"/>
  <c r="AY533" i="1"/>
  <c r="AL211" i="1"/>
  <c r="BL476" i="1"/>
  <c r="AL625" i="1"/>
  <c r="AT625" i="1" s="1"/>
  <c r="BL264" i="1"/>
  <c r="AY25" i="1"/>
  <c r="AY122" i="1"/>
  <c r="AY376" i="1"/>
  <c r="BL841" i="1"/>
  <c r="AL374" i="1"/>
  <c r="AR374" i="1" s="1"/>
  <c r="AL175" i="1"/>
  <c r="AN175" i="1" s="1"/>
  <c r="BL849" i="1"/>
  <c r="BR849" i="1" s="1"/>
  <c r="AL29" i="1"/>
  <c r="AL345" i="1"/>
  <c r="AR345" i="1" s="1"/>
  <c r="AY179" i="1"/>
  <c r="AL209" i="1"/>
  <c r="AY236" i="1"/>
  <c r="AY666" i="1"/>
  <c r="AL269" i="1"/>
  <c r="AR269" i="1" s="1"/>
  <c r="AL468" i="1"/>
  <c r="AP468" i="1" s="1"/>
  <c r="BL423" i="1"/>
  <c r="AY322" i="1"/>
  <c r="AY735" i="1"/>
  <c r="AY51" i="1"/>
  <c r="BL379" i="1"/>
  <c r="AY779" i="1"/>
  <c r="BG779" i="1" s="1"/>
  <c r="AL779" i="1"/>
  <c r="AL520" i="1"/>
  <c r="AY696" i="1"/>
  <c r="BL564" i="1"/>
  <c r="BN564" i="1" s="1"/>
  <c r="AL763" i="1"/>
  <c r="AN763" i="1" s="1"/>
  <c r="AY504" i="1"/>
  <c r="BL384" i="1"/>
  <c r="BN384" i="1" s="1"/>
  <c r="AY886" i="1"/>
  <c r="BA886" i="1" s="1"/>
  <c r="BL789" i="1"/>
  <c r="BP789" i="1" s="1"/>
  <c r="AY717" i="1"/>
  <c r="BG717" i="1" s="1"/>
  <c r="BL124" i="1"/>
  <c r="BT124" i="1" s="1"/>
  <c r="AL398" i="1"/>
  <c r="AL155" i="1"/>
  <c r="AN155" i="1" s="1"/>
  <c r="AY411" i="1"/>
  <c r="AY294" i="1"/>
  <c r="AY862" i="1"/>
  <c r="AL5" i="1"/>
  <c r="AT5" i="1" s="1"/>
  <c r="BL924" i="1"/>
  <c r="BN924" i="1" s="1"/>
  <c r="AL40" i="1"/>
  <c r="AY462" i="1"/>
  <c r="BL555" i="1"/>
  <c r="BN555" i="1" s="1"/>
  <c r="AL39" i="1"/>
  <c r="AT39" i="1" s="1"/>
  <c r="AY153" i="1"/>
  <c r="BE153" i="1" s="1"/>
  <c r="AY197" i="1"/>
  <c r="BL273" i="1"/>
  <c r="BP273" i="1" s="1"/>
  <c r="BL83" i="1"/>
  <c r="AY920" i="1"/>
  <c r="BL223" i="1"/>
  <c r="AY391" i="1"/>
  <c r="BA391" i="1" s="1"/>
  <c r="AL768" i="1"/>
  <c r="AY283" i="1"/>
  <c r="BG283" i="1" s="1"/>
  <c r="AY473" i="1"/>
  <c r="BC473" i="1" s="1"/>
  <c r="AL623" i="1"/>
  <c r="AR623" i="1" s="1"/>
  <c r="AL973" i="1"/>
  <c r="AT973" i="1" s="1"/>
  <c r="AY896" i="1"/>
  <c r="BG896" i="1" s="1"/>
  <c r="AL237" i="1"/>
  <c r="AL832" i="1"/>
  <c r="AN832" i="1" s="1"/>
  <c r="AY116" i="1"/>
  <c r="AY407" i="1"/>
  <c r="AY11" i="1"/>
  <c r="BL524" i="1"/>
  <c r="BP524" i="1" s="1"/>
  <c r="AY858" i="1"/>
  <c r="BA858" i="1" s="1"/>
  <c r="BL265" i="1"/>
  <c r="BR265" i="1" s="1"/>
  <c r="BL107" i="1"/>
  <c r="BP107" i="1" s="1"/>
  <c r="AY806" i="1"/>
  <c r="BG806" i="1" s="1"/>
  <c r="AY927" i="1"/>
  <c r="AY298" i="1"/>
  <c r="BG298" i="1" s="1"/>
  <c r="AL205" i="1"/>
  <c r="AL881" i="1"/>
  <c r="AN881" i="1" s="1"/>
  <c r="AL564" i="1"/>
  <c r="AT564" i="1" s="1"/>
  <c r="BL1003" i="1"/>
  <c r="BN1003" i="1" s="1"/>
  <c r="BL561" i="1"/>
  <c r="BL786" i="1"/>
  <c r="AY434" i="1"/>
  <c r="BL974" i="1"/>
  <c r="AY881" i="1"/>
  <c r="BA881" i="1" s="1"/>
  <c r="AY638" i="1"/>
  <c r="AY549" i="1"/>
  <c r="BC549" i="1" s="1"/>
  <c r="AL616" i="1"/>
  <c r="AR616" i="1" s="1"/>
  <c r="AY26" i="1"/>
  <c r="BG26" i="1" s="1"/>
  <c r="BL354" i="1"/>
  <c r="BN354" i="1" s="1"/>
  <c r="AY421" i="1"/>
  <c r="B79" i="80" a="1"/>
  <c r="B79" i="80"/>
  <c r="C79" i="80"/>
  <c r="C67" i="51"/>
  <c r="B68" i="51" a="1"/>
  <c r="B68" i="51"/>
  <c r="AG929" i="1"/>
  <c r="AE587" i="1"/>
  <c r="AN429" i="1"/>
  <c r="BC925" i="1"/>
  <c r="AR429" i="1"/>
  <c r="BC843" i="1"/>
  <c r="BA925" i="1"/>
  <c r="AP429" i="1"/>
  <c r="AC306" i="1"/>
  <c r="AC673" i="1"/>
  <c r="BE925" i="1"/>
  <c r="AP197" i="1"/>
  <c r="BP982" i="1"/>
  <c r="BT177" i="1"/>
  <c r="AR458" i="1"/>
  <c r="BR508" i="1"/>
  <c r="BN982" i="1"/>
  <c r="BA710" i="1"/>
  <c r="BE843" i="1"/>
  <c r="BN308" i="1"/>
  <c r="AE929" i="1"/>
  <c r="AE306" i="1"/>
  <c r="AG587" i="1"/>
  <c r="BC992" i="1"/>
  <c r="AT744" i="1"/>
  <c r="AR744" i="1"/>
  <c r="AY766" i="1"/>
  <c r="BE766" i="1" s="1"/>
  <c r="Y229" i="1"/>
  <c r="AC229" i="1" s="1"/>
  <c r="BT856" i="1"/>
  <c r="BN137" i="1"/>
  <c r="BN65" i="1"/>
  <c r="BP825" i="1"/>
  <c r="BN437" i="1"/>
  <c r="BT153" i="1"/>
  <c r="BR742" i="1"/>
  <c r="BN150" i="1"/>
  <c r="BP422" i="1"/>
  <c r="BT602" i="1"/>
  <c r="BP263" i="1"/>
  <c r="BN95" i="1"/>
  <c r="BP800" i="1"/>
  <c r="BR792" i="1"/>
  <c r="BA180" i="1"/>
  <c r="BG860" i="1"/>
  <c r="BA143" i="1"/>
  <c r="BG222" i="1"/>
  <c r="BG595" i="1"/>
  <c r="BE967" i="1"/>
  <c r="BG847" i="1"/>
  <c r="BA412" i="1"/>
  <c r="BG481" i="1"/>
  <c r="BG892" i="1"/>
  <c r="AP22" i="1"/>
  <c r="AT664" i="1"/>
  <c r="AT333" i="1"/>
  <c r="AN140" i="1"/>
  <c r="AR990" i="1"/>
  <c r="AR706" i="1"/>
  <c r="AN812" i="1"/>
  <c r="AT484" i="1"/>
  <c r="AP302" i="1"/>
  <c r="AR184" i="1"/>
  <c r="AP182" i="1"/>
  <c r="AP781" i="1"/>
  <c r="AP387" i="1"/>
  <c r="AT35" i="1"/>
  <c r="AP415" i="1"/>
  <c r="AR61" i="1"/>
  <c r="AN821" i="1"/>
  <c r="AA338" i="1"/>
  <c r="AG327" i="1"/>
  <c r="AE913" i="1"/>
  <c r="AC481" i="1"/>
  <c r="AE603" i="1"/>
  <c r="AG256" i="1"/>
  <c r="AE832" i="1"/>
  <c r="AG445" i="1"/>
  <c r="AC411" i="1"/>
  <c r="AE846" i="1"/>
  <c r="AG888" i="1"/>
  <c r="AE876" i="1"/>
  <c r="AA496" i="1"/>
  <c r="AE227" i="1"/>
  <c r="AG766" i="1"/>
  <c r="AC794" i="1"/>
  <c r="AA144" i="1"/>
  <c r="AG824" i="1"/>
  <c r="AE372" i="1"/>
  <c r="AA908" i="1"/>
  <c r="AC533" i="1"/>
  <c r="AA528" i="1"/>
  <c r="AE508" i="1"/>
  <c r="AA163" i="1"/>
  <c r="AE135" i="1"/>
  <c r="AA621" i="1"/>
  <c r="AA75" i="1"/>
  <c r="AA93" i="1"/>
  <c r="AA607" i="1"/>
  <c r="AE593" i="1"/>
  <c r="AE827" i="1"/>
  <c r="AE422" i="1"/>
  <c r="AE911" i="1"/>
  <c r="AC60" i="1"/>
  <c r="AG278" i="1"/>
  <c r="AE346" i="1"/>
  <c r="AG969" i="1"/>
  <c r="AG602" i="1"/>
  <c r="AC235" i="1"/>
  <c r="AC383" i="1"/>
  <c r="AG679" i="1"/>
  <c r="AC521" i="1"/>
  <c r="AE247" i="1"/>
  <c r="AA610" i="1"/>
  <c r="AC441" i="1"/>
  <c r="AE760" i="1"/>
  <c r="AC152" i="1"/>
  <c r="AA414" i="1"/>
  <c r="AA83" i="1"/>
  <c r="AE398" i="1"/>
  <c r="AE417" i="1"/>
  <c r="AG301" i="1"/>
  <c r="AE112" i="1"/>
  <c r="AG522" i="1"/>
  <c r="AE690" i="1"/>
  <c r="AA825" i="1"/>
  <c r="AC14" i="1"/>
  <c r="AC15" i="1"/>
  <c r="AA152" i="1"/>
  <c r="BR327" i="1"/>
  <c r="AR806" i="1"/>
  <c r="AE38" i="1"/>
  <c r="BG111" i="1"/>
  <c r="BE589" i="1"/>
  <c r="AE152" i="1"/>
  <c r="AP655" i="1"/>
  <c r="AN655" i="1"/>
  <c r="AA547" i="1"/>
  <c r="AC731" i="1"/>
  <c r="AE765" i="1"/>
  <c r="AG219" i="1"/>
  <c r="AP805" i="1"/>
  <c r="AN805" i="1"/>
  <c r="AG204" i="1"/>
  <c r="BT716" i="1"/>
  <c r="AG422" i="1"/>
  <c r="AG38" i="1"/>
  <c r="AA1003" i="1"/>
  <c r="BG368" i="1"/>
  <c r="AN732" i="1"/>
  <c r="AT732" i="1"/>
  <c r="AC980" i="1"/>
  <c r="AE980" i="1"/>
  <c r="AR484" i="1"/>
  <c r="AP484" i="1"/>
  <c r="AE463" i="1"/>
  <c r="AG463" i="1"/>
  <c r="BT814" i="1"/>
  <c r="AP226" i="1"/>
  <c r="BE346" i="1"/>
  <c r="AC615" i="1"/>
  <c r="AC760" i="1"/>
  <c r="AA903" i="1"/>
  <c r="AG152" i="1"/>
  <c r="AN806" i="1"/>
  <c r="AN226" i="1"/>
  <c r="BG346" i="1"/>
  <c r="AG83" i="1"/>
  <c r="AE1003" i="1"/>
  <c r="AG547" i="1"/>
  <c r="AG764" i="1"/>
  <c r="BP361" i="1"/>
  <c r="AG760" i="1"/>
  <c r="AA760" i="1"/>
  <c r="AC664" i="1"/>
  <c r="AA101" i="1"/>
  <c r="BG127" i="1"/>
  <c r="AP405" i="1"/>
  <c r="AP77" i="1"/>
  <c r="AA14" i="1"/>
  <c r="AE14" i="1"/>
  <c r="BR89" i="1"/>
  <c r="BN89" i="1"/>
  <c r="AA485" i="1"/>
  <c r="AG485" i="1"/>
  <c r="BP742" i="1"/>
  <c r="BN742" i="1"/>
  <c r="AC899" i="1"/>
  <c r="AE899" i="1"/>
  <c r="AC644" i="1"/>
  <c r="AA422" i="1"/>
  <c r="BT247" i="1"/>
  <c r="AR415" i="1"/>
  <c r="AP806" i="1"/>
  <c r="BP333" i="1"/>
  <c r="BC220" i="1"/>
  <c r="BG22" i="1"/>
  <c r="AE83" i="1"/>
  <c r="AE615" i="1"/>
  <c r="AR732" i="1"/>
  <c r="AC398" i="1"/>
  <c r="AE686" i="1"/>
  <c r="AA899" i="1"/>
  <c r="AG101" i="1"/>
  <c r="AT655" i="1"/>
  <c r="BA865" i="1"/>
  <c r="AG980" i="1"/>
  <c r="AE545" i="1"/>
  <c r="AG521" i="1"/>
  <c r="BR422" i="1"/>
  <c r="AR664" i="1"/>
  <c r="BP150" i="1"/>
  <c r="BC902" i="1"/>
  <c r="AP884" i="1"/>
  <c r="AC327" i="1"/>
  <c r="AA969" i="1"/>
  <c r="AE383" i="1"/>
  <c r="AG247" i="1"/>
  <c r="AA403" i="1"/>
  <c r="BA44" i="1"/>
  <c r="BE990" i="1"/>
  <c r="AR386" i="1"/>
  <c r="BP782" i="1"/>
  <c r="AA149" i="1"/>
  <c r="BE526" i="1"/>
  <c r="BP792" i="1"/>
  <c r="BR95" i="1"/>
  <c r="BN800" i="1"/>
  <c r="AC454" i="1"/>
  <c r="AA352" i="1"/>
  <c r="BT782" i="1"/>
  <c r="BN436" i="1"/>
  <c r="BA990" i="1"/>
  <c r="BT95" i="1"/>
  <c r="AN853" i="1"/>
  <c r="AE602" i="1"/>
  <c r="AE891" i="1"/>
  <c r="AA936" i="1"/>
  <c r="AA346" i="1"/>
  <c r="AN182" i="1"/>
  <c r="AC403" i="1"/>
  <c r="AR534" i="1"/>
  <c r="AN387" i="1"/>
  <c r="BA377" i="1"/>
  <c r="BA54" i="1"/>
  <c r="AA10" i="1"/>
  <c r="AT182" i="1"/>
  <c r="AN79" i="1"/>
  <c r="AP128" i="1"/>
  <c r="BC810" i="1"/>
  <c r="BR150" i="1"/>
  <c r="AE969" i="1"/>
  <c r="AC324" i="1"/>
  <c r="AP79" i="1"/>
  <c r="BE412" i="1"/>
  <c r="AR304" i="1"/>
  <c r="AP304" i="1"/>
  <c r="AA424" i="1"/>
  <c r="AR804" i="1"/>
  <c r="AN804" i="1"/>
  <c r="AT989" i="1"/>
  <c r="AP989" i="1"/>
  <c r="AT946" i="1"/>
  <c r="AG772" i="1"/>
  <c r="AE736" i="1"/>
  <c r="AP887" i="1"/>
  <c r="AE11" i="1"/>
  <c r="AG11" i="1"/>
  <c r="BN792" i="1"/>
  <c r="BT792" i="1"/>
  <c r="AC690" i="1"/>
  <c r="AA690" i="1"/>
  <c r="AG690" i="1"/>
  <c r="BT655" i="1"/>
  <c r="AA974" i="1"/>
  <c r="AG676" i="1"/>
  <c r="BT26" i="1"/>
  <c r="BR285" i="1"/>
  <c r="BG314" i="1"/>
  <c r="AR509" i="1"/>
  <c r="AR325" i="1"/>
  <c r="AP471" i="1"/>
  <c r="BN80" i="1"/>
  <c r="BR80" i="1"/>
  <c r="BT692" i="1"/>
  <c r="BN692" i="1"/>
  <c r="AG740" i="1"/>
  <c r="BP436" i="1"/>
  <c r="AG84" i="1"/>
  <c r="AE879" i="1"/>
  <c r="AR48" i="1"/>
  <c r="AN569" i="1"/>
  <c r="BT800" i="1"/>
  <c r="AC149" i="1"/>
  <c r="AG632" i="1"/>
  <c r="AE454" i="1"/>
  <c r="AE352" i="1"/>
  <c r="AA872" i="1"/>
  <c r="AC740" i="1"/>
  <c r="BE728" i="1"/>
  <c r="AT887" i="1"/>
  <c r="AA736" i="1"/>
  <c r="AN984" i="1"/>
  <c r="BC982" i="1"/>
  <c r="AN705" i="1"/>
  <c r="AT705" i="1"/>
  <c r="BT562" i="1"/>
  <c r="BR562" i="1"/>
  <c r="AR917" i="1"/>
  <c r="AA212" i="1"/>
  <c r="BA526" i="1"/>
  <c r="BP959" i="1"/>
  <c r="AG109" i="1"/>
  <c r="BN453" i="1"/>
  <c r="BN782" i="1"/>
  <c r="BP912" i="1"/>
  <c r="AC84" i="1"/>
  <c r="AE126" i="1"/>
  <c r="AG352" i="1"/>
  <c r="BG758" i="1"/>
  <c r="BT959" i="1"/>
  <c r="AN887" i="1"/>
  <c r="BP692" i="1"/>
  <c r="AP749" i="1"/>
  <c r="AE908" i="1"/>
  <c r="AG528" i="1"/>
  <c r="AP955" i="1"/>
  <c r="AR955" i="1"/>
  <c r="BT634" i="1"/>
  <c r="BN634" i="1"/>
  <c r="AT869" i="1"/>
  <c r="AR869" i="1"/>
  <c r="AR521" i="1"/>
  <c r="AP521" i="1"/>
  <c r="AG626" i="1"/>
  <c r="AE626" i="1"/>
  <c r="AA97" i="1"/>
  <c r="AG97" i="1"/>
  <c r="AA32" i="1"/>
  <c r="AC32" i="1"/>
  <c r="AE492" i="1"/>
  <c r="AC494" i="1"/>
  <c r="AE785" i="1"/>
  <c r="AE621" i="1"/>
  <c r="AC621" i="1"/>
  <c r="AC135" i="1"/>
  <c r="AE163" i="1"/>
  <c r="AP869" i="1"/>
  <c r="AA744" i="1"/>
  <c r="AG135" i="1"/>
  <c r="AN413" i="1"/>
  <c r="AE97" i="1"/>
  <c r="BC812" i="1"/>
  <c r="AA135" i="1"/>
  <c r="AC908" i="1"/>
  <c r="AR413" i="1"/>
  <c r="AT521" i="1"/>
  <c r="AT955" i="1"/>
  <c r="AE833" i="1"/>
  <c r="AG621" i="1"/>
  <c r="AG494" i="1"/>
  <c r="AE794" i="1"/>
  <c r="AA794" i="1"/>
  <c r="AA824" i="1"/>
  <c r="AE824" i="1"/>
  <c r="BR39" i="1"/>
  <c r="AG75" i="1"/>
  <c r="AC75" i="1"/>
  <c r="BE812" i="1"/>
  <c r="AA533" i="1"/>
  <c r="AP288" i="1"/>
  <c r="AC528" i="1"/>
  <c r="AT706" i="1"/>
  <c r="AG833" i="1"/>
  <c r="BN102" i="1"/>
  <c r="BP889" i="1"/>
  <c r="AG163" i="1"/>
  <c r="AR288" i="1"/>
  <c r="AP706" i="1"/>
  <c r="AC833" i="1"/>
  <c r="AP990" i="1"/>
  <c r="AC372" i="1"/>
  <c r="BN39" i="1"/>
  <c r="BP658" i="1"/>
  <c r="AT16" i="1"/>
  <c r="AN16" i="1"/>
  <c r="BR939" i="1"/>
  <c r="AN561" i="1"/>
  <c r="AN323" i="1"/>
  <c r="AT323" i="1"/>
  <c r="AR73" i="1"/>
  <c r="AT73" i="1"/>
  <c r="AR92" i="1"/>
  <c r="AR683" i="1"/>
  <c r="AP683" i="1"/>
  <c r="AN683" i="1"/>
  <c r="BP637" i="1"/>
  <c r="BT637" i="1"/>
  <c r="BG187" i="1"/>
  <c r="BC187" i="1"/>
  <c r="BA187" i="1"/>
  <c r="BE187" i="1"/>
  <c r="AC173" i="1"/>
  <c r="AA173" i="1"/>
  <c r="AG173" i="1"/>
  <c r="BN140" i="1"/>
  <c r="BR140" i="1"/>
  <c r="BP140" i="1"/>
  <c r="BT140" i="1"/>
  <c r="AN927" i="1"/>
  <c r="AT927" i="1"/>
  <c r="AR927" i="1"/>
  <c r="AR838" i="1"/>
  <c r="AP838" i="1"/>
  <c r="AT838" i="1"/>
  <c r="AN838" i="1"/>
  <c r="AP803" i="1"/>
  <c r="AN803" i="1"/>
  <c r="AR803" i="1"/>
  <c r="AP689" i="1"/>
  <c r="AT689" i="1"/>
  <c r="AR689" i="1"/>
  <c r="AN689" i="1"/>
  <c r="BR282" i="1"/>
  <c r="BP282" i="1"/>
  <c r="BN282" i="1"/>
  <c r="BT282" i="1"/>
  <c r="BR488" i="1"/>
  <c r="BN488" i="1"/>
  <c r="BP488" i="1"/>
  <c r="AP116" i="1"/>
  <c r="AT116" i="1"/>
  <c r="AP867" i="1"/>
  <c r="AN867" i="1"/>
  <c r="AE698" i="1"/>
  <c r="AC698" i="1"/>
  <c r="AA990" i="1"/>
  <c r="AA225" i="1"/>
  <c r="AG63" i="1"/>
  <c r="AA63" i="1"/>
  <c r="AA706" i="1"/>
  <c r="BA932" i="1"/>
  <c r="AP45" i="1"/>
  <c r="AT45" i="1"/>
  <c r="AA401" i="1"/>
  <c r="AC401" i="1"/>
  <c r="BE59" i="1"/>
  <c r="BG59" i="1"/>
  <c r="BR757" i="1"/>
  <c r="BT757" i="1"/>
  <c r="AA356" i="1"/>
  <c r="AG356" i="1"/>
  <c r="AP163" i="1"/>
  <c r="AT163" i="1"/>
  <c r="AP682" i="1"/>
  <c r="AN682" i="1"/>
  <c r="AG910" i="1"/>
  <c r="AE910" i="1"/>
  <c r="AE585" i="1"/>
  <c r="AA585" i="1"/>
  <c r="AA646" i="1"/>
  <c r="AC646" i="1"/>
  <c r="BR430" i="1"/>
  <c r="AG23" i="1"/>
  <c r="AC23" i="1"/>
  <c r="AA23" i="1"/>
  <c r="AE23" i="1"/>
  <c r="BN312" i="1"/>
  <c r="BT312" i="1"/>
  <c r="BP312" i="1"/>
  <c r="BR312" i="1"/>
  <c r="AP50" i="1"/>
  <c r="AT50" i="1"/>
  <c r="AR50" i="1"/>
  <c r="AN819" i="1"/>
  <c r="AG497" i="1"/>
  <c r="BR164" i="1"/>
  <c r="BP164" i="1"/>
  <c r="BR25" i="1"/>
  <c r="BP25" i="1"/>
  <c r="BN741" i="1"/>
  <c r="BT741" i="1"/>
  <c r="BE895" i="1"/>
  <c r="BC714" i="1"/>
  <c r="AA747" i="1"/>
  <c r="AE747" i="1"/>
  <c r="BC916" i="1"/>
  <c r="BE916" i="1"/>
  <c r="AE906" i="1"/>
  <c r="BC48" i="1"/>
  <c r="BG48" i="1"/>
  <c r="AA417" i="1"/>
  <c r="AC417" i="1"/>
  <c r="AG417" i="1"/>
  <c r="AE405" i="1"/>
  <c r="AG405" i="1"/>
  <c r="AA405" i="1"/>
  <c r="AC405" i="1"/>
  <c r="BN115" i="1"/>
  <c r="BT115" i="1"/>
  <c r="BR115" i="1"/>
  <c r="BP115" i="1"/>
  <c r="AE197" i="1"/>
  <c r="AA197" i="1"/>
  <c r="AG197" i="1"/>
  <c r="AC197" i="1"/>
  <c r="AG112" i="1"/>
  <c r="AA112" i="1"/>
  <c r="BR342" i="1"/>
  <c r="BT342" i="1"/>
  <c r="BP342" i="1"/>
  <c r="AP118" i="1"/>
  <c r="AT118" i="1"/>
  <c r="AR118" i="1"/>
  <c r="AR624" i="1"/>
  <c r="AP624" i="1"/>
  <c r="BG598" i="1"/>
  <c r="BC598" i="1"/>
  <c r="AE995" i="1"/>
  <c r="AG995" i="1"/>
  <c r="AA995" i="1"/>
  <c r="AC995" i="1"/>
  <c r="AG452" i="1"/>
  <c r="AA452" i="1"/>
  <c r="AC452" i="1"/>
  <c r="AE452" i="1"/>
  <c r="AG681" i="1"/>
  <c r="AC681" i="1"/>
  <c r="AG317" i="1"/>
  <c r="AC317" i="1"/>
  <c r="AE317" i="1"/>
  <c r="AG228" i="1"/>
  <c r="AE228" i="1"/>
  <c r="AC228" i="1"/>
  <c r="AA228" i="1"/>
  <c r="BR388" i="1"/>
  <c r="BP388" i="1"/>
  <c r="BT388" i="1"/>
  <c r="BN388" i="1"/>
  <c r="BT575" i="1"/>
  <c r="BR575" i="1"/>
  <c r="BP575" i="1"/>
  <c r="AP622" i="1"/>
  <c r="AR622" i="1"/>
  <c r="BC398" i="1"/>
  <c r="BA398" i="1"/>
  <c r="BA380" i="1"/>
  <c r="BE380" i="1"/>
  <c r="BG380" i="1"/>
  <c r="BC380" i="1"/>
  <c r="AR648" i="1"/>
  <c r="AT648" i="1"/>
  <c r="AN648" i="1"/>
  <c r="AP648" i="1"/>
  <c r="AG289" i="1"/>
  <c r="AA289" i="1"/>
  <c r="AC289" i="1"/>
  <c r="AE289" i="1"/>
  <c r="AC434" i="1"/>
  <c r="AE434" i="1"/>
  <c r="AG884" i="1"/>
  <c r="AA884" i="1"/>
  <c r="AC762" i="1"/>
  <c r="AE762" i="1"/>
  <c r="AG762" i="1"/>
  <c r="AA762" i="1"/>
  <c r="AG207" i="1"/>
  <c r="AE207" i="1"/>
  <c r="AA207" i="1"/>
  <c r="AC207" i="1"/>
  <c r="AE905" i="1"/>
  <c r="AA905" i="1"/>
  <c r="AC905" i="1"/>
  <c r="AG905" i="1"/>
  <c r="AA997" i="1"/>
  <c r="AC997" i="1"/>
  <c r="AG997" i="1"/>
  <c r="BR676" i="1"/>
  <c r="AG377" i="1"/>
  <c r="AT384" i="1"/>
  <c r="AG359" i="1"/>
  <c r="AA16" i="1"/>
  <c r="AE16" i="1"/>
  <c r="AG16" i="1"/>
  <c r="AC16" i="1"/>
  <c r="AN61" i="1"/>
  <c r="AT61" i="1"/>
  <c r="AC539" i="1"/>
  <c r="AG539" i="1"/>
  <c r="AE539" i="1"/>
  <c r="AC449" i="1"/>
  <c r="AG449" i="1"/>
  <c r="AE449" i="1"/>
  <c r="AA449" i="1"/>
  <c r="AG727" i="1"/>
  <c r="AC727" i="1"/>
  <c r="AA727" i="1"/>
  <c r="AE727" i="1"/>
  <c r="AC513" i="1"/>
  <c r="AE513" i="1"/>
  <c r="AG513" i="1"/>
  <c r="AA513" i="1"/>
  <c r="AP386" i="1"/>
  <c r="AN386" i="1"/>
  <c r="BC243" i="1"/>
  <c r="BA243" i="1"/>
  <c r="BG243" i="1"/>
  <c r="BE243" i="1"/>
  <c r="BT321" i="1"/>
  <c r="BP321" i="1"/>
  <c r="BR321" i="1"/>
  <c r="AE210" i="1"/>
  <c r="AC210" i="1"/>
  <c r="AA210" i="1"/>
  <c r="AC820" i="1"/>
  <c r="AA820" i="1"/>
  <c r="AE820" i="1"/>
  <c r="BE964" i="1"/>
  <c r="BC964" i="1"/>
  <c r="BR707" i="1"/>
  <c r="BN707" i="1"/>
  <c r="BT707" i="1"/>
  <c r="AN146" i="1"/>
  <c r="AP146" i="1"/>
  <c r="AT621" i="1"/>
  <c r="AN621" i="1"/>
  <c r="BN318" i="1"/>
  <c r="BT318" i="1"/>
  <c r="BP318" i="1"/>
  <c r="AR195" i="1"/>
  <c r="AP195" i="1"/>
  <c r="AP792" i="1"/>
  <c r="AR792" i="1"/>
  <c r="AT792" i="1"/>
  <c r="AE853" i="1"/>
  <c r="BG63" i="1"/>
  <c r="BC63" i="1"/>
  <c r="BE63" i="1"/>
  <c r="BA63" i="1"/>
  <c r="AT961" i="1"/>
  <c r="AP961" i="1"/>
  <c r="AN280" i="1"/>
  <c r="AR280" i="1"/>
  <c r="AT280" i="1"/>
  <c r="AP280" i="1"/>
  <c r="BP248" i="1"/>
  <c r="BR248" i="1"/>
  <c r="BE547" i="1"/>
  <c r="BA547" i="1"/>
  <c r="AA671" i="1"/>
  <c r="AG671" i="1"/>
  <c r="AA510" i="1"/>
  <c r="BA718" i="1"/>
  <c r="BG718" i="1"/>
  <c r="AN968" i="1"/>
  <c r="AP968" i="1"/>
  <c r="AR968" i="1"/>
  <c r="AT968" i="1"/>
  <c r="AP853" i="1"/>
  <c r="AT853" i="1"/>
  <c r="BE831" i="1"/>
  <c r="BA831" i="1"/>
  <c r="BA906" i="1"/>
  <c r="BE906" i="1"/>
  <c r="BP710" i="1"/>
  <c r="BR710" i="1"/>
  <c r="AP186" i="1"/>
  <c r="BR197" i="1"/>
  <c r="AA745" i="1"/>
  <c r="AG745" i="1"/>
  <c r="AG801" i="1"/>
  <c r="AA801" i="1"/>
  <c r="AE668" i="1"/>
  <c r="AC889" i="1"/>
  <c r="AA836" i="1"/>
  <c r="AC836" i="1"/>
  <c r="AC312" i="1"/>
  <c r="AE312" i="1"/>
  <c r="BG996" i="1"/>
  <c r="BA996" i="1"/>
  <c r="AN552" i="1"/>
  <c r="AT552" i="1"/>
  <c r="AT428" i="1"/>
  <c r="AN428" i="1"/>
  <c r="BN385" i="1"/>
  <c r="AR735" i="1"/>
  <c r="AC389" i="1"/>
  <c r="AG389" i="1"/>
  <c r="BN216" i="1"/>
  <c r="BP216" i="1"/>
  <c r="AP812" i="1"/>
  <c r="BT576" i="1"/>
  <c r="AT754" i="1"/>
  <c r="AP754" i="1"/>
  <c r="AR482" i="1"/>
  <c r="BR871" i="1"/>
  <c r="AN450" i="1"/>
  <c r="AP450" i="1"/>
  <c r="BN963" i="1"/>
  <c r="BT963" i="1"/>
  <c r="AC982" i="1"/>
  <c r="AG982" i="1"/>
  <c r="AA861" i="1"/>
  <c r="AG861" i="1"/>
  <c r="BA815" i="1"/>
  <c r="AR738" i="1"/>
  <c r="AN738" i="1"/>
  <c r="AA689" i="1"/>
  <c r="AE803" i="1"/>
  <c r="AG803" i="1"/>
  <c r="AE481" i="1"/>
  <c r="AA481" i="1"/>
  <c r="AG481" i="1"/>
  <c r="AP179" i="1"/>
  <c r="AN179" i="1"/>
  <c r="AR179" i="1"/>
  <c r="AN435" i="1"/>
  <c r="AR435" i="1"/>
  <c r="BP442" i="1"/>
  <c r="BT442" i="1"/>
  <c r="BN442" i="1"/>
  <c r="AA618" i="1"/>
  <c r="AG618" i="1"/>
  <c r="AE618" i="1"/>
  <c r="AC618" i="1"/>
  <c r="AE368" i="1"/>
  <c r="AG368" i="1"/>
  <c r="AA368" i="1"/>
  <c r="AC256" i="1"/>
  <c r="AE256" i="1"/>
  <c r="AR996" i="1"/>
  <c r="AN996" i="1"/>
  <c r="AT996" i="1"/>
  <c r="AP996" i="1"/>
  <c r="BG133" i="1"/>
  <c r="BC133" i="1"/>
  <c r="BA133" i="1"/>
  <c r="BT502" i="1"/>
  <c r="BR502" i="1"/>
  <c r="BR631" i="1"/>
  <c r="BN631" i="1"/>
  <c r="BT631" i="1"/>
  <c r="AA722" i="1"/>
  <c r="AG722" i="1"/>
  <c r="BN536" i="1"/>
  <c r="BT536" i="1"/>
  <c r="BR536" i="1"/>
  <c r="BP536" i="1"/>
  <c r="AN156" i="1"/>
  <c r="AP774" i="1"/>
  <c r="BT827" i="1"/>
  <c r="BN331" i="1"/>
  <c r="AC894" i="1"/>
  <c r="AP232" i="1"/>
  <c r="AA110" i="1"/>
  <c r="AG110" i="1"/>
  <c r="AA829" i="1"/>
  <c r="AE829" i="1"/>
  <c r="AC300" i="1"/>
  <c r="AG939" i="1"/>
  <c r="AC939" i="1"/>
  <c r="AC374" i="1"/>
  <c r="AG374" i="1"/>
  <c r="AE374" i="1"/>
  <c r="AA374" i="1"/>
  <c r="BE978" i="1"/>
  <c r="BG978" i="1"/>
  <c r="BP578" i="1"/>
  <c r="BT578" i="1"/>
  <c r="BR578" i="1"/>
  <c r="AG89" i="1"/>
  <c r="AA89" i="1"/>
  <c r="AE89" i="1"/>
  <c r="AC89" i="1"/>
  <c r="AC425" i="1"/>
  <c r="AE425" i="1"/>
  <c r="AA425" i="1"/>
  <c r="AG425" i="1"/>
  <c r="BP750" i="1"/>
  <c r="BN750" i="1"/>
  <c r="BR750" i="1"/>
  <c r="BT750" i="1"/>
  <c r="BN417" i="1"/>
  <c r="BP417" i="1"/>
  <c r="AP861" i="1"/>
  <c r="AN861" i="1"/>
  <c r="AR861" i="1"/>
  <c r="AC490" i="1"/>
  <c r="AA490" i="1"/>
  <c r="AE490" i="1"/>
  <c r="AG490" i="1"/>
  <c r="AE428" i="1"/>
  <c r="AC428" i="1"/>
  <c r="AC120" i="1"/>
  <c r="AE120" i="1"/>
  <c r="AG120" i="1"/>
  <c r="AA120" i="1"/>
  <c r="AE22" i="1"/>
  <c r="AG22" i="1"/>
  <c r="AA279" i="1"/>
  <c r="AC279" i="1"/>
  <c r="AG279" i="1"/>
  <c r="AE279" i="1"/>
  <c r="AT914" i="1"/>
  <c r="AN914" i="1"/>
  <c r="AP914" i="1"/>
  <c r="AR914" i="1"/>
  <c r="BN518" i="1"/>
  <c r="BR518" i="1"/>
  <c r="BT518" i="1"/>
  <c r="AN695" i="1"/>
  <c r="AT695" i="1"/>
  <c r="AP479" i="1"/>
  <c r="AT479" i="1"/>
  <c r="AN479" i="1"/>
  <c r="AP528" i="1"/>
  <c r="AN528" i="1"/>
  <c r="AT528" i="1"/>
  <c r="AR528" i="1"/>
  <c r="AA498" i="1"/>
  <c r="AG498" i="1"/>
  <c r="AE498" i="1"/>
  <c r="AC498" i="1"/>
  <c r="AG462" i="1"/>
  <c r="AA462" i="1"/>
  <c r="AT579" i="1"/>
  <c r="AR579" i="1"/>
  <c r="AE457" i="1"/>
  <c r="AA457" i="1"/>
  <c r="AG457" i="1"/>
  <c r="AA350" i="1"/>
  <c r="AC350" i="1"/>
  <c r="AE350" i="1"/>
  <c r="AC385" i="1"/>
  <c r="AG385" i="1"/>
  <c r="AE385" i="1"/>
  <c r="AG864" i="1"/>
  <c r="AE864" i="1"/>
  <c r="AC864" i="1"/>
  <c r="AE676" i="1"/>
  <c r="AC676" i="1"/>
  <c r="AE326" i="1"/>
  <c r="AG326" i="1"/>
  <c r="BP205" i="1"/>
  <c r="BR205" i="1"/>
  <c r="BN205" i="1"/>
  <c r="BT205" i="1"/>
  <c r="AN306" i="1"/>
  <c r="AP306" i="1"/>
  <c r="BR26" i="1"/>
  <c r="AC854" i="1"/>
  <c r="AE854" i="1"/>
  <c r="BP939" i="1"/>
  <c r="BN912" i="1"/>
  <c r="BR13" i="1"/>
  <c r="BC610" i="1"/>
  <c r="BC679" i="1"/>
  <c r="BN639" i="1"/>
  <c r="BG44" i="1"/>
  <c r="AA84" i="1"/>
  <c r="AA642" i="1"/>
  <c r="AC473" i="1"/>
  <c r="AC36" i="1"/>
  <c r="AA458" i="1"/>
  <c r="AG603" i="1"/>
  <c r="AG126" i="1"/>
  <c r="AG879" i="1"/>
  <c r="AP48" i="1"/>
  <c r="AP620" i="1"/>
  <c r="AN92" i="1"/>
  <c r="AT283" i="1"/>
  <c r="AR736" i="1"/>
  <c r="AP799" i="1"/>
  <c r="BC547" i="1"/>
  <c r="AE510" i="1"/>
  <c r="BA978" i="1"/>
  <c r="BG398" i="1"/>
  <c r="BA48" i="1"/>
  <c r="BR417" i="1"/>
  <c r="AG930" i="1"/>
  <c r="AC112" i="1"/>
  <c r="AE681" i="1"/>
  <c r="AA22" i="1"/>
  <c r="AA864" i="1"/>
  <c r="AE884" i="1"/>
  <c r="AG434" i="1"/>
  <c r="AT819" i="1"/>
  <c r="AN186" i="1"/>
  <c r="BC895" i="1"/>
  <c r="BT488" i="1"/>
  <c r="AP579" i="1"/>
  <c r="BG906" i="1"/>
  <c r="AT435" i="1"/>
  <c r="AN195" i="1"/>
  <c r="BN25" i="1"/>
  <c r="AN774" i="1"/>
  <c r="BC718" i="1"/>
  <c r="AC368" i="1"/>
  <c r="AC497" i="1"/>
  <c r="AC803" i="1"/>
  <c r="BA598" i="1"/>
  <c r="AP73" i="1"/>
  <c r="BA916" i="1"/>
  <c r="AC671" i="1"/>
  <c r="AE722" i="1"/>
  <c r="AA982" i="1"/>
  <c r="AT991" i="1"/>
  <c r="AC356" i="1"/>
  <c r="AP695" i="1"/>
  <c r="BN17" i="1"/>
  <c r="BE145" i="1"/>
  <c r="AE889" i="1"/>
  <c r="AG990" i="1"/>
  <c r="AG698" i="1"/>
  <c r="AE745" i="1"/>
  <c r="BA714" i="1"/>
  <c r="BN502" i="1"/>
  <c r="AT803" i="1"/>
  <c r="AT179" i="1"/>
  <c r="AR479" i="1"/>
  <c r="AA256" i="1"/>
  <c r="AA428" i="1"/>
  <c r="AE972" i="1"/>
  <c r="AA873" i="1"/>
  <c r="AE873" i="1"/>
  <c r="AG17" i="1"/>
  <c r="AA17" i="1"/>
  <c r="BP872" i="1"/>
  <c r="BR872" i="1"/>
  <c r="AP247" i="1"/>
  <c r="AN247" i="1"/>
  <c r="AA188" i="1"/>
  <c r="BR84" i="1"/>
  <c r="BN84" i="1"/>
  <c r="AR889" i="1"/>
  <c r="AP889" i="1"/>
  <c r="AA82" i="1"/>
  <c r="AN863" i="1"/>
  <c r="AT863" i="1"/>
  <c r="AP863" i="1"/>
  <c r="AG303" i="1"/>
  <c r="AC303" i="1"/>
  <c r="AA303" i="1"/>
  <c r="BN185" i="1"/>
  <c r="BR185" i="1"/>
  <c r="AN1004" i="1"/>
  <c r="AP1004" i="1"/>
  <c r="AT1004" i="1"/>
  <c r="BN198" i="1"/>
  <c r="BT198" i="1"/>
  <c r="AP165" i="1"/>
  <c r="AR165" i="1"/>
  <c r="AE358" i="1"/>
  <c r="AA358" i="1"/>
  <c r="AE424" i="1"/>
  <c r="AG424" i="1"/>
  <c r="BP984" i="1"/>
  <c r="BR984" i="1"/>
  <c r="AN96" i="1"/>
  <c r="AR96" i="1"/>
  <c r="AP96" i="1"/>
  <c r="AR100" i="1"/>
  <c r="AN100" i="1"/>
  <c r="AC262" i="1"/>
  <c r="BP856" i="1"/>
  <c r="BN856" i="1"/>
  <c r="AT852" i="1"/>
  <c r="AR852" i="1"/>
  <c r="AP852" i="1"/>
  <c r="AP315" i="1"/>
  <c r="AN315" i="1"/>
  <c r="AT315" i="1"/>
  <c r="AR315" i="1"/>
  <c r="BE758" i="1"/>
  <c r="BA758" i="1"/>
  <c r="AG47" i="1"/>
  <c r="AC47" i="1"/>
  <c r="AR331" i="1"/>
  <c r="AP331" i="1"/>
  <c r="AN331" i="1"/>
  <c r="AN719" i="1"/>
  <c r="AR719" i="1"/>
  <c r="AP719" i="1"/>
  <c r="AT719" i="1"/>
  <c r="BG541" i="1"/>
  <c r="BE541" i="1"/>
  <c r="BC5" i="1"/>
  <c r="BG5" i="1"/>
  <c r="BE5" i="1"/>
  <c r="AA55" i="1"/>
  <c r="AC55" i="1"/>
  <c r="AG55" i="1"/>
  <c r="AE55" i="1"/>
  <c r="BG728" i="1"/>
  <c r="AA532" i="1"/>
  <c r="AC532" i="1"/>
  <c r="BN221" i="1"/>
  <c r="AN908" i="1"/>
  <c r="AT908" i="1"/>
  <c r="BR118" i="1"/>
  <c r="BC724" i="1"/>
  <c r="BT495" i="1"/>
  <c r="BR495" i="1"/>
  <c r="AC19" i="1"/>
  <c r="AG19" i="1"/>
  <c r="AG975" i="1"/>
  <c r="AE975" i="1"/>
  <c r="AC576" i="1"/>
  <c r="AG576" i="1"/>
  <c r="AE406" i="1"/>
  <c r="AE113" i="1"/>
  <c r="AC113" i="1"/>
  <c r="AA840" i="1"/>
  <c r="AG409" i="1"/>
  <c r="AA409" i="1"/>
  <c r="BA74" i="1"/>
  <c r="BE74" i="1"/>
  <c r="BC74" i="1"/>
  <c r="BG74" i="1"/>
  <c r="BT263" i="1"/>
  <c r="BR263" i="1"/>
  <c r="BC892" i="1"/>
  <c r="BA892" i="1"/>
  <c r="AC251" i="1"/>
  <c r="AA251" i="1"/>
  <c r="AG251" i="1"/>
  <c r="AE251" i="1"/>
  <c r="AA301" i="1"/>
  <c r="AE301" i="1"/>
  <c r="AC301" i="1"/>
  <c r="BA55" i="1"/>
  <c r="BE55" i="1"/>
  <c r="BC55" i="1"/>
  <c r="AP236" i="1"/>
  <c r="AT236" i="1"/>
  <c r="AN236" i="1"/>
  <c r="BT389" i="1"/>
  <c r="BP389" i="1"/>
  <c r="BN389" i="1"/>
  <c r="AR420" i="1"/>
  <c r="AP420" i="1"/>
  <c r="BG233" i="1"/>
  <c r="BE233" i="1"/>
  <c r="BC233" i="1"/>
  <c r="BA233" i="1"/>
  <c r="BG460" i="1"/>
  <c r="BC460" i="1"/>
  <c r="AE625" i="1"/>
  <c r="AC625" i="1"/>
  <c r="AG625" i="1"/>
  <c r="AC429" i="1"/>
  <c r="AE429" i="1"/>
  <c r="AG429" i="1"/>
  <c r="BN376" i="1"/>
  <c r="BT376" i="1"/>
  <c r="BR376" i="1"/>
  <c r="BP376" i="1"/>
  <c r="BA61" i="1"/>
  <c r="BE61" i="1"/>
  <c r="BN962" i="1"/>
  <c r="BT962" i="1"/>
  <c r="BP962" i="1"/>
  <c r="BR962" i="1"/>
  <c r="AE994" i="1"/>
  <c r="AC994" i="1"/>
  <c r="AA994" i="1"/>
  <c r="AN857" i="1"/>
  <c r="AP857" i="1"/>
  <c r="AR857" i="1"/>
  <c r="AR313" i="1"/>
  <c r="AP313" i="1"/>
  <c r="AN313" i="1"/>
  <c r="AT313" i="1"/>
  <c r="AE241" i="1"/>
  <c r="AG241" i="1"/>
  <c r="BR701" i="1"/>
  <c r="BN701" i="1"/>
  <c r="BT701" i="1"/>
  <c r="BN222" i="1"/>
  <c r="BT222" i="1"/>
  <c r="BR222" i="1"/>
  <c r="BP222" i="1"/>
  <c r="AG478" i="1"/>
  <c r="AE478" i="1"/>
  <c r="AC872" i="1"/>
  <c r="AE872" i="1"/>
  <c r="AE933" i="1"/>
  <c r="AA933" i="1"/>
  <c r="AG933" i="1"/>
  <c r="AE426" i="1"/>
  <c r="AG426" i="1"/>
  <c r="AC426" i="1"/>
  <c r="AA426" i="1"/>
  <c r="AE860" i="1"/>
  <c r="AG860" i="1"/>
  <c r="AC860" i="1"/>
  <c r="AE544" i="1"/>
  <c r="AG544" i="1"/>
  <c r="AR951" i="1"/>
  <c r="AP951" i="1"/>
  <c r="AG503" i="1"/>
  <c r="AR98" i="1"/>
  <c r="AN98" i="1"/>
  <c r="AN522" i="1"/>
  <c r="BN939" i="1"/>
  <c r="BT13" i="1"/>
  <c r="AT146" i="1"/>
  <c r="BA679" i="1"/>
  <c r="BT725" i="1"/>
  <c r="BE44" i="1"/>
  <c r="AE473" i="1"/>
  <c r="AC458" i="1"/>
  <c r="AC603" i="1"/>
  <c r="AA126" i="1"/>
  <c r="AA879" i="1"/>
  <c r="AN48" i="1"/>
  <c r="AR620" i="1"/>
  <c r="BP95" i="1"/>
  <c r="AN799" i="1"/>
  <c r="BN637" i="1"/>
  <c r="BT984" i="1"/>
  <c r="AC510" i="1"/>
  <c r="BC978" i="1"/>
  <c r="AR682" i="1"/>
  <c r="AT420" i="1"/>
  <c r="BT871" i="1"/>
  <c r="AN624" i="1"/>
  <c r="AT482" i="1"/>
  <c r="BN263" i="1"/>
  <c r="AN118" i="1"/>
  <c r="BP518" i="1"/>
  <c r="BG61" i="1"/>
  <c r="AA317" i="1"/>
  <c r="AC544" i="1"/>
  <c r="AA326" i="1"/>
  <c r="AC22" i="1"/>
  <c r="AA625" i="1"/>
  <c r="AC884" i="1"/>
  <c r="AG350" i="1"/>
  <c r="AA434" i="1"/>
  <c r="AC457" i="1"/>
  <c r="AT867" i="1"/>
  <c r="AN116" i="1"/>
  <c r="BA460" i="1"/>
  <c r="AN579" i="1"/>
  <c r="BG831" i="1"/>
  <c r="BR856" i="1"/>
  <c r="AG262" i="1"/>
  <c r="AA803" i="1"/>
  <c r="BE598" i="1"/>
  <c r="BT248" i="1"/>
  <c r="AT165" i="1"/>
  <c r="AN163" i="1"/>
  <c r="BN575" i="1"/>
  <c r="AG994" i="1"/>
  <c r="AN546" i="1"/>
  <c r="AT331" i="1"/>
  <c r="BP701" i="1"/>
  <c r="AG358" i="1"/>
  <c r="BE892" i="1"/>
  <c r="AG82" i="1"/>
  <c r="BN342" i="1"/>
  <c r="AA429" i="1"/>
  <c r="AE546" i="1"/>
  <c r="BN578" i="1"/>
  <c r="BT430" i="1"/>
  <c r="AA419" i="1"/>
  <c r="AC419" i="1"/>
  <c r="AE419" i="1"/>
  <c r="BT690" i="1"/>
  <c r="BP690" i="1"/>
  <c r="AT821" i="1"/>
  <c r="AP821" i="1"/>
  <c r="AR821" i="1"/>
  <c r="AN928" i="1"/>
  <c r="AR928" i="1"/>
  <c r="AT928" i="1"/>
  <c r="AG784" i="1"/>
  <c r="AE784" i="1"/>
  <c r="AA784" i="1"/>
  <c r="AA28" i="1"/>
  <c r="AG28" i="1"/>
  <c r="AC28" i="1"/>
  <c r="AE28" i="1"/>
  <c r="AP837" i="1"/>
  <c r="AT837" i="1"/>
  <c r="AE989" i="1"/>
  <c r="AA989" i="1"/>
  <c r="AG989" i="1"/>
  <c r="AC989" i="1"/>
  <c r="BP764" i="1"/>
  <c r="BT764" i="1"/>
  <c r="BR764" i="1"/>
  <c r="BN764" i="1"/>
  <c r="BT870" i="1"/>
  <c r="BR870" i="1"/>
  <c r="BP870" i="1"/>
  <c r="AT749" i="1"/>
  <c r="AR749" i="1"/>
  <c r="AN192" i="1"/>
  <c r="AR192" i="1"/>
  <c r="AP192" i="1"/>
  <c r="BP522" i="1"/>
  <c r="BR522" i="1"/>
  <c r="BT522" i="1"/>
  <c r="BN522" i="1"/>
  <c r="BP285" i="1"/>
  <c r="BN690" i="1"/>
  <c r="BT285" i="1"/>
  <c r="AP928" i="1"/>
  <c r="BR690" i="1"/>
  <c r="BT365" i="1"/>
  <c r="BN365" i="1"/>
  <c r="AA509" i="1"/>
  <c r="AE509" i="1"/>
  <c r="BT583" i="1"/>
  <c r="BR583" i="1"/>
  <c r="AR666" i="1"/>
  <c r="AT666" i="1"/>
  <c r="AP666" i="1"/>
  <c r="AN666" i="1"/>
  <c r="BN709" i="1"/>
  <c r="BP709" i="1"/>
  <c r="BT709" i="1"/>
  <c r="AA211" i="1"/>
  <c r="AG211" i="1"/>
  <c r="AE211" i="1"/>
  <c r="AP181" i="1"/>
  <c r="AR181" i="1"/>
  <c r="AP984" i="1"/>
  <c r="AR984" i="1"/>
  <c r="AN293" i="1"/>
  <c r="AT293" i="1"/>
  <c r="AE175" i="1"/>
  <c r="AC175" i="1"/>
  <c r="AA175" i="1"/>
  <c r="AG518" i="1"/>
  <c r="AA518" i="1"/>
  <c r="AC518" i="1"/>
  <c r="AP798" i="1"/>
  <c r="AR798" i="1"/>
  <c r="AC109" i="1"/>
  <c r="AE109" i="1"/>
  <c r="AC212" i="1"/>
  <c r="AR471" i="1"/>
  <c r="AN917" i="1"/>
  <c r="AN989" i="1"/>
  <c r="AG509" i="1"/>
  <c r="AN946" i="1"/>
  <c r="AN509" i="1"/>
  <c r="AC211" i="1"/>
  <c r="BR709" i="1"/>
  <c r="BN583" i="1"/>
  <c r="AP201" i="1"/>
  <c r="AN201" i="1"/>
  <c r="AE560" i="1"/>
  <c r="BT453" i="1"/>
  <c r="AP498" i="1"/>
  <c r="BC856" i="1"/>
  <c r="BG868" i="1"/>
  <c r="BN103" i="1"/>
  <c r="AP16" i="1"/>
  <c r="BA964" i="1"/>
  <c r="BR318" i="1"/>
  <c r="AR561" i="1"/>
  <c r="BG112" i="1"/>
  <c r="AR117" i="1"/>
  <c r="BT18" i="1"/>
  <c r="BG556" i="1"/>
  <c r="BN45" i="1"/>
  <c r="AP942" i="1"/>
  <c r="AT305" i="1"/>
  <c r="BT99" i="1"/>
  <c r="AA323" i="1"/>
  <c r="AA111" i="1"/>
  <c r="AN418" i="1"/>
  <c r="AN939" i="1"/>
  <c r="BP55" i="1"/>
  <c r="BC377" i="1"/>
  <c r="BG686" i="1"/>
  <c r="AE169" i="1"/>
  <c r="AC237" i="1"/>
  <c r="BE579" i="1"/>
  <c r="BT317" i="1"/>
  <c r="AT248" i="1"/>
  <c r="BT45" i="1"/>
  <c r="BG788" i="1"/>
  <c r="BG315" i="1"/>
  <c r="AE159" i="1"/>
  <c r="AG323" i="1"/>
  <c r="AC286" i="1"/>
  <c r="BC754" i="1"/>
  <c r="BE377" i="1"/>
  <c r="BT150" i="1"/>
  <c r="AA602" i="1"/>
  <c r="AG913" i="1"/>
  <c r="AC969" i="1"/>
  <c r="AG346" i="1"/>
  <c r="AR182" i="1"/>
  <c r="BR202" i="1"/>
  <c r="AG403" i="1"/>
  <c r="AP409" i="1"/>
  <c r="AR79" i="1"/>
  <c r="AP95" i="1"/>
  <c r="BA688" i="1"/>
  <c r="AE235" i="1"/>
  <c r="AT831" i="1"/>
  <c r="AR831" i="1"/>
  <c r="AA707" i="1"/>
  <c r="AE707" i="1"/>
  <c r="AG707" i="1"/>
  <c r="BP532" i="1"/>
  <c r="BN532" i="1"/>
  <c r="AA176" i="1"/>
  <c r="AG605" i="1"/>
  <c r="AE605" i="1"/>
  <c r="AC76" i="1"/>
  <c r="AA76" i="1"/>
  <c r="AR583" i="1"/>
  <c r="AN605" i="1"/>
  <c r="AT605" i="1"/>
  <c r="AR605" i="1"/>
  <c r="BC77" i="1"/>
  <c r="BN500" i="1"/>
  <c r="BP500" i="1"/>
  <c r="BA965" i="1"/>
  <c r="BG965" i="1"/>
  <c r="AC567" i="1"/>
  <c r="AE567" i="1"/>
  <c r="AC880" i="1"/>
  <c r="AA880" i="1"/>
  <c r="AA287" i="1"/>
  <c r="AA674" i="1"/>
  <c r="AC674" i="1"/>
  <c r="AC482" i="1"/>
  <c r="AE654" i="1"/>
  <c r="AC654" i="1"/>
  <c r="AT981" i="1"/>
  <c r="AN981" i="1"/>
  <c r="AN212" i="1"/>
  <c r="AR212" i="1"/>
  <c r="BP705" i="1"/>
  <c r="BR705" i="1"/>
  <c r="BN705" i="1"/>
  <c r="AR566" i="1"/>
  <c r="AP566" i="1"/>
  <c r="AT566" i="1"/>
  <c r="AP534" i="1"/>
  <c r="AN534" i="1"/>
  <c r="AT446" i="1"/>
  <c r="AT898" i="1"/>
  <c r="AA923" i="1"/>
  <c r="AP818" i="1"/>
  <c r="BC72" i="1"/>
  <c r="BE72" i="1"/>
  <c r="AP715" i="1"/>
  <c r="AA226" i="1"/>
  <c r="AC226" i="1"/>
  <c r="AG640" i="1"/>
  <c r="AA640" i="1"/>
  <c r="AC640" i="1"/>
  <c r="AN950" i="1"/>
  <c r="AG886" i="1"/>
  <c r="AE886" i="1"/>
  <c r="AA886" i="1"/>
  <c r="AE248" i="1"/>
  <c r="AA248" i="1"/>
  <c r="BT775" i="1"/>
  <c r="BG948" i="1"/>
  <c r="BA948" i="1"/>
  <c r="AA388" i="1"/>
  <c r="AC388" i="1"/>
  <c r="AR257" i="1"/>
  <c r="AT257" i="1"/>
  <c r="AP751" i="1"/>
  <c r="AN751" i="1"/>
  <c r="AC600" i="1"/>
  <c r="AG600" i="1"/>
  <c r="AP612" i="1"/>
  <c r="AT612" i="1"/>
  <c r="BR296" i="1"/>
  <c r="BP296" i="1"/>
  <c r="AE641" i="1"/>
  <c r="AE278" i="1"/>
  <c r="AA278" i="1"/>
  <c r="AC278" i="1"/>
  <c r="AC549" i="1"/>
  <c r="AA549" i="1"/>
  <c r="AE696" i="1"/>
  <c r="AA696" i="1"/>
  <c r="AA918" i="1"/>
  <c r="AC918" i="1"/>
  <c r="AC773" i="1"/>
  <c r="AG465" i="1"/>
  <c r="AA465" i="1"/>
  <c r="BE47" i="1"/>
  <c r="BA47" i="1"/>
  <c r="AR86" i="1"/>
  <c r="AP86" i="1"/>
  <c r="AR781" i="1"/>
  <c r="AN781" i="1"/>
  <c r="AT781" i="1"/>
  <c r="AA383" i="1"/>
  <c r="AG383" i="1"/>
  <c r="AE792" i="1"/>
  <c r="BE836" i="1"/>
  <c r="BE902" i="1"/>
  <c r="BN514" i="1"/>
  <c r="BC431" i="1"/>
  <c r="BT106" i="1"/>
  <c r="BT188" i="1"/>
  <c r="AT739" i="1"/>
  <c r="AP467" i="1"/>
  <c r="BA315" i="1"/>
  <c r="AC111" i="1"/>
  <c r="AC90" i="1"/>
  <c r="AE650" i="1"/>
  <c r="BE180" i="1"/>
  <c r="BA754" i="1"/>
  <c r="AT910" i="1"/>
  <c r="AN664" i="1"/>
  <c r="AT939" i="1"/>
  <c r="BR55" i="1"/>
  <c r="AA327" i="1"/>
  <c r="AA324" i="1"/>
  <c r="AA819" i="1"/>
  <c r="AR296" i="1"/>
  <c r="AT982" i="1"/>
  <c r="BN15" i="1"/>
  <c r="BR395" i="1"/>
  <c r="AN409" i="1"/>
  <c r="AR95" i="1"/>
  <c r="BN775" i="1"/>
  <c r="AE918" i="1"/>
  <c r="AA567" i="1"/>
  <c r="AC886" i="1"/>
  <c r="AP981" i="1"/>
  <c r="AP605" i="1"/>
  <c r="BG47" i="1"/>
  <c r="AC679" i="1"/>
  <c r="AA679" i="1"/>
  <c r="AA521" i="1"/>
  <c r="AE521" i="1"/>
  <c r="BN422" i="1"/>
  <c r="BT422" i="1"/>
  <c r="AA247" i="1"/>
  <c r="AC247" i="1"/>
  <c r="AA43" i="1"/>
  <c r="BP432" i="1"/>
  <c r="BR432" i="1"/>
  <c r="BE79" i="1"/>
  <c r="BG79" i="1"/>
  <c r="AP708" i="1"/>
  <c r="AT708" i="1"/>
  <c r="BC677" i="1"/>
  <c r="BA677" i="1"/>
  <c r="BR662" i="1"/>
  <c r="BG769" i="1"/>
  <c r="BE769" i="1"/>
  <c r="BG520" i="1"/>
  <c r="BC593" i="1"/>
  <c r="BE593" i="1"/>
  <c r="BC926" i="1"/>
  <c r="BE926" i="1"/>
  <c r="AN258" i="1"/>
  <c r="AP258" i="1"/>
  <c r="AR38" i="1"/>
  <c r="AT634" i="1"/>
  <c r="BN592" i="1"/>
  <c r="BG657" i="1"/>
  <c r="BA564" i="1"/>
  <c r="BC564" i="1"/>
  <c r="AC981" i="1"/>
  <c r="AG981" i="1"/>
  <c r="AG88" i="1"/>
  <c r="AC88" i="1"/>
  <c r="AR172" i="1"/>
  <c r="AP172" i="1"/>
  <c r="AN297" i="1"/>
  <c r="AR297" i="1"/>
  <c r="BP857" i="1"/>
  <c r="BT857" i="1"/>
  <c r="BG200" i="1"/>
  <c r="BA200" i="1"/>
  <c r="AP108" i="1"/>
  <c r="AR108" i="1"/>
  <c r="AP848" i="1"/>
  <c r="AT848" i="1"/>
  <c r="BN806" i="1"/>
  <c r="BP806" i="1"/>
  <c r="AE61" i="1"/>
  <c r="AC61" i="1"/>
  <c r="AC195" i="1"/>
  <c r="AE195" i="1"/>
  <c r="AC56" i="1"/>
  <c r="AA56" i="1"/>
  <c r="AT995" i="1"/>
  <c r="AP995" i="1"/>
  <c r="AN793" i="1"/>
  <c r="AR793" i="1"/>
  <c r="BE188" i="1"/>
  <c r="BG188" i="1"/>
  <c r="BN213" i="1"/>
  <c r="BP213" i="1"/>
  <c r="AE156" i="1"/>
  <c r="AA156" i="1"/>
  <c r="AR263" i="1"/>
  <c r="AP263" i="1"/>
  <c r="AN72" i="1"/>
  <c r="BA368" i="1"/>
  <c r="BC368" i="1"/>
  <c r="BC656" i="1"/>
  <c r="BA656" i="1"/>
  <c r="AC414" i="1"/>
  <c r="AE414" i="1"/>
  <c r="AG414" i="1"/>
  <c r="AT586" i="1"/>
  <c r="AN586" i="1"/>
  <c r="AT967" i="1"/>
  <c r="AN967" i="1"/>
  <c r="AE584" i="1"/>
  <c r="AG584" i="1"/>
  <c r="AA850" i="1"/>
  <c r="AG850" i="1"/>
  <c r="AC100" i="1"/>
  <c r="AA100" i="1"/>
  <c r="AE100" i="1"/>
  <c r="AR785" i="1"/>
  <c r="AN785" i="1"/>
  <c r="BN70" i="1"/>
  <c r="BR70" i="1"/>
  <c r="BT70" i="1"/>
  <c r="AP745" i="1"/>
  <c r="AN745" i="1"/>
  <c r="BE655" i="1"/>
  <c r="BC655" i="1"/>
  <c r="BA655" i="1"/>
  <c r="AE746" i="1"/>
  <c r="AG746" i="1"/>
  <c r="AA769" i="1"/>
  <c r="AG787" i="1"/>
  <c r="AC787" i="1"/>
  <c r="BP120" i="1"/>
  <c r="AR722" i="1"/>
  <c r="AN722" i="1"/>
  <c r="BN91" i="1"/>
  <c r="BC139" i="1"/>
  <c r="BG139" i="1"/>
  <c r="BA139" i="1"/>
  <c r="BP802" i="1"/>
  <c r="BR802" i="1"/>
  <c r="AN302" i="1"/>
  <c r="AR302" i="1"/>
  <c r="BC847" i="1"/>
  <c r="BA847" i="1"/>
  <c r="AA847" i="1"/>
  <c r="AC847" i="1"/>
  <c r="AA370" i="1"/>
  <c r="AE370" i="1"/>
  <c r="AP734" i="1"/>
  <c r="AR734" i="1"/>
  <c r="AG491" i="1"/>
  <c r="AA491" i="1"/>
  <c r="AG589" i="1"/>
  <c r="AA589" i="1"/>
  <c r="AC589" i="1"/>
  <c r="AC911" i="1"/>
  <c r="AG911" i="1"/>
  <c r="AA911" i="1"/>
  <c r="AG548" i="1"/>
  <c r="AA548" i="1"/>
  <c r="AA310" i="1"/>
  <c r="AC310" i="1"/>
  <c r="AE310" i="1"/>
  <c r="AC711" i="1"/>
  <c r="AE711" i="1"/>
  <c r="AG293" i="1"/>
  <c r="AA293" i="1"/>
  <c r="AE293" i="1"/>
  <c r="AC951" i="1"/>
  <c r="AA951" i="1"/>
  <c r="AE60" i="1"/>
  <c r="AG60" i="1"/>
  <c r="AN499" i="1"/>
  <c r="AR499" i="1"/>
  <c r="BN246" i="1"/>
  <c r="BT246" i="1"/>
  <c r="AE717" i="1"/>
  <c r="AE976" i="1"/>
  <c r="AG666" i="1"/>
  <c r="AE666" i="1"/>
  <c r="BA662" i="1"/>
  <c r="BE662" i="1"/>
  <c r="BA209" i="1"/>
  <c r="BC209" i="1"/>
  <c r="AG898" i="1"/>
  <c r="AC898" i="1"/>
  <c r="AC493" i="1"/>
  <c r="AE493" i="1"/>
  <c r="BN527" i="1"/>
  <c r="BP527" i="1"/>
  <c r="BA482" i="1"/>
  <c r="BE482" i="1"/>
  <c r="AN572" i="1"/>
  <c r="AP572" i="1"/>
  <c r="BG101" i="1"/>
  <c r="AC750" i="1"/>
  <c r="BE56" i="1"/>
  <c r="BC56" i="1"/>
  <c r="BN462" i="1"/>
  <c r="BT559" i="1"/>
  <c r="BP297" i="1"/>
  <c r="BE674" i="1"/>
  <c r="AT147" i="1"/>
  <c r="AT467" i="1"/>
  <c r="AR299" i="1"/>
  <c r="BC947" i="1"/>
  <c r="AA914" i="1"/>
  <c r="AE57" i="1"/>
  <c r="AE825" i="1"/>
  <c r="BP976" i="1"/>
  <c r="AT105" i="1"/>
  <c r="AT594" i="1"/>
  <c r="AN759" i="1"/>
  <c r="AC37" i="1"/>
  <c r="BE915" i="1"/>
  <c r="BN898" i="1"/>
  <c r="BA750" i="1"/>
  <c r="AP699" i="1"/>
  <c r="BA777" i="1"/>
  <c r="BE515" i="1"/>
  <c r="AR568" i="1"/>
  <c r="AT965" i="1"/>
  <c r="AC108" i="1"/>
  <c r="BN813" i="1"/>
  <c r="BC780" i="1"/>
  <c r="BN286" i="1"/>
  <c r="AN634" i="1"/>
  <c r="BT592" i="1"/>
  <c r="BR295" i="1"/>
  <c r="AN168" i="1"/>
  <c r="AN180" i="1"/>
  <c r="AG899" i="1"/>
  <c r="BN314" i="1"/>
  <c r="AR203" i="1"/>
  <c r="BR968" i="1"/>
  <c r="BT462" i="1"/>
  <c r="BP559" i="1"/>
  <c r="BE777" i="1"/>
  <c r="BC515" i="1"/>
  <c r="BA147" i="1"/>
  <c r="BR297" i="1"/>
  <c r="BN831" i="1"/>
  <c r="BP236" i="1"/>
  <c r="AR147" i="1"/>
  <c r="AT252" i="1"/>
  <c r="AR874" i="1"/>
  <c r="AT113" i="1"/>
  <c r="AP439" i="1"/>
  <c r="BT744" i="1"/>
  <c r="BG731" i="1"/>
  <c r="AA752" i="1"/>
  <c r="AA463" i="1"/>
  <c r="BR590" i="1"/>
  <c r="BN976" i="1"/>
  <c r="BT883" i="1"/>
  <c r="AT492" i="1"/>
  <c r="BC393" i="1"/>
  <c r="BA593" i="1"/>
  <c r="BC520" i="1"/>
  <c r="BA957" i="1"/>
  <c r="BA769" i="1"/>
  <c r="AP634" i="1"/>
  <c r="BP592" i="1"/>
  <c r="BC346" i="1"/>
  <c r="BP295" i="1"/>
  <c r="BE657" i="1"/>
  <c r="AT805" i="1"/>
  <c r="BG727" i="1"/>
  <c r="AR168" i="1"/>
  <c r="AP594" i="1"/>
  <c r="AR180" i="1"/>
  <c r="AN484" i="1"/>
  <c r="BE189" i="1"/>
  <c r="BT503" i="1"/>
  <c r="AG14" i="1"/>
  <c r="AC83" i="1"/>
  <c r="AC433" i="1"/>
  <c r="BP89" i="1"/>
  <c r="BR206" i="1"/>
  <c r="AP732" i="1"/>
  <c r="AP442" i="1"/>
  <c r="AP367" i="1"/>
  <c r="AT77" i="1"/>
  <c r="BP38" i="1"/>
  <c r="AE485" i="1"/>
  <c r="AA620" i="1"/>
  <c r="AE959" i="1"/>
  <c r="AN150" i="1"/>
  <c r="AR119" i="1"/>
  <c r="AT74" i="1"/>
  <c r="BE979" i="1"/>
  <c r="BR468" i="1"/>
  <c r="BP104" i="1"/>
  <c r="AG731" i="1"/>
  <c r="AC1003" i="1"/>
  <c r="AE204" i="1"/>
  <c r="AC547" i="1"/>
  <c r="AR655" i="1"/>
  <c r="BC111" i="1"/>
  <c r="AN55" i="1"/>
  <c r="AP658" i="1"/>
  <c r="AR572" i="1"/>
  <c r="BT120" i="1"/>
  <c r="BE172" i="1"/>
  <c r="AE664" i="1"/>
  <c r="BG443" i="1"/>
  <c r="AT734" i="1"/>
  <c r="AT726" i="1"/>
  <c r="BG482" i="1"/>
  <c r="BR527" i="1"/>
  <c r="AA898" i="1"/>
  <c r="BN22" i="1"/>
  <c r="BE209" i="1"/>
  <c r="AA60" i="1"/>
  <c r="AC165" i="1"/>
  <c r="AG847" i="1"/>
  <c r="AG154" i="1"/>
  <c r="AC858" i="1"/>
  <c r="AC548" i="1"/>
  <c r="AC764" i="1"/>
  <c r="BC489" i="1"/>
  <c r="AT302" i="1"/>
  <c r="AR221" i="1"/>
  <c r="AT722" i="1"/>
  <c r="AP586" i="1"/>
  <c r="AC180" i="1"/>
  <c r="AE541" i="1"/>
  <c r="AG499" i="1"/>
  <c r="AE517" i="1"/>
  <c r="AE787" i="1"/>
  <c r="AE769" i="1"/>
  <c r="AA746" i="1"/>
  <c r="AA980" i="1"/>
  <c r="BE139" i="1"/>
  <c r="BP70" i="1"/>
  <c r="AT785" i="1"/>
  <c r="AC850" i="1"/>
  <c r="AC584" i="1"/>
  <c r="AT480" i="1"/>
  <c r="BA291" i="1"/>
  <c r="AT89" i="1"/>
  <c r="BA1001" i="1"/>
  <c r="BG662" i="1"/>
  <c r="AP499" i="1"/>
  <c r="AC293" i="1"/>
  <c r="AG739" i="1"/>
  <c r="AA739" i="1"/>
  <c r="AG552" i="1"/>
  <c r="AE552" i="1"/>
  <c r="AC657" i="1"/>
  <c r="AA657" i="1"/>
  <c r="BP325" i="1"/>
  <c r="BT325" i="1"/>
  <c r="BC433" i="1"/>
  <c r="AC607" i="1"/>
  <c r="AG593" i="1"/>
  <c r="AE693" i="1"/>
  <c r="AE954" i="1"/>
  <c r="AA290" i="1"/>
  <c r="AG896" i="1"/>
  <c r="AA757" i="1"/>
  <c r="AC739" i="1"/>
  <c r="AE93" i="1"/>
  <c r="AA552" i="1"/>
  <c r="AE298" i="1"/>
  <c r="BE680" i="1"/>
  <c r="BC680" i="1"/>
  <c r="AN801" i="1"/>
  <c r="AT801" i="1"/>
  <c r="AG868" i="1"/>
  <c r="AC868" i="1"/>
  <c r="AG531" i="1"/>
  <c r="AE531" i="1"/>
  <c r="AA430" i="1"/>
  <c r="AG430" i="1"/>
  <c r="AC430" i="1"/>
  <c r="BP372" i="1"/>
  <c r="BN372" i="1"/>
  <c r="BN778" i="1"/>
  <c r="BR778" i="1"/>
  <c r="BG883" i="1"/>
  <c r="BA883" i="1"/>
  <c r="BN194" i="1"/>
  <c r="BT194" i="1"/>
  <c r="BP194" i="1"/>
  <c r="AR681" i="1"/>
  <c r="AN681" i="1"/>
  <c r="AR741" i="1"/>
  <c r="AP741" i="1"/>
  <c r="BP224" i="1"/>
  <c r="BR224" i="1"/>
  <c r="BC428" i="1"/>
  <c r="BA428" i="1"/>
  <c r="BR748" i="1"/>
  <c r="BP748" i="1"/>
  <c r="AG960" i="1"/>
  <c r="AE960" i="1"/>
  <c r="AA960" i="1"/>
  <c r="AC588" i="1"/>
  <c r="AE588" i="1"/>
  <c r="AC555" i="1"/>
  <c r="AE555" i="1"/>
  <c r="AG314" i="1"/>
  <c r="AE314" i="1"/>
  <c r="AC777" i="1"/>
  <c r="AA777" i="1"/>
  <c r="AG777" i="1"/>
  <c r="AC92" i="1"/>
  <c r="AE92" i="1"/>
  <c r="BG210" i="1"/>
  <c r="BE210" i="1"/>
  <c r="BA210" i="1"/>
  <c r="BE166" i="1"/>
  <c r="BG166" i="1"/>
  <c r="AT842" i="1"/>
  <c r="AR842" i="1"/>
  <c r="AT555" i="1"/>
  <c r="AP555" i="1"/>
  <c r="AR555" i="1"/>
  <c r="AT656" i="1"/>
  <c r="AN656" i="1"/>
  <c r="AN841" i="1"/>
  <c r="AR841" i="1"/>
  <c r="AT166" i="1"/>
  <c r="AP166" i="1"/>
  <c r="AR673" i="1"/>
  <c r="AN673" i="1"/>
  <c r="AT90" i="1"/>
  <c r="AP90" i="1"/>
  <c r="BA356" i="1"/>
  <c r="BE356" i="1"/>
  <c r="BG356" i="1"/>
  <c r="BG991" i="1"/>
  <c r="BA991" i="1"/>
  <c r="BE991" i="1"/>
  <c r="BP568" i="1"/>
  <c r="BT568" i="1"/>
  <c r="BN833" i="1"/>
  <c r="BT833" i="1"/>
  <c r="AR224" i="1"/>
  <c r="AN224" i="1"/>
  <c r="AN986" i="1"/>
  <c r="AT986" i="1"/>
  <c r="AP986" i="1"/>
  <c r="BT887" i="1"/>
  <c r="BN887" i="1"/>
  <c r="BP887" i="1"/>
  <c r="BP900" i="1"/>
  <c r="BN900" i="1"/>
  <c r="BR900" i="1"/>
  <c r="AN938" i="1"/>
  <c r="AR938" i="1"/>
  <c r="BN658" i="1"/>
  <c r="BT658" i="1"/>
  <c r="BR201" i="1"/>
  <c r="BT201" i="1"/>
  <c r="BN201" i="1"/>
  <c r="BC822" i="1"/>
  <c r="BE822" i="1"/>
  <c r="BG822" i="1"/>
  <c r="BA783" i="1"/>
  <c r="BG783" i="1"/>
  <c r="BG535" i="1"/>
  <c r="BE535" i="1"/>
  <c r="BC535" i="1"/>
  <c r="BA535" i="1"/>
  <c r="AR699" i="1"/>
  <c r="AT699" i="1"/>
  <c r="BR797" i="1"/>
  <c r="BN797" i="1"/>
  <c r="BP797" i="1"/>
  <c r="BE864" i="1"/>
  <c r="BC864" i="1"/>
  <c r="AN144" i="1"/>
  <c r="AR144" i="1"/>
  <c r="AP144" i="1"/>
  <c r="AT200" i="1"/>
  <c r="AN200" i="1"/>
  <c r="AR200" i="1"/>
  <c r="BN392" i="1"/>
  <c r="BT392" i="1"/>
  <c r="BR392" i="1"/>
  <c r="BR838" i="1"/>
  <c r="BN838" i="1"/>
  <c r="BP838" i="1"/>
  <c r="BP303" i="1"/>
  <c r="BR303" i="1"/>
  <c r="BN303" i="1"/>
  <c r="BE947" i="1"/>
  <c r="BA947" i="1"/>
  <c r="BG224" i="1"/>
  <c r="BE224" i="1"/>
  <c r="AN671" i="1"/>
  <c r="AP671" i="1"/>
  <c r="AR811" i="1"/>
  <c r="AT811" i="1"/>
  <c r="AN811" i="1"/>
  <c r="BE185" i="1"/>
  <c r="BG185" i="1"/>
  <c r="BC185" i="1"/>
  <c r="AP123" i="1"/>
  <c r="AN123" i="1"/>
  <c r="AN713" i="1"/>
  <c r="AR713" i="1"/>
  <c r="AT713" i="1"/>
  <c r="AT470" i="1"/>
  <c r="AP470" i="1"/>
  <c r="AN245" i="1"/>
  <c r="AP245" i="1"/>
  <c r="AP965" i="1"/>
  <c r="AN965" i="1"/>
  <c r="AN449" i="1"/>
  <c r="AP449" i="1"/>
  <c r="AT449" i="1"/>
  <c r="AN111" i="1"/>
  <c r="AR111" i="1"/>
  <c r="AN568" i="1"/>
  <c r="AT568" i="1"/>
  <c r="BN424" i="1"/>
  <c r="BP424" i="1"/>
  <c r="BR424" i="1"/>
  <c r="BP803" i="1"/>
  <c r="BN803" i="1"/>
  <c r="BE301" i="1"/>
  <c r="BG301" i="1"/>
  <c r="BC301" i="1"/>
  <c r="AN935" i="1"/>
  <c r="AR935" i="1"/>
  <c r="AP935" i="1"/>
  <c r="BT496" i="1"/>
  <c r="BN496" i="1"/>
  <c r="BP496" i="1"/>
  <c r="BP897" i="1"/>
  <c r="BN897" i="1"/>
  <c r="AP644" i="1"/>
  <c r="AN644" i="1"/>
  <c r="AR84" i="1"/>
  <c r="AT84" i="1"/>
  <c r="BN473" i="1"/>
  <c r="BT473" i="1"/>
  <c r="BP473" i="1"/>
  <c r="BR645" i="1"/>
  <c r="BN645" i="1"/>
  <c r="BT645" i="1"/>
  <c r="BP623" i="1"/>
  <c r="BT623" i="1"/>
  <c r="BT738" i="1"/>
  <c r="BN738" i="1"/>
  <c r="BC276" i="1"/>
  <c r="BA276" i="1"/>
  <c r="BP260" i="1"/>
  <c r="BR260" i="1"/>
  <c r="BT260" i="1"/>
  <c r="BT860" i="1"/>
  <c r="BP860" i="1"/>
  <c r="BR860" i="1"/>
  <c r="AT472" i="1"/>
  <c r="AR472" i="1"/>
  <c r="BA848" i="1"/>
  <c r="BC848" i="1"/>
  <c r="AP789" i="1"/>
  <c r="AR789" i="1"/>
  <c r="AC216" i="1"/>
  <c r="AA216" i="1"/>
  <c r="AC591" i="1"/>
  <c r="AG591" i="1"/>
  <c r="AA591" i="1"/>
  <c r="AA136" i="1"/>
  <c r="AC136" i="1"/>
  <c r="BN866" i="1"/>
  <c r="BP866" i="1"/>
  <c r="BP239" i="1"/>
  <c r="BR239" i="1"/>
  <c r="AN631" i="1"/>
  <c r="AR631" i="1"/>
  <c r="AT930" i="1"/>
  <c r="AP930" i="1"/>
  <c r="AR930" i="1"/>
  <c r="AR213" i="1"/>
  <c r="AP213" i="1"/>
  <c r="AT213" i="1"/>
  <c r="AT249" i="1"/>
  <c r="AR249" i="1"/>
  <c r="BN850" i="1"/>
  <c r="BT850" i="1"/>
  <c r="BP686" i="1"/>
  <c r="BR686" i="1"/>
  <c r="BN686" i="1"/>
  <c r="AG949" i="1"/>
  <c r="AA949" i="1"/>
  <c r="AG382" i="1"/>
  <c r="AC382" i="1"/>
  <c r="AA705" i="1"/>
  <c r="AE705" i="1"/>
  <c r="AG529" i="1"/>
  <c r="AA529" i="1"/>
  <c r="AA184" i="1"/>
  <c r="AC184" i="1"/>
  <c r="AG184" i="1"/>
  <c r="AE103" i="1"/>
  <c r="AG103" i="1"/>
  <c r="BP885" i="1"/>
  <c r="BT885" i="1"/>
  <c r="BN885" i="1"/>
  <c r="BP698" i="1"/>
  <c r="BT698" i="1"/>
  <c r="BP358" i="1"/>
  <c r="BT358" i="1"/>
  <c r="BN358" i="1"/>
  <c r="BP760" i="1"/>
  <c r="BT760" i="1"/>
  <c r="BR760" i="1"/>
  <c r="AT789" i="1"/>
  <c r="BE783" i="1"/>
  <c r="AT938" i="1"/>
  <c r="AP200" i="1"/>
  <c r="AT144" i="1"/>
  <c r="AA474" i="1"/>
  <c r="AC467" i="1"/>
  <c r="BG428" i="1"/>
  <c r="AE136" i="1"/>
  <c r="AR166" i="1"/>
  <c r="BA257" i="1"/>
  <c r="BC257" i="1"/>
  <c r="BR542" i="1"/>
  <c r="BT542" i="1"/>
  <c r="BP542" i="1"/>
  <c r="AP241" i="1"/>
  <c r="AN241" i="1"/>
  <c r="AG1002" i="1"/>
  <c r="AE1002" i="1"/>
  <c r="AG592" i="1"/>
  <c r="AE592" i="1"/>
  <c r="AC756" i="1"/>
  <c r="AG756" i="1"/>
  <c r="AE756" i="1"/>
  <c r="AA336" i="1"/>
  <c r="AC336" i="1"/>
  <c r="BR195" i="1"/>
  <c r="BN195" i="1"/>
  <c r="BA169" i="1"/>
  <c r="BC169" i="1"/>
  <c r="BG169" i="1"/>
  <c r="AN766" i="1"/>
  <c r="AT766" i="1"/>
  <c r="AN350" i="1"/>
  <c r="AT350" i="1"/>
  <c r="AR350" i="1"/>
  <c r="AT383" i="1"/>
  <c r="AP383" i="1"/>
  <c r="AR383" i="1"/>
  <c r="AN941" i="1"/>
  <c r="AT941" i="1"/>
  <c r="AT426" i="1"/>
  <c r="AN426" i="1"/>
  <c r="AG347" i="1"/>
  <c r="AC347" i="1"/>
  <c r="AE347" i="1"/>
  <c r="AN708" i="1"/>
  <c r="BP953" i="1"/>
  <c r="BA79" i="1"/>
  <c r="AP801" i="1"/>
  <c r="BP201" i="1"/>
  <c r="AG682" i="1"/>
  <c r="BP850" i="1"/>
  <c r="AT681" i="1"/>
  <c r="BN239" i="1"/>
  <c r="AA531" i="1"/>
  <c r="BP662" i="1"/>
  <c r="BA148" i="1"/>
  <c r="AN492" i="1"/>
  <c r="BG926" i="1"/>
  <c r="BN662" i="1"/>
  <c r="BT286" i="1"/>
  <c r="AR105" i="1"/>
  <c r="BE148" i="1"/>
  <c r="BA520" i="1"/>
  <c r="BG677" i="1"/>
  <c r="BG957" i="1"/>
  <c r="BE525" i="1"/>
  <c r="BN958" i="1"/>
  <c r="BR958" i="1"/>
  <c r="BT905" i="1"/>
  <c r="BR905" i="1"/>
  <c r="AT709" i="1"/>
  <c r="AN709" i="1"/>
  <c r="AP709" i="1"/>
  <c r="BC274" i="1"/>
  <c r="BG274" i="1"/>
  <c r="BA274" i="1"/>
  <c r="BG203" i="1"/>
  <c r="BE203" i="1"/>
  <c r="BA203" i="1"/>
  <c r="AP899" i="1"/>
  <c r="AT899" i="1"/>
  <c r="BA349" i="1"/>
  <c r="BE349" i="1"/>
  <c r="BC349" i="1"/>
  <c r="BR940" i="1"/>
  <c r="BP940" i="1"/>
  <c r="BN940" i="1"/>
  <c r="BA588" i="1"/>
  <c r="BG588" i="1"/>
  <c r="BE388" i="1"/>
  <c r="BA388" i="1"/>
  <c r="BC388" i="1"/>
  <c r="AR335" i="1"/>
  <c r="AP335" i="1"/>
  <c r="AN335" i="1"/>
  <c r="BE34" i="1"/>
  <c r="BG34" i="1"/>
  <c r="BA34" i="1"/>
  <c r="N41" i="51" s="1"/>
  <c r="BT406" i="1"/>
  <c r="BR406" i="1"/>
  <c r="BN406" i="1"/>
  <c r="BA231" i="1"/>
  <c r="BG231" i="1"/>
  <c r="BE231" i="1"/>
  <c r="AT379" i="1"/>
  <c r="AN379" i="1"/>
  <c r="AR397" i="1"/>
  <c r="AP397" i="1"/>
  <c r="BT910" i="1"/>
  <c r="BP910" i="1"/>
  <c r="BN907" i="1"/>
  <c r="BT907" i="1"/>
  <c r="AR115" i="1"/>
  <c r="AT115" i="1"/>
  <c r="AP115" i="1"/>
  <c r="AP888" i="1"/>
  <c r="AT888" i="1"/>
  <c r="AR888" i="1"/>
  <c r="AV888" i="1" s="1"/>
  <c r="AT221" i="1"/>
  <c r="AP221" i="1"/>
  <c r="BR591" i="1"/>
  <c r="BN591" i="1"/>
  <c r="AC8" i="1"/>
  <c r="AA91" i="1"/>
  <c r="AC91" i="1"/>
  <c r="AA37" i="1"/>
  <c r="AG37" i="1"/>
  <c r="AC517" i="1"/>
  <c r="AA517" i="1"/>
  <c r="AA433" i="1"/>
  <c r="AG433" i="1"/>
  <c r="AE444" i="1"/>
  <c r="AC444" i="1"/>
  <c r="AG395" i="1"/>
  <c r="AE395" i="1"/>
  <c r="AG342" i="1"/>
  <c r="AC342" i="1"/>
  <c r="AA342" i="1"/>
  <c r="AI342" i="1" s="1"/>
  <c r="BN798" i="1"/>
  <c r="BT798" i="1"/>
  <c r="BE564" i="1"/>
  <c r="BG564" i="1"/>
  <c r="BN206" i="1"/>
  <c r="BP206" i="1"/>
  <c r="AN423" i="1"/>
  <c r="AP423" i="1"/>
  <c r="BP590" i="1"/>
  <c r="AP492" i="1"/>
  <c r="BE677" i="1"/>
  <c r="BP958" i="1"/>
  <c r="AC835" i="1"/>
  <c r="AR177" i="1"/>
  <c r="AN712" i="1"/>
  <c r="AR978" i="1"/>
  <c r="AG867" i="1"/>
  <c r="BC594" i="1"/>
  <c r="AP120" i="1"/>
  <c r="AN394" i="1"/>
  <c r="BG41" i="1"/>
  <c r="BC41" i="1"/>
  <c r="AG343" i="1"/>
  <c r="AE343" i="1"/>
  <c r="BP449" i="1"/>
  <c r="BR449" i="1"/>
  <c r="BC767" i="1"/>
  <c r="BA767" i="1"/>
  <c r="BT537" i="1"/>
  <c r="BR537" i="1"/>
  <c r="BP537" i="1"/>
  <c r="AP797" i="1"/>
  <c r="AN797" i="1"/>
  <c r="AR770" i="1"/>
  <c r="AT770" i="1"/>
  <c r="AR473" i="1"/>
  <c r="AP473" i="1"/>
  <c r="BE255" i="1"/>
  <c r="BG255" i="1"/>
  <c r="BR381" i="1"/>
  <c r="BT381" i="1"/>
  <c r="BN577" i="1"/>
  <c r="BP577" i="1"/>
  <c r="BP877" i="1"/>
  <c r="BT877" i="1"/>
  <c r="BA329" i="1"/>
  <c r="BE329" i="1"/>
  <c r="BN348" i="1"/>
  <c r="BR348" i="1"/>
  <c r="BR242" i="1"/>
  <c r="BP242" i="1"/>
  <c r="BA854" i="1"/>
  <c r="BE854" i="1"/>
  <c r="BC282" i="1"/>
  <c r="BA282" i="1"/>
  <c r="BC560" i="1"/>
  <c r="BE560" i="1"/>
  <c r="BA560" i="1"/>
  <c r="BT483" i="1"/>
  <c r="BP483" i="1"/>
  <c r="BN483" i="1"/>
  <c r="AR462" i="1"/>
  <c r="AN462" i="1"/>
  <c r="BP966" i="1"/>
  <c r="BR966" i="1"/>
  <c r="BT966" i="1"/>
  <c r="BT181" i="1"/>
  <c r="BN181" i="1"/>
  <c r="BC804" i="1"/>
  <c r="BG804" i="1"/>
  <c r="BE804" i="1"/>
  <c r="AR878" i="1"/>
  <c r="AP878" i="1"/>
  <c r="AP633" i="1"/>
  <c r="AT633" i="1"/>
  <c r="AN633" i="1"/>
  <c r="AR633" i="1"/>
  <c r="AP543" i="1"/>
  <c r="AT543" i="1"/>
  <c r="BT277" i="1"/>
  <c r="BR277" i="1"/>
  <c r="AG817" i="1"/>
  <c r="AR999" i="1"/>
  <c r="AT999" i="1"/>
  <c r="AT720" i="1"/>
  <c r="AN720" i="1"/>
  <c r="AN114" i="1"/>
  <c r="AP114" i="1"/>
  <c r="BP1000" i="1"/>
  <c r="BT1000" i="1"/>
  <c r="BP20" i="1"/>
  <c r="BR20" i="1"/>
  <c r="BP322" i="1"/>
  <c r="BR322" i="1"/>
  <c r="AR327" i="1"/>
  <c r="AN327" i="1"/>
  <c r="AE316" i="1"/>
  <c r="AA316" i="1"/>
  <c r="AR702" i="1"/>
  <c r="AN702" i="1"/>
  <c r="BR981" i="1"/>
  <c r="BT981" i="1"/>
  <c r="BN981" i="1"/>
  <c r="AN295" i="1"/>
  <c r="AT295" i="1"/>
  <c r="AR295" i="1"/>
  <c r="AT124" i="1"/>
  <c r="AP124" i="1"/>
  <c r="AR124" i="1"/>
  <c r="BC313" i="1"/>
  <c r="BE313" i="1"/>
  <c r="AG651" i="1"/>
  <c r="AA662" i="1"/>
  <c r="AT871" i="1"/>
  <c r="AA907" i="1"/>
  <c r="BR957" i="1"/>
  <c r="BT957" i="1"/>
  <c r="BC688" i="1"/>
  <c r="BG688" i="1"/>
  <c r="AA574" i="1"/>
  <c r="AC574" i="1"/>
  <c r="AG720" i="1"/>
  <c r="AC720" i="1"/>
  <c r="AC146" i="1"/>
  <c r="AA146" i="1"/>
  <c r="AT998" i="1"/>
  <c r="AP998" i="1"/>
  <c r="AP284" i="1"/>
  <c r="AT284" i="1"/>
  <c r="BE885" i="1"/>
  <c r="BG885" i="1"/>
  <c r="BA989" i="1"/>
  <c r="BC989" i="1"/>
  <c r="BT458" i="1"/>
  <c r="BP458" i="1"/>
  <c r="AN128" i="1"/>
  <c r="AT128" i="1"/>
  <c r="BR369" i="1"/>
  <c r="BP369" i="1"/>
  <c r="BN369" i="1"/>
  <c r="BG484" i="1"/>
  <c r="BA484" i="1"/>
  <c r="BC484" i="1"/>
  <c r="AT448" i="1"/>
  <c r="AN448" i="1"/>
  <c r="AR448" i="1"/>
  <c r="AP137" i="1"/>
  <c r="AT137" i="1"/>
  <c r="AN137" i="1"/>
  <c r="AT570" i="1"/>
  <c r="AP570" i="1"/>
  <c r="AN570" i="1"/>
  <c r="BA981" i="1"/>
  <c r="BG981" i="1"/>
  <c r="BR730" i="1"/>
  <c r="BT730" i="1"/>
  <c r="AE387" i="1"/>
  <c r="AG387" i="1"/>
  <c r="AC387" i="1"/>
  <c r="AA387" i="1"/>
  <c r="BA914" i="1"/>
  <c r="AE776" i="1"/>
  <c r="AA337" i="1"/>
  <c r="AE213" i="1"/>
  <c r="AC675" i="1"/>
  <c r="AE767" i="1"/>
  <c r="AA53" i="1"/>
  <c r="AT688" i="1"/>
  <c r="AP688" i="1"/>
  <c r="AN688" i="1"/>
  <c r="AA810" i="1"/>
  <c r="AC810" i="1"/>
  <c r="AE810" i="1"/>
  <c r="AI810" i="1" s="1"/>
  <c r="BG412" i="1"/>
  <c r="BC412" i="1"/>
  <c r="AC427" i="1"/>
  <c r="AE427" i="1"/>
  <c r="BT245" i="1"/>
  <c r="BN245" i="1"/>
  <c r="BP772" i="1"/>
  <c r="BR772" i="1"/>
  <c r="BE490" i="1"/>
  <c r="BC490" i="1"/>
  <c r="BG390" i="1"/>
  <c r="BC390" i="1"/>
  <c r="BC615" i="1"/>
  <c r="BG615" i="1"/>
  <c r="BE988" i="1"/>
  <c r="BG988" i="1"/>
  <c r="BT675" i="1"/>
  <c r="BN675" i="1"/>
  <c r="AP376" i="1"/>
  <c r="AN376" i="1"/>
  <c r="BE901" i="1"/>
  <c r="BA901" i="1"/>
  <c r="BR611" i="1"/>
  <c r="BT611" i="1"/>
  <c r="BG223" i="1"/>
  <c r="BE223" i="1"/>
  <c r="AR348" i="1"/>
  <c r="AN348" i="1"/>
  <c r="BE510" i="1"/>
  <c r="BA510" i="1"/>
  <c r="BC510" i="1"/>
  <c r="AP936" i="1"/>
  <c r="AN936" i="1"/>
  <c r="AN662" i="1"/>
  <c r="AT662" i="1"/>
  <c r="AP613" i="1"/>
  <c r="AR613" i="1"/>
  <c r="AT613" i="1"/>
  <c r="BE943" i="1"/>
  <c r="BG943" i="1"/>
  <c r="AG288" i="1"/>
  <c r="AA288" i="1"/>
  <c r="AC288" i="1"/>
  <c r="AN351" i="1"/>
  <c r="AP351" i="1"/>
  <c r="AN218" i="1"/>
  <c r="AT218" i="1"/>
  <c r="BN948" i="1"/>
  <c r="BP948" i="1"/>
  <c r="AN187" i="1"/>
  <c r="AR187" i="1"/>
  <c r="AT208" i="1"/>
  <c r="AP208" i="1"/>
  <c r="BP344" i="1"/>
  <c r="BR344" i="1"/>
  <c r="BN344" i="1"/>
  <c r="BT382" i="1"/>
  <c r="BR382" i="1"/>
  <c r="AP692" i="1"/>
  <c r="AR692" i="1"/>
  <c r="AG813" i="1"/>
  <c r="BA307" i="1"/>
  <c r="AA866" i="1"/>
  <c r="AE882" i="1"/>
  <c r="AC338" i="1"/>
  <c r="AG338" i="1"/>
  <c r="AE338" i="1"/>
  <c r="AT565" i="1"/>
  <c r="AN565" i="1"/>
  <c r="AP565" i="1"/>
  <c r="AR565" i="1"/>
  <c r="BA732" i="1"/>
  <c r="BE732" i="1"/>
  <c r="BG732" i="1"/>
  <c r="BC732" i="1"/>
  <c r="BN791" i="1"/>
  <c r="BR791" i="1"/>
  <c r="BP791" i="1"/>
  <c r="BT791" i="1"/>
  <c r="AE940" i="1"/>
  <c r="AA940" i="1"/>
  <c r="AG940" i="1"/>
  <c r="AC940" i="1"/>
  <c r="AE81" i="1"/>
  <c r="AC81" i="1"/>
  <c r="BC742" i="1"/>
  <c r="BG742" i="1"/>
  <c r="BE742" i="1"/>
  <c r="BA742" i="1"/>
  <c r="AE730" i="1"/>
  <c r="AG730" i="1"/>
  <c r="AT503" i="1"/>
  <c r="AR503" i="1"/>
  <c r="AT419" i="1"/>
  <c r="AN419" i="1"/>
  <c r="AR419" i="1"/>
  <c r="AP419" i="1"/>
  <c r="AG565" i="1"/>
  <c r="AA565" i="1"/>
  <c r="AE565" i="1"/>
  <c r="AC565" i="1"/>
  <c r="BP761" i="1"/>
  <c r="BT761" i="1"/>
  <c r="BR761" i="1"/>
  <c r="AT309" i="1"/>
  <c r="AN309" i="1"/>
  <c r="AR309" i="1"/>
  <c r="BP918" i="1"/>
  <c r="BT918" i="1"/>
  <c r="BN918" i="1"/>
  <c r="BA299" i="1"/>
  <c r="BG299" i="1"/>
  <c r="BP328" i="1"/>
  <c r="BR328" i="1"/>
  <c r="BT328" i="1"/>
  <c r="AN776" i="1"/>
  <c r="AR776" i="1"/>
  <c r="AT776" i="1"/>
  <c r="BE556" i="1"/>
  <c r="BT914" i="1"/>
  <c r="BA810" i="1"/>
  <c r="BP514" i="1"/>
  <c r="AT506" i="1"/>
  <c r="BP831" i="1"/>
  <c r="BG431" i="1"/>
  <c r="AN248" i="1"/>
  <c r="BA791" i="1"/>
  <c r="AN884" i="1"/>
  <c r="BA255" i="1"/>
  <c r="BN584" i="1"/>
  <c r="BR181" i="1"/>
  <c r="AG159" i="1"/>
  <c r="AG111" i="1"/>
  <c r="AA90" i="1"/>
  <c r="AC650" i="1"/>
  <c r="AG286" i="1"/>
  <c r="AC796" i="1"/>
  <c r="AE10" i="1"/>
  <c r="BG180" i="1"/>
  <c r="AN878" i="1"/>
  <c r="AP664" i="1"/>
  <c r="BN570" i="1"/>
  <c r="AA913" i="1"/>
  <c r="AE327" i="1"/>
  <c r="AA891" i="1"/>
  <c r="AG324" i="1"/>
  <c r="AI324" i="1" s="1"/>
  <c r="AG237" i="1"/>
  <c r="AP575" i="1"/>
  <c r="AT692" i="1"/>
  <c r="BG313" i="1"/>
  <c r="BT369" i="1"/>
  <c r="BN761" i="1"/>
  <c r="AC730" i="1"/>
  <c r="BE989" i="1"/>
  <c r="BC885" i="1"/>
  <c r="BA943" i="1"/>
  <c r="AE288" i="1"/>
  <c r="AA800" i="1"/>
  <c r="BN328" i="1"/>
  <c r="AE234" i="1"/>
  <c r="AE121" i="1"/>
  <c r="BA650" i="1"/>
  <c r="AN412" i="1"/>
  <c r="AR412" i="1"/>
  <c r="AT103" i="1"/>
  <c r="AN103" i="1"/>
  <c r="AR125" i="1"/>
  <c r="AN125" i="1"/>
  <c r="BP44" i="1"/>
  <c r="BN44" i="1"/>
  <c r="AT370" i="1"/>
  <c r="AR370" i="1"/>
  <c r="AT668" i="1"/>
  <c r="AN668" i="1"/>
  <c r="BG405" i="1"/>
  <c r="BE405" i="1"/>
  <c r="BT774" i="1"/>
  <c r="BR774" i="1"/>
  <c r="AN1002" i="1"/>
  <c r="AP1002" i="1"/>
  <c r="AR907" i="1"/>
  <c r="AN907" i="1"/>
  <c r="BP126" i="1"/>
  <c r="BT126" i="1"/>
  <c r="BG374" i="1"/>
  <c r="BC374" i="1"/>
  <c r="BN317" i="1"/>
  <c r="BR317" i="1"/>
  <c r="BT243" i="1"/>
  <c r="BN243" i="1"/>
  <c r="BE109" i="1"/>
  <c r="BA109" i="1"/>
  <c r="BE618" i="1"/>
  <c r="BG618" i="1"/>
  <c r="AP627" i="1"/>
  <c r="AR627" i="1"/>
  <c r="BP106" i="1"/>
  <c r="BR106" i="1"/>
  <c r="BT794" i="1"/>
  <c r="BP794" i="1"/>
  <c r="BN794" i="1"/>
  <c r="BR794" i="1"/>
  <c r="BA603" i="1"/>
  <c r="BG603" i="1"/>
  <c r="BE603" i="1"/>
  <c r="AG39" i="1"/>
  <c r="AC39" i="1"/>
  <c r="AA39" i="1"/>
  <c r="AA623" i="1"/>
  <c r="AP107" i="1"/>
  <c r="AN107" i="1"/>
  <c r="AR93" i="1"/>
  <c r="AT93" i="1"/>
  <c r="BA686" i="1"/>
  <c r="BC686" i="1"/>
  <c r="BE95" i="1"/>
  <c r="BG95" i="1"/>
  <c r="AT455" i="1"/>
  <c r="AN455" i="1"/>
  <c r="AR854" i="1"/>
  <c r="AP854" i="1"/>
  <c r="AR597" i="1"/>
  <c r="AT597" i="1"/>
  <c r="BT54" i="1"/>
  <c r="BP54" i="1"/>
  <c r="BP616" i="1"/>
  <c r="BT616" i="1"/>
  <c r="BT280" i="1"/>
  <c r="BR280" i="1"/>
  <c r="AR725" i="1"/>
  <c r="AP725" i="1"/>
  <c r="AN590" i="1"/>
  <c r="AR590" i="1"/>
  <c r="AT590" i="1"/>
  <c r="BC671" i="1"/>
  <c r="BE671" i="1"/>
  <c r="BC776" i="1"/>
  <c r="AA201" i="1"/>
  <c r="AP731" i="1"/>
  <c r="BR598" i="1"/>
  <c r="AP895" i="1"/>
  <c r="AP362" i="1"/>
  <c r="AN362" i="1"/>
  <c r="AR362" i="1"/>
  <c r="BC765" i="1"/>
  <c r="BG765" i="1"/>
  <c r="BE765" i="1"/>
  <c r="BA765" i="1"/>
  <c r="BN5" i="1"/>
  <c r="BT5" i="1"/>
  <c r="BG65" i="1"/>
  <c r="BA65" i="1"/>
  <c r="AP500" i="1"/>
  <c r="AN500" i="1"/>
  <c r="AN831" i="1"/>
  <c r="AP831" i="1"/>
  <c r="AG902" i="1"/>
  <c r="AC902" i="1"/>
  <c r="AG670" i="1"/>
  <c r="AC670" i="1"/>
  <c r="BR183" i="1"/>
  <c r="BP183" i="1"/>
  <c r="AT185" i="1"/>
  <c r="AR185" i="1"/>
  <c r="AN185" i="1"/>
  <c r="AP185" i="1"/>
  <c r="BA330" i="1"/>
  <c r="BG330" i="1"/>
  <c r="BE330" i="1"/>
  <c r="AE66" i="1"/>
  <c r="AG66" i="1"/>
  <c r="AC66" i="1"/>
  <c r="BA699" i="1"/>
  <c r="BC699" i="1"/>
  <c r="BG699" i="1"/>
  <c r="BE699" i="1"/>
  <c r="AP589" i="1"/>
  <c r="AR589" i="1"/>
  <c r="AN589" i="1"/>
  <c r="BA62" i="1"/>
  <c r="BG62" i="1"/>
  <c r="BE62" i="1"/>
  <c r="BA135" i="1"/>
  <c r="BG135" i="1"/>
  <c r="BC135" i="1"/>
  <c r="AR972" i="1"/>
  <c r="AN972" i="1"/>
  <c r="AT972" i="1"/>
  <c r="AP972" i="1"/>
  <c r="AA920" i="1"/>
  <c r="AE920" i="1"/>
  <c r="AC920" i="1"/>
  <c r="AG920" i="1"/>
  <c r="BR353" i="1"/>
  <c r="BT353" i="1"/>
  <c r="BP353" i="1"/>
  <c r="BN353" i="1"/>
  <c r="BA397" i="1"/>
  <c r="BA23" i="1"/>
  <c r="BC556" i="1"/>
  <c r="BN914" i="1"/>
  <c r="BE810" i="1"/>
  <c r="BE767" i="1"/>
  <c r="AT1002" i="1"/>
  <c r="BC147" i="1"/>
  <c r="AN506" i="1"/>
  <c r="BA431" i="1"/>
  <c r="BR45" i="1"/>
  <c r="AT884" i="1"/>
  <c r="BE788" i="1"/>
  <c r="BE54" i="1"/>
  <c r="BN188" i="1"/>
  <c r="AP668" i="1"/>
  <c r="AN739" i="1"/>
  <c r="AR305" i="1"/>
  <c r="AP252" i="1"/>
  <c r="AN770" i="1"/>
  <c r="AT299" i="1"/>
  <c r="BN99" i="1"/>
  <c r="BP181" i="1"/>
  <c r="AC323" i="1"/>
  <c r="AG90" i="1"/>
  <c r="AE286" i="1"/>
  <c r="AA796" i="1"/>
  <c r="AC10" i="1"/>
  <c r="BC180" i="1"/>
  <c r="AT878" i="1"/>
  <c r="AP93" i="1"/>
  <c r="AR418" i="1"/>
  <c r="AR939" i="1"/>
  <c r="BT55" i="1"/>
  <c r="BR570" i="1"/>
  <c r="BC95" i="1"/>
  <c r="AG169" i="1"/>
  <c r="AC913" i="1"/>
  <c r="AC891" i="1"/>
  <c r="AI891" i="1" s="1"/>
  <c r="AE237" i="1"/>
  <c r="BG737" i="1"/>
  <c r="BT482" i="1"/>
  <c r="AP907" i="1"/>
  <c r="BG360" i="1"/>
  <c r="BC330" i="1"/>
  <c r="BE282" i="1"/>
  <c r="BC981" i="1"/>
  <c r="BG560" i="1"/>
  <c r="BR483" i="1"/>
  <c r="AP590" i="1"/>
  <c r="AA66" i="1"/>
  <c r="BG989" i="1"/>
  <c r="BA885" i="1"/>
  <c r="AN543" i="1"/>
  <c r="BE65" i="1"/>
  <c r="BP5" i="1"/>
  <c r="BN380" i="1"/>
  <c r="BC299" i="1"/>
  <c r="AR570" i="1"/>
  <c r="BR918" i="1"/>
  <c r="AP448" i="1"/>
  <c r="AN219" i="1"/>
  <c r="AT219" i="1"/>
  <c r="AR219" i="1"/>
  <c r="BA339" i="1"/>
  <c r="BE339" i="1"/>
  <c r="BC339" i="1"/>
  <c r="BG339" i="1"/>
  <c r="AT592" i="1"/>
  <c r="AN592" i="1"/>
  <c r="BE102" i="1"/>
  <c r="BC102" i="1"/>
  <c r="BG102" i="1"/>
  <c r="BI102" i="1" s="1"/>
  <c r="AT184" i="1"/>
  <c r="AP184" i="1"/>
  <c r="AP983" i="1"/>
  <c r="AT983" i="1"/>
  <c r="AN983" i="1"/>
  <c r="AR654" i="1"/>
  <c r="AP654" i="1"/>
  <c r="AC849" i="1"/>
  <c r="AA849" i="1"/>
  <c r="AG849" i="1"/>
  <c r="AE849" i="1"/>
  <c r="BE103" i="1"/>
  <c r="BG103" i="1"/>
  <c r="AC812" i="1"/>
  <c r="AG812" i="1"/>
  <c r="AE812" i="1"/>
  <c r="AI812" i="1" s="1"/>
  <c r="AC564" i="1"/>
  <c r="AG564" i="1"/>
  <c r="AA564" i="1"/>
  <c r="AE564" i="1"/>
  <c r="AE365" i="1"/>
  <c r="AA365" i="1"/>
  <c r="AG365" i="1"/>
  <c r="AG232" i="1"/>
  <c r="AA232" i="1"/>
  <c r="AE232" i="1"/>
  <c r="AC232" i="1"/>
  <c r="BP964" i="1"/>
  <c r="BR964" i="1"/>
  <c r="BN964" i="1"/>
  <c r="AP353" i="1"/>
  <c r="AR353" i="1"/>
  <c r="AN353" i="1"/>
  <c r="AN57" i="1"/>
  <c r="AR57" i="1"/>
  <c r="AT57" i="1"/>
  <c r="AV57" i="1" s="1"/>
  <c r="BP554" i="1"/>
  <c r="BT554" i="1"/>
  <c r="BN554" i="1"/>
  <c r="AP950" i="1"/>
  <c r="AT950" i="1"/>
  <c r="BP994" i="1"/>
  <c r="BT994" i="1"/>
  <c r="BN994" i="1"/>
  <c r="AP223" i="1"/>
  <c r="AN223" i="1"/>
  <c r="AR223" i="1"/>
  <c r="AT223" i="1"/>
  <c r="BP114" i="1"/>
  <c r="BN114" i="1"/>
  <c r="BT114" i="1"/>
  <c r="BR114" i="1"/>
  <c r="AG945" i="1"/>
  <c r="AE945" i="1"/>
  <c r="AA945" i="1"/>
  <c r="AA155" i="1"/>
  <c r="AG155" i="1"/>
  <c r="AE155" i="1"/>
  <c r="AA732" i="1"/>
  <c r="AG732" i="1"/>
  <c r="AE732" i="1"/>
  <c r="AE76" i="1"/>
  <c r="AG76" i="1"/>
  <c r="AG963" i="1"/>
  <c r="AA963" i="1"/>
  <c r="AC963" i="1"/>
  <c r="AE963" i="1"/>
  <c r="AG663" i="1"/>
  <c r="AC663" i="1"/>
  <c r="AA663" i="1"/>
  <c r="AA72" i="1"/>
  <c r="AG72" i="1"/>
  <c r="AE72" i="1"/>
  <c r="AR849" i="1"/>
  <c r="AN849" i="1"/>
  <c r="AP849" i="1"/>
  <c r="AT849" i="1"/>
  <c r="BC503" i="1"/>
  <c r="BG503" i="1"/>
  <c r="BE503" i="1"/>
  <c r="BA503" i="1"/>
  <c r="AT654" i="1"/>
  <c r="AN184" i="1"/>
  <c r="AG226" i="1"/>
  <c r="AI226" i="1" s="1"/>
  <c r="BC103" i="1"/>
  <c r="BT964" i="1"/>
  <c r="AG502" i="1"/>
  <c r="AE502" i="1"/>
  <c r="AA502" i="1"/>
  <c r="BC320" i="1"/>
  <c r="BG320" i="1"/>
  <c r="AP257" i="1"/>
  <c r="AN257" i="1"/>
  <c r="BR500" i="1"/>
  <c r="BT500" i="1"/>
  <c r="AE597" i="1"/>
  <c r="AA597" i="1"/>
  <c r="AC597" i="1"/>
  <c r="AE203" i="1"/>
  <c r="AA203" i="1"/>
  <c r="AC203" i="1"/>
  <c r="AA542" i="1"/>
  <c r="AG542" i="1"/>
  <c r="AC542" i="1"/>
  <c r="AC916" i="1"/>
  <c r="AG916" i="1"/>
  <c r="AE916" i="1"/>
  <c r="AA270" i="1"/>
  <c r="AG270" i="1"/>
  <c r="AA624" i="1"/>
  <c r="AG624" i="1"/>
  <c r="AE624" i="1"/>
  <c r="AI624" i="1" s="1"/>
  <c r="AG924" i="1"/>
  <c r="AA924" i="1"/>
  <c r="AC465" i="1"/>
  <c r="AE465" i="1"/>
  <c r="AI465" i="1" s="1"/>
  <c r="AG167" i="1"/>
  <c r="AC167" i="1"/>
  <c r="AA167" i="1"/>
  <c r="BP640" i="1"/>
  <c r="BC481" i="1"/>
  <c r="BA481" i="1"/>
  <c r="BT159" i="1"/>
  <c r="BN159" i="1"/>
  <c r="BR159" i="1"/>
  <c r="AG235" i="1"/>
  <c r="AA235" i="1"/>
  <c r="AI235" i="1" s="1"/>
  <c r="BG162" i="1"/>
  <c r="AN612" i="1"/>
  <c r="AR751" i="1"/>
  <c r="AT212" i="1"/>
  <c r="AV212" i="1" s="1"/>
  <c r="AR981" i="1"/>
  <c r="BA77" i="1"/>
  <c r="BT705" i="1"/>
  <c r="AT86" i="1"/>
  <c r="AV86" i="1" s="1"/>
  <c r="BE481" i="1"/>
  <c r="BE320" i="1"/>
  <c r="BC47" i="1"/>
  <c r="AG482" i="1"/>
  <c r="AC270" i="1"/>
  <c r="AG203" i="1"/>
  <c r="AA367" i="1"/>
  <c r="AC863" i="1"/>
  <c r="AA647" i="1"/>
  <c r="AA804" i="1"/>
  <c r="BA474" i="1"/>
  <c r="BC1000" i="1"/>
  <c r="BE1000" i="1"/>
  <c r="BG33" i="1"/>
  <c r="BE33" i="1"/>
  <c r="AT30" i="1"/>
  <c r="AP30" i="1"/>
  <c r="BP779" i="1"/>
  <c r="BN779" i="1"/>
  <c r="BA186" i="1"/>
  <c r="BC186" i="1"/>
  <c r="BG186" i="1"/>
  <c r="BN960" i="1"/>
  <c r="BR960" i="1"/>
  <c r="BT960" i="1"/>
  <c r="BA406" i="1"/>
  <c r="BG406" i="1"/>
  <c r="BC406" i="1"/>
  <c r="BA764" i="1"/>
  <c r="BC764" i="1"/>
  <c r="BP274" i="1"/>
  <c r="BT274" i="1"/>
  <c r="BA265" i="1"/>
  <c r="BE265" i="1"/>
  <c r="BN176" i="1"/>
  <c r="BT176" i="1"/>
  <c r="AR693" i="1"/>
  <c r="AN693" i="1"/>
  <c r="BT507" i="1"/>
  <c r="BR507" i="1"/>
  <c r="BA870" i="1"/>
  <c r="BG870" i="1"/>
  <c r="AN558" i="1"/>
  <c r="AR558" i="1"/>
  <c r="BT620" i="1"/>
  <c r="BR620" i="1"/>
  <c r="AP748" i="1"/>
  <c r="AN748" i="1"/>
  <c r="BG178" i="1"/>
  <c r="BA178" i="1"/>
  <c r="AT196" i="1"/>
  <c r="AN196" i="1"/>
  <c r="BR929" i="1"/>
  <c r="BN929" i="1"/>
  <c r="BP560" i="1"/>
  <c r="BT560" i="1"/>
  <c r="BA559" i="1"/>
  <c r="BG559" i="1"/>
  <c r="BC524" i="1"/>
  <c r="BG524" i="1"/>
  <c r="BA524" i="1"/>
  <c r="BE524" i="1"/>
  <c r="AT836" i="1"/>
  <c r="AP836" i="1"/>
  <c r="BA639" i="1"/>
  <c r="BE639" i="1"/>
  <c r="BC639" i="1"/>
  <c r="AG530" i="1"/>
  <c r="AA530" i="1"/>
  <c r="AE530" i="1"/>
  <c r="AC530" i="1"/>
  <c r="AA242" i="1"/>
  <c r="AE242" i="1"/>
  <c r="AG242" i="1"/>
  <c r="AA157" i="1"/>
  <c r="AC157" i="1"/>
  <c r="AE157" i="1"/>
  <c r="AG157" i="1"/>
  <c r="BG917" i="1"/>
  <c r="BE917" i="1"/>
  <c r="BA917" i="1"/>
  <c r="BC917" i="1"/>
  <c r="BT399" i="1"/>
  <c r="BN399" i="1"/>
  <c r="BP399" i="1"/>
  <c r="BR399" i="1"/>
  <c r="AN970" i="1"/>
  <c r="AT970" i="1"/>
  <c r="AR970" i="1"/>
  <c r="AP970" i="1"/>
  <c r="AR445" i="1"/>
  <c r="AN445" i="1"/>
  <c r="AT445" i="1"/>
  <c r="AP445" i="1"/>
  <c r="AN65" i="1"/>
  <c r="AP65" i="1"/>
  <c r="AR65" i="1"/>
  <c r="AT65" i="1"/>
  <c r="AT343" i="1"/>
  <c r="AN343" i="1"/>
  <c r="AP343" i="1"/>
  <c r="AR343" i="1"/>
  <c r="BA930" i="1"/>
  <c r="BC930" i="1"/>
  <c r="BE930" i="1"/>
  <c r="BG930" i="1"/>
  <c r="AN20" i="1"/>
  <c r="AT20" i="1"/>
  <c r="AR20" i="1"/>
  <c r="AP20" i="1"/>
  <c r="AA553" i="1"/>
  <c r="AE553" i="1"/>
  <c r="AG553" i="1"/>
  <c r="AC553" i="1"/>
  <c r="AC728" i="1"/>
  <c r="AA728" i="1"/>
  <c r="AG728" i="1"/>
  <c r="AE728" i="1"/>
  <c r="AC432" i="1"/>
  <c r="AE432" i="1"/>
  <c r="AG432" i="1"/>
  <c r="AA432" i="1"/>
  <c r="AA218" i="1"/>
  <c r="AC218" i="1"/>
  <c r="AG218" i="1"/>
  <c r="AA404" i="1"/>
  <c r="AC404" i="1"/>
  <c r="AG404" i="1"/>
  <c r="AE404" i="1"/>
  <c r="BC506" i="1"/>
  <c r="BE506" i="1"/>
  <c r="BG506" i="1"/>
  <c r="BA506" i="1"/>
  <c r="BR712" i="1"/>
  <c r="BN712" i="1"/>
  <c r="BP712" i="1"/>
  <c r="BC84" i="1"/>
  <c r="BG84" i="1"/>
  <c r="BE84" i="1"/>
  <c r="AP53" i="1"/>
  <c r="AN53" i="1"/>
  <c r="AT53" i="1"/>
  <c r="BC241" i="1"/>
  <c r="BE241" i="1"/>
  <c r="BA241" i="1"/>
  <c r="BG241" i="1"/>
  <c r="AP876" i="1"/>
  <c r="AR876" i="1"/>
  <c r="AT876" i="1"/>
  <c r="BC863" i="1"/>
  <c r="BE863" i="1"/>
  <c r="BG863" i="1"/>
  <c r="BC385" i="1"/>
  <c r="BE385" i="1"/>
  <c r="BR163" i="1"/>
  <c r="BT163" i="1"/>
  <c r="BA643" i="1"/>
  <c r="BE643" i="1"/>
  <c r="BG643" i="1"/>
  <c r="BC643" i="1"/>
  <c r="BA342" i="1"/>
  <c r="BC342" i="1"/>
  <c r="BN837" i="1"/>
  <c r="BP837" i="1"/>
  <c r="AT401" i="1"/>
  <c r="AR401" i="1"/>
  <c r="AP969" i="1"/>
  <c r="AT969" i="1"/>
  <c r="BR186" i="1"/>
  <c r="BN186" i="1"/>
  <c r="BG530" i="1"/>
  <c r="BA530" i="1"/>
  <c r="BC361" i="1"/>
  <c r="BA361" i="1"/>
  <c r="AP402" i="1"/>
  <c r="AT402" i="1"/>
  <c r="AN402" i="1"/>
  <c r="BA366" i="1"/>
  <c r="BC366" i="1"/>
  <c r="BG366" i="1"/>
  <c r="BE417" i="1"/>
  <c r="BA417" i="1"/>
  <c r="AR632" i="1"/>
  <c r="AP632" i="1"/>
  <c r="BE425" i="1"/>
  <c r="BA425" i="1"/>
  <c r="BT187" i="1"/>
  <c r="BR187" i="1"/>
  <c r="BN187" i="1"/>
  <c r="BP187" i="1"/>
  <c r="AN980" i="1"/>
  <c r="AT980" i="1"/>
  <c r="AR980" i="1"/>
  <c r="BA752" i="1"/>
  <c r="BE752" i="1"/>
  <c r="BT21" i="1"/>
  <c r="BN21" i="1"/>
  <c r="BP21" i="1"/>
  <c r="BR21" i="1"/>
  <c r="BA818" i="1"/>
  <c r="BE818" i="1"/>
  <c r="BN844" i="1"/>
  <c r="BT844" i="1"/>
  <c r="BA629" i="1"/>
  <c r="BE629" i="1"/>
  <c r="BG629" i="1"/>
  <c r="BA528" i="1"/>
  <c r="BC528" i="1"/>
  <c r="BE528" i="1"/>
  <c r="BP66" i="1"/>
  <c r="BN66" i="1"/>
  <c r="BR397" i="1"/>
  <c r="BT626" i="1"/>
  <c r="BR626" i="1"/>
  <c r="BP626" i="1"/>
  <c r="AG266" i="1"/>
  <c r="AC266" i="1"/>
  <c r="AA266" i="1"/>
  <c r="AA570" i="1"/>
  <c r="AE570" i="1"/>
  <c r="AC570" i="1"/>
  <c r="AA271" i="1"/>
  <c r="AE271" i="1"/>
  <c r="AC271" i="1"/>
  <c r="AE992" i="1"/>
  <c r="AG992" i="1"/>
  <c r="AA992" i="1"/>
  <c r="AP835" i="1"/>
  <c r="AT835" i="1"/>
  <c r="AR835" i="1"/>
  <c r="AN704" i="1"/>
  <c r="AR704" i="1"/>
  <c r="AP704" i="1"/>
  <c r="AT149" i="1"/>
  <c r="AC610" i="1"/>
  <c r="AE610" i="1"/>
  <c r="AA643" i="1"/>
  <c r="AC643" i="1"/>
  <c r="AG684" i="1"/>
  <c r="AA684" i="1"/>
  <c r="AE684" i="1"/>
  <c r="AC684" i="1"/>
  <c r="BP71" i="1"/>
  <c r="BP975" i="1"/>
  <c r="AC104" i="1"/>
  <c r="BA131" i="1"/>
  <c r="AP497" i="1"/>
  <c r="BA975" i="1"/>
  <c r="AT828" i="1"/>
  <c r="BC319" i="1"/>
  <c r="BG319" i="1"/>
  <c r="BT652" i="1"/>
  <c r="BR652" i="1"/>
  <c r="BP652" i="1"/>
  <c r="AC41" i="1"/>
  <c r="AA41" i="1"/>
  <c r="AE41" i="1"/>
  <c r="AG41" i="1"/>
  <c r="AA122" i="1"/>
  <c r="AE122" i="1"/>
  <c r="AG122" i="1"/>
  <c r="AC122" i="1"/>
  <c r="AC988" i="1"/>
  <c r="AE988" i="1"/>
  <c r="AA988" i="1"/>
  <c r="AG134" i="1"/>
  <c r="AA134" i="1"/>
  <c r="AE134" i="1"/>
  <c r="AC392" i="1"/>
  <c r="AE392" i="1"/>
  <c r="AA392" i="1"/>
  <c r="AE311" i="1"/>
  <c r="AG311" i="1"/>
  <c r="AC311" i="1"/>
  <c r="BR465" i="1"/>
  <c r="BP465" i="1"/>
  <c r="BN465" i="1"/>
  <c r="AT856" i="1"/>
  <c r="AN856" i="1"/>
  <c r="AP856" i="1"/>
  <c r="AG649" i="1"/>
  <c r="AC649" i="1"/>
  <c r="AE649" i="1"/>
  <c r="BR108" i="1"/>
  <c r="BN108" i="1"/>
  <c r="BT108" i="1"/>
  <c r="BP108" i="1"/>
  <c r="AT285" i="1"/>
  <c r="AR285" i="1"/>
  <c r="AP285" i="1"/>
  <c r="AN285" i="1"/>
  <c r="BE479" i="1"/>
  <c r="BG479" i="1"/>
  <c r="BC479" i="1"/>
  <c r="BA479" i="1"/>
  <c r="AR764" i="1"/>
  <c r="AT764" i="1"/>
  <c r="AN764" i="1"/>
  <c r="AE578" i="1"/>
  <c r="AC578" i="1"/>
  <c r="AG578" i="1"/>
  <c r="BP770" i="1"/>
  <c r="BN770" i="1"/>
  <c r="BR770" i="1"/>
  <c r="BE543" i="1"/>
  <c r="BG543" i="1"/>
  <c r="BC543" i="1"/>
  <c r="BA543" i="1"/>
  <c r="AP960" i="1"/>
  <c r="AT960" i="1"/>
  <c r="AR960" i="1"/>
  <c r="AN960" i="1"/>
  <c r="AN585" i="1"/>
  <c r="AP585" i="1"/>
  <c r="AR585" i="1"/>
  <c r="AT585" i="1"/>
  <c r="AE515" i="1"/>
  <c r="AG515" i="1"/>
  <c r="AC527" i="1"/>
  <c r="AA527" i="1"/>
  <c r="AE527" i="1"/>
  <c r="AG527" i="1"/>
  <c r="AE319" i="1"/>
  <c r="AA319" i="1"/>
  <c r="AC319" i="1"/>
  <c r="BT350" i="1"/>
  <c r="BP350" i="1"/>
  <c r="AR873" i="1"/>
  <c r="AP873" i="1"/>
  <c r="AN873" i="1"/>
  <c r="BT35" i="1"/>
  <c r="BR35" i="1"/>
  <c r="AE653" i="1"/>
  <c r="AA653" i="1"/>
  <c r="AG653" i="1"/>
  <c r="AC653" i="1"/>
  <c r="AG164" i="1"/>
  <c r="AE164" i="1"/>
  <c r="AA164" i="1"/>
  <c r="BP573" i="1"/>
  <c r="BT573" i="1"/>
  <c r="BR573" i="1"/>
  <c r="BA167" i="1"/>
  <c r="BC167" i="1"/>
  <c r="BG167" i="1"/>
  <c r="BE167" i="1"/>
  <c r="BA835" i="1"/>
  <c r="BC835" i="1"/>
  <c r="AG852" i="1"/>
  <c r="AC852" i="1"/>
  <c r="AA852" i="1"/>
  <c r="AE852" i="1"/>
  <c r="AC921" i="1"/>
  <c r="AE921" i="1"/>
  <c r="AG921" i="1"/>
  <c r="AA838" i="1"/>
  <c r="AG838" i="1"/>
  <c r="BN697" i="1"/>
  <c r="BP697" i="1"/>
  <c r="BT697" i="1"/>
  <c r="BR697" i="1"/>
  <c r="AT142" i="1"/>
  <c r="AR142" i="1"/>
  <c r="AN142" i="1"/>
  <c r="AN504" i="1"/>
  <c r="AR504" i="1"/>
  <c r="BP880" i="1"/>
  <c r="BN880" i="1"/>
  <c r="BR880" i="1"/>
  <c r="BT880" i="1"/>
  <c r="AA669" i="1"/>
  <c r="AC614" i="1"/>
  <c r="BR351" i="1"/>
  <c r="BP351" i="1"/>
  <c r="BT351" i="1"/>
  <c r="BE799" i="1"/>
  <c r="BG799" i="1"/>
  <c r="BC799" i="1"/>
  <c r="BA799" i="1"/>
  <c r="AA667" i="1"/>
  <c r="AG667" i="1"/>
  <c r="AE667" i="1"/>
  <c r="AC667" i="1"/>
  <c r="AE340" i="1"/>
  <c r="AA340" i="1"/>
  <c r="AC340" i="1"/>
  <c r="AG340" i="1"/>
  <c r="BA782" i="1"/>
  <c r="BC782" i="1"/>
  <c r="BE782" i="1"/>
  <c r="AN839" i="1"/>
  <c r="AP839" i="1"/>
  <c r="AR839" i="1"/>
  <c r="AT839" i="1"/>
  <c r="AT756" i="1"/>
  <c r="AN756" i="1"/>
  <c r="AP756" i="1"/>
  <c r="BE574" i="1"/>
  <c r="BC574" i="1"/>
  <c r="AR11" i="1"/>
  <c r="AN11" i="1"/>
  <c r="AA774" i="1"/>
  <c r="AE774" i="1"/>
  <c r="AG774" i="1"/>
  <c r="AC774" i="1"/>
  <c r="AR529" i="1"/>
  <c r="AP529" i="1"/>
  <c r="BT79" i="1"/>
  <c r="BP79" i="1"/>
  <c r="AA904" i="1"/>
  <c r="AG904" i="1"/>
  <c r="BP604" i="1"/>
  <c r="BN604" i="1"/>
  <c r="BT604" i="1"/>
  <c r="BG40" i="1"/>
  <c r="BA40" i="1"/>
  <c r="BC40" i="1"/>
  <c r="BE40" i="1"/>
  <c r="BT452" i="1"/>
  <c r="BN452" i="1"/>
  <c r="AP573" i="1"/>
  <c r="AR573" i="1"/>
  <c r="AN573" i="1"/>
  <c r="AR977" i="1"/>
  <c r="AT977" i="1"/>
  <c r="AN977" i="1"/>
  <c r="AC483" i="1"/>
  <c r="AA483" i="1"/>
  <c r="AG483" i="1"/>
  <c r="AE483" i="1"/>
  <c r="AG255" i="1"/>
  <c r="AA255" i="1"/>
  <c r="AE255" i="1"/>
  <c r="AC255" i="1"/>
  <c r="AC877" i="1"/>
  <c r="AE877" i="1"/>
  <c r="AA877" i="1"/>
  <c r="AG877" i="1"/>
  <c r="AA737" i="1"/>
  <c r="AG737" i="1"/>
  <c r="AC737" i="1"/>
  <c r="AE410" i="1"/>
  <c r="AC410" i="1"/>
  <c r="AG410" i="1"/>
  <c r="AG105" i="1"/>
  <c r="AA105" i="1"/>
  <c r="AC105" i="1"/>
  <c r="AE105" i="1"/>
  <c r="AE325" i="1"/>
  <c r="AC325" i="1"/>
  <c r="AA325" i="1"/>
  <c r="AG325" i="1"/>
  <c r="BT72" i="1"/>
  <c r="BP72" i="1"/>
  <c r="BR72" i="1"/>
  <c r="BN72" i="1"/>
  <c r="AN909" i="1"/>
  <c r="AP909" i="1"/>
  <c r="AA141" i="1"/>
  <c r="AT238" i="1"/>
  <c r="AA718" i="1"/>
  <c r="AA519" i="1"/>
  <c r="BG195" i="1"/>
  <c r="BA195" i="1"/>
  <c r="BC195" i="1"/>
  <c r="BP290" i="1"/>
  <c r="BN290" i="1"/>
  <c r="BR290" i="1"/>
  <c r="BT290" i="1"/>
  <c r="AA577" i="1"/>
  <c r="AC577" i="1"/>
  <c r="AG577" i="1"/>
  <c r="BT630" i="1"/>
  <c r="BR630" i="1"/>
  <c r="BN630" i="1"/>
  <c r="BP630" i="1"/>
  <c r="AC375" i="1"/>
  <c r="AA375" i="1"/>
  <c r="AE375" i="1"/>
  <c r="AG375" i="1"/>
  <c r="AA172" i="1"/>
  <c r="AC172" i="1"/>
  <c r="AE172" i="1"/>
  <c r="AG172" i="1"/>
  <c r="AC656" i="1"/>
  <c r="AA656" i="1"/>
  <c r="AR678" i="1"/>
  <c r="AT678" i="1"/>
  <c r="AR875" i="1"/>
  <c r="AP875" i="1"/>
  <c r="AT786" i="1"/>
  <c r="AP786" i="1"/>
  <c r="AR786" i="1"/>
  <c r="AN786" i="1"/>
  <c r="AP83" i="1"/>
  <c r="AT83" i="1"/>
  <c r="BE701" i="1"/>
  <c r="BA701" i="1"/>
  <c r="BC701" i="1"/>
  <c r="BT254" i="1"/>
  <c r="BN254" i="1"/>
  <c r="BP254" i="1"/>
  <c r="BR254" i="1"/>
  <c r="AG883" i="1"/>
  <c r="AE883" i="1"/>
  <c r="AC883" i="1"/>
  <c r="BC684" i="1"/>
  <c r="BE684" i="1"/>
  <c r="BG684" i="1"/>
  <c r="BA684" i="1"/>
  <c r="AG846" i="1"/>
  <c r="AA846" i="1"/>
  <c r="AA977" i="1"/>
  <c r="AG977" i="1"/>
  <c r="AC496" i="1"/>
  <c r="AG496" i="1"/>
  <c r="AE496" i="1"/>
  <c r="AG70" i="1"/>
  <c r="AA70" i="1"/>
  <c r="AC70" i="1"/>
  <c r="AE70" i="1"/>
  <c r="AC966" i="1"/>
  <c r="AG966" i="1"/>
  <c r="AE966" i="1"/>
  <c r="AA966" i="1"/>
  <c r="AG540" i="1"/>
  <c r="AE540" i="1"/>
  <c r="AA540" i="1"/>
  <c r="AC540" i="1"/>
  <c r="BT920" i="1"/>
  <c r="BR920" i="1"/>
  <c r="BR477" i="1"/>
  <c r="BN477" i="1"/>
  <c r="BT477" i="1"/>
  <c r="BP477" i="1"/>
  <c r="BR618" i="1"/>
  <c r="BT618" i="1"/>
  <c r="BN618" i="1"/>
  <c r="BP618" i="1"/>
  <c r="AN274" i="1"/>
  <c r="AT274" i="1"/>
  <c r="AP274" i="1"/>
  <c r="AR274" i="1"/>
  <c r="BP440" i="1"/>
  <c r="BT440" i="1"/>
  <c r="AR344" i="1"/>
  <c r="AT344" i="1"/>
  <c r="AN344" i="1"/>
  <c r="BR995" i="1"/>
  <c r="BN995" i="1"/>
  <c r="BN754" i="1"/>
  <c r="BP754" i="1"/>
  <c r="BR886" i="1"/>
  <c r="BN886" i="1"/>
  <c r="BP843" i="1"/>
  <c r="BN843" i="1"/>
  <c r="BR843" i="1"/>
  <c r="BT843" i="1"/>
  <c r="AA505" i="1"/>
  <c r="AG505" i="1"/>
  <c r="AE505" i="1"/>
  <c r="AC505" i="1"/>
  <c r="AT290" i="1"/>
  <c r="AN290" i="1"/>
  <c r="AR290" i="1"/>
  <c r="AP290" i="1"/>
  <c r="AP778" i="1"/>
  <c r="AR778" i="1"/>
  <c r="AN778" i="1"/>
  <c r="AT778" i="1"/>
  <c r="BE186" i="1"/>
  <c r="BT929" i="1"/>
  <c r="BA385" i="1"/>
  <c r="BC417" i="1"/>
  <c r="BA574" i="1"/>
  <c r="AP451" i="1"/>
  <c r="AN401" i="1"/>
  <c r="BC544" i="1"/>
  <c r="BR837" i="1"/>
  <c r="BR398" i="1"/>
  <c r="AA243" i="1"/>
  <c r="AA193" i="1"/>
  <c r="AC904" i="1"/>
  <c r="BP35" i="1"/>
  <c r="BR79" i="1"/>
  <c r="AR141" i="1"/>
  <c r="AP504" i="1"/>
  <c r="AT529" i="1"/>
  <c r="AC295" i="1"/>
  <c r="AE838" i="1"/>
  <c r="BC256" i="1"/>
  <c r="BN440" i="1"/>
  <c r="AN790" i="1"/>
  <c r="AR469" i="1"/>
  <c r="BG155" i="1"/>
  <c r="AA65" i="1"/>
  <c r="AP678" i="1"/>
  <c r="BA49" i="1"/>
  <c r="BN920" i="1"/>
  <c r="AG656" i="1"/>
  <c r="AE158" i="1"/>
  <c r="AE977" i="1"/>
  <c r="AC888" i="1"/>
  <c r="AC802" i="1"/>
  <c r="BR66" i="1"/>
  <c r="BT315" i="1"/>
  <c r="BG342" i="1"/>
  <c r="BC126" i="1"/>
  <c r="AR836" i="1"/>
  <c r="BR137" i="1"/>
  <c r="BT179" i="1"/>
  <c r="BT712" i="1"/>
  <c r="BR604" i="1"/>
  <c r="AA883" i="1"/>
  <c r="AG319" i="1"/>
  <c r="BG701" i="1"/>
  <c r="AP344" i="1"/>
  <c r="BT770" i="1"/>
  <c r="AP764" i="1"/>
  <c r="AP977" i="1"/>
  <c r="AA649" i="1"/>
  <c r="AA410" i="1"/>
  <c r="BG639" i="1"/>
  <c r="AR748" i="1"/>
  <c r="AE218" i="1"/>
  <c r="BG263" i="1"/>
  <c r="BE263" i="1"/>
  <c r="BG631" i="1"/>
  <c r="BE631" i="1"/>
  <c r="BG636" i="1"/>
  <c r="AR661" i="1"/>
  <c r="AN661" i="1"/>
  <c r="AT661" i="1"/>
  <c r="BA246" i="1"/>
  <c r="BE246" i="1"/>
  <c r="BP724" i="1"/>
  <c r="BN724" i="1"/>
  <c r="BT724" i="1"/>
  <c r="AR291" i="1"/>
  <c r="AP291" i="1"/>
  <c r="AN291" i="1"/>
  <c r="BP951" i="1"/>
  <c r="BN951" i="1"/>
  <c r="BA230" i="1"/>
  <c r="BE230" i="1"/>
  <c r="BR674" i="1"/>
  <c r="BT674" i="1"/>
  <c r="BC675" i="1"/>
  <c r="BE675" i="1"/>
  <c r="BR1004" i="1"/>
  <c r="BN1004" i="1"/>
  <c r="BN24" i="1"/>
  <c r="BP24" i="1"/>
  <c r="BA350" i="1"/>
  <c r="BE350" i="1"/>
  <c r="BC648" i="1"/>
  <c r="BA648" i="1"/>
  <c r="BG966" i="1"/>
  <c r="BE966" i="1"/>
  <c r="BA581" i="1"/>
  <c r="BC581" i="1"/>
  <c r="BC784" i="1"/>
  <c r="BA784" i="1"/>
  <c r="BT32" i="1"/>
  <c r="BN32" i="1"/>
  <c r="BR32" i="1"/>
  <c r="AA6" i="1"/>
  <c r="AG6" i="1"/>
  <c r="BE678" i="1"/>
  <c r="BE486" i="1"/>
  <c r="BC486" i="1"/>
  <c r="BG486" i="1"/>
  <c r="BA486" i="1"/>
  <c r="BE467" i="1"/>
  <c r="BA467" i="1"/>
  <c r="BC467" i="1"/>
  <c r="AR278" i="1"/>
  <c r="AP278" i="1"/>
  <c r="AN278" i="1"/>
  <c r="AT278" i="1"/>
  <c r="BN735" i="1"/>
  <c r="BP735" i="1"/>
  <c r="BT735" i="1"/>
  <c r="BR735" i="1"/>
  <c r="BA341" i="1"/>
  <c r="BC341" i="1"/>
  <c r="BE341" i="1"/>
  <c r="BG341" i="1"/>
  <c r="AR515" i="1"/>
  <c r="AT515" i="1"/>
  <c r="BC838" i="1"/>
  <c r="BA838" i="1"/>
  <c r="AG658" i="1"/>
  <c r="AE658" i="1"/>
  <c r="AA658" i="1"/>
  <c r="AC658" i="1"/>
  <c r="AE27" i="1"/>
  <c r="AA27" i="1"/>
  <c r="AC27" i="1"/>
  <c r="AG27" i="1"/>
  <c r="AA115" i="1"/>
  <c r="AG115" i="1"/>
  <c r="AE115" i="1"/>
  <c r="AC115" i="1"/>
  <c r="AG420" i="1"/>
  <c r="AA420" i="1"/>
  <c r="AE420" i="1"/>
  <c r="AC420" i="1"/>
  <c r="BA587" i="1"/>
  <c r="BG587" i="1"/>
  <c r="BC587" i="1"/>
  <c r="BE587" i="1"/>
  <c r="BE480" i="1"/>
  <c r="BA480" i="1"/>
  <c r="BC480" i="1"/>
  <c r="BG480" i="1"/>
  <c r="AT225" i="1"/>
  <c r="AN225" i="1"/>
  <c r="AP225" i="1"/>
  <c r="AR937" i="1"/>
  <c r="AP937" i="1"/>
  <c r="AN937" i="1"/>
  <c r="AT937" i="1"/>
  <c r="BR143" i="1"/>
  <c r="BN143" i="1"/>
  <c r="BT143" i="1"/>
  <c r="AN602" i="1"/>
  <c r="AP602" i="1"/>
  <c r="AT602" i="1"/>
  <c r="AR602" i="1"/>
  <c r="BE400" i="1"/>
  <c r="BG400" i="1"/>
  <c r="BA400" i="1"/>
  <c r="BC400" i="1"/>
  <c r="BN609" i="1"/>
  <c r="BP609" i="1"/>
  <c r="BT609" i="1"/>
  <c r="BR609" i="1"/>
  <c r="AE878" i="1"/>
  <c r="AC878" i="1"/>
  <c r="AA878" i="1"/>
  <c r="AE127" i="1"/>
  <c r="AA127" i="1"/>
  <c r="AC127" i="1"/>
  <c r="AE970" i="1"/>
  <c r="AA970" i="1"/>
  <c r="AG970" i="1"/>
  <c r="AC970" i="1"/>
  <c r="AC869" i="1"/>
  <c r="AG869" i="1"/>
  <c r="AE869" i="1"/>
  <c r="AA869" i="1"/>
  <c r="AA814" i="1"/>
  <c r="AE814" i="1"/>
  <c r="AG814" i="1"/>
  <c r="BR593" i="1"/>
  <c r="BN593" i="1"/>
  <c r="BP593" i="1"/>
  <c r="BT593" i="1"/>
  <c r="BR472" i="1"/>
  <c r="BP472" i="1"/>
  <c r="BT472" i="1"/>
  <c r="BN472" i="1"/>
  <c r="AR979" i="1"/>
  <c r="AT979" i="1"/>
  <c r="AP979" i="1"/>
  <c r="AN979" i="1"/>
  <c r="AT466" i="1"/>
  <c r="AN466" i="1"/>
  <c r="AP466" i="1"/>
  <c r="AR466" i="1"/>
  <c r="AT253" i="1"/>
  <c r="AP253" i="1"/>
  <c r="AR253" i="1"/>
  <c r="AN253" i="1"/>
  <c r="BA146" i="1"/>
  <c r="BC146" i="1"/>
  <c r="BG146" i="1"/>
  <c r="BC461" i="1"/>
  <c r="BE461" i="1"/>
  <c r="BG461" i="1"/>
  <c r="AR707" i="1"/>
  <c r="AN707" i="1"/>
  <c r="AT707" i="1"/>
  <c r="AP707" i="1"/>
  <c r="BE921" i="1"/>
  <c r="BA921" i="1"/>
  <c r="BE502" i="1"/>
  <c r="BA502" i="1"/>
  <c r="BN105" i="1"/>
  <c r="BT105" i="1"/>
  <c r="BE219" i="1"/>
  <c r="BG219" i="1"/>
  <c r="BE983" i="1"/>
  <c r="BA983" i="1"/>
  <c r="AT91" i="1"/>
  <c r="AN91" i="1"/>
  <c r="AT525" i="1"/>
  <c r="AP525" i="1"/>
  <c r="AR110" i="1"/>
  <c r="AP110" i="1"/>
  <c r="AN900" i="1"/>
  <c r="AR900" i="1"/>
  <c r="AT535" i="1"/>
  <c r="AP535" i="1"/>
  <c r="BA418" i="1"/>
  <c r="BE418" i="1"/>
  <c r="BP253" i="1"/>
  <c r="BT253" i="1"/>
  <c r="BP53" i="1"/>
  <c r="BT53" i="1"/>
  <c r="BP622" i="1"/>
  <c r="BR622" i="1"/>
  <c r="BG225" i="1"/>
  <c r="BA225" i="1"/>
  <c r="BG590" i="1"/>
  <c r="BC590" i="1"/>
  <c r="BA590" i="1"/>
  <c r="BE590" i="1"/>
  <c r="AR628" i="1"/>
  <c r="AT628" i="1"/>
  <c r="BE607" i="1"/>
  <c r="BA607" i="1"/>
  <c r="BC607" i="1"/>
  <c r="BG607" i="1"/>
  <c r="BP112" i="1"/>
  <c r="BT112" i="1"/>
  <c r="BG545" i="1"/>
  <c r="BE545" i="1"/>
  <c r="BA545" i="1"/>
  <c r="BN139" i="1"/>
  <c r="BR139" i="1"/>
  <c r="BA509" i="1"/>
  <c r="BE509" i="1"/>
  <c r="BE430" i="1"/>
  <c r="BA430" i="1"/>
  <c r="BG527" i="1"/>
  <c r="BC527" i="1"/>
  <c r="BE527" i="1"/>
  <c r="BA527" i="1"/>
  <c r="BP23" i="1"/>
  <c r="BT23" i="1"/>
  <c r="BR23" i="1"/>
  <c r="BN23" i="1"/>
  <c r="BG683" i="1"/>
  <c r="BA683" i="1"/>
  <c r="BC683" i="1"/>
  <c r="BE683" i="1"/>
  <c r="BC238" i="1"/>
  <c r="BA238" i="1"/>
  <c r="BC673" i="1"/>
  <c r="BA709" i="1"/>
  <c r="AR643" i="1"/>
  <c r="BA67" i="1"/>
  <c r="BT136" i="1"/>
  <c r="BP335" i="1"/>
  <c r="BN335" i="1"/>
  <c r="BR335" i="1"/>
  <c r="BT335" i="1"/>
  <c r="BP721" i="1"/>
  <c r="BR721" i="1"/>
  <c r="BN721" i="1"/>
  <c r="BT721" i="1"/>
  <c r="AA782" i="1"/>
  <c r="AG782" i="1"/>
  <c r="AG170" i="1"/>
  <c r="AC170" i="1"/>
  <c r="AE170" i="1"/>
  <c r="AA170" i="1"/>
  <c r="AA51" i="1"/>
  <c r="AC51" i="1"/>
  <c r="AG51" i="1"/>
  <c r="AE51" i="1"/>
  <c r="AR282" i="1"/>
  <c r="AP282" i="1"/>
  <c r="AT487" i="1"/>
  <c r="AP487" i="1"/>
  <c r="AR742" i="1"/>
  <c r="AR773" i="1"/>
  <c r="BT719" i="1"/>
  <c r="BG451" i="1"/>
  <c r="AE441" i="1"/>
  <c r="AA441" i="1"/>
  <c r="AG441" i="1"/>
  <c r="AC571" i="1"/>
  <c r="AG571" i="1"/>
  <c r="AA571" i="1"/>
  <c r="AE571" i="1"/>
  <c r="AE987" i="1"/>
  <c r="AG987" i="1"/>
  <c r="AA987" i="1"/>
  <c r="AC987" i="1"/>
  <c r="AT677" i="1"/>
  <c r="AT294" i="1"/>
  <c r="BA292" i="1"/>
  <c r="AR514" i="1"/>
  <c r="AR721" i="1"/>
  <c r="BR693" i="1"/>
  <c r="AP491" i="1"/>
  <c r="BR166" i="1"/>
  <c r="BA787" i="1"/>
  <c r="BG805" i="1"/>
  <c r="AP477" i="1"/>
  <c r="AT366" i="1"/>
  <c r="BC661" i="1"/>
  <c r="BG760" i="1"/>
  <c r="BE760" i="1"/>
  <c r="BR723" i="1"/>
  <c r="BT723" i="1"/>
  <c r="BP931" i="1"/>
  <c r="BN931" i="1"/>
  <c r="AA655" i="1"/>
  <c r="AE655" i="1"/>
  <c r="AG655" i="1"/>
  <c r="AC655" i="1"/>
  <c r="AA753" i="1"/>
  <c r="AG753" i="1"/>
  <c r="AE753" i="1"/>
  <c r="AE901" i="1"/>
  <c r="AA901" i="1"/>
  <c r="AC901" i="1"/>
  <c r="AA348" i="1"/>
  <c r="AG348" i="1"/>
  <c r="AE348" i="1"/>
  <c r="AE221" i="1"/>
  <c r="AC221" i="1"/>
  <c r="AG221" i="1"/>
  <c r="BR834" i="1"/>
  <c r="BN834" i="1"/>
  <c r="BT834" i="1"/>
  <c r="BG851" i="1"/>
  <c r="BA851" i="1"/>
  <c r="BC851" i="1"/>
  <c r="AN246" i="1"/>
  <c r="AP246" i="1"/>
  <c r="AR246" i="1"/>
  <c r="AC758" i="1"/>
  <c r="AA758" i="1"/>
  <c r="AE758" i="1"/>
  <c r="AG758" i="1"/>
  <c r="AR465" i="1"/>
  <c r="AT465" i="1"/>
  <c r="AP465" i="1"/>
  <c r="AN465" i="1"/>
  <c r="AC450" i="1"/>
  <c r="AG450" i="1"/>
  <c r="AA450" i="1"/>
  <c r="AE450" i="1"/>
  <c r="BG316" i="1"/>
  <c r="BC316" i="1"/>
  <c r="BE625" i="1"/>
  <c r="BG625" i="1"/>
  <c r="BA625" i="1"/>
  <c r="BC625" i="1"/>
  <c r="BT700" i="1"/>
  <c r="BR700" i="1"/>
  <c r="AT892" i="1"/>
  <c r="AR892" i="1"/>
  <c r="AR489" i="1"/>
  <c r="AP489" i="1"/>
  <c r="AN489" i="1"/>
  <c r="AT489" i="1"/>
  <c r="AR106" i="1"/>
  <c r="AN106" i="1"/>
  <c r="AT106" i="1"/>
  <c r="AP106" i="1"/>
  <c r="AP410" i="1"/>
  <c r="AN410" i="1"/>
  <c r="AR410" i="1"/>
  <c r="AT410" i="1"/>
  <c r="AG807" i="1"/>
  <c r="AC807" i="1"/>
  <c r="AG238" i="1"/>
  <c r="AA238" i="1"/>
  <c r="AE238" i="1"/>
  <c r="BT672" i="1"/>
  <c r="BN672" i="1"/>
  <c r="BP672" i="1"/>
  <c r="BG304" i="1"/>
  <c r="BA304" i="1"/>
  <c r="BC304" i="1"/>
  <c r="BE304" i="1"/>
  <c r="AP52" i="1"/>
  <c r="AT52" i="1"/>
  <c r="AR52" i="1"/>
  <c r="AP109" i="1"/>
  <c r="AT109" i="1"/>
  <c r="AA394" i="1"/>
  <c r="AG394" i="1"/>
  <c r="AC394" i="1"/>
  <c r="BT726" i="1"/>
  <c r="BR726" i="1"/>
  <c r="AP816" i="1"/>
  <c r="AN816" i="1"/>
  <c r="AT816" i="1"/>
  <c r="AR816" i="1"/>
  <c r="AN862" i="1"/>
  <c r="AT862" i="1"/>
  <c r="AR862" i="1"/>
  <c r="AP862" i="1"/>
  <c r="BE944" i="1"/>
  <c r="BG944" i="1"/>
  <c r="AC828" i="1"/>
  <c r="AA828" i="1"/>
  <c r="AC305" i="1"/>
  <c r="AE305" i="1"/>
  <c r="AG305" i="1"/>
  <c r="AA223" i="1"/>
  <c r="AC223" i="1"/>
  <c r="AE223" i="1"/>
  <c r="BR363" i="1"/>
  <c r="BP363" i="1"/>
  <c r="AR714" i="1"/>
  <c r="AT714" i="1"/>
  <c r="AN714" i="1"/>
  <c r="AP714" i="1"/>
  <c r="AR377" i="1"/>
  <c r="AP377" i="1"/>
  <c r="AT377" i="1"/>
  <c r="BG445" i="1"/>
  <c r="BC445" i="1"/>
  <c r="BP337" i="1"/>
  <c r="BR337" i="1"/>
  <c r="BN337" i="1"/>
  <c r="BT337" i="1"/>
  <c r="AE579" i="1"/>
  <c r="BR736" i="1"/>
  <c r="BE924" i="1"/>
  <c r="BG924" i="1"/>
  <c r="BC924" i="1"/>
  <c r="BA924" i="1"/>
  <c r="BG328" i="1"/>
  <c r="BE328" i="1"/>
  <c r="BA328" i="1"/>
  <c r="BC562" i="1"/>
  <c r="BG562" i="1"/>
  <c r="AG118" i="1"/>
  <c r="AE118" i="1"/>
  <c r="AA118" i="1"/>
  <c r="AC118" i="1"/>
  <c r="AA761" i="1"/>
  <c r="AG761" i="1"/>
  <c r="AE761" i="1"/>
  <c r="BA275" i="1"/>
  <c r="BG275" i="1"/>
  <c r="BC275" i="1"/>
  <c r="BE275" i="1"/>
  <c r="AT408" i="1"/>
  <c r="AN408" i="1"/>
  <c r="AR408" i="1"/>
  <c r="AP408" i="1"/>
  <c r="BN29" i="1"/>
  <c r="BT29" i="1"/>
  <c r="BR29" i="1"/>
  <c r="BP659" i="1"/>
  <c r="BN659" i="1"/>
  <c r="AA637" i="1"/>
  <c r="AG637" i="1"/>
  <c r="AA233" i="1"/>
  <c r="AC233" i="1"/>
  <c r="BG873" i="1"/>
  <c r="BA873" i="1"/>
  <c r="BE873" i="1"/>
  <c r="AT809" i="1"/>
  <c r="AN809" i="1"/>
  <c r="AN464" i="1"/>
  <c r="AP464" i="1"/>
  <c r="AR464" i="1"/>
  <c r="AT464" i="1"/>
  <c r="AC322" i="1"/>
  <c r="AE322" i="1"/>
  <c r="AG322" i="1"/>
  <c r="BG247" i="1"/>
  <c r="BE247" i="1"/>
  <c r="BA247" i="1"/>
  <c r="BE52" i="1"/>
  <c r="BG52" i="1"/>
  <c r="AE160" i="1"/>
  <c r="AG160" i="1"/>
  <c r="AC160" i="1"/>
  <c r="AA160" i="1"/>
  <c r="AN593" i="1"/>
  <c r="AP593" i="1"/>
  <c r="AA54" i="1"/>
  <c r="AG54" i="1"/>
  <c r="AE54" i="1"/>
  <c r="AC54" i="1"/>
  <c r="AG986" i="1"/>
  <c r="AC986" i="1"/>
  <c r="AA986" i="1"/>
  <c r="AE986" i="1"/>
  <c r="AC62" i="1"/>
  <c r="AA62" i="1"/>
  <c r="AE62" i="1"/>
  <c r="AG62" i="1"/>
  <c r="AG751" i="1"/>
  <c r="AE751" i="1"/>
  <c r="AA751" i="1"/>
  <c r="AC751" i="1"/>
  <c r="AA556" i="1"/>
  <c r="AC556" i="1"/>
  <c r="AG556" i="1"/>
  <c r="AE556" i="1"/>
  <c r="AE743" i="1"/>
  <c r="AA743" i="1"/>
  <c r="AG743" i="1"/>
  <c r="AC743" i="1"/>
  <c r="AG855" i="1"/>
  <c r="AE855" i="1"/>
  <c r="AC855" i="1"/>
  <c r="AC961" i="1"/>
  <c r="AA961" i="1"/>
  <c r="AC692" i="1"/>
  <c r="AE692" i="1"/>
  <c r="AG692" i="1"/>
  <c r="AA692" i="1"/>
  <c r="AC630" i="1"/>
  <c r="AA630" i="1"/>
  <c r="AA199" i="1"/>
  <c r="AG199" i="1"/>
  <c r="AP672" i="1"/>
  <c r="AG391" i="1"/>
  <c r="AA638" i="1"/>
  <c r="AR915" i="1"/>
  <c r="AA466" i="1"/>
  <c r="AG466" i="1"/>
  <c r="AC466" i="1"/>
  <c r="AE466" i="1"/>
  <c r="AN75" i="1"/>
  <c r="AT75" i="1"/>
  <c r="BG455" i="1"/>
  <c r="BC455" i="1"/>
  <c r="BA455" i="1"/>
  <c r="AA733" i="1"/>
  <c r="AG733" i="1"/>
  <c r="AE733" i="1"/>
  <c r="AC733" i="1"/>
  <c r="AA265" i="1"/>
  <c r="AE265" i="1"/>
  <c r="AC265" i="1"/>
  <c r="AG265" i="1"/>
  <c r="AC487" i="1"/>
  <c r="AG487" i="1"/>
  <c r="AE487" i="1"/>
  <c r="AA487" i="1"/>
  <c r="BP642" i="1"/>
  <c r="BN642" i="1"/>
  <c r="BR642" i="1"/>
  <c r="BT642" i="1"/>
  <c r="BE811" i="1"/>
  <c r="BC811" i="1"/>
  <c r="BA811" i="1"/>
  <c r="BG811" i="1"/>
  <c r="BR67" i="1"/>
  <c r="BT67" i="1"/>
  <c r="BN67" i="1"/>
  <c r="BP67" i="1"/>
  <c r="BR65" i="1"/>
  <c r="BT65" i="1"/>
  <c r="BA494" i="1"/>
  <c r="BC494" i="1"/>
  <c r="BG494" i="1"/>
  <c r="BE494" i="1"/>
  <c r="BR497" i="1"/>
  <c r="BT497" i="1"/>
  <c r="BN497" i="1"/>
  <c r="AE523" i="1"/>
  <c r="AC523" i="1"/>
  <c r="AG523" i="1"/>
  <c r="AA523" i="1"/>
  <c r="BC202" i="1"/>
  <c r="BE202" i="1"/>
  <c r="AA848" i="1"/>
  <c r="AC848" i="1"/>
  <c r="AG848" i="1"/>
  <c r="AE848" i="1"/>
  <c r="AA119" i="1"/>
  <c r="AG119" i="1"/>
  <c r="AA246" i="1"/>
  <c r="AC246" i="1"/>
  <c r="AA876" i="1"/>
  <c r="AG876" i="1"/>
  <c r="AE26" i="1"/>
  <c r="AA26" i="1"/>
  <c r="AE811" i="1"/>
  <c r="AA811" i="1"/>
  <c r="AA185" i="1"/>
  <c r="AC185" i="1"/>
  <c r="AG185" i="1"/>
  <c r="AE185" i="1"/>
  <c r="AE87" i="1"/>
  <c r="AA87" i="1"/>
  <c r="AP312" i="1"/>
  <c r="AT312" i="1"/>
  <c r="AN312" i="1"/>
  <c r="AR312" i="1"/>
  <c r="AT680" i="1"/>
  <c r="AN680" i="1"/>
  <c r="AP680" i="1"/>
  <c r="AR680" i="1"/>
  <c r="BT729" i="1"/>
  <c r="BR729" i="1"/>
  <c r="AC304" i="1"/>
  <c r="AG304" i="1"/>
  <c r="AA304" i="1"/>
  <c r="AC272" i="1"/>
  <c r="AA272" i="1"/>
  <c r="AG272" i="1"/>
  <c r="AE272" i="1"/>
  <c r="BR526" i="1"/>
  <c r="BN526" i="1"/>
  <c r="BT526" i="1"/>
  <c r="AP953" i="1"/>
  <c r="AN953" i="1"/>
  <c r="AC831" i="1"/>
  <c r="AA831" i="1"/>
  <c r="AN595" i="1"/>
  <c r="AP595" i="1"/>
  <c r="AA151" i="1"/>
  <c r="AC151" i="1"/>
  <c r="AG151" i="1"/>
  <c r="AC766" i="1"/>
  <c r="AE766" i="1"/>
  <c r="AG1000" i="1"/>
  <c r="AC1000" i="1"/>
  <c r="BN796" i="1"/>
  <c r="BT796" i="1"/>
  <c r="BP796" i="1"/>
  <c r="BR796" i="1"/>
  <c r="AR921" i="1"/>
  <c r="AT921" i="1"/>
  <c r="BT779" i="1"/>
  <c r="BE406" i="1"/>
  <c r="BC230" i="1"/>
  <c r="BC559" i="1"/>
  <c r="BE860" i="1"/>
  <c r="BP844" i="1"/>
  <c r="BR560" i="1"/>
  <c r="BC430" i="1"/>
  <c r="BN723" i="1"/>
  <c r="AR196" i="1"/>
  <c r="BN259" i="1"/>
  <c r="AN110" i="1"/>
  <c r="AP710" i="1"/>
  <c r="AN109" i="1"/>
  <c r="BR350" i="1"/>
  <c r="AG233" i="1"/>
  <c r="AA807" i="1"/>
  <c r="AP75" i="1"/>
  <c r="BR520" i="1"/>
  <c r="AN892" i="1"/>
  <c r="AE411" i="1"/>
  <c r="AN333" i="1"/>
  <c r="AT909" i="1"/>
  <c r="BP952" i="1"/>
  <c r="BE764" i="1"/>
  <c r="BG230" i="1"/>
  <c r="BP674" i="1"/>
  <c r="BG350" i="1"/>
  <c r="BE559" i="1"/>
  <c r="BR844" i="1"/>
  <c r="BN560" i="1"/>
  <c r="BG430" i="1"/>
  <c r="BP723" i="1"/>
  <c r="BP929" i="1"/>
  <c r="AP196" i="1"/>
  <c r="BG385" i="1"/>
  <c r="BG752" i="1"/>
  <c r="BR53" i="1"/>
  <c r="BR253" i="1"/>
  <c r="BC530" i="1"/>
  <c r="AP900" i="1"/>
  <c r="AR969" i="1"/>
  <c r="AP401" i="1"/>
  <c r="AR91" i="1"/>
  <c r="AC579" i="1"/>
  <c r="AR109" i="1"/>
  <c r="AN487" i="1"/>
  <c r="BA445" i="1"/>
  <c r="AT504" i="1"/>
  <c r="AN529" i="1"/>
  <c r="BT754" i="1"/>
  <c r="AC838" i="1"/>
  <c r="AG610" i="1"/>
  <c r="AE637" i="1"/>
  <c r="AE807" i="1"/>
  <c r="AR75" i="1"/>
  <c r="AP892" i="1"/>
  <c r="BR440" i="1"/>
  <c r="BP65" i="1"/>
  <c r="BE316" i="1"/>
  <c r="AR909" i="1"/>
  <c r="BN729" i="1"/>
  <c r="AG630" i="1"/>
  <c r="AN678" i="1"/>
  <c r="BP920" i="1"/>
  <c r="AE656" i="1"/>
  <c r="AE1000" i="1"/>
  <c r="AE961" i="1"/>
  <c r="AC26" i="1"/>
  <c r="AC876" i="1"/>
  <c r="AC977" i="1"/>
  <c r="BC983" i="1"/>
  <c r="BT66" i="1"/>
  <c r="BN457" i="1"/>
  <c r="BP452" i="1"/>
  <c r="AT693" i="1"/>
  <c r="BG581" i="1"/>
  <c r="AN836" i="1"/>
  <c r="BA219" i="1"/>
  <c r="AT11" i="1"/>
  <c r="BG818" i="1"/>
  <c r="BE562" i="1"/>
  <c r="BR659" i="1"/>
  <c r="BC760" i="1"/>
  <c r="BE366" i="1"/>
  <c r="AR402" i="1"/>
  <c r="BG782" i="1"/>
  <c r="AC761" i="1"/>
  <c r="AG271" i="1"/>
  <c r="AC992" i="1"/>
  <c r="AN835" i="1"/>
  <c r="AR149" i="1"/>
  <c r="AG223" i="1"/>
  <c r="AA921" i="1"/>
  <c r="BP526" i="1"/>
  <c r="BE195" i="1"/>
  <c r="AT246" i="1"/>
  <c r="AR856" i="1"/>
  <c r="BE851" i="1"/>
  <c r="BT465" i="1"/>
  <c r="BP834" i="1"/>
  <c r="AA311" i="1"/>
  <c r="AA221" i="1"/>
  <c r="AG392" i="1"/>
  <c r="AC348" i="1"/>
  <c r="AC134" i="1"/>
  <c r="AG901" i="1"/>
  <c r="AG988" i="1"/>
  <c r="AC753" i="1"/>
  <c r="AE737" i="1"/>
  <c r="BG673" i="1"/>
  <c r="BA863" i="1"/>
  <c r="BC21" i="1"/>
  <c r="BG21" i="1"/>
  <c r="BE204" i="1"/>
  <c r="BG204" i="1"/>
  <c r="BE632" i="1"/>
  <c r="BA632" i="1"/>
  <c r="BA305" i="1"/>
  <c r="BG305" i="1"/>
  <c r="BN414" i="1"/>
  <c r="BP414" i="1"/>
  <c r="BT414" i="1"/>
  <c r="BP624" i="1"/>
  <c r="BN624" i="1"/>
  <c r="BT624" i="1"/>
  <c r="BE198" i="1"/>
  <c r="BA198" i="1"/>
  <c r="BG198" i="1"/>
  <c r="BP249" i="1"/>
  <c r="BN249" i="1"/>
  <c r="BR249" i="1"/>
  <c r="BE239" i="1"/>
  <c r="BC239" i="1"/>
  <c r="BR447" i="1"/>
  <c r="BP447" i="1"/>
  <c r="BR547" i="1"/>
  <c r="BT547" i="1"/>
  <c r="BN547" i="1"/>
  <c r="BC693" i="1"/>
  <c r="BG693" i="1"/>
  <c r="BA144" i="1"/>
  <c r="BG144" i="1"/>
  <c r="BR599" i="1"/>
  <c r="BN599" i="1"/>
  <c r="BT908" i="1"/>
  <c r="BP908" i="1"/>
  <c r="BP985" i="1"/>
  <c r="BR985" i="1"/>
  <c r="BT12" i="1"/>
  <c r="BR12" i="1"/>
  <c r="BT696" i="1"/>
  <c r="BN696" i="1"/>
  <c r="BN315" i="1"/>
  <c r="BR315" i="1"/>
  <c r="BE922" i="1"/>
  <c r="BA595" i="1"/>
  <c r="BC595" i="1"/>
  <c r="BA325" i="1"/>
  <c r="BC325" i="1"/>
  <c r="BP790" i="1"/>
  <c r="BN790" i="1"/>
  <c r="BR209" i="1"/>
  <c r="BN209" i="1"/>
  <c r="BA170" i="1"/>
  <c r="BE170" i="1"/>
  <c r="BR421" i="1"/>
  <c r="BT421" i="1"/>
  <c r="BP421" i="1"/>
  <c r="BN421" i="1"/>
  <c r="AR670" i="1"/>
  <c r="AT670" i="1"/>
  <c r="AG892" i="1"/>
  <c r="AE892" i="1"/>
  <c r="AC892" i="1"/>
  <c r="AA892" i="1"/>
  <c r="AA703" i="1"/>
  <c r="AG703" i="1"/>
  <c r="AE703" i="1"/>
  <c r="AC703" i="1"/>
  <c r="AE770" i="1"/>
  <c r="AA770" i="1"/>
  <c r="AG770" i="1"/>
  <c r="AC770" i="1"/>
  <c r="BR269" i="1"/>
  <c r="BT269" i="1"/>
  <c r="BN269" i="1"/>
  <c r="BP269" i="1"/>
  <c r="BN357" i="1"/>
  <c r="BP357" i="1"/>
  <c r="BR357" i="1"/>
  <c r="BT357" i="1"/>
  <c r="BN706" i="1"/>
  <c r="BP706" i="1"/>
  <c r="BR706" i="1"/>
  <c r="BT706" i="1"/>
  <c r="AP340" i="1"/>
  <c r="AT340" i="1"/>
  <c r="AN340" i="1"/>
  <c r="AR340" i="1"/>
  <c r="AR630" i="1"/>
  <c r="AP630" i="1"/>
  <c r="AT630" i="1"/>
  <c r="AN630" i="1"/>
  <c r="AR844" i="1"/>
  <c r="AP844" i="1"/>
  <c r="AT844" i="1"/>
  <c r="AN844" i="1"/>
  <c r="BE518" i="1"/>
  <c r="BG518" i="1"/>
  <c r="BC518" i="1"/>
  <c r="BA518" i="1"/>
  <c r="BP110" i="1"/>
  <c r="BR110" i="1"/>
  <c r="BT110" i="1"/>
  <c r="BN110" i="1"/>
  <c r="AT746" i="1"/>
  <c r="AN746" i="1"/>
  <c r="AP746" i="1"/>
  <c r="AR746" i="1"/>
  <c r="AG376" i="1"/>
  <c r="AC376" i="1"/>
  <c r="AA376" i="1"/>
  <c r="AE376" i="1"/>
  <c r="AA897" i="1"/>
  <c r="AG897" i="1"/>
  <c r="AE897" i="1"/>
  <c r="AC897" i="1"/>
  <c r="AA917" i="1"/>
  <c r="AE917" i="1"/>
  <c r="AG917" i="1"/>
  <c r="AC917" i="1"/>
  <c r="AC25" i="1"/>
  <c r="AE25" i="1"/>
  <c r="AA25" i="1"/>
  <c r="AG98" i="1"/>
  <c r="AC98" i="1"/>
  <c r="AA98" i="1"/>
  <c r="AE98" i="1"/>
  <c r="BC734" i="1"/>
  <c r="BE734" i="1"/>
  <c r="BA734" i="1"/>
  <c r="BG734" i="1"/>
  <c r="BP928" i="1"/>
  <c r="BT928" i="1"/>
  <c r="BN928" i="1"/>
  <c r="BR928" i="1"/>
  <c r="AP533" i="1"/>
  <c r="AN533" i="1"/>
  <c r="AR533" i="1"/>
  <c r="AT533" i="1"/>
  <c r="AP598" i="1"/>
  <c r="AT598" i="1"/>
  <c r="AN598" i="1"/>
  <c r="AT495" i="1"/>
  <c r="AP495" i="1"/>
  <c r="AR495" i="1"/>
  <c r="AN495" i="1"/>
  <c r="BG91" i="1"/>
  <c r="BC91" i="1"/>
  <c r="BA91" i="1"/>
  <c r="BE91" i="1"/>
  <c r="BP33" i="1"/>
  <c r="BN33" i="1"/>
  <c r="BT33" i="1"/>
  <c r="BR33" i="1"/>
  <c r="AT843" i="1"/>
  <c r="AN843" i="1"/>
  <c r="BT734" i="1"/>
  <c r="BR734" i="1"/>
  <c r="BP734" i="1"/>
  <c r="BN734" i="1"/>
  <c r="BR747" i="1"/>
  <c r="BP747" i="1"/>
  <c r="BN747" i="1"/>
  <c r="AP58" i="1"/>
  <c r="AR58" i="1"/>
  <c r="AT328" i="1"/>
  <c r="AR328" i="1"/>
  <c r="BN329" i="1"/>
  <c r="BP329" i="1"/>
  <c r="BA544" i="1"/>
  <c r="BG544" i="1"/>
  <c r="AT68" i="1"/>
  <c r="AP68" i="1"/>
  <c r="AR710" i="1"/>
  <c r="AN710" i="1"/>
  <c r="AN451" i="1"/>
  <c r="AR451" i="1"/>
  <c r="BP670" i="1"/>
  <c r="BN670" i="1"/>
  <c r="BR259" i="1"/>
  <c r="BT259" i="1"/>
  <c r="AT334" i="1"/>
  <c r="AP334" i="1"/>
  <c r="BT149" i="1"/>
  <c r="BR149" i="1"/>
  <c r="BP149" i="1"/>
  <c r="BC492" i="1"/>
  <c r="BA492" i="1"/>
  <c r="BA232" i="1"/>
  <c r="BE232" i="1"/>
  <c r="BC232" i="1"/>
  <c r="BG232" i="1"/>
  <c r="BE96" i="1"/>
  <c r="BC96" i="1"/>
  <c r="BG96" i="1"/>
  <c r="BA96" i="1"/>
  <c r="BE744" i="1"/>
  <c r="BA744" i="1"/>
  <c r="BA289" i="1"/>
  <c r="BG289" i="1"/>
  <c r="BE289" i="1"/>
  <c r="BC289" i="1"/>
  <c r="BG92" i="1"/>
  <c r="BE92" i="1"/>
  <c r="BC92" i="1"/>
  <c r="BA92" i="1"/>
  <c r="BG273" i="1"/>
  <c r="BA273" i="1"/>
  <c r="BC273" i="1"/>
  <c r="BE273" i="1"/>
  <c r="BE697" i="1"/>
  <c r="BA697" i="1"/>
  <c r="BG355" i="1"/>
  <c r="BE355" i="1"/>
  <c r="BT530" i="1"/>
  <c r="BR530" i="1"/>
  <c r="BP459" i="1"/>
  <c r="BN459" i="1"/>
  <c r="BA156" i="1"/>
  <c r="BC156" i="1"/>
  <c r="AT82" i="1"/>
  <c r="AR82" i="1"/>
  <c r="BN433" i="1"/>
  <c r="AP796" i="1"/>
  <c r="BE463" i="1"/>
  <c r="BA404" i="1"/>
  <c r="BE404" i="1"/>
  <c r="AR286" i="1"/>
  <c r="AN286" i="1"/>
  <c r="AP547" i="1"/>
  <c r="AT547" i="1"/>
  <c r="AN193" i="1"/>
  <c r="AN913" i="1"/>
  <c r="BC134" i="1"/>
  <c r="BA134" i="1"/>
  <c r="AG550" i="1"/>
  <c r="AA550" i="1"/>
  <c r="AE363" i="1"/>
  <c r="AA363" i="1"/>
  <c r="AC363" i="1"/>
  <c r="AG363" i="1"/>
  <c r="AG193" i="1"/>
  <c r="AC193" i="1"/>
  <c r="AE931" i="1"/>
  <c r="AC931" i="1"/>
  <c r="AR544" i="1"/>
  <c r="AP544" i="1"/>
  <c r="AN544" i="1"/>
  <c r="AT544" i="1"/>
  <c r="BR428" i="1"/>
  <c r="BP428" i="1"/>
  <c r="BT428" i="1"/>
  <c r="BN428" i="1"/>
  <c r="AP507" i="1"/>
  <c r="AN507" i="1"/>
  <c r="AP562" i="1"/>
  <c r="AT562" i="1"/>
  <c r="AT444" i="1"/>
  <c r="AN444" i="1"/>
  <c r="BP393" i="1"/>
  <c r="BN393" i="1"/>
  <c r="BA438" i="1"/>
  <c r="AG267" i="1"/>
  <c r="AE267" i="1"/>
  <c r="AA267" i="1"/>
  <c r="AC267" i="1"/>
  <c r="AE702" i="1"/>
  <c r="AC702" i="1"/>
  <c r="AG702" i="1"/>
  <c r="AA702" i="1"/>
  <c r="AA715" i="1"/>
  <c r="AC715" i="1"/>
  <c r="AG715" i="1"/>
  <c r="AE715" i="1"/>
  <c r="AE938" i="1"/>
  <c r="AC938" i="1"/>
  <c r="AA938" i="1"/>
  <c r="AG938" i="1"/>
  <c r="BE935" i="1"/>
  <c r="AP582" i="1"/>
  <c r="AR929" i="1"/>
  <c r="BP148" i="1"/>
  <c r="AR810" i="1"/>
  <c r="BT461" i="1"/>
  <c r="BC262" i="1"/>
  <c r="AN885" i="1"/>
  <c r="AR893" i="1"/>
  <c r="BE149" i="1"/>
  <c r="AA629" i="1"/>
  <c r="BE138" i="1"/>
  <c r="AT567" i="1"/>
  <c r="AG128" i="1"/>
  <c r="BG819" i="1"/>
  <c r="BA819" i="1"/>
  <c r="AT332" i="1"/>
  <c r="AN332" i="1"/>
  <c r="AP360" i="1"/>
  <c r="AR360" i="1"/>
  <c r="AN532" i="1"/>
  <c r="AP532" i="1"/>
  <c r="BR319" i="1"/>
  <c r="AP577" i="1"/>
  <c r="AN577" i="1"/>
  <c r="AR577" i="1"/>
  <c r="AT577" i="1"/>
  <c r="AC214" i="1"/>
  <c r="AE214" i="1"/>
  <c r="AG214" i="1"/>
  <c r="AC932" i="1"/>
  <c r="AE932" i="1"/>
  <c r="AA932" i="1"/>
  <c r="AG291" i="1"/>
  <c r="AA291" i="1"/>
  <c r="AC291" i="1"/>
  <c r="AE557" i="1"/>
  <c r="AA557" i="1"/>
  <c r="AG557" i="1"/>
  <c r="AC827" i="1"/>
  <c r="AG827" i="1"/>
  <c r="AA827" i="1"/>
  <c r="AA240" i="1"/>
  <c r="AE240" i="1"/>
  <c r="AC240" i="1"/>
  <c r="AR607" i="1"/>
  <c r="AT607" i="1"/>
  <c r="AN607" i="1"/>
  <c r="BP839" i="1"/>
  <c r="BR839" i="1"/>
  <c r="BT839" i="1"/>
  <c r="BN839" i="1"/>
  <c r="BG76" i="1"/>
  <c r="BE76" i="1"/>
  <c r="BC76" i="1"/>
  <c r="BC470" i="1"/>
  <c r="BE470" i="1"/>
  <c r="BE155" i="1"/>
  <c r="BC155" i="1"/>
  <c r="BP938" i="1"/>
  <c r="BT938" i="1"/>
  <c r="BR938" i="1"/>
  <c r="BN938" i="1"/>
  <c r="AR790" i="1"/>
  <c r="AP790" i="1"/>
  <c r="BE252" i="1"/>
  <c r="BC252" i="1"/>
  <c r="BA252" i="1"/>
  <c r="BG252" i="1"/>
  <c r="AT758" i="1"/>
  <c r="AP758" i="1"/>
  <c r="AN758" i="1"/>
  <c r="AR758" i="1"/>
  <c r="BE80" i="1"/>
  <c r="BC80" i="1"/>
  <c r="BN520" i="1"/>
  <c r="BT520" i="1"/>
  <c r="BG256" i="1"/>
  <c r="BA256" i="1"/>
  <c r="AE688" i="1"/>
  <c r="AG688" i="1"/>
  <c r="AC688" i="1"/>
  <c r="AA688" i="1"/>
  <c r="AG139" i="1"/>
  <c r="AA139" i="1"/>
  <c r="AC139" i="1"/>
  <c r="AE139" i="1"/>
  <c r="AA295" i="1"/>
  <c r="AG295" i="1"/>
  <c r="AR301" i="1"/>
  <c r="AN301" i="1"/>
  <c r="AP301" i="1"/>
  <c r="AT301" i="1"/>
  <c r="AN85" i="1"/>
  <c r="AT85" i="1"/>
  <c r="BE672" i="1"/>
  <c r="BC672" i="1"/>
  <c r="BG672" i="1"/>
  <c r="BA672" i="1"/>
  <c r="AE942" i="1"/>
  <c r="AA942" i="1"/>
  <c r="AC942" i="1"/>
  <c r="AG942" i="1"/>
  <c r="AG243" i="1"/>
  <c r="AC243" i="1"/>
  <c r="AP601" i="1"/>
  <c r="AN601" i="1"/>
  <c r="AT601" i="1"/>
  <c r="AR601" i="1"/>
  <c r="BC402" i="1"/>
  <c r="BA402" i="1"/>
  <c r="AG634" i="1"/>
  <c r="AC634" i="1"/>
  <c r="AA634" i="1"/>
  <c r="AE634" i="1"/>
  <c r="AG209" i="1"/>
  <c r="AC209" i="1"/>
  <c r="AA209" i="1"/>
  <c r="AG357" i="1"/>
  <c r="AE357" i="1"/>
  <c r="AC357" i="1"/>
  <c r="AA357" i="1"/>
  <c r="AC150" i="1"/>
  <c r="AE150" i="1"/>
  <c r="AA150" i="1"/>
  <c r="BT455" i="1"/>
  <c r="BN455" i="1"/>
  <c r="BN648" i="1"/>
  <c r="BP648" i="1"/>
  <c r="BR648" i="1"/>
  <c r="BT648" i="1"/>
  <c r="AP178" i="1"/>
  <c r="AR178" i="1"/>
  <c r="AN178" i="1"/>
  <c r="AT141" i="1"/>
  <c r="AN141" i="1"/>
  <c r="BA872" i="1"/>
  <c r="BG872" i="1"/>
  <c r="BE872" i="1"/>
  <c r="BC872" i="1"/>
  <c r="AA795" i="1"/>
  <c r="AC294" i="1"/>
  <c r="AA294" i="1"/>
  <c r="BG286" i="1"/>
  <c r="BE286" i="1"/>
  <c r="AR60" i="1"/>
  <c r="AN60" i="1"/>
  <c r="AT60" i="1"/>
  <c r="BE995" i="1"/>
  <c r="BA995" i="1"/>
  <c r="BR179" i="1"/>
  <c r="BN179" i="1"/>
  <c r="AE797" i="1"/>
  <c r="AC797" i="1"/>
  <c r="AA797" i="1"/>
  <c r="AG797" i="1"/>
  <c r="AA677" i="1"/>
  <c r="AG677" i="1"/>
  <c r="AE677" i="1"/>
  <c r="BT398" i="1"/>
  <c r="BP398" i="1"/>
  <c r="AP638" i="1"/>
  <c r="AN638" i="1"/>
  <c r="AT638" i="1"/>
  <c r="AR638" i="1"/>
  <c r="BP954" i="1"/>
  <c r="BT954" i="1"/>
  <c r="BN954" i="1"/>
  <c r="BR324" i="1"/>
  <c r="BP324" i="1"/>
  <c r="BT324" i="1"/>
  <c r="BP812" i="1"/>
  <c r="BN812" i="1"/>
  <c r="BR812" i="1"/>
  <c r="BG126" i="1"/>
  <c r="BE126" i="1"/>
  <c r="AA280" i="1"/>
  <c r="AG280" i="1"/>
  <c r="AC280" i="1"/>
  <c r="AE280" i="1"/>
  <c r="BA206" i="1"/>
  <c r="BG206" i="1"/>
  <c r="BC206" i="1"/>
  <c r="BE206" i="1"/>
  <c r="AT629" i="1"/>
  <c r="AN629" i="1"/>
  <c r="AP629" i="1"/>
  <c r="AR629" i="1"/>
  <c r="BG119" i="1"/>
  <c r="BC119" i="1"/>
  <c r="BA119" i="1"/>
  <c r="AE672" i="1"/>
  <c r="AG672" i="1"/>
  <c r="AC672" i="1"/>
  <c r="AN188" i="1"/>
  <c r="AP188" i="1"/>
  <c r="AR188" i="1"/>
  <c r="AT188" i="1"/>
  <c r="AP826" i="1"/>
  <c r="AR826" i="1"/>
  <c r="AT826" i="1"/>
  <c r="AN826" i="1"/>
  <c r="AA999" i="1"/>
  <c r="AE999" i="1"/>
  <c r="AP372" i="1"/>
  <c r="AR372" i="1"/>
  <c r="AN372" i="1"/>
  <c r="AP129" i="1"/>
  <c r="AN129" i="1"/>
  <c r="AA609" i="1"/>
  <c r="AC609" i="1"/>
  <c r="AG609" i="1"/>
  <c r="AE609" i="1"/>
  <c r="AA937" i="1"/>
  <c r="AG937" i="1"/>
  <c r="AE937" i="1"/>
  <c r="AC937" i="1"/>
  <c r="AC964" i="1"/>
  <c r="AE964" i="1"/>
  <c r="AG964" i="1"/>
  <c r="AG158" i="1"/>
  <c r="AA158" i="1"/>
  <c r="AE455" i="1"/>
  <c r="AC455" i="1"/>
  <c r="AG455" i="1"/>
  <c r="AA455" i="1"/>
  <c r="AA979" i="1"/>
  <c r="AC979" i="1"/>
  <c r="AG979" i="1"/>
  <c r="AE979" i="1"/>
  <c r="AE344" i="1"/>
  <c r="AC344" i="1"/>
  <c r="AG344" i="1"/>
  <c r="AA344" i="1"/>
  <c r="AG789" i="1"/>
  <c r="AC789" i="1"/>
  <c r="AE789" i="1"/>
  <c r="AA789" i="1"/>
  <c r="AN425" i="1"/>
  <c r="AR425" i="1"/>
  <c r="AP425" i="1"/>
  <c r="AT425" i="1"/>
  <c r="AT823" i="1"/>
  <c r="AN823" i="1"/>
  <c r="AT954" i="1"/>
  <c r="AR954" i="1"/>
  <c r="AG704" i="1"/>
  <c r="AE704" i="1"/>
  <c r="AA177" i="1"/>
  <c r="AG177" i="1"/>
  <c r="BA789" i="1"/>
  <c r="BG789" i="1"/>
  <c r="AA754" i="1"/>
  <c r="AC754" i="1"/>
  <c r="AE754" i="1"/>
  <c r="BC140" i="1"/>
  <c r="BE140" i="1"/>
  <c r="BG140" i="1"/>
  <c r="BA140" i="1"/>
  <c r="BN117" i="1"/>
  <c r="BP117" i="1"/>
  <c r="BT117" i="1"/>
  <c r="BR117" i="1"/>
  <c r="AR510" i="1"/>
  <c r="AT510" i="1"/>
  <c r="AN510" i="1"/>
  <c r="AP510" i="1"/>
  <c r="BT137" i="1"/>
  <c r="BP137" i="1"/>
  <c r="AE460" i="1"/>
  <c r="AG460" i="1"/>
  <c r="AC460" i="1"/>
  <c r="AA460" i="1"/>
  <c r="AC68" i="1"/>
  <c r="AG68" i="1"/>
  <c r="AE68" i="1"/>
  <c r="AA68" i="1"/>
  <c r="BA60" i="1"/>
  <c r="BC60" i="1"/>
  <c r="BG60" i="1"/>
  <c r="BE60" i="1"/>
  <c r="AE65" i="1"/>
  <c r="AG65" i="1"/>
  <c r="AE445" i="1"/>
  <c r="AC445" i="1"/>
  <c r="AA411" i="1"/>
  <c r="AG411" i="1"/>
  <c r="AP242" i="1"/>
  <c r="AT242" i="1"/>
  <c r="AN242" i="1"/>
  <c r="AR242" i="1"/>
  <c r="AN454" i="1"/>
  <c r="AP454" i="1"/>
  <c r="AT454" i="1"/>
  <c r="AR454" i="1"/>
  <c r="AC808" i="1"/>
  <c r="AA808" i="1"/>
  <c r="AG808" i="1"/>
  <c r="AP505" i="1"/>
  <c r="AT505" i="1"/>
  <c r="AR505" i="1"/>
  <c r="AN505" i="1"/>
  <c r="AP152" i="1"/>
  <c r="AN152" i="1"/>
  <c r="AR152" i="1"/>
  <c r="AA802" i="1"/>
  <c r="AG802" i="1"/>
  <c r="AE888" i="1"/>
  <c r="AA888" i="1"/>
  <c r="AC865" i="1"/>
  <c r="AE865" i="1"/>
  <c r="AC106" i="1"/>
  <c r="AE106" i="1"/>
  <c r="AG106" i="1"/>
  <c r="AA106" i="1"/>
  <c r="AE369" i="1"/>
  <c r="AA369" i="1"/>
  <c r="AG369" i="1"/>
  <c r="AC369" i="1"/>
  <c r="AG227" i="1"/>
  <c r="AC227" i="1"/>
  <c r="AG186" i="1"/>
  <c r="AC186" i="1"/>
  <c r="AE186" i="1"/>
  <c r="AA186" i="1"/>
  <c r="BC49" i="1"/>
  <c r="BE49" i="1"/>
  <c r="AC893" i="1"/>
  <c r="AG893" i="1"/>
  <c r="AE893" i="1"/>
  <c r="AA893" i="1"/>
  <c r="AR531" i="1"/>
  <c r="AP531" i="1"/>
  <c r="AN531" i="1"/>
  <c r="AT531" i="1"/>
  <c r="BE458" i="1"/>
  <c r="BG458" i="1"/>
  <c r="BC318" i="1"/>
  <c r="BE318" i="1"/>
  <c r="AN254" i="1"/>
  <c r="AP254" i="1"/>
  <c r="AR254" i="1"/>
  <c r="AT254" i="1"/>
  <c r="BT749" i="1"/>
  <c r="BN749" i="1"/>
  <c r="AE275" i="1"/>
  <c r="AC275" i="1"/>
  <c r="AG275" i="1"/>
  <c r="AT542" i="1"/>
  <c r="AN542" i="1"/>
  <c r="AP542" i="1"/>
  <c r="BE591" i="1"/>
  <c r="BC860" i="1"/>
  <c r="BA860" i="1"/>
  <c r="BR636" i="1"/>
  <c r="BP636" i="1"/>
  <c r="BN636" i="1"/>
  <c r="BT636" i="1"/>
  <c r="AT906" i="1"/>
  <c r="AP906" i="1"/>
  <c r="AN906" i="1"/>
  <c r="AR906" i="1"/>
  <c r="BR874" i="1"/>
  <c r="BT874" i="1"/>
  <c r="AA354" i="1"/>
  <c r="AE354" i="1"/>
  <c r="AG354" i="1"/>
  <c r="AC354" i="1"/>
  <c r="AE18" i="1"/>
  <c r="AA18" i="1"/>
  <c r="AC18" i="1"/>
  <c r="AG18" i="1"/>
  <c r="BN429" i="1"/>
  <c r="BT429" i="1"/>
  <c r="BR28" i="1"/>
  <c r="BP28" i="1"/>
  <c r="BT28" i="1"/>
  <c r="BN28" i="1"/>
  <c r="BC358" i="1"/>
  <c r="BG358" i="1"/>
  <c r="BE358" i="1"/>
  <c r="BA358" i="1"/>
  <c r="AA799" i="1"/>
  <c r="AG799" i="1"/>
  <c r="AE799" i="1"/>
  <c r="AC799" i="1"/>
  <c r="AG274" i="1"/>
  <c r="AA274" i="1"/>
  <c r="BP565" i="1"/>
  <c r="BT565" i="1"/>
  <c r="BR565" i="1"/>
  <c r="BN565" i="1"/>
  <c r="BN1002" i="1"/>
  <c r="BP1002" i="1"/>
  <c r="BR1002" i="1"/>
  <c r="BT1002" i="1"/>
  <c r="AP333" i="1"/>
  <c r="AR333" i="1"/>
  <c r="BA651" i="1"/>
  <c r="BG246" i="1"/>
  <c r="BG239" i="1"/>
  <c r="BT951" i="1"/>
  <c r="BT447" i="1"/>
  <c r="BR274" i="1"/>
  <c r="BT24" i="1"/>
  <c r="BP105" i="1"/>
  <c r="BG744" i="1"/>
  <c r="BN530" i="1"/>
  <c r="BA52" i="1"/>
  <c r="BP163" i="1"/>
  <c r="AN632" i="1"/>
  <c r="BE319" i="1"/>
  <c r="BC697" i="1"/>
  <c r="BA463" i="1"/>
  <c r="BE225" i="1"/>
  <c r="BG417" i="1"/>
  <c r="BG574" i="1"/>
  <c r="BT622" i="1"/>
  <c r="BE492" i="1"/>
  <c r="BG995" i="1"/>
  <c r="AP843" i="1"/>
  <c r="AR334" i="1"/>
  <c r="BE361" i="1"/>
  <c r="BG418" i="1"/>
  <c r="BT670" i="1"/>
  <c r="AR535" i="1"/>
  <c r="BT186" i="1"/>
  <c r="AT110" i="1"/>
  <c r="AN525" i="1"/>
  <c r="AN68" i="1"/>
  <c r="BT837" i="1"/>
  <c r="BT329" i="1"/>
  <c r="BC805" i="1"/>
  <c r="BE134" i="1"/>
  <c r="BP726" i="1"/>
  <c r="AC550" i="1"/>
  <c r="AC782" i="1"/>
  <c r="AE435" i="1"/>
  <c r="AG999" i="1"/>
  <c r="AE904" i="1"/>
  <c r="BP886" i="1"/>
  <c r="AN282" i="1"/>
  <c r="BG202" i="1"/>
  <c r="BN35" i="1"/>
  <c r="BN79" i="1"/>
  <c r="AN783" i="1"/>
  <c r="AR85" i="1"/>
  <c r="AP809" i="1"/>
  <c r="AR595" i="1"/>
  <c r="AN773" i="1"/>
  <c r="BN350" i="1"/>
  <c r="BR455" i="1"/>
  <c r="BT363" i="1"/>
  <c r="AG582" i="1"/>
  <c r="AE233" i="1"/>
  <c r="AE831" i="1"/>
  <c r="AE643" i="1"/>
  <c r="AI643" i="1" s="1"/>
  <c r="AG828" i="1"/>
  <c r="AC515" i="1"/>
  <c r="BP995" i="1"/>
  <c r="AT953" i="1"/>
  <c r="AV953" i="1" s="1"/>
  <c r="BR749" i="1"/>
  <c r="BA80" i="1"/>
  <c r="AN83" i="1"/>
  <c r="AV83" i="1" s="1"/>
  <c r="BP874" i="1"/>
  <c r="BN700" i="1"/>
  <c r="BG318" i="1"/>
  <c r="BI318" i="1" s="1"/>
  <c r="AT593" i="1"/>
  <c r="BC458" i="1"/>
  <c r="AE199" i="1"/>
  <c r="AA445" i="1"/>
  <c r="AT875" i="1"/>
  <c r="BG470" i="1"/>
  <c r="AE274" i="1"/>
  <c r="AC456" i="1"/>
  <c r="AR129" i="1"/>
  <c r="AP921" i="1"/>
  <c r="BR429" i="1"/>
  <c r="AC87" i="1"/>
  <c r="AA227" i="1"/>
  <c r="AC811" i="1"/>
  <c r="AE59" i="1"/>
  <c r="AA766" i="1"/>
  <c r="AA865" i="1"/>
  <c r="AE246" i="1"/>
  <c r="AC846" i="1"/>
  <c r="AC119" i="1"/>
  <c r="AC6" i="1"/>
  <c r="BC944" i="1"/>
  <c r="BG238" i="1"/>
  <c r="BI238" i="1" s="1"/>
  <c r="BG838" i="1"/>
  <c r="AN82" i="1"/>
  <c r="BE342" i="1"/>
  <c r="BN112" i="1"/>
  <c r="AN515" i="1"/>
  <c r="BR931" i="1"/>
  <c r="BR433" i="1"/>
  <c r="BA693" i="1"/>
  <c r="AP558" i="1"/>
  <c r="BE156" i="1"/>
  <c r="BC170" i="1"/>
  <c r="BT209" i="1"/>
  <c r="BR459" i="1"/>
  <c r="BE835" i="1"/>
  <c r="AP628" i="1"/>
  <c r="BT790" i="1"/>
  <c r="BC425" i="1"/>
  <c r="BG325" i="1"/>
  <c r="BP138" i="1"/>
  <c r="BE595" i="1"/>
  <c r="BG502" i="1"/>
  <c r="BC509" i="1"/>
  <c r="BE402" i="1"/>
  <c r="BT139" i="1"/>
  <c r="BG921" i="1"/>
  <c r="BG661" i="1"/>
  <c r="BR954" i="1"/>
  <c r="AR53" i="1"/>
  <c r="AV53" i="1" s="1"/>
  <c r="BN573" i="1"/>
  <c r="BN626" i="1"/>
  <c r="AE266" i="1"/>
  <c r="AG570" i="1"/>
  <c r="AI570" i="1" s="1"/>
  <c r="AE394" i="1"/>
  <c r="AE561" i="1"/>
  <c r="BE119" i="1"/>
  <c r="AN377" i="1"/>
  <c r="BC873" i="1"/>
  <c r="AG345" i="1"/>
  <c r="AE808" i="1"/>
  <c r="AE209" i="1"/>
  <c r="BP497" i="1"/>
  <c r="AG754" i="1"/>
  <c r="BA76" i="1"/>
  <c r="BR759" i="1"/>
  <c r="BT319" i="1"/>
  <c r="BN149" i="1"/>
  <c r="AT864" i="1"/>
  <c r="AG127" i="1"/>
  <c r="AC242" i="1"/>
  <c r="AA964" i="1"/>
  <c r="BP29" i="1"/>
  <c r="AE533" i="1"/>
  <c r="AG908" i="1"/>
  <c r="AP413" i="1"/>
  <c r="AC97" i="1"/>
  <c r="AI97" i="1" s="1"/>
  <c r="AE528" i="1"/>
  <c r="AC824" i="1"/>
  <c r="AN706" i="1"/>
  <c r="AN521" i="1"/>
  <c r="AV521" i="1" s="1"/>
  <c r="AN869" i="1"/>
  <c r="BP634" i="1"/>
  <c r="AG794" i="1"/>
  <c r="AN955" i="1"/>
  <c r="AV955" i="1" s="1"/>
  <c r="BN504" i="1"/>
  <c r="BR504" i="1"/>
  <c r="BT504" i="1"/>
  <c r="AT140" i="1"/>
  <c r="AR140" i="1"/>
  <c r="AP140" i="1"/>
  <c r="AE144" i="1"/>
  <c r="AC144" i="1"/>
  <c r="AG144" i="1"/>
  <c r="BC143" i="1"/>
  <c r="BG143" i="1"/>
  <c r="BE143" i="1"/>
  <c r="BI143" i="1" s="1"/>
  <c r="BR152" i="1"/>
  <c r="BN152" i="1"/>
  <c r="BT152" i="1"/>
  <c r="BP152" i="1"/>
  <c r="AT697" i="1"/>
  <c r="AN697" i="1"/>
  <c r="AP697" i="1"/>
  <c r="AR697" i="1"/>
  <c r="BE424" i="1"/>
  <c r="BG424" i="1"/>
  <c r="BA424" i="1"/>
  <c r="AA390" i="1"/>
  <c r="AE390" i="1"/>
  <c r="AG390" i="1"/>
  <c r="AC390" i="1"/>
  <c r="AC626" i="1"/>
  <c r="AA626" i="1"/>
  <c r="AA372" i="1"/>
  <c r="AG372" i="1"/>
  <c r="BC759" i="1"/>
  <c r="BE759" i="1"/>
  <c r="BA759" i="1"/>
  <c r="BG759" i="1"/>
  <c r="AP626" i="1"/>
  <c r="AN626" i="1"/>
  <c r="AR365" i="1"/>
  <c r="AT365" i="1"/>
  <c r="BE572" i="1"/>
  <c r="BC572" i="1"/>
  <c r="BG879" i="1"/>
  <c r="BE879" i="1"/>
  <c r="BA879" i="1"/>
  <c r="BC879" i="1"/>
  <c r="AT990" i="1"/>
  <c r="AN990" i="1"/>
  <c r="BR437" i="1"/>
  <c r="BP437" i="1"/>
  <c r="BT437" i="1"/>
  <c r="BG372" i="1"/>
  <c r="BC372" i="1"/>
  <c r="BE372" i="1"/>
  <c r="BR889" i="1"/>
  <c r="BT889" i="1"/>
  <c r="AC508" i="1"/>
  <c r="AG508" i="1"/>
  <c r="AC30" i="1"/>
  <c r="AG30" i="1"/>
  <c r="AE30" i="1"/>
  <c r="AA30" i="1"/>
  <c r="AG32" i="1"/>
  <c r="AE32" i="1"/>
  <c r="BA483" i="1"/>
  <c r="BE483" i="1"/>
  <c r="AT851" i="1"/>
  <c r="AP851" i="1"/>
  <c r="AR851" i="1"/>
  <c r="AN851" i="1"/>
  <c r="AN234" i="1"/>
  <c r="AT234" i="1"/>
  <c r="AP234" i="1"/>
  <c r="AR234" i="1"/>
  <c r="BR68" i="1"/>
  <c r="BT68" i="1"/>
  <c r="AE361" i="1"/>
  <c r="AA361" i="1"/>
  <c r="AC361" i="1"/>
  <c r="AG361" i="1"/>
  <c r="BA403" i="1"/>
  <c r="BC403" i="1"/>
  <c r="AR905" i="1"/>
  <c r="AP905" i="1"/>
  <c r="AT905" i="1"/>
  <c r="AV905" i="1" s="1"/>
  <c r="BG387" i="1"/>
  <c r="BC387" i="1"/>
  <c r="BA387" i="1"/>
  <c r="BE477" i="1"/>
  <c r="BG477" i="1"/>
  <c r="BC477" i="1"/>
  <c r="AG636" i="1"/>
  <c r="AC636" i="1"/>
  <c r="AE636" i="1"/>
  <c r="AA636" i="1"/>
  <c r="BC222" i="1"/>
  <c r="BE222" i="1"/>
  <c r="BA222" i="1"/>
  <c r="AA793" i="1"/>
  <c r="AC793" i="1"/>
  <c r="AG793" i="1"/>
  <c r="AE793" i="1"/>
  <c r="AC709" i="1"/>
  <c r="AE709" i="1"/>
  <c r="AA709" i="1"/>
  <c r="BT102" i="1"/>
  <c r="BR102" i="1"/>
  <c r="AA875" i="1"/>
  <c r="AC875" i="1"/>
  <c r="AE875" i="1"/>
  <c r="AP985" i="1"/>
  <c r="AT985" i="1"/>
  <c r="AN985" i="1"/>
  <c r="AR985" i="1"/>
  <c r="AG74" i="1"/>
  <c r="AE74" i="1"/>
  <c r="AA74" i="1"/>
  <c r="AC74" i="1"/>
  <c r="AE330" i="1"/>
  <c r="AA330" i="1"/>
  <c r="AC330" i="1"/>
  <c r="AG330" i="1"/>
  <c r="AA208" i="1"/>
  <c r="AE208" i="1"/>
  <c r="AG208" i="1"/>
  <c r="AC208" i="1"/>
  <c r="BP367" i="1"/>
  <c r="BN367" i="1"/>
  <c r="BR367" i="1"/>
  <c r="BT367" i="1"/>
  <c r="AA590" i="1"/>
  <c r="AG590" i="1"/>
  <c r="AC590" i="1"/>
  <c r="AE590" i="1"/>
  <c r="AA659" i="1"/>
  <c r="AE659" i="1"/>
  <c r="AC659" i="1"/>
  <c r="AG659" i="1"/>
  <c r="AE816" i="1"/>
  <c r="AG816" i="1"/>
  <c r="AA816" i="1"/>
  <c r="AC816" i="1"/>
  <c r="AE826" i="1"/>
  <c r="AC826" i="1"/>
  <c r="AG826" i="1"/>
  <c r="AA826" i="1"/>
  <c r="AC178" i="1"/>
  <c r="AE178" i="1"/>
  <c r="AA178" i="1"/>
  <c r="AG178" i="1"/>
  <c r="AE472" i="1"/>
  <c r="AG472" i="1"/>
  <c r="AA472" i="1"/>
  <c r="AC472" i="1"/>
  <c r="BR90" i="1"/>
  <c r="BN90" i="1"/>
  <c r="BT90" i="1"/>
  <c r="BP90" i="1"/>
  <c r="AR932" i="1"/>
  <c r="AT932" i="1"/>
  <c r="AN932" i="1"/>
  <c r="AP932" i="1"/>
  <c r="AC957" i="1"/>
  <c r="AA957" i="1"/>
  <c r="AG957" i="1"/>
  <c r="AI957" i="1" s="1"/>
  <c r="AT850" i="1"/>
  <c r="AN850" i="1"/>
  <c r="AP850" i="1"/>
  <c r="AR850" i="1"/>
  <c r="BT825" i="1"/>
  <c r="BR825" i="1"/>
  <c r="BN825" i="1"/>
  <c r="AP757" i="1"/>
  <c r="AT757" i="1"/>
  <c r="AR757" i="1"/>
  <c r="AN757" i="1"/>
  <c r="BG403" i="1"/>
  <c r="BA572" i="1"/>
  <c r="BP68" i="1"/>
  <c r="AN365" i="1"/>
  <c r="AT626" i="1"/>
  <c r="BG483" i="1"/>
  <c r="AA508" i="1"/>
  <c r="AE957" i="1"/>
  <c r="AG709" i="1"/>
  <c r="BA372" i="1"/>
  <c r="BE387" i="1"/>
  <c r="AG875" i="1"/>
  <c r="BR426" i="1"/>
  <c r="BT426" i="1"/>
  <c r="BP426" i="1"/>
  <c r="BE512" i="1"/>
  <c r="BG512" i="1"/>
  <c r="BC557" i="1"/>
  <c r="BA557" i="1"/>
  <c r="BG557" i="1"/>
  <c r="BE557" i="1"/>
  <c r="AE261" i="1"/>
  <c r="AA261" i="1"/>
  <c r="AG261" i="1"/>
  <c r="AC261" i="1"/>
  <c r="AE613" i="1"/>
  <c r="AG613" i="1"/>
  <c r="AA613" i="1"/>
  <c r="AC613" i="1"/>
  <c r="BE962" i="1"/>
  <c r="BR921" i="1"/>
  <c r="BC321" i="1"/>
  <c r="BG395" i="1"/>
  <c r="BA395" i="1"/>
  <c r="BP891" i="1"/>
  <c r="BN891" i="1"/>
  <c r="BP158" i="1"/>
  <c r="BN158" i="1"/>
  <c r="BR326" i="1"/>
  <c r="BN326" i="1"/>
  <c r="BP410" i="1"/>
  <c r="BG124" i="1"/>
  <c r="BT511" i="1"/>
  <c r="BC197" i="1"/>
  <c r="BG197" i="1"/>
  <c r="BC182" i="1"/>
  <c r="BG182" i="1"/>
  <c r="BE623" i="1"/>
  <c r="BG623" i="1"/>
  <c r="BC623" i="1"/>
  <c r="BT684" i="1"/>
  <c r="BN684" i="1"/>
  <c r="BA19" i="1"/>
  <c r="BE19" i="1"/>
  <c r="BR702" i="1"/>
  <c r="BN702" i="1"/>
  <c r="BC604" i="1"/>
  <c r="BG604" i="1"/>
  <c r="BE491" i="1"/>
  <c r="BA491" i="1"/>
  <c r="BE605" i="1"/>
  <c r="BG456" i="1"/>
  <c r="AN87" i="1"/>
  <c r="BA28" i="1"/>
  <c r="BT727" i="1"/>
  <c r="BR727" i="1"/>
  <c r="BN574" i="1"/>
  <c r="BT574" i="1"/>
  <c r="BR451" i="1"/>
  <c r="BT451" i="1"/>
  <c r="BT362" i="1"/>
  <c r="BP362" i="1"/>
  <c r="BN362" i="1"/>
  <c r="BG459" i="1"/>
  <c r="BR75" i="1"/>
  <c r="AP132" i="1"/>
  <c r="BT756" i="1"/>
  <c r="AN30" i="1"/>
  <c r="BN773" i="1"/>
  <c r="BR779" i="1"/>
  <c r="BT415" i="1"/>
  <c r="BG919" i="1"/>
  <c r="BP921" i="1"/>
  <c r="BE121" i="1"/>
  <c r="BC903" i="1"/>
  <c r="BG601" i="1"/>
  <c r="BA338" i="1"/>
  <c r="BA432" i="1"/>
  <c r="BE432" i="1"/>
  <c r="BC90" i="1"/>
  <c r="BG90" i="1"/>
  <c r="BC751" i="1"/>
  <c r="BG751" i="1"/>
  <c r="BN516" i="1"/>
  <c r="BP516" i="1"/>
  <c r="BN311" i="1"/>
  <c r="BP311" i="1"/>
  <c r="BR945" i="1"/>
  <c r="BT945" i="1"/>
  <c r="BG967" i="1"/>
  <c r="BG644" i="1"/>
  <c r="BN974" i="1"/>
  <c r="BR974" i="1"/>
  <c r="BE753" i="1"/>
  <c r="BC753" i="1"/>
  <c r="BR233" i="1"/>
  <c r="BT233" i="1"/>
  <c r="BN390" i="1"/>
  <c r="BP390" i="1"/>
  <c r="BA468" i="1"/>
  <c r="BC468" i="1"/>
  <c r="BT961" i="1"/>
  <c r="BR961" i="1"/>
  <c r="BP961" i="1"/>
  <c r="BN484" i="1"/>
  <c r="BP484" i="1"/>
  <c r="BE583" i="1"/>
  <c r="BP480" i="1"/>
  <c r="BC495" i="1"/>
  <c r="AP879" i="1"/>
  <c r="BN371" i="1"/>
  <c r="AR993" i="1"/>
  <c r="BE473" i="1"/>
  <c r="BR47" i="1"/>
  <c r="BT599" i="1"/>
  <c r="BP457" i="1"/>
  <c r="BP1004" i="1"/>
  <c r="BG648" i="1"/>
  <c r="BE178" i="1"/>
  <c r="BN620" i="1"/>
  <c r="BE529" i="1"/>
  <c r="BR908" i="1"/>
  <c r="AA639" i="1"/>
  <c r="AE639" i="1"/>
  <c r="AC639" i="1"/>
  <c r="AC400" i="1"/>
  <c r="AA400" i="1"/>
  <c r="AA95" i="1"/>
  <c r="AC95" i="1"/>
  <c r="AE95" i="1"/>
  <c r="BA208" i="1"/>
  <c r="BR266" i="1"/>
  <c r="BR165" i="1"/>
  <c r="AN903" i="1"/>
  <c r="AR1002" i="1"/>
  <c r="AT125" i="1"/>
  <c r="BC791" i="1"/>
  <c r="BI791" i="1" s="1"/>
  <c r="AN942" i="1"/>
  <c r="BT584" i="1"/>
  <c r="AT907" i="1"/>
  <c r="BG329" i="1"/>
  <c r="BI329" i="1" s="1"/>
  <c r="BT878" i="1"/>
  <c r="BT577" i="1"/>
  <c r="BE413" i="1"/>
  <c r="BC832" i="1"/>
  <c r="BA223" i="1"/>
  <c r="BT911" i="1"/>
  <c r="AP102" i="1"/>
  <c r="AA511" i="1"/>
  <c r="BG723" i="1"/>
  <c r="BC723" i="1"/>
  <c r="AT559" i="1"/>
  <c r="AT904" i="1"/>
  <c r="BR831" i="1"/>
  <c r="AT797" i="1"/>
  <c r="BP99" i="1"/>
  <c r="AT560" i="1"/>
  <c r="BE68" i="1"/>
  <c r="BG767" i="1"/>
  <c r="BR514" i="1"/>
  <c r="BE147" i="1"/>
  <c r="BP348" i="1"/>
  <c r="AP125" i="1"/>
  <c r="BG791" i="1"/>
  <c r="AR942" i="1"/>
  <c r="BC788" i="1"/>
  <c r="BG54" i="1"/>
  <c r="BR188" i="1"/>
  <c r="BA405" i="1"/>
  <c r="BI405" i="1" s="1"/>
  <c r="BG490" i="1"/>
  <c r="AR668" i="1"/>
  <c r="BC255" i="1"/>
  <c r="AN147" i="1"/>
  <c r="AV147" i="1" s="1"/>
  <c r="AP739" i="1"/>
  <c r="AN305" i="1"/>
  <c r="AR252" i="1"/>
  <c r="AN370" i="1"/>
  <c r="AV370" i="1" s="1"/>
  <c r="AT473" i="1"/>
  <c r="AP770" i="1"/>
  <c r="BT44" i="1"/>
  <c r="AR467" i="1"/>
  <c r="AN299" i="1"/>
  <c r="AR797" i="1"/>
  <c r="BR584" i="1"/>
  <c r="BN772" i="1"/>
  <c r="BV772" i="1" s="1"/>
  <c r="BC329" i="1"/>
  <c r="BR577" i="1"/>
  <c r="BC223" i="1"/>
  <c r="BN537" i="1"/>
  <c r="BR81" i="1"/>
  <c r="AC192" i="1"/>
  <c r="AE881" i="1"/>
  <c r="AP143" i="1"/>
  <c r="BG602" i="1"/>
  <c r="BT695" i="1"/>
  <c r="BC971" i="1"/>
  <c r="BG971" i="1"/>
  <c r="BE971" i="1"/>
  <c r="AT412" i="1"/>
  <c r="AP412" i="1"/>
  <c r="AT537" i="1"/>
  <c r="AP537" i="1"/>
  <c r="BR36" i="1"/>
  <c r="BN36" i="1"/>
  <c r="AT859" i="1"/>
  <c r="AN859" i="1"/>
  <c r="BN291" i="1"/>
  <c r="BP291" i="1"/>
  <c r="BC208" i="1"/>
  <c r="BG208" i="1"/>
  <c r="BG327" i="1"/>
  <c r="BC327" i="1"/>
  <c r="BT449" i="1"/>
  <c r="BN449" i="1"/>
  <c r="AR807" i="1"/>
  <c r="AT807" i="1"/>
  <c r="BA660" i="1"/>
  <c r="BC660" i="1"/>
  <c r="BN307" i="1"/>
  <c r="BR307" i="1"/>
  <c r="BE737" i="1"/>
  <c r="BC737" i="1"/>
  <c r="AN513" i="1"/>
  <c r="AP513" i="1"/>
  <c r="AR513" i="1"/>
  <c r="BG832" i="1"/>
  <c r="BE832" i="1"/>
  <c r="BE615" i="1"/>
  <c r="BA615" i="1"/>
  <c r="BN774" i="1"/>
  <c r="BP774" i="1"/>
  <c r="BV774" i="1" s="1"/>
  <c r="BA988" i="1"/>
  <c r="BC988" i="1"/>
  <c r="BR383" i="1"/>
  <c r="BN383" i="1"/>
  <c r="BP878" i="1"/>
  <c r="BR878" i="1"/>
  <c r="BG72" i="1"/>
  <c r="BA72" i="1"/>
  <c r="BI72" i="1" s="1"/>
  <c r="BP675" i="1"/>
  <c r="BR675" i="1"/>
  <c r="BR482" i="1"/>
  <c r="BP482" i="1"/>
  <c r="BV482" i="1" s="1"/>
  <c r="BG579" i="1"/>
  <c r="BC579" i="1"/>
  <c r="BA413" i="1"/>
  <c r="BC413" i="1"/>
  <c r="AT376" i="1"/>
  <c r="AR376" i="1"/>
  <c r="BG901" i="1"/>
  <c r="BC901" i="1"/>
  <c r="BI901" i="1" s="1"/>
  <c r="AT575" i="1"/>
  <c r="AR575" i="1"/>
  <c r="BN242" i="1"/>
  <c r="BT242" i="1"/>
  <c r="BV242" i="1" s="1"/>
  <c r="BG109" i="1"/>
  <c r="BC109" i="1"/>
  <c r="BE360" i="1"/>
  <c r="BA360" i="1"/>
  <c r="BN435" i="1"/>
  <c r="BT435" i="1"/>
  <c r="BP435" i="1"/>
  <c r="BC618" i="1"/>
  <c r="BA618" i="1"/>
  <c r="BC854" i="1"/>
  <c r="BG854" i="1"/>
  <c r="AN795" i="1"/>
  <c r="AR795" i="1"/>
  <c r="BN911" i="1"/>
  <c r="BR911" i="1"/>
  <c r="AN715" i="1"/>
  <c r="AT715" i="1"/>
  <c r="AR936" i="1"/>
  <c r="AT936" i="1"/>
  <c r="AP462" i="1"/>
  <c r="AT462" i="1"/>
  <c r="AT102" i="1"/>
  <c r="AR102" i="1"/>
  <c r="AP662" i="1"/>
  <c r="AR662" i="1"/>
  <c r="AT962" i="1"/>
  <c r="AR962" i="1"/>
  <c r="AP962" i="1"/>
  <c r="AV962" i="1" s="1"/>
  <c r="AN364" i="1"/>
  <c r="AR364" i="1"/>
  <c r="AP364" i="1"/>
  <c r="BR597" i="1"/>
  <c r="BP597" i="1"/>
  <c r="BT597" i="1"/>
  <c r="AC215" i="1"/>
  <c r="AA215" i="1"/>
  <c r="AE215" i="1"/>
  <c r="AC953" i="1"/>
  <c r="AE953" i="1"/>
  <c r="AG953" i="1"/>
  <c r="AC856" i="1"/>
  <c r="AG856" i="1"/>
  <c r="AA859" i="1"/>
  <c r="AG859" i="1"/>
  <c r="AC859" i="1"/>
  <c r="AP557" i="1"/>
  <c r="AN557" i="1"/>
  <c r="BC343" i="1"/>
  <c r="BA343" i="1"/>
  <c r="AA40" i="1"/>
  <c r="AC40" i="1"/>
  <c r="AG815" i="1"/>
  <c r="AG73" i="1"/>
  <c r="AG198" i="1"/>
  <c r="AC198" i="1"/>
  <c r="BR711" i="1"/>
  <c r="BP711" i="1"/>
  <c r="AP103" i="1"/>
  <c r="AA343" i="1"/>
  <c r="AC729" i="1"/>
  <c r="BP981" i="1"/>
  <c r="BV981" i="1" s="1"/>
  <c r="BE454" i="1"/>
  <c r="BP382" i="1"/>
  <c r="AN124" i="1"/>
  <c r="AP295" i="1"/>
  <c r="AV295" i="1" s="1"/>
  <c r="BP204" i="1"/>
  <c r="BA248" i="1"/>
  <c r="AN54" i="1"/>
  <c r="BA519" i="1"/>
  <c r="AA461" i="1"/>
  <c r="AG461" i="1"/>
  <c r="AG843" i="1"/>
  <c r="AT421" i="1"/>
  <c r="AN421" i="1"/>
  <c r="AT825" i="1"/>
  <c r="AP825" i="1"/>
  <c r="BE797" i="1"/>
  <c r="BG797" i="1"/>
  <c r="BP375" i="1"/>
  <c r="BN375" i="1"/>
  <c r="AG273" i="1"/>
  <c r="AE273" i="1"/>
  <c r="AC129" i="1"/>
  <c r="AE129" i="1"/>
  <c r="BN703" i="1"/>
  <c r="BT703" i="1"/>
  <c r="AA48" i="1"/>
  <c r="AG48" i="1"/>
  <c r="AC79" i="1"/>
  <c r="AE79" i="1"/>
  <c r="AR646" i="1"/>
  <c r="AP646" i="1"/>
  <c r="BA114" i="1"/>
  <c r="BC114" i="1"/>
  <c r="AC438" i="1"/>
  <c r="AA438" i="1"/>
  <c r="AG438" i="1"/>
  <c r="BP310" i="1"/>
  <c r="BN310" i="1"/>
  <c r="BT310" i="1"/>
  <c r="BE234" i="1"/>
  <c r="BC234" i="1"/>
  <c r="BG234" i="1"/>
  <c r="BI234" i="1" s="1"/>
  <c r="AT725" i="1"/>
  <c r="AN725" i="1"/>
  <c r="AN649" i="1"/>
  <c r="AT649" i="1"/>
  <c r="AP649" i="1"/>
  <c r="BA671" i="1"/>
  <c r="BG671" i="1"/>
  <c r="BT88" i="1"/>
  <c r="AT318" i="1"/>
  <c r="BC43" i="1"/>
  <c r="BP77" i="1"/>
  <c r="AN191" i="1"/>
  <c r="BP116" i="1"/>
  <c r="BN18" i="1"/>
  <c r="AN438" i="1"/>
  <c r="BT499" i="1"/>
  <c r="BR499" i="1"/>
  <c r="AA604" i="1"/>
  <c r="AE604" i="1"/>
  <c r="AE334" i="1"/>
  <c r="AC334" i="1"/>
  <c r="BN957" i="1"/>
  <c r="BP957" i="1"/>
  <c r="AG574" i="1"/>
  <c r="AE574" i="1"/>
  <c r="AA720" i="1"/>
  <c r="AE720" i="1"/>
  <c r="AA81" i="1"/>
  <c r="AG81" i="1"/>
  <c r="AG146" i="1"/>
  <c r="AE146" i="1"/>
  <c r="AR998" i="1"/>
  <c r="AN998" i="1"/>
  <c r="AR284" i="1"/>
  <c r="AN284" i="1"/>
  <c r="AR500" i="1"/>
  <c r="AT500" i="1"/>
  <c r="AA902" i="1"/>
  <c r="AE902" i="1"/>
  <c r="AE670" i="1"/>
  <c r="AA670" i="1"/>
  <c r="BR458" i="1"/>
  <c r="BN458" i="1"/>
  <c r="BT183" i="1"/>
  <c r="BN183" i="1"/>
  <c r="BE447" i="1"/>
  <c r="BR919" i="1"/>
  <c r="BT853" i="1"/>
  <c r="BP853" i="1"/>
  <c r="BN220" i="1"/>
  <c r="BP220" i="1"/>
  <c r="BC637" i="1"/>
  <c r="BG637" i="1"/>
  <c r="AP167" i="1"/>
  <c r="AR167" i="1"/>
  <c r="BG496" i="1"/>
  <c r="BE496" i="1"/>
  <c r="BA496" i="1"/>
  <c r="BG952" i="1"/>
  <c r="BC952" i="1"/>
  <c r="BA952" i="1"/>
  <c r="BE952" i="1"/>
  <c r="BP125" i="1"/>
  <c r="BT125" i="1"/>
  <c r="BR125" i="1"/>
  <c r="AP240" i="1"/>
  <c r="AN240" i="1"/>
  <c r="AR240" i="1"/>
  <c r="AT240" i="1"/>
  <c r="BN517" i="1"/>
  <c r="BR517" i="1"/>
  <c r="BP517" i="1"/>
  <c r="BP651" i="1"/>
  <c r="BN651" i="1"/>
  <c r="BR651" i="1"/>
  <c r="BV651" i="1" s="1"/>
  <c r="AT782" i="1"/>
  <c r="AN782" i="1"/>
  <c r="AP782" i="1"/>
  <c r="BG997" i="1"/>
  <c r="BE997" i="1"/>
  <c r="BR128" i="1"/>
  <c r="BN128" i="1"/>
  <c r="BT128" i="1"/>
  <c r="BP128" i="1"/>
  <c r="BE692" i="1"/>
  <c r="BA692" i="1"/>
  <c r="BN602" i="1"/>
  <c r="BR602" i="1"/>
  <c r="BP602" i="1"/>
  <c r="BG39" i="1"/>
  <c r="BA39" i="1"/>
  <c r="BE39" i="1"/>
  <c r="BN387" i="1"/>
  <c r="BT387" i="1"/>
  <c r="BP387" i="1"/>
  <c r="BT953" i="1"/>
  <c r="BN953" i="1"/>
  <c r="BA534" i="1"/>
  <c r="BG534" i="1"/>
  <c r="BN377" i="1"/>
  <c r="BT377" i="1"/>
  <c r="BR377" i="1"/>
  <c r="BE653" i="1"/>
  <c r="BG653" i="1"/>
  <c r="BE531" i="1"/>
  <c r="BC531" i="1"/>
  <c r="BA736" i="1"/>
  <c r="BC736" i="1"/>
  <c r="BG736" i="1"/>
  <c r="BP34" i="1"/>
  <c r="BT34" i="1"/>
  <c r="AP924" i="1"/>
  <c r="AN924" i="1"/>
  <c r="AR924" i="1"/>
  <c r="AT924" i="1"/>
  <c r="BN804" i="1"/>
  <c r="BT804" i="1"/>
  <c r="AR411" i="1"/>
  <c r="AT411" i="1"/>
  <c r="AN411" i="1"/>
  <c r="AT160" i="1"/>
  <c r="AR160" i="1"/>
  <c r="AP160" i="1"/>
  <c r="AN160" i="1"/>
  <c r="BA578" i="1"/>
  <c r="BG578" i="1"/>
  <c r="BC578" i="1"/>
  <c r="BE578" i="1"/>
  <c r="BC516" i="1"/>
  <c r="BE516" i="1"/>
  <c r="BN469" i="1"/>
  <c r="BR469" i="1"/>
  <c r="BT469" i="1"/>
  <c r="BP469" i="1"/>
  <c r="BA722" i="1"/>
  <c r="BG722" i="1"/>
  <c r="BA75" i="1"/>
  <c r="BG75" i="1"/>
  <c r="BE75" i="1"/>
  <c r="BC75" i="1"/>
  <c r="BT294" i="1"/>
  <c r="BP294" i="1"/>
  <c r="AT755" i="1"/>
  <c r="AR755" i="1"/>
  <c r="AN755" i="1"/>
  <c r="AT891" i="1"/>
  <c r="AN891" i="1"/>
  <c r="AR891" i="1"/>
  <c r="AP891" i="1"/>
  <c r="AP326" i="1"/>
  <c r="AR326" i="1"/>
  <c r="AT326" i="1"/>
  <c r="BP283" i="1"/>
  <c r="BN283" i="1"/>
  <c r="BR283" i="1"/>
  <c r="BP27" i="1"/>
  <c r="BN27" i="1"/>
  <c r="BT27" i="1"/>
  <c r="BG739" i="1"/>
  <c r="BC739" i="1"/>
  <c r="BA739" i="1"/>
  <c r="BP613" i="1"/>
  <c r="BN613" i="1"/>
  <c r="BR613" i="1"/>
  <c r="BR678" i="1"/>
  <c r="BT678" i="1"/>
  <c r="BP678" i="1"/>
  <c r="BV678" i="1" s="1"/>
  <c r="AR17" i="1"/>
  <c r="AN17" i="1"/>
  <c r="AT17" i="1"/>
  <c r="BR617" i="1"/>
  <c r="BT617" i="1"/>
  <c r="BN617" i="1"/>
  <c r="BC507" i="1"/>
  <c r="BG507" i="1"/>
  <c r="BA507" i="1"/>
  <c r="BT284" i="1"/>
  <c r="BP284" i="1"/>
  <c r="BR284" i="1"/>
  <c r="BV284" i="1" s="1"/>
  <c r="BE646" i="1"/>
  <c r="BG646" i="1"/>
  <c r="BC646" i="1"/>
  <c r="BP851" i="1"/>
  <c r="BN851" i="1"/>
  <c r="BT851" i="1"/>
  <c r="BN766" i="1"/>
  <c r="BT766" i="1"/>
  <c r="BR766" i="1"/>
  <c r="BE890" i="1"/>
  <c r="BG890" i="1"/>
  <c r="BA890" i="1"/>
  <c r="BI890" i="1" s="1"/>
  <c r="AP32" i="1"/>
  <c r="AT32" i="1"/>
  <c r="AN32" i="1"/>
  <c r="BR41" i="1"/>
  <c r="BT41" i="1"/>
  <c r="BN41" i="1"/>
  <c r="AP475" i="1"/>
  <c r="AN475" i="1"/>
  <c r="BR161" i="1"/>
  <c r="BT161" i="1"/>
  <c r="BP534" i="1"/>
  <c r="BT534" i="1"/>
  <c r="BN534" i="1"/>
  <c r="BR534" i="1"/>
  <c r="BP157" i="1"/>
  <c r="BR157" i="1"/>
  <c r="BT157" i="1"/>
  <c r="BN157" i="1"/>
  <c r="AT276" i="1"/>
  <c r="AP276" i="1"/>
  <c r="BC165" i="1"/>
  <c r="BC251" i="1"/>
  <c r="BE13" i="1"/>
  <c r="AP563" i="1"/>
  <c r="BN718" i="1"/>
  <c r="BR718" i="1"/>
  <c r="AP194" i="1"/>
  <c r="AR194" i="1"/>
  <c r="BP232" i="1"/>
  <c r="BG743" i="1"/>
  <c r="BC743" i="1"/>
  <c r="BR425" i="1"/>
  <c r="BN425" i="1"/>
  <c r="BT425" i="1"/>
  <c r="BR501" i="1"/>
  <c r="BN501" i="1"/>
  <c r="BP501" i="1"/>
  <c r="BE128" i="1"/>
  <c r="BA128" i="1"/>
  <c r="BC128" i="1"/>
  <c r="BA716" i="1"/>
  <c r="BC716" i="1"/>
  <c r="BE716" i="1"/>
  <c r="BG324" i="1"/>
  <c r="BE324" i="1"/>
  <c r="BC324" i="1"/>
  <c r="BC237" i="1"/>
  <c r="BG237" i="1"/>
  <c r="BA237" i="1"/>
  <c r="BN402" i="1"/>
  <c r="BT402" i="1"/>
  <c r="BP402" i="1"/>
  <c r="BC781" i="1"/>
  <c r="BE781" i="1"/>
  <c r="BA781" i="1"/>
  <c r="BR881" i="1"/>
  <c r="BP881" i="1"/>
  <c r="BN881" i="1"/>
  <c r="BG658" i="1"/>
  <c r="BA658" i="1"/>
  <c r="BI658" i="1" s="1"/>
  <c r="AP855" i="1"/>
  <c r="AR855" i="1"/>
  <c r="BN567" i="1"/>
  <c r="BP567" i="1"/>
  <c r="BE306" i="1"/>
  <c r="BG306" i="1"/>
  <c r="BC306" i="1"/>
  <c r="BC218" i="1"/>
  <c r="BA218" i="1"/>
  <c r="BG218" i="1"/>
  <c r="BG869" i="1"/>
  <c r="BC869" i="1"/>
  <c r="BI869" i="1" s="1"/>
  <c r="BP252" i="1"/>
  <c r="BN252" i="1"/>
  <c r="BR252" i="1"/>
  <c r="BT252" i="1"/>
  <c r="BC692" i="1"/>
  <c r="BG531" i="1"/>
  <c r="BA997" i="1"/>
  <c r="BC653" i="1"/>
  <c r="BC534" i="1"/>
  <c r="BE869" i="1"/>
  <c r="BA306" i="1"/>
  <c r="BT517" i="1"/>
  <c r="BE736" i="1"/>
  <c r="BP377" i="1"/>
  <c r="AP17" i="1"/>
  <c r="BT613" i="1"/>
  <c r="BR27" i="1"/>
  <c r="AR782" i="1"/>
  <c r="BA324" i="1"/>
  <c r="BG716" i="1"/>
  <c r="BG128" i="1"/>
  <c r="BE9" i="1"/>
  <c r="AT363" i="1"/>
  <c r="BG998" i="1"/>
  <c r="BA998" i="1"/>
  <c r="AP355" i="1"/>
  <c r="AT355" i="1"/>
  <c r="BP510" i="1"/>
  <c r="BN510" i="1"/>
  <c r="BC909" i="1"/>
  <c r="BP64" i="1"/>
  <c r="BT64" i="1"/>
  <c r="BR64" i="1"/>
  <c r="BG1004" i="1"/>
  <c r="BE1004" i="1"/>
  <c r="BA1004" i="1"/>
  <c r="BN217" i="1"/>
  <c r="BP217" i="1"/>
  <c r="BT217" i="1"/>
  <c r="BV217" i="1" s="1"/>
  <c r="AT717" i="1"/>
  <c r="AN717" i="1"/>
  <c r="AP717" i="1"/>
  <c r="BT345" i="1"/>
  <c r="BR345" i="1"/>
  <c r="BN345" i="1"/>
  <c r="BP215" i="1"/>
  <c r="BT215" i="1"/>
  <c r="BN215" i="1"/>
  <c r="BG908" i="1"/>
  <c r="BA908" i="1"/>
  <c r="BE908" i="1"/>
  <c r="BG436" i="1"/>
  <c r="BE436" i="1"/>
  <c r="BA436" i="1"/>
  <c r="BT432" i="1"/>
  <c r="BN432" i="1"/>
  <c r="BE257" i="1"/>
  <c r="BG257" i="1"/>
  <c r="BP169" i="1"/>
  <c r="BR169" i="1"/>
  <c r="BT169" i="1"/>
  <c r="BN214" i="1"/>
  <c r="BT214" i="1"/>
  <c r="BP214" i="1"/>
  <c r="BA344" i="1"/>
  <c r="BG344" i="1"/>
  <c r="BC344" i="1"/>
  <c r="BP983" i="1"/>
  <c r="BT983" i="1"/>
  <c r="BN983" i="1"/>
  <c r="AN173" i="1"/>
  <c r="AT173" i="1"/>
  <c r="AR173" i="1"/>
  <c r="AP173" i="1"/>
  <c r="BT567" i="1"/>
  <c r="BV567" i="1" s="1"/>
  <c r="BG692" i="1"/>
  <c r="BN34" i="1"/>
  <c r="BE658" i="1"/>
  <c r="BA531" i="1"/>
  <c r="BI531" i="1" s="1"/>
  <c r="BA653" i="1"/>
  <c r="BE534" i="1"/>
  <c r="BA869" i="1"/>
  <c r="BT283" i="1"/>
  <c r="BV283" i="1" s="1"/>
  <c r="BP766" i="1"/>
  <c r="BN284" i="1"/>
  <c r="BT881" i="1"/>
  <c r="BR387" i="1"/>
  <c r="BC39" i="1"/>
  <c r="BR214" i="1"/>
  <c r="BC1004" i="1"/>
  <c r="BP425" i="1"/>
  <c r="AP411" i="1"/>
  <c r="BN681" i="1"/>
  <c r="AC1002" i="1"/>
  <c r="AE216" i="1"/>
  <c r="BT173" i="1"/>
  <c r="AR708" i="1"/>
  <c r="AN789" i="1"/>
  <c r="BG680" i="1"/>
  <c r="BC79" i="1"/>
  <c r="BR833" i="1"/>
  <c r="AP842" i="1"/>
  <c r="BR698" i="1"/>
  <c r="BV698" i="1" s="1"/>
  <c r="BG172" i="1"/>
  <c r="AE184" i="1"/>
  <c r="AC705" i="1"/>
  <c r="AE949" i="1"/>
  <c r="BN748" i="1"/>
  <c r="AP426" i="1"/>
  <c r="BE428" i="1"/>
  <c r="BR850" i="1"/>
  <c r="BV850" i="1" s="1"/>
  <c r="AT741" i="1"/>
  <c r="AP681" i="1"/>
  <c r="BR194" i="1"/>
  <c r="AP766" i="1"/>
  <c r="AT631" i="1"/>
  <c r="BT195" i="1"/>
  <c r="BT866" i="1"/>
  <c r="BR372" i="1"/>
  <c r="AG336" i="1"/>
  <c r="AE430" i="1"/>
  <c r="AC531" i="1"/>
  <c r="AC592" i="1"/>
  <c r="AI592" i="1" s="1"/>
  <c r="AA1002" i="1"/>
  <c r="AG216" i="1"/>
  <c r="BR568" i="1"/>
  <c r="BG408" i="1"/>
  <c r="AR241" i="1"/>
  <c r="BN542" i="1"/>
  <c r="AR222" i="1"/>
  <c r="BG582" i="1"/>
  <c r="AT168" i="1"/>
  <c r="AN555" i="1"/>
  <c r="BC166" i="1"/>
  <c r="AR801" i="1"/>
  <c r="AN899" i="1"/>
  <c r="BR738" i="1"/>
  <c r="AR379" i="1"/>
  <c r="BP833" i="1"/>
  <c r="BV833" i="1" s="1"/>
  <c r="AN397" i="1"/>
  <c r="BN910" i="1"/>
  <c r="BR907" i="1"/>
  <c r="AN842" i="1"/>
  <c r="AV842" i="1" s="1"/>
  <c r="BT591" i="1"/>
  <c r="BP505" i="1"/>
  <c r="BN698" i="1"/>
  <c r="BA172" i="1"/>
  <c r="BR885" i="1"/>
  <c r="BC210" i="1"/>
  <c r="AG92" i="1"/>
  <c r="AC474" i="1"/>
  <c r="AI474" i="1" s="1"/>
  <c r="AE777" i="1"/>
  <c r="AA314" i="1"/>
  <c r="AE682" i="1"/>
  <c r="AC529" i="1"/>
  <c r="AA347" i="1"/>
  <c r="AG705" i="1"/>
  <c r="AG555" i="1"/>
  <c r="AA382" i="1"/>
  <c r="AI382" i="1" s="1"/>
  <c r="AG588" i="1"/>
  <c r="AG467" i="1"/>
  <c r="AC960" i="1"/>
  <c r="AR426" i="1"/>
  <c r="AV426" i="1" s="1"/>
  <c r="BT224" i="1"/>
  <c r="AP941" i="1"/>
  <c r="AN249" i="1"/>
  <c r="AP350" i="1"/>
  <c r="AV350" i="1" s="1"/>
  <c r="AR766" i="1"/>
  <c r="BE883" i="1"/>
  <c r="BP195" i="1"/>
  <c r="BR866" i="1"/>
  <c r="BV866" i="1" s="1"/>
  <c r="BT372" i="1"/>
  <c r="AA756" i="1"/>
  <c r="AE868" i="1"/>
  <c r="BP233" i="1"/>
  <c r="BT921" i="1"/>
  <c r="BN451" i="1"/>
  <c r="BN961" i="1"/>
  <c r="BR362" i="1"/>
  <c r="BE182" i="1"/>
  <c r="BN568" i="1"/>
  <c r="AN166" i="1"/>
  <c r="AR656" i="1"/>
  <c r="AV656" i="1" s="1"/>
  <c r="AE91" i="1"/>
  <c r="AG444" i="1"/>
  <c r="AT423" i="1"/>
  <c r="BT789" i="1"/>
  <c r="AP153" i="1"/>
  <c r="BP965" i="1"/>
  <c r="BA969" i="1"/>
  <c r="AG15" i="1"/>
  <c r="AE15" i="1"/>
  <c r="AA15" i="1"/>
  <c r="AC545" i="1"/>
  <c r="AG545" i="1"/>
  <c r="AA981" i="1"/>
  <c r="AE981" i="1"/>
  <c r="BA582" i="1"/>
  <c r="BC356" i="1"/>
  <c r="AT673" i="1"/>
  <c r="AT841" i="1"/>
  <c r="AC103" i="1"/>
  <c r="AI103" i="1" s="1"/>
  <c r="AA92" i="1"/>
  <c r="AG474" i="1"/>
  <c r="AC314" i="1"/>
  <c r="AC682" i="1"/>
  <c r="AA555" i="1"/>
  <c r="AE382" i="1"/>
  <c r="AA467" i="1"/>
  <c r="BT686" i="1"/>
  <c r="BV686" i="1" s="1"/>
  <c r="BN224" i="1"/>
  <c r="AR941" i="1"/>
  <c r="AP249" i="1"/>
  <c r="AN383" i="1"/>
  <c r="AV383" i="1" s="1"/>
  <c r="AN213" i="1"/>
  <c r="AN930" i="1"/>
  <c r="BE169" i="1"/>
  <c r="BC883" i="1"/>
  <c r="BI883" i="1" s="1"/>
  <c r="BT239" i="1"/>
  <c r="BT778" i="1"/>
  <c r="AG136" i="1"/>
  <c r="AE591" i="1"/>
  <c r="AI591" i="1" s="1"/>
  <c r="AA868" i="1"/>
  <c r="BN760" i="1"/>
  <c r="AP656" i="1"/>
  <c r="BR358" i="1"/>
  <c r="BV358" i="1" s="1"/>
  <c r="AP616" i="1"/>
  <c r="AN616" i="1"/>
  <c r="BE11" i="1"/>
  <c r="BC11" i="1"/>
  <c r="BE462" i="1"/>
  <c r="BA462" i="1"/>
  <c r="AT779" i="1"/>
  <c r="AR779" i="1"/>
  <c r="BC735" i="1"/>
  <c r="BE735" i="1"/>
  <c r="BC179" i="1"/>
  <c r="BE179" i="1"/>
  <c r="BT141" i="1"/>
  <c r="BR141" i="1"/>
  <c r="BP972" i="1"/>
  <c r="BT972" i="1"/>
  <c r="BC66" i="1"/>
  <c r="BG66" i="1"/>
  <c r="BE66" i="1"/>
  <c r="AP651" i="1"/>
  <c r="AT651" i="1"/>
  <c r="AN651" i="1"/>
  <c r="BA21" i="1"/>
  <c r="BE21" i="1"/>
  <c r="BI21" i="1" s="1"/>
  <c r="BG474" i="1"/>
  <c r="BC474" i="1"/>
  <c r="BT371" i="1"/>
  <c r="BR371" i="1"/>
  <c r="BN727" i="1"/>
  <c r="BP727" i="1"/>
  <c r="BA962" i="1"/>
  <c r="BC962" i="1"/>
  <c r="BC204" i="1"/>
  <c r="BA204" i="1"/>
  <c r="BA1000" i="1"/>
  <c r="BG1000" i="1"/>
  <c r="BI1000" i="1" s="1"/>
  <c r="BR390" i="1"/>
  <c r="BT390" i="1"/>
  <c r="BP574" i="1"/>
  <c r="BR574" i="1"/>
  <c r="BV574" i="1" s="1"/>
  <c r="AP993" i="1"/>
  <c r="AT993" i="1"/>
  <c r="BA263" i="1"/>
  <c r="BC263" i="1"/>
  <c r="BI263" i="1" s="1"/>
  <c r="BG121" i="1"/>
  <c r="BA121" i="1"/>
  <c r="BE468" i="1"/>
  <c r="BG468" i="1"/>
  <c r="BA33" i="1"/>
  <c r="BC33" i="1"/>
  <c r="BG632" i="1"/>
  <c r="BC632" i="1"/>
  <c r="BI632" i="1" s="1"/>
  <c r="BA903" i="1"/>
  <c r="BG903" i="1"/>
  <c r="BR484" i="1"/>
  <c r="BT484" i="1"/>
  <c r="BV484" i="1" s="1"/>
  <c r="BC305" i="1"/>
  <c r="BE305" i="1"/>
  <c r="BC631" i="1"/>
  <c r="BA631" i="1"/>
  <c r="BI631" i="1" s="1"/>
  <c r="BC601" i="1"/>
  <c r="BE601" i="1"/>
  <c r="AP571" i="1"/>
  <c r="AN571" i="1"/>
  <c r="BT515" i="1"/>
  <c r="BP515" i="1"/>
  <c r="BR237" i="1"/>
  <c r="BN237" i="1"/>
  <c r="BG82" i="1"/>
  <c r="BC82" i="1"/>
  <c r="BT606" i="1"/>
  <c r="BP606" i="1"/>
  <c r="BR832" i="1"/>
  <c r="BT832" i="1"/>
  <c r="AE835" i="1"/>
  <c r="AA835" i="1"/>
  <c r="AA867" i="1"/>
  <c r="AC867" i="1"/>
  <c r="AI867" i="1" s="1"/>
  <c r="AC9" i="1"/>
  <c r="AE9" i="1"/>
  <c r="AE88" i="1"/>
  <c r="AA88" i="1"/>
  <c r="AI88" i="1" s="1"/>
  <c r="BG594" i="1"/>
  <c r="BE594" i="1"/>
  <c r="AN177" i="1"/>
  <c r="AP177" i="1"/>
  <c r="AV177" i="1" s="1"/>
  <c r="AN172" i="1"/>
  <c r="AT172" i="1"/>
  <c r="AP297" i="1"/>
  <c r="AT297" i="1"/>
  <c r="AV297" i="1" s="1"/>
  <c r="AR712" i="1"/>
  <c r="AP712" i="1"/>
  <c r="AT120" i="1"/>
  <c r="AR120" i="1"/>
  <c r="AV120" i="1" s="1"/>
  <c r="BR857" i="1"/>
  <c r="BN857" i="1"/>
  <c r="AP480" i="1"/>
  <c r="AR480" i="1"/>
  <c r="AV480" i="1" s="1"/>
  <c r="AP394" i="1"/>
  <c r="AT394" i="1"/>
  <c r="AN978" i="1"/>
  <c r="AT978" i="1"/>
  <c r="AV978" i="1" s="1"/>
  <c r="BG291" i="1"/>
  <c r="BE291" i="1"/>
  <c r="BC200" i="1"/>
  <c r="BE200" i="1"/>
  <c r="BI200" i="1" s="1"/>
  <c r="AT108" i="1"/>
  <c r="AN108" i="1"/>
  <c r="AR848" i="1"/>
  <c r="AN848" i="1"/>
  <c r="AV848" i="1" s="1"/>
  <c r="AP650" i="1"/>
  <c r="AT650" i="1"/>
  <c r="BC915" i="1"/>
  <c r="BG915" i="1"/>
  <c r="BI915" i="1" s="1"/>
  <c r="BT806" i="1"/>
  <c r="BR806" i="1"/>
  <c r="BR898" i="1"/>
  <c r="BP898" i="1"/>
  <c r="BV898" i="1" s="1"/>
  <c r="AG61" i="1"/>
  <c r="AA61" i="1"/>
  <c r="AG195" i="1"/>
  <c r="AA195" i="1"/>
  <c r="AI195" i="1" s="1"/>
  <c r="AE56" i="1"/>
  <c r="AG56" i="1"/>
  <c r="AN995" i="1"/>
  <c r="AR995" i="1"/>
  <c r="AV995" i="1" s="1"/>
  <c r="AP793" i="1"/>
  <c r="AT793" i="1"/>
  <c r="AP422" i="1"/>
  <c r="AN422" i="1"/>
  <c r="BA188" i="1"/>
  <c r="BC188" i="1"/>
  <c r="BT361" i="1"/>
  <c r="BN361" i="1"/>
  <c r="BV361" i="1" s="1"/>
  <c r="BR213" i="1"/>
  <c r="BT213" i="1"/>
  <c r="BG426" i="1"/>
  <c r="BA426" i="1"/>
  <c r="AG156" i="1"/>
  <c r="AC156" i="1"/>
  <c r="AE318" i="1"/>
  <c r="AA318" i="1"/>
  <c r="BN988" i="1"/>
  <c r="BT988" i="1"/>
  <c r="AR89" i="1"/>
  <c r="AN89" i="1"/>
  <c r="AV89" i="1" s="1"/>
  <c r="AN263" i="1"/>
  <c r="AT263" i="1"/>
  <c r="AP512" i="1"/>
  <c r="AN512" i="1"/>
  <c r="BC1001" i="1"/>
  <c r="BG1001" i="1"/>
  <c r="BE750" i="1"/>
  <c r="BG750" i="1"/>
  <c r="BI750" i="1" s="1"/>
  <c r="BP627" i="1"/>
  <c r="BT627" i="1"/>
  <c r="BC803" i="1"/>
  <c r="BA803" i="1"/>
  <c r="BT807" i="1"/>
  <c r="BR807" i="1"/>
  <c r="BC505" i="1"/>
  <c r="BG505" i="1"/>
  <c r="AP923" i="1"/>
  <c r="AT923" i="1"/>
  <c r="BA675" i="1"/>
  <c r="BG675" i="1"/>
  <c r="BI675" i="1" s="1"/>
  <c r="BP816" i="1"/>
  <c r="BT816" i="1"/>
  <c r="BN816" i="1"/>
  <c r="BC362" i="1"/>
  <c r="BG362" i="1"/>
  <c r="BP175" i="1"/>
  <c r="BN175" i="1"/>
  <c r="AT808" i="1"/>
  <c r="AP808" i="1"/>
  <c r="AC725" i="1"/>
  <c r="AA725" i="1"/>
  <c r="AC437" i="1"/>
  <c r="AG437" i="1"/>
  <c r="AA437" i="1"/>
  <c r="BA141" i="1"/>
  <c r="BC141" i="1"/>
  <c r="BG141" i="1"/>
  <c r="BR569" i="1"/>
  <c r="BN569" i="1"/>
  <c r="BT569" i="1"/>
  <c r="AT700" i="1"/>
  <c r="AR700" i="1"/>
  <c r="AT934" i="1"/>
  <c r="AR934" i="1"/>
  <c r="AR308" i="1"/>
  <c r="AP308" i="1"/>
  <c r="AT308" i="1"/>
  <c r="BG217" i="1"/>
  <c r="BC217" i="1"/>
  <c r="BE217" i="1"/>
  <c r="BE364" i="1"/>
  <c r="BA364" i="1"/>
  <c r="BC364" i="1"/>
  <c r="AG768" i="1"/>
  <c r="AA768" i="1"/>
  <c r="AE768" i="1"/>
  <c r="AC611" i="1"/>
  <c r="AE611" i="1"/>
  <c r="AG611" i="1"/>
  <c r="AE763" i="1"/>
  <c r="AC763" i="1"/>
  <c r="BN732" i="1"/>
  <c r="BP732" i="1"/>
  <c r="BR732" i="1"/>
  <c r="BE423" i="1"/>
  <c r="BC423" i="1"/>
  <c r="BG423" i="1"/>
  <c r="AP81" i="1"/>
  <c r="AN81" i="1"/>
  <c r="AR199" i="1"/>
  <c r="AT199" i="1"/>
  <c r="BP783" i="1"/>
  <c r="BT783" i="1"/>
  <c r="BR783" i="1"/>
  <c r="BR412" i="1"/>
  <c r="BP412" i="1"/>
  <c r="BT412" i="1"/>
  <c r="BR316" i="1"/>
  <c r="BN316" i="1"/>
  <c r="BT316" i="1"/>
  <c r="BE542" i="1"/>
  <c r="BA542" i="1"/>
  <c r="BR339" i="1"/>
  <c r="BN6" i="1"/>
  <c r="BT6" i="1"/>
  <c r="BP6" i="1"/>
  <c r="BA695" i="1"/>
  <c r="BC695" i="1"/>
  <c r="AN463" i="1"/>
  <c r="AT463" i="1"/>
  <c r="AP463" i="1"/>
  <c r="BR386" i="1"/>
  <c r="BP386" i="1"/>
  <c r="AN122" i="1"/>
  <c r="AP122" i="1"/>
  <c r="AR122" i="1"/>
  <c r="AT122" i="1"/>
  <c r="AR762" i="1"/>
  <c r="AN762" i="1"/>
  <c r="AT762" i="1"/>
  <c r="BE191" i="1"/>
  <c r="BC191" i="1"/>
  <c r="BA191" i="1"/>
  <c r="AT540" i="1"/>
  <c r="AR540" i="1"/>
  <c r="AN540" i="1"/>
  <c r="AV540" i="1" s="1"/>
  <c r="BN817" i="1"/>
  <c r="BR817" i="1"/>
  <c r="BT817" i="1"/>
  <c r="BN301" i="1"/>
  <c r="BR301" i="1"/>
  <c r="BT301" i="1"/>
  <c r="BN471" i="1"/>
  <c r="BT471" i="1"/>
  <c r="BR471" i="1"/>
  <c r="BC820" i="1"/>
  <c r="BG820" i="1"/>
  <c r="BE820" i="1"/>
  <c r="BI820" i="1" s="1"/>
  <c r="BE27" i="1"/>
  <c r="BC27" i="1"/>
  <c r="BP556" i="1"/>
  <c r="BT556" i="1"/>
  <c r="BN556" i="1"/>
  <c r="AR609" i="1"/>
  <c r="AT609" i="1"/>
  <c r="BA553" i="1"/>
  <c r="BG553" i="1"/>
  <c r="BC553" i="1"/>
  <c r="BE553" i="1"/>
  <c r="BC910" i="1"/>
  <c r="BE910" i="1"/>
  <c r="BP858" i="1"/>
  <c r="BN858" i="1"/>
  <c r="BE575" i="1"/>
  <c r="BA575" i="1"/>
  <c r="BN374" i="1"/>
  <c r="BR374" i="1"/>
  <c r="BC659" i="1"/>
  <c r="BE659" i="1"/>
  <c r="BP180" i="1"/>
  <c r="BN180" i="1"/>
  <c r="BR180" i="1"/>
  <c r="BT180" i="1"/>
  <c r="BA539" i="1"/>
  <c r="BE539" i="1"/>
  <c r="BC539" i="1"/>
  <c r="BI539" i="1" s="1"/>
  <c r="BN867" i="1"/>
  <c r="BP867" i="1"/>
  <c r="BT867" i="1"/>
  <c r="BP320" i="1"/>
  <c r="BT320" i="1"/>
  <c r="BN799" i="1"/>
  <c r="BT799" i="1"/>
  <c r="BG960" i="1"/>
  <c r="BA960" i="1"/>
  <c r="BE960" i="1"/>
  <c r="BR211" i="1"/>
  <c r="BN211" i="1"/>
  <c r="BT211" i="1"/>
  <c r="BP989" i="1"/>
  <c r="BN989" i="1"/>
  <c r="BP443" i="1"/>
  <c r="BN443" i="1"/>
  <c r="BT443" i="1"/>
  <c r="BG576" i="1"/>
  <c r="BA576" i="1"/>
  <c r="BR85" i="1"/>
  <c r="BP85" i="1"/>
  <c r="BT370" i="1"/>
  <c r="BN370" i="1"/>
  <c r="AG935" i="1"/>
  <c r="AA935" i="1"/>
  <c r="AC935" i="1"/>
  <c r="AE635" i="1"/>
  <c r="AA635" i="1"/>
  <c r="AA296" i="1"/>
  <c r="AG296" i="1"/>
  <c r="AC296" i="1"/>
  <c r="BC702" i="1"/>
  <c r="BE702" i="1"/>
  <c r="BG435" i="1"/>
  <c r="BA435" i="1"/>
  <c r="BC435" i="1"/>
  <c r="AN434" i="1"/>
  <c r="AR434" i="1"/>
  <c r="AP434" i="1"/>
  <c r="AN554" i="1"/>
  <c r="AT554" i="1"/>
  <c r="BA596" i="1"/>
  <c r="BG596" i="1"/>
  <c r="BA654" i="1"/>
  <c r="BG654" i="1"/>
  <c r="AG780" i="1"/>
  <c r="AE780" i="1"/>
  <c r="AC780" i="1"/>
  <c r="AE504" i="1"/>
  <c r="AC504" i="1"/>
  <c r="AA504" i="1"/>
  <c r="AG554" i="1"/>
  <c r="AC554" i="1"/>
  <c r="AG355" i="1"/>
  <c r="AE355" i="1"/>
  <c r="BP608" i="1"/>
  <c r="BR608" i="1"/>
  <c r="AT657" i="1"/>
  <c r="AN657" i="1"/>
  <c r="AP657" i="1"/>
  <c r="AT902" i="1"/>
  <c r="AP902" i="1"/>
  <c r="AR902" i="1"/>
  <c r="AN911" i="1"/>
  <c r="AT911" i="1"/>
  <c r="AP911" i="1"/>
  <c r="AR911" i="1"/>
  <c r="BT933" i="1"/>
  <c r="BR933" i="1"/>
  <c r="BN933" i="1"/>
  <c r="BP933" i="1"/>
  <c r="BG808" i="1"/>
  <c r="BA808" i="1"/>
  <c r="BN40" i="1"/>
  <c r="AT931" i="1"/>
  <c r="BT941" i="1"/>
  <c r="BR552" i="1"/>
  <c r="BR103" i="1"/>
  <c r="BT925" i="1"/>
  <c r="AP653" i="1"/>
  <c r="BP633" i="1"/>
  <c r="AN808" i="1"/>
  <c r="BG268" i="1"/>
  <c r="BN85" i="1"/>
  <c r="AT711" i="1"/>
  <c r="BT989" i="1"/>
  <c r="BN339" i="1"/>
  <c r="BR443" i="1"/>
  <c r="BA820" i="1"/>
  <c r="BN608" i="1"/>
  <c r="AR554" i="1"/>
  <c r="AR657" i="1"/>
  <c r="BG968" i="1"/>
  <c r="BA968" i="1"/>
  <c r="BE968" i="1"/>
  <c r="BG844" i="1"/>
  <c r="BA844" i="1"/>
  <c r="BA567" i="1"/>
  <c r="BE567" i="1"/>
  <c r="BG567" i="1"/>
  <c r="BT879" i="1"/>
  <c r="BN879" i="1"/>
  <c r="BP879" i="1"/>
  <c r="BC394" i="1"/>
  <c r="BA394" i="1"/>
  <c r="BC14" i="1"/>
  <c r="BG14" i="1"/>
  <c r="BE14" i="1"/>
  <c r="AG202" i="1"/>
  <c r="AA202" i="1"/>
  <c r="AC202" i="1"/>
  <c r="BT9" i="1"/>
  <c r="BN9" i="1"/>
  <c r="BR9" i="1"/>
  <c r="BP936" i="1"/>
  <c r="BN936" i="1"/>
  <c r="BT936" i="1"/>
  <c r="AR189" i="1"/>
  <c r="AP189" i="1"/>
  <c r="AN183" i="1"/>
  <c r="AP183" i="1"/>
  <c r="AR183" i="1"/>
  <c r="AN545" i="1"/>
  <c r="AT545" i="1"/>
  <c r="AR545" i="1"/>
  <c r="BA773" i="1"/>
  <c r="BE773" i="1"/>
  <c r="AA984" i="1"/>
  <c r="AC984" i="1"/>
  <c r="AG922" i="1"/>
  <c r="AC922" i="1"/>
  <c r="AE922" i="1"/>
  <c r="AE341" i="1"/>
  <c r="AA341" i="1"/>
  <c r="AC341" i="1"/>
  <c r="AC480" i="1"/>
  <c r="AA480" i="1"/>
  <c r="AE480" i="1"/>
  <c r="AI480" i="1" s="1"/>
  <c r="BA136" i="1"/>
  <c r="BE136" i="1"/>
  <c r="BG136" i="1"/>
  <c r="BC136" i="1"/>
  <c r="BT906" i="1"/>
  <c r="BN906" i="1"/>
  <c r="BR906" i="1"/>
  <c r="AP834" i="1"/>
  <c r="AT834" i="1"/>
  <c r="AN834" i="1"/>
  <c r="AR453" i="1"/>
  <c r="AT453" i="1"/>
  <c r="AN453" i="1"/>
  <c r="AP511" i="1"/>
  <c r="AR511" i="1"/>
  <c r="AT511" i="1"/>
  <c r="AV511" i="1" s="1"/>
  <c r="BC616" i="1"/>
  <c r="BA616" i="1"/>
  <c r="BG616" i="1"/>
  <c r="BA353" i="1"/>
  <c r="BE353" i="1"/>
  <c r="BG353" i="1"/>
  <c r="AP940" i="1"/>
  <c r="BG173" i="1"/>
  <c r="BR511" i="1"/>
  <c r="AP37" i="1"/>
  <c r="BC774" i="1"/>
  <c r="BG942" i="1"/>
  <c r="BG652" i="1"/>
  <c r="BC785" i="1"/>
  <c r="BN987" i="1"/>
  <c r="BG897" i="1"/>
  <c r="BC814" i="1"/>
  <c r="BT49" i="1"/>
  <c r="BN1001" i="1"/>
  <c r="BP103" i="1"/>
  <c r="BV103" i="1" s="1"/>
  <c r="BP925" i="1"/>
  <c r="BP945" i="1"/>
  <c r="BA532" i="1"/>
  <c r="BN511" i="1"/>
  <c r="AN791" i="1"/>
  <c r="AN37" i="1"/>
  <c r="BC689" i="1"/>
  <c r="BE337" i="1"/>
  <c r="AT460" i="1"/>
  <c r="BP852" i="1"/>
  <c r="BN875" i="1"/>
  <c r="BP305" i="1"/>
  <c r="AP433" i="1"/>
  <c r="AR170" i="1"/>
  <c r="AT615" i="1"/>
  <c r="AP230" i="1"/>
  <c r="AT228" i="1"/>
  <c r="AN966" i="1"/>
  <c r="AR530" i="1"/>
  <c r="AT912" i="1"/>
  <c r="AN250" i="1"/>
  <c r="AT740" i="1"/>
  <c r="AN653" i="1"/>
  <c r="BT487" i="1"/>
  <c r="BG774" i="1"/>
  <c r="BR633" i="1"/>
  <c r="BE808" i="1"/>
  <c r="BP370" i="1"/>
  <c r="BT85" i="1"/>
  <c r="BR175" i="1"/>
  <c r="BA362" i="1"/>
  <c r="BR989" i="1"/>
  <c r="BG542" i="1"/>
  <c r="BA14" i="1"/>
  <c r="BR556" i="1"/>
  <c r="BR6" i="1"/>
  <c r="BP471" i="1"/>
  <c r="BP301" i="1"/>
  <c r="BG191" i="1"/>
  <c r="BP906" i="1"/>
  <c r="AA554" i="1"/>
  <c r="AA611" i="1"/>
  <c r="BC773" i="1"/>
  <c r="BE596" i="1"/>
  <c r="AN700" i="1"/>
  <c r="BT323" i="1"/>
  <c r="BP323" i="1"/>
  <c r="BV323" i="1" s="1"/>
  <c r="AN13" i="1"/>
  <c r="AR711" i="1"/>
  <c r="AP711" i="1"/>
  <c r="BC972" i="1"/>
  <c r="BA972" i="1"/>
  <c r="BE972" i="1"/>
  <c r="AA190" i="1"/>
  <c r="AE190" i="1"/>
  <c r="AG190" i="1"/>
  <c r="AC366" i="1"/>
  <c r="AA366" i="1"/>
  <c r="AG366" i="1"/>
  <c r="AG470" i="1"/>
  <c r="AA470" i="1"/>
  <c r="BR661" i="1"/>
  <c r="BT661" i="1"/>
  <c r="AT576" i="1"/>
  <c r="AR576" i="1"/>
  <c r="AN576" i="1"/>
  <c r="AP576" i="1"/>
  <c r="AR784" i="1"/>
  <c r="AN784" i="1"/>
  <c r="AT784" i="1"/>
  <c r="AP784" i="1"/>
  <c r="AP198" i="1"/>
  <c r="AN198" i="1"/>
  <c r="AT198" i="1"/>
  <c r="AR198" i="1"/>
  <c r="BP431" i="1"/>
  <c r="BN431" i="1"/>
  <c r="BR431" i="1"/>
  <c r="BC834" i="1"/>
  <c r="BA834" i="1"/>
  <c r="BG834" i="1"/>
  <c r="BE834" i="1"/>
  <c r="AC580" i="1"/>
  <c r="AE580" i="1"/>
  <c r="AG580" i="1"/>
  <c r="AG821" i="1"/>
  <c r="AA821" i="1"/>
  <c r="AC821" i="1"/>
  <c r="AI821" i="1" s="1"/>
  <c r="AA292" i="1"/>
  <c r="AC292" i="1"/>
  <c r="AG292" i="1"/>
  <c r="AE292" i="1"/>
  <c r="AE252" i="1"/>
  <c r="AA252" i="1"/>
  <c r="AG252" i="1"/>
  <c r="BC88" i="1"/>
  <c r="BA88" i="1"/>
  <c r="BG88" i="1"/>
  <c r="BA38" i="1"/>
  <c r="BE38" i="1"/>
  <c r="BG38" i="1"/>
  <c r="AP373" i="1"/>
  <c r="AN373" i="1"/>
  <c r="AR373" i="1"/>
  <c r="AT373" i="1"/>
  <c r="AT526" i="1"/>
  <c r="AR526" i="1"/>
  <c r="AN526" i="1"/>
  <c r="AN71" i="1"/>
  <c r="AT71" i="1"/>
  <c r="AR71" i="1"/>
  <c r="BC268" i="1"/>
  <c r="BE268" i="1"/>
  <c r="BT865" i="1"/>
  <c r="BE118" i="1"/>
  <c r="BA171" i="1"/>
  <c r="AR641" i="1"/>
  <c r="BN945" i="1"/>
  <c r="BC532" i="1"/>
  <c r="AT791" i="1"/>
  <c r="BN487" i="1"/>
  <c r="BT660" i="1"/>
  <c r="BC296" i="1"/>
  <c r="BP231" i="1"/>
  <c r="BP956" i="1"/>
  <c r="BP279" i="1"/>
  <c r="BE383" i="1"/>
  <c r="BN343" i="1"/>
  <c r="BA747" i="1"/>
  <c r="BP743" i="1"/>
  <c r="BN313" i="1"/>
  <c r="BC808" i="1"/>
  <c r="BI808" i="1" s="1"/>
  <c r="BR370" i="1"/>
  <c r="BT175" i="1"/>
  <c r="BE576" i="1"/>
  <c r="BE362" i="1"/>
  <c r="BC844" i="1"/>
  <c r="BN323" i="1"/>
  <c r="AP540" i="1"/>
  <c r="AP762" i="1"/>
  <c r="AP526" i="1"/>
  <c r="AR834" i="1"/>
  <c r="BC38" i="1"/>
  <c r="BN386" i="1"/>
  <c r="BR816" i="1"/>
  <c r="BP817" i="1"/>
  <c r="AP71" i="1"/>
  <c r="AT81" i="1"/>
  <c r="BE88" i="1"/>
  <c r="AG341" i="1"/>
  <c r="AG504" i="1"/>
  <c r="BR879" i="1"/>
  <c r="BC567" i="1"/>
  <c r="BA370" i="1"/>
  <c r="BE370" i="1"/>
  <c r="BG370" i="1"/>
  <c r="BT378" i="1"/>
  <c r="BR378" i="1"/>
  <c r="AN988" i="1"/>
  <c r="AT988" i="1"/>
  <c r="AP988" i="1"/>
  <c r="BA940" i="1"/>
  <c r="BC940" i="1"/>
  <c r="BT100" i="1"/>
  <c r="BN100" i="1"/>
  <c r="BR100" i="1"/>
  <c r="AT267" i="1"/>
  <c r="AR267" i="1"/>
  <c r="AP267" i="1"/>
  <c r="BE154" i="1"/>
  <c r="BG154" i="1"/>
  <c r="BC154" i="1"/>
  <c r="BA64" i="1"/>
  <c r="BC64" i="1"/>
  <c r="BE687" i="1"/>
  <c r="BG687" i="1"/>
  <c r="AG46" i="1"/>
  <c r="AE46" i="1"/>
  <c r="AA46" i="1"/>
  <c r="AE123" i="1"/>
  <c r="AC123" i="1"/>
  <c r="AG123" i="1"/>
  <c r="AA123" i="1"/>
  <c r="AA191" i="1"/>
  <c r="AG191" i="1"/>
  <c r="AE191" i="1"/>
  <c r="AE749" i="1"/>
  <c r="AG749" i="1"/>
  <c r="AI749" i="1" s="1"/>
  <c r="BA269" i="1"/>
  <c r="BE269" i="1"/>
  <c r="BG269" i="1"/>
  <c r="BA521" i="1"/>
  <c r="BG521" i="1"/>
  <c r="AN961" i="1"/>
  <c r="AR961" i="1"/>
  <c r="AR1001" i="1"/>
  <c r="AT1001" i="1"/>
  <c r="AP1001" i="1"/>
  <c r="AP272" i="1"/>
  <c r="AN272" i="1"/>
  <c r="AR272" i="1"/>
  <c r="BR614" i="1"/>
  <c r="BT614" i="1"/>
  <c r="BP614" i="1"/>
  <c r="BV614" i="1" s="1"/>
  <c r="AA102" i="1"/>
  <c r="AC102" i="1"/>
  <c r="AG102" i="1"/>
  <c r="AC380" i="1"/>
  <c r="AG380" i="1"/>
  <c r="AE380" i="1"/>
  <c r="AE783" i="1"/>
  <c r="AA506" i="1"/>
  <c r="AE583" i="1"/>
  <c r="AC78" i="1"/>
  <c r="AC944" i="1"/>
  <c r="AE944" i="1"/>
  <c r="AG944" i="1"/>
  <c r="BP251" i="1"/>
  <c r="BE142" i="1"/>
  <c r="BC499" i="1"/>
  <c r="BC606" i="1"/>
  <c r="BN862" i="1"/>
  <c r="BC112" i="1"/>
  <c r="AR621" i="1"/>
  <c r="BC370" i="1"/>
  <c r="BP378" i="1"/>
  <c r="BP100" i="1"/>
  <c r="BA154" i="1"/>
  <c r="BI154" i="1" s="1"/>
  <c r="BA687" i="1"/>
  <c r="AC191" i="1"/>
  <c r="AC749" i="1"/>
  <c r="AR31" i="1"/>
  <c r="BC884" i="1"/>
  <c r="AR16" i="1"/>
  <c r="BR927" i="1"/>
  <c r="AT304" i="1"/>
  <c r="BT980" i="1"/>
  <c r="BG964" i="1"/>
  <c r="BA253" i="1"/>
  <c r="BP707" i="1"/>
  <c r="BV707" i="1" s="1"/>
  <c r="BG874" i="1"/>
  <c r="BT251" i="1"/>
  <c r="BC142" i="1"/>
  <c r="BG499" i="1"/>
  <c r="BA606" i="1"/>
  <c r="BP862" i="1"/>
  <c r="BE112" i="1"/>
  <c r="AP621" i="1"/>
  <c r="AV621" i="1" s="1"/>
  <c r="AT117" i="1"/>
  <c r="AP323" i="1"/>
  <c r="AN792" i="1"/>
  <c r="BC687" i="1"/>
  <c r="AC46" i="1"/>
  <c r="AA749" i="1"/>
  <c r="BC269" i="1"/>
  <c r="AT272" i="1"/>
  <c r="AN117" i="1"/>
  <c r="BE940" i="1"/>
  <c r="AN267" i="1"/>
  <c r="BG64" i="1"/>
  <c r="AN1001" i="1"/>
  <c r="AA380" i="1"/>
  <c r="BC951" i="1"/>
  <c r="BE951" i="1"/>
  <c r="BI951" i="1" s="1"/>
  <c r="BP304" i="1"/>
  <c r="BT304" i="1"/>
  <c r="AR922" i="1"/>
  <c r="AP922" i="1"/>
  <c r="AT202" i="1"/>
  <c r="AP202" i="1"/>
  <c r="AT578" i="1"/>
  <c r="AN578" i="1"/>
  <c r="AV578" i="1" s="1"/>
  <c r="AP12" i="1"/>
  <c r="AT12" i="1"/>
  <c r="BE912" i="1"/>
  <c r="BC912" i="1"/>
  <c r="AN478" i="1"/>
  <c r="AT478" i="1"/>
  <c r="AN69" i="1"/>
  <c r="AR69" i="1"/>
  <c r="AT617" i="1"/>
  <c r="AN617" i="1"/>
  <c r="BP162" i="1"/>
  <c r="BN162" i="1"/>
  <c r="BA597" i="1"/>
  <c r="BC597" i="1"/>
  <c r="AT215" i="1"/>
  <c r="AN215" i="1"/>
  <c r="AV215" i="1" s="1"/>
  <c r="AR64" i="1"/>
  <c r="AN64" i="1"/>
  <c r="AP787" i="1"/>
  <c r="AT787" i="1"/>
  <c r="BA89" i="1"/>
  <c r="BE89" i="1"/>
  <c r="BP271" i="1"/>
  <c r="BN271" i="1"/>
  <c r="BV271" i="1" s="1"/>
  <c r="BN258" i="1"/>
  <c r="BP258" i="1"/>
  <c r="BN404" i="1"/>
  <c r="BR404" i="1"/>
  <c r="AC822" i="1"/>
  <c r="AG822" i="1"/>
  <c r="AA569" i="1"/>
  <c r="AE569" i="1"/>
  <c r="AI569" i="1" s="1"/>
  <c r="BA620" i="1"/>
  <c r="BC620" i="1"/>
  <c r="AT389" i="1"/>
  <c r="AR389" i="1"/>
  <c r="BN160" i="1"/>
  <c r="BR160" i="1"/>
  <c r="AN176" i="1"/>
  <c r="AP176" i="1"/>
  <c r="AV176" i="1" s="1"/>
  <c r="BR901" i="1"/>
  <c r="BP901" i="1"/>
  <c r="BC933" i="1"/>
  <c r="BG933" i="1"/>
  <c r="BA841" i="1"/>
  <c r="BG841" i="1"/>
  <c r="AG231" i="1"/>
  <c r="AE231" i="1"/>
  <c r="AA622" i="1"/>
  <c r="AE622" i="1"/>
  <c r="AE281" i="1"/>
  <c r="AG281" i="1"/>
  <c r="AT588" i="1"/>
  <c r="AR588" i="1"/>
  <c r="AP395" i="1"/>
  <c r="AN395" i="1"/>
  <c r="AT636" i="1"/>
  <c r="AP636" i="1"/>
  <c r="BN293" i="1"/>
  <c r="BR293" i="1"/>
  <c r="BT509" i="1"/>
  <c r="BN509" i="1"/>
  <c r="BA951" i="1"/>
  <c r="BN304" i="1"/>
  <c r="AN922" i="1"/>
  <c r="AR202" i="1"/>
  <c r="AP578" i="1"/>
  <c r="AN12" i="1"/>
  <c r="BA912" i="1"/>
  <c r="AR478" i="1"/>
  <c r="AT69" i="1"/>
  <c r="AP617" i="1"/>
  <c r="BR162" i="1"/>
  <c r="BE597" i="1"/>
  <c r="AP215" i="1"/>
  <c r="AT64" i="1"/>
  <c r="AR787" i="1"/>
  <c r="BC89" i="1"/>
  <c r="BT271" i="1"/>
  <c r="BR258" i="1"/>
  <c r="BP404" i="1"/>
  <c r="AE822" i="1"/>
  <c r="AG569" i="1"/>
  <c r="BG620" i="1"/>
  <c r="AN389" i="1"/>
  <c r="BP160" i="1"/>
  <c r="AT176" i="1"/>
  <c r="BN901" i="1"/>
  <c r="BE933" i="1"/>
  <c r="BC841" i="1"/>
  <c r="BT302" i="1"/>
  <c r="BR302" i="1"/>
  <c r="BV302" i="1" s="1"/>
  <c r="BC953" i="1"/>
  <c r="BG953" i="1"/>
  <c r="BE953" i="1"/>
  <c r="BR819" i="1"/>
  <c r="BP819" i="1"/>
  <c r="BN811" i="1"/>
  <c r="BP811" i="1"/>
  <c r="BR420" i="1"/>
  <c r="BT420" i="1"/>
  <c r="AN687" i="1"/>
  <c r="AP687" i="1"/>
  <c r="AT687" i="1"/>
  <c r="AR687" i="1"/>
  <c r="AT10" i="1"/>
  <c r="AP10" i="1"/>
  <c r="AR10" i="1"/>
  <c r="AN10" i="1"/>
  <c r="BA711" i="1"/>
  <c r="BC711" i="1"/>
  <c r="BG711" i="1"/>
  <c r="BE711" i="1"/>
  <c r="BP14" i="1"/>
  <c r="BN14" i="1"/>
  <c r="BT14" i="1"/>
  <c r="BG281" i="1"/>
  <c r="BC281" i="1"/>
  <c r="AP556" i="1"/>
  <c r="AT556" i="1"/>
  <c r="BN654" i="1"/>
  <c r="BR654" i="1"/>
  <c r="BP355" i="1"/>
  <c r="BR355" i="1"/>
  <c r="BV355" i="1" s="1"/>
  <c r="BR663" i="1"/>
  <c r="BC85" i="1"/>
  <c r="BG85" i="1"/>
  <c r="BI85" i="1" s="1"/>
  <c r="BT836" i="1"/>
  <c r="BT937" i="1"/>
  <c r="BP937" i="1"/>
  <c r="BG703" i="1"/>
  <c r="BR227" i="1"/>
  <c r="BP227" i="1"/>
  <c r="BV227" i="1" s="1"/>
  <c r="AT752" i="1"/>
  <c r="AR752" i="1"/>
  <c r="AT417" i="1"/>
  <c r="AR417" i="1"/>
  <c r="AP417" i="1"/>
  <c r="BG793" i="1"/>
  <c r="BE793" i="1"/>
  <c r="BA793" i="1"/>
  <c r="BI793" i="1" s="1"/>
  <c r="BE132" i="1"/>
  <c r="BC132" i="1"/>
  <c r="BG132" i="1"/>
  <c r="BA132" i="1"/>
  <c r="BN228" i="1"/>
  <c r="BR228" i="1"/>
  <c r="BC69" i="1"/>
  <c r="BG69" i="1"/>
  <c r="BA69" i="1"/>
  <c r="BT895" i="1"/>
  <c r="BP895" i="1"/>
  <c r="BN895" i="1"/>
  <c r="BG619" i="1"/>
  <c r="AR94" i="1"/>
  <c r="AP94" i="1"/>
  <c r="BA807" i="1"/>
  <c r="AP952" i="1"/>
  <c r="AN952" i="1"/>
  <c r="BG667" i="1"/>
  <c r="BC667" i="1"/>
  <c r="BI667" i="1" s="1"/>
  <c r="BT993" i="1"/>
  <c r="BA757" i="1"/>
  <c r="BG757" i="1"/>
  <c r="BE757" i="1"/>
  <c r="BT521" i="1"/>
  <c r="BR521" i="1"/>
  <c r="BP521" i="1"/>
  <c r="BN521" i="1"/>
  <c r="BT155" i="1"/>
  <c r="BP155" i="1"/>
  <c r="BN46" i="1"/>
  <c r="BT46" i="1"/>
  <c r="BC866" i="1"/>
  <c r="BE866" i="1"/>
  <c r="BG866" i="1"/>
  <c r="BG450" i="1"/>
  <c r="BC450" i="1"/>
  <c r="BC980" i="1"/>
  <c r="BA980" i="1"/>
  <c r="BN859" i="1"/>
  <c r="BT859" i="1"/>
  <c r="BR859" i="1"/>
  <c r="BC825" i="1"/>
  <c r="BE825" i="1"/>
  <c r="BA825" i="1"/>
  <c r="BA936" i="1"/>
  <c r="BC936" i="1"/>
  <c r="BN973" i="1"/>
  <c r="BR973" i="1"/>
  <c r="BP973" i="1"/>
  <c r="BT973" i="1"/>
  <c r="BA670" i="1"/>
  <c r="BG670" i="1"/>
  <c r="BC670" i="1"/>
  <c r="BE670" i="1"/>
  <c r="BT671" i="1"/>
  <c r="BR671" i="1"/>
  <c r="BP671" i="1"/>
  <c r="BN671" i="1"/>
  <c r="AT947" i="1"/>
  <c r="AR947" i="1"/>
  <c r="AN947" i="1"/>
  <c r="AP35" i="1"/>
  <c r="AN35" i="1"/>
  <c r="AR35" i="1"/>
  <c r="BE221" i="1"/>
  <c r="BG221" i="1"/>
  <c r="BA221" i="1"/>
  <c r="BG399" i="1"/>
  <c r="BE399" i="1"/>
  <c r="BC399" i="1"/>
  <c r="BA399" i="1"/>
  <c r="BG429" i="1"/>
  <c r="BE429" i="1"/>
  <c r="BC429" i="1"/>
  <c r="BI429" i="1" s="1"/>
  <c r="BE466" i="1"/>
  <c r="BA466" i="1"/>
  <c r="BT656" i="1"/>
  <c r="BN656" i="1"/>
  <c r="BR656" i="1"/>
  <c r="BE931" i="1"/>
  <c r="BA931" i="1"/>
  <c r="BG931" i="1"/>
  <c r="BI931" i="1" s="1"/>
  <c r="BA382" i="1"/>
  <c r="BC382" i="1"/>
  <c r="BT610" i="1"/>
  <c r="BN610" i="1"/>
  <c r="BP610" i="1"/>
  <c r="BP990" i="1"/>
  <c r="BT990" i="1"/>
  <c r="BR990" i="1"/>
  <c r="BE974" i="1"/>
  <c r="BG974" i="1"/>
  <c r="BA974" i="1"/>
  <c r="BC974" i="1"/>
  <c r="BC205" i="1"/>
  <c r="BE205" i="1"/>
  <c r="BA205" i="1"/>
  <c r="BG205" i="1"/>
  <c r="BP904" i="1"/>
  <c r="BT904" i="1"/>
  <c r="BN904" i="1"/>
  <c r="BR904" i="1"/>
  <c r="AP860" i="1"/>
  <c r="AN860" i="1"/>
  <c r="BT200" i="1"/>
  <c r="BP200" i="1"/>
  <c r="BN200" i="1"/>
  <c r="BE302" i="1"/>
  <c r="BC302" i="1"/>
  <c r="BA302" i="1"/>
  <c r="BI302" i="1" s="1"/>
  <c r="BT722" i="1"/>
  <c r="BR722" i="1"/>
  <c r="AP750" i="1"/>
  <c r="AR750" i="1"/>
  <c r="AT750" i="1"/>
  <c r="BA271" i="1"/>
  <c r="BE271" i="1"/>
  <c r="BG271" i="1"/>
  <c r="BC271" i="1"/>
  <c r="BT352" i="1"/>
  <c r="BN528" i="1"/>
  <c r="BE980" i="1"/>
  <c r="BR610" i="1"/>
  <c r="BP888" i="1"/>
  <c r="BA15" i="1"/>
  <c r="AN94" i="1"/>
  <c r="BE69" i="1"/>
  <c r="BC793" i="1"/>
  <c r="BC242" i="1"/>
  <c r="BC221" i="1"/>
  <c r="AP947" i="1"/>
  <c r="AP33" i="1"/>
  <c r="AT33" i="1"/>
  <c r="BE642" i="1"/>
  <c r="BC642" i="1"/>
  <c r="BA746" i="1"/>
  <c r="BE746" i="1"/>
  <c r="BP699" i="1"/>
  <c r="BN699" i="1"/>
  <c r="BE761" i="1"/>
  <c r="BG761" i="1"/>
  <c r="BC761" i="1"/>
  <c r="BT225" i="1"/>
  <c r="BP225" i="1"/>
  <c r="BR225" i="1"/>
  <c r="BN225" i="1"/>
  <c r="AN392" i="1"/>
  <c r="AR392" i="1"/>
  <c r="AP392" i="1"/>
  <c r="AT392" i="1"/>
  <c r="BC150" i="1"/>
  <c r="BG150" i="1"/>
  <c r="BA150" i="1"/>
  <c r="BT92" i="1"/>
  <c r="BR92" i="1"/>
  <c r="BN373" i="1"/>
  <c r="BR373" i="1"/>
  <c r="BT456" i="1"/>
  <c r="BN456" i="1"/>
  <c r="AT121" i="1"/>
  <c r="AP121" i="1"/>
  <c r="BP685" i="1"/>
  <c r="BR685" i="1"/>
  <c r="BE877" i="1"/>
  <c r="BN529" i="1"/>
  <c r="BP529" i="1"/>
  <c r="BT643" i="1"/>
  <c r="AT161" i="1"/>
  <c r="AP161" i="1"/>
  <c r="AP447" i="1"/>
  <c r="BA824" i="1"/>
  <c r="BE824" i="1"/>
  <c r="BT145" i="1"/>
  <c r="AR814" i="1"/>
  <c r="AN814" i="1"/>
  <c r="AP260" i="1"/>
  <c r="AT260" i="1"/>
  <c r="AR260" i="1"/>
  <c r="BT638" i="1"/>
  <c r="BR638" i="1"/>
  <c r="BN638" i="1"/>
  <c r="BG733" i="1"/>
  <c r="BC733" i="1"/>
  <c r="BA733" i="1"/>
  <c r="BE293" i="1"/>
  <c r="BG293" i="1"/>
  <c r="BC293" i="1"/>
  <c r="BA293" i="1"/>
  <c r="BC359" i="1"/>
  <c r="BE359" i="1"/>
  <c r="BA359" i="1"/>
  <c r="BG359" i="1"/>
  <c r="BC778" i="1"/>
  <c r="BG778" i="1"/>
  <c r="AN23" i="1"/>
  <c r="AR23" i="1"/>
  <c r="AP23" i="1"/>
  <c r="BN787" i="1"/>
  <c r="BR787" i="1"/>
  <c r="BT787" i="1"/>
  <c r="BP787" i="1"/>
  <c r="BR470" i="1"/>
  <c r="BP470" i="1"/>
  <c r="BN470" i="1"/>
  <c r="BE347" i="1"/>
  <c r="BC347" i="1"/>
  <c r="BI347" i="1" s="1"/>
  <c r="BR628" i="1"/>
  <c r="BN628" i="1"/>
  <c r="BR403" i="1"/>
  <c r="BP403" i="1"/>
  <c r="BC955" i="1"/>
  <c r="BE955" i="1"/>
  <c r="BR300" i="1"/>
  <c r="BN300" i="1"/>
  <c r="BE938" i="1"/>
  <c r="BG938" i="1"/>
  <c r="BC309" i="1"/>
  <c r="BE309" i="1"/>
  <c r="BG566" i="1"/>
  <c r="BC566" i="1"/>
  <c r="BE566" i="1"/>
  <c r="BA566" i="1"/>
  <c r="AT381" i="1"/>
  <c r="AP381" i="1"/>
  <c r="AN381" i="1"/>
  <c r="BT922" i="1"/>
  <c r="BN922" i="1"/>
  <c r="BR922" i="1"/>
  <c r="BN210" i="1"/>
  <c r="BR210" i="1"/>
  <c r="BT210" i="1"/>
  <c r="BA420" i="1"/>
  <c r="BC420" i="1"/>
  <c r="BP208" i="1"/>
  <c r="BN208" i="1"/>
  <c r="BE795" i="1"/>
  <c r="BG795" i="1"/>
  <c r="BA795" i="1"/>
  <c r="BC795" i="1"/>
  <c r="BG712" i="1"/>
  <c r="BC712" i="1"/>
  <c r="BE712" i="1"/>
  <c r="BA712" i="1"/>
  <c r="AN847" i="1"/>
  <c r="AT847" i="1"/>
  <c r="AR847" i="1"/>
  <c r="AP847" i="1"/>
  <c r="BA514" i="1"/>
  <c r="BG514" i="1"/>
  <c r="BC514" i="1"/>
  <c r="BE514" i="1"/>
  <c r="AP496" i="1"/>
  <c r="AT496" i="1"/>
  <c r="AN496" i="1"/>
  <c r="AR496" i="1"/>
  <c r="BC635" i="1"/>
  <c r="BE635" i="1"/>
  <c r="BG635" i="1"/>
  <c r="BA635" i="1"/>
  <c r="AR259" i="1"/>
  <c r="AT259" i="1"/>
  <c r="AN259" i="1"/>
  <c r="AP259" i="1"/>
  <c r="AP432" i="1"/>
  <c r="AT432" i="1"/>
  <c r="BA168" i="1"/>
  <c r="BE168" i="1"/>
  <c r="BC168" i="1"/>
  <c r="BR349" i="1"/>
  <c r="BP349" i="1"/>
  <c r="BP824" i="1"/>
  <c r="BN824" i="1"/>
  <c r="AR591" i="1"/>
  <c r="AT591" i="1"/>
  <c r="AP591" i="1"/>
  <c r="BP190" i="1"/>
  <c r="BN190" i="1"/>
  <c r="BC475" i="1"/>
  <c r="BA475" i="1"/>
  <c r="BG106" i="1"/>
  <c r="BE106" i="1"/>
  <c r="BA106" i="1"/>
  <c r="BI106" i="1" s="1"/>
  <c r="BC954" i="1"/>
  <c r="BG954" i="1"/>
  <c r="BE954" i="1"/>
  <c r="BA954" i="1"/>
  <c r="BN991" i="1"/>
  <c r="BR991" i="1"/>
  <c r="BT991" i="1"/>
  <c r="BP991" i="1"/>
  <c r="AN949" i="1"/>
  <c r="AT949" i="1"/>
  <c r="AP949" i="1"/>
  <c r="AR949" i="1"/>
  <c r="AP718" i="1"/>
  <c r="AT718" i="1"/>
  <c r="BE898" i="1"/>
  <c r="BG898" i="1"/>
  <c r="BC898" i="1"/>
  <c r="BA409" i="1"/>
  <c r="BC409" i="1"/>
  <c r="BT478" i="1"/>
  <c r="BR478" i="1"/>
  <c r="BN713" i="1"/>
  <c r="BT713" i="1"/>
  <c r="BP713" i="1"/>
  <c r="BR713" i="1"/>
  <c r="BE937" i="1"/>
  <c r="BA937" i="1"/>
  <c r="BT543" i="1"/>
  <c r="AR320" i="1"/>
  <c r="AT600" i="1"/>
  <c r="BP539" i="1"/>
  <c r="BN722" i="1"/>
  <c r="AR860" i="1"/>
  <c r="BP300" i="1"/>
  <c r="BG420" i="1"/>
  <c r="BE450" i="1"/>
  <c r="BC807" i="1"/>
  <c r="BR352" i="1"/>
  <c r="BR528" i="1"/>
  <c r="BR281" i="1"/>
  <c r="AR600" i="1"/>
  <c r="BT539" i="1"/>
  <c r="BR653" i="1"/>
  <c r="BE703" i="1"/>
  <c r="AT814" i="1"/>
  <c r="BC938" i="1"/>
  <c r="BE409" i="1"/>
  <c r="BT300" i="1"/>
  <c r="BR208" i="1"/>
  <c r="BP859" i="1"/>
  <c r="BP922" i="1"/>
  <c r="BP46" i="1"/>
  <c r="BE807" i="1"/>
  <c r="AN750" i="1"/>
  <c r="BR200" i="1"/>
  <c r="BG475" i="1"/>
  <c r="BG825" i="1"/>
  <c r="BP210" i="1"/>
  <c r="BT824" i="1"/>
  <c r="BP656" i="1"/>
  <c r="BN349" i="1"/>
  <c r="BC466" i="1"/>
  <c r="BA667" i="1"/>
  <c r="BP628" i="1"/>
  <c r="BA309" i="1"/>
  <c r="BC937" i="1"/>
  <c r="BA898" i="1"/>
  <c r="BE150" i="1"/>
  <c r="BR14" i="1"/>
  <c r="BN92" i="1"/>
  <c r="BP861" i="1"/>
  <c r="AT952" i="1"/>
  <c r="AT94" i="1"/>
  <c r="BP638" i="1"/>
  <c r="BR330" i="1"/>
  <c r="BG920" i="1"/>
  <c r="BC920" i="1"/>
  <c r="AP760" i="1"/>
  <c r="AT760" i="1"/>
  <c r="BR540" i="1"/>
  <c r="BP540" i="1"/>
  <c r="BN540" i="1"/>
  <c r="BG500" i="1"/>
  <c r="BC500" i="1"/>
  <c r="BA500" i="1"/>
  <c r="BC86" i="1"/>
  <c r="BG86" i="1"/>
  <c r="BE86" i="1"/>
  <c r="AR581" i="1"/>
  <c r="AN581" i="1"/>
  <c r="AP581" i="1"/>
  <c r="BP454" i="1"/>
  <c r="BT454" i="1"/>
  <c r="BN454" i="1"/>
  <c r="BR454" i="1"/>
  <c r="BC152" i="1"/>
  <c r="BE152" i="1"/>
  <c r="BA152" i="1"/>
  <c r="BG152" i="1"/>
  <c r="BA437" i="1"/>
  <c r="BE437" i="1"/>
  <c r="BG437" i="1"/>
  <c r="BC437" i="1"/>
  <c r="BP272" i="1"/>
  <c r="BN272" i="1"/>
  <c r="BT272" i="1"/>
  <c r="BP535" i="1"/>
  <c r="BT535" i="1"/>
  <c r="BV535" i="1" s="1"/>
  <c r="BA260" i="1"/>
  <c r="BE260" i="1"/>
  <c r="BC849" i="1"/>
  <c r="BA849" i="1"/>
  <c r="BI849" i="1" s="1"/>
  <c r="BA682" i="1"/>
  <c r="BE682" i="1"/>
  <c r="BA414" i="1"/>
  <c r="BG414" i="1"/>
  <c r="AP403" i="1"/>
  <c r="BC174" i="1"/>
  <c r="BE174" i="1"/>
  <c r="AT314" i="1"/>
  <c r="AN314" i="1"/>
  <c r="BP751" i="1"/>
  <c r="BN751" i="1"/>
  <c r="BV751" i="1" s="1"/>
  <c r="BT467" i="1"/>
  <c r="BR467" i="1"/>
  <c r="BT632" i="1"/>
  <c r="BN632" i="1"/>
  <c r="BV632" i="1" s="1"/>
  <c r="AP599" i="1"/>
  <c r="AR599" i="1"/>
  <c r="BG78" i="1"/>
  <c r="BE78" i="1"/>
  <c r="BA78" i="1"/>
  <c r="BC78" i="1"/>
  <c r="BR769" i="1"/>
  <c r="BP769" i="1"/>
  <c r="BN769" i="1"/>
  <c r="BP999" i="1"/>
  <c r="BN999" i="1"/>
  <c r="BT999" i="1"/>
  <c r="BV999" i="1" s="1"/>
  <c r="BA386" i="1"/>
  <c r="BE386" i="1"/>
  <c r="BG386" i="1"/>
  <c r="BC386" i="1"/>
  <c r="AT865" i="1"/>
  <c r="AP865" i="1"/>
  <c r="AR865" i="1"/>
  <c r="AN865" i="1"/>
  <c r="BP820" i="1"/>
  <c r="BN820" i="1"/>
  <c r="BR820" i="1"/>
  <c r="BT820" i="1"/>
  <c r="BA363" i="1"/>
  <c r="BE363" i="1"/>
  <c r="BC363" i="1"/>
  <c r="BG363" i="1"/>
  <c r="BE351" i="1"/>
  <c r="BA351" i="1"/>
  <c r="BC351" i="1"/>
  <c r="BG351" i="1"/>
  <c r="BE235" i="1"/>
  <c r="BG235" i="1"/>
  <c r="BC235" i="1"/>
  <c r="AP26" i="1"/>
  <c r="AN26" i="1"/>
  <c r="AT26" i="1"/>
  <c r="AR26" i="1"/>
  <c r="BN888" i="1"/>
  <c r="BT888" i="1"/>
  <c r="BP268" i="1"/>
  <c r="BN268" i="1"/>
  <c r="BN31" i="1"/>
  <c r="BT31" i="1"/>
  <c r="BR31" i="1"/>
  <c r="BN87" i="1"/>
  <c r="BP87" i="1"/>
  <c r="BR87" i="1"/>
  <c r="BE317" i="1"/>
  <c r="BA317" i="1"/>
  <c r="BC317" i="1"/>
  <c r="BI317" i="1" s="1"/>
  <c r="BC15" i="1"/>
  <c r="BG15" i="1"/>
  <c r="BA794" i="1"/>
  <c r="BG794" i="1"/>
  <c r="BE794" i="1"/>
  <c r="AT753" i="1"/>
  <c r="AP753" i="1"/>
  <c r="AR753" i="1"/>
  <c r="BA840" i="1"/>
  <c r="BC840" i="1"/>
  <c r="BE840" i="1"/>
  <c r="AN136" i="1"/>
  <c r="AT136" i="1"/>
  <c r="AR136" i="1"/>
  <c r="AP136" i="1"/>
  <c r="BR543" i="1"/>
  <c r="BT528" i="1"/>
  <c r="BP281" i="1"/>
  <c r="AP320" i="1"/>
  <c r="BR539" i="1"/>
  <c r="BV539" i="1" s="1"/>
  <c r="BP653" i="1"/>
  <c r="BE281" i="1"/>
  <c r="BC260" i="1"/>
  <c r="AN121" i="1"/>
  <c r="AV121" i="1" s="1"/>
  <c r="AR556" i="1"/>
  <c r="BE849" i="1"/>
  <c r="BN685" i="1"/>
  <c r="BT654" i="1"/>
  <c r="BG682" i="1"/>
  <c r="BC877" i="1"/>
  <c r="BN355" i="1"/>
  <c r="BT529" i="1"/>
  <c r="BE414" i="1"/>
  <c r="AR403" i="1"/>
  <c r="BN643" i="1"/>
  <c r="BN663" i="1"/>
  <c r="BA174" i="1"/>
  <c r="AN161" i="1"/>
  <c r="BE85" i="1"/>
  <c r="AP314" i="1"/>
  <c r="AN447" i="1"/>
  <c r="BN836" i="1"/>
  <c r="BT751" i="1"/>
  <c r="BG824" i="1"/>
  <c r="BR937" i="1"/>
  <c r="BN467" i="1"/>
  <c r="BR145" i="1"/>
  <c r="BC703" i="1"/>
  <c r="AP814" i="1"/>
  <c r="BP632" i="1"/>
  <c r="BR155" i="1"/>
  <c r="BA938" i="1"/>
  <c r="BE936" i="1"/>
  <c r="BT208" i="1"/>
  <c r="BN993" i="1"/>
  <c r="BT403" i="1"/>
  <c r="BV403" i="1" s="1"/>
  <c r="AR432" i="1"/>
  <c r="BR46" i="1"/>
  <c r="BP478" i="1"/>
  <c r="AR718" i="1"/>
  <c r="BR190" i="1"/>
  <c r="BG382" i="1"/>
  <c r="BA955" i="1"/>
  <c r="BT349" i="1"/>
  <c r="BG466" i="1"/>
  <c r="BA429" i="1"/>
  <c r="BE667" i="1"/>
  <c r="BR268" i="1"/>
  <c r="BV268" i="1" s="1"/>
  <c r="BT699" i="1"/>
  <c r="BN420" i="1"/>
  <c r="BP92" i="1"/>
  <c r="BR272" i="1"/>
  <c r="BP31" i="1"/>
  <c r="BC794" i="1"/>
  <c r="BG347" i="1"/>
  <c r="BT470" i="1"/>
  <c r="BC619" i="1"/>
  <c r="BE778" i="1"/>
  <c r="BT228" i="1"/>
  <c r="BT769" i="1"/>
  <c r="AN417" i="1"/>
  <c r="BA288" i="1"/>
  <c r="BR86" i="1"/>
  <c r="BT86" i="1"/>
  <c r="BP579" i="1"/>
  <c r="BT579" i="1"/>
  <c r="AG839" i="1"/>
  <c r="AE839" i="1"/>
  <c r="AE373" i="1"/>
  <c r="AG373" i="1"/>
  <c r="AA373" i="1"/>
  <c r="AG307" i="1"/>
  <c r="AA307" i="1"/>
  <c r="AC307" i="1"/>
  <c r="AE738" i="1"/>
  <c r="AC738" i="1"/>
  <c r="AE842" i="1"/>
  <c r="AC842" i="1"/>
  <c r="AC946" i="1"/>
  <c r="AG946" i="1"/>
  <c r="AA946" i="1"/>
  <c r="AC351" i="1"/>
  <c r="AG351" i="1"/>
  <c r="AA351" i="1"/>
  <c r="AI351" i="1" s="1"/>
  <c r="AC384" i="1"/>
  <c r="AA384" i="1"/>
  <c r="AE710" i="1"/>
  <c r="AC710" i="1"/>
  <c r="AA96" i="1"/>
  <c r="AE96" i="1"/>
  <c r="AC96" i="1"/>
  <c r="BG194" i="1"/>
  <c r="BC194" i="1"/>
  <c r="BE194" i="1"/>
  <c r="BR491" i="1"/>
  <c r="BP491" i="1"/>
  <c r="BP131" i="1"/>
  <c r="BN131" i="1"/>
  <c r="BP708" i="1"/>
  <c r="BN708" i="1"/>
  <c r="BR708" i="1"/>
  <c r="BE108" i="1"/>
  <c r="BG108" i="1"/>
  <c r="BC108" i="1"/>
  <c r="BC511" i="1"/>
  <c r="BA511" i="1"/>
  <c r="AN896" i="1"/>
  <c r="AT896" i="1"/>
  <c r="AV896" i="1" s="1"/>
  <c r="AN131" i="1"/>
  <c r="AT131" i="1"/>
  <c r="AR131" i="1"/>
  <c r="AN427" i="1"/>
  <c r="AT427" i="1"/>
  <c r="AR427" i="1"/>
  <c r="BN8" i="1"/>
  <c r="BR8" i="1"/>
  <c r="BV8" i="1" s="1"/>
  <c r="AN690" i="1"/>
  <c r="AR690" i="1"/>
  <c r="AR441" i="1"/>
  <c r="AN441" i="1"/>
  <c r="AP441" i="1"/>
  <c r="AN266" i="1"/>
  <c r="AT266" i="1"/>
  <c r="AR266" i="1"/>
  <c r="AN220" i="1"/>
  <c r="AP220" i="1"/>
  <c r="AN112" i="1"/>
  <c r="AT112" i="1"/>
  <c r="AN686" i="1"/>
  <c r="AT686" i="1"/>
  <c r="AP686" i="1"/>
  <c r="AR443" i="1"/>
  <c r="AP443" i="1"/>
  <c r="AN443" i="1"/>
  <c r="BA336" i="1"/>
  <c r="BC336" i="1"/>
  <c r="BI336" i="1" s="1"/>
  <c r="AT265" i="1"/>
  <c r="AN265" i="1"/>
  <c r="BA422" i="1"/>
  <c r="BG422" i="1"/>
  <c r="BC422" i="1"/>
  <c r="BN400" i="1"/>
  <c r="BR400" i="1"/>
  <c r="BT400" i="1"/>
  <c r="BV400" i="1" s="1"/>
  <c r="BA976" i="1"/>
  <c r="BE976" i="1"/>
  <c r="BR182" i="1"/>
  <c r="BP182" i="1"/>
  <c r="BG738" i="1"/>
  <c r="BA738" i="1"/>
  <c r="AC823" i="1"/>
  <c r="AE823" i="1"/>
  <c r="AE928" i="1"/>
  <c r="AG928" i="1"/>
  <c r="AA198" i="1"/>
  <c r="AE198" i="1"/>
  <c r="AI198" i="1" s="1"/>
  <c r="AC900" i="1"/>
  <c r="AG900" i="1"/>
  <c r="AC511" i="1"/>
  <c r="AE511" i="1"/>
  <c r="AA31" i="1"/>
  <c r="AG31" i="1"/>
  <c r="AG881" i="1"/>
  <c r="AC881" i="1"/>
  <c r="AI881" i="1" s="1"/>
  <c r="AG234" i="1"/>
  <c r="AA234" i="1"/>
  <c r="AC133" i="1"/>
  <c r="AE133" i="1"/>
  <c r="AI133" i="1" s="1"/>
  <c r="AA427" i="1"/>
  <c r="AG427" i="1"/>
  <c r="AC678" i="1"/>
  <c r="AG678" i="1"/>
  <c r="AA192" i="1"/>
  <c r="AE192" i="1"/>
  <c r="BP267" i="1"/>
  <c r="BN267" i="1"/>
  <c r="BV267" i="1" s="1"/>
  <c r="BE284" i="1"/>
  <c r="BC284" i="1"/>
  <c r="BP808" i="1"/>
  <c r="BN808" i="1"/>
  <c r="BV808" i="1" s="1"/>
  <c r="BT266" i="1"/>
  <c r="BN266" i="1"/>
  <c r="AN130" i="1"/>
  <c r="AR130" i="1"/>
  <c r="AP130" i="1"/>
  <c r="AN406" i="1"/>
  <c r="AP406" i="1"/>
  <c r="AR143" i="1"/>
  <c r="AT143" i="1"/>
  <c r="AP660" i="1"/>
  <c r="AR660" i="1"/>
  <c r="AN660" i="1"/>
  <c r="AV660" i="1" s="1"/>
  <c r="BG56" i="1"/>
  <c r="BA56" i="1"/>
  <c r="BP391" i="1"/>
  <c r="BN391" i="1"/>
  <c r="BR391" i="1"/>
  <c r="AR846" i="1"/>
  <c r="AP846" i="1"/>
  <c r="BP245" i="1"/>
  <c r="BR245" i="1"/>
  <c r="BA876" i="1"/>
  <c r="BE876" i="1"/>
  <c r="BC876" i="1"/>
  <c r="BG99" i="1"/>
  <c r="BA99" i="1"/>
  <c r="BC129" i="1"/>
  <c r="BE129" i="1"/>
  <c r="BA129" i="1"/>
  <c r="BA390" i="1"/>
  <c r="BE390" i="1"/>
  <c r="BN381" i="1"/>
  <c r="BP381" i="1"/>
  <c r="BP383" i="1"/>
  <c r="BT383" i="1"/>
  <c r="BR877" i="1"/>
  <c r="BN877" i="1"/>
  <c r="BE523" i="1"/>
  <c r="BC523" i="1"/>
  <c r="BA523" i="1"/>
  <c r="BI523" i="1" s="1"/>
  <c r="BA627" i="1"/>
  <c r="BE627" i="1"/>
  <c r="BG627" i="1"/>
  <c r="BR126" i="1"/>
  <c r="BN126" i="1"/>
  <c r="BE374" i="1"/>
  <c r="BA374" i="1"/>
  <c r="BR243" i="1"/>
  <c r="BP243" i="1"/>
  <c r="BT81" i="1"/>
  <c r="BP81" i="1"/>
  <c r="BN611" i="1"/>
  <c r="BP611" i="1"/>
  <c r="BP380" i="1"/>
  <c r="BR380" i="1"/>
  <c r="BP603" i="1"/>
  <c r="BR603" i="1"/>
  <c r="BN603" i="1"/>
  <c r="AT63" i="1"/>
  <c r="AP63" i="1"/>
  <c r="AN63" i="1"/>
  <c r="AT348" i="1"/>
  <c r="AP348" i="1"/>
  <c r="BN51" i="1"/>
  <c r="BP51" i="1"/>
  <c r="BT51" i="1"/>
  <c r="AP795" i="1"/>
  <c r="AT795" i="1"/>
  <c r="BC745" i="1"/>
  <c r="AA928" i="1"/>
  <c r="AG639" i="1"/>
  <c r="BE738" i="1"/>
  <c r="BC976" i="1"/>
  <c r="AP265" i="1"/>
  <c r="AR686" i="1"/>
  <c r="AR220" i="1"/>
  <c r="AT690" i="1"/>
  <c r="AP131" i="1"/>
  <c r="BG511" i="1"/>
  <c r="BT131" i="1"/>
  <c r="AG96" i="1"/>
  <c r="AG384" i="1"/>
  <c r="AG842" i="1"/>
  <c r="AC373" i="1"/>
  <c r="BN86" i="1"/>
  <c r="BR808" i="1"/>
  <c r="BC53" i="1"/>
  <c r="AR42" i="1"/>
  <c r="BT607" i="1"/>
  <c r="BG894" i="1"/>
  <c r="BR695" i="1"/>
  <c r="BC719" i="1"/>
  <c r="BE53" i="1"/>
  <c r="AT42" i="1"/>
  <c r="BP607" i="1"/>
  <c r="BC894" i="1"/>
  <c r="BA745" i="1"/>
  <c r="BT307" i="1"/>
  <c r="AP807" i="1"/>
  <c r="BE327" i="1"/>
  <c r="AR103" i="1"/>
  <c r="BR291" i="1"/>
  <c r="AR859" i="1"/>
  <c r="AR537" i="1"/>
  <c r="AV537" i="1" s="1"/>
  <c r="BT711" i="1"/>
  <c r="BG660" i="1"/>
  <c r="AN846" i="1"/>
  <c r="BT36" i="1"/>
  <c r="BV36" i="1" s="1"/>
  <c r="AR406" i="1"/>
  <c r="BG284" i="1"/>
  <c r="BT267" i="1"/>
  <c r="AA678" i="1"/>
  <c r="AC343" i="1"/>
  <c r="AG133" i="1"/>
  <c r="AG95" i="1"/>
  <c r="AC31" i="1"/>
  <c r="AG400" i="1"/>
  <c r="AA900" i="1"/>
  <c r="AC928" i="1"/>
  <c r="AA823" i="1"/>
  <c r="AI823" i="1" s="1"/>
  <c r="BT182" i="1"/>
  <c r="BP400" i="1"/>
  <c r="BG336" i="1"/>
  <c r="AP112" i="1"/>
  <c r="AP266" i="1"/>
  <c r="BP8" i="1"/>
  <c r="AR896" i="1"/>
  <c r="BA108" i="1"/>
  <c r="BI108" i="1" s="1"/>
  <c r="BN491" i="1"/>
  <c r="AG710" i="1"/>
  <c r="AE351" i="1"/>
  <c r="AG738" i="1"/>
  <c r="AC839" i="1"/>
  <c r="BR579" i="1"/>
  <c r="BC99" i="1"/>
  <c r="BG876" i="1"/>
  <c r="BI876" i="1" s="1"/>
  <c r="BT391" i="1"/>
  <c r="BC267" i="1"/>
  <c r="BA267" i="1"/>
  <c r="BT411" i="1"/>
  <c r="BP411" i="1"/>
  <c r="BC602" i="1"/>
  <c r="BE602" i="1"/>
  <c r="BT192" i="1"/>
  <c r="BP192" i="1"/>
  <c r="AR557" i="1"/>
  <c r="AT557" i="1"/>
  <c r="BG343" i="1"/>
  <c r="BE343" i="1"/>
  <c r="BN277" i="1"/>
  <c r="BP277" i="1"/>
  <c r="AE40" i="1"/>
  <c r="AG40" i="1"/>
  <c r="AE815" i="1"/>
  <c r="AE73" i="1"/>
  <c r="AC73" i="1"/>
  <c r="AI73" i="1" s="1"/>
  <c r="AC461" i="1"/>
  <c r="AE461" i="1"/>
  <c r="AC843" i="1"/>
  <c r="AA843" i="1"/>
  <c r="AI843" i="1" s="1"/>
  <c r="AC817" i="1"/>
  <c r="AA817" i="1"/>
  <c r="AG927" i="1"/>
  <c r="AA927" i="1"/>
  <c r="AC121" i="1"/>
  <c r="AG121" i="1"/>
  <c r="BG650" i="1"/>
  <c r="BC650" i="1"/>
  <c r="BR204" i="1"/>
  <c r="BT204" i="1"/>
  <c r="AR351" i="1"/>
  <c r="AT351" i="1"/>
  <c r="AV351" i="1" s="1"/>
  <c r="AR421" i="1"/>
  <c r="AP421" i="1"/>
  <c r="AR825" i="1"/>
  <c r="AN825" i="1"/>
  <c r="AV825" i="1" s="1"/>
  <c r="BG248" i="1"/>
  <c r="BC248" i="1"/>
  <c r="AN999" i="1"/>
  <c r="AP999" i="1"/>
  <c r="AV999" i="1" s="1"/>
  <c r="AR455" i="1"/>
  <c r="AP455" i="1"/>
  <c r="AT54" i="1"/>
  <c r="AP54" i="1"/>
  <c r="AT854" i="1"/>
  <c r="AN854" i="1"/>
  <c r="AR720" i="1"/>
  <c r="AP720" i="1"/>
  <c r="AV720" i="1" s="1"/>
  <c r="BA797" i="1"/>
  <c r="BC797" i="1"/>
  <c r="BR375" i="1"/>
  <c r="BT375" i="1"/>
  <c r="BV375" i="1" s="1"/>
  <c r="AR114" i="1"/>
  <c r="AT114" i="1"/>
  <c r="AR218" i="1"/>
  <c r="AP218" i="1"/>
  <c r="AP597" i="1"/>
  <c r="AN597" i="1"/>
  <c r="BN1000" i="1"/>
  <c r="BR1000" i="1"/>
  <c r="BV1000" i="1" s="1"/>
  <c r="BT948" i="1"/>
  <c r="BR948" i="1"/>
  <c r="BT20" i="1"/>
  <c r="BN20" i="1"/>
  <c r="AC273" i="1"/>
  <c r="AA273" i="1"/>
  <c r="AA129" i="1"/>
  <c r="AG129" i="1"/>
  <c r="BN322" i="1"/>
  <c r="BT322" i="1"/>
  <c r="BN54" i="1"/>
  <c r="BR54" i="1"/>
  <c r="BV54" i="1" s="1"/>
  <c r="AT187" i="1"/>
  <c r="AP187" i="1"/>
  <c r="AT327" i="1"/>
  <c r="AP327" i="1"/>
  <c r="AV327" i="1" s="1"/>
  <c r="BN616" i="1"/>
  <c r="BR616" i="1"/>
  <c r="BG519" i="1"/>
  <c r="BE519" i="1"/>
  <c r="BI519" i="1" s="1"/>
  <c r="BR703" i="1"/>
  <c r="BP703" i="1"/>
  <c r="AE48" i="1"/>
  <c r="AC48" i="1"/>
  <c r="AC316" i="1"/>
  <c r="AG316" i="1"/>
  <c r="AA79" i="1"/>
  <c r="AG79" i="1"/>
  <c r="AI79" i="1" s="1"/>
  <c r="AN208" i="1"/>
  <c r="AR208" i="1"/>
  <c r="AT646" i="1"/>
  <c r="AN646" i="1"/>
  <c r="AV646" i="1" s="1"/>
  <c r="AT702" i="1"/>
  <c r="AP702" i="1"/>
  <c r="BE114" i="1"/>
  <c r="BG114" i="1"/>
  <c r="BI114" i="1" s="1"/>
  <c r="BP280" i="1"/>
  <c r="BN280" i="1"/>
  <c r="BR411" i="1"/>
  <c r="BN192" i="1"/>
  <c r="BC970" i="1"/>
  <c r="BE970" i="1"/>
  <c r="BA970" i="1"/>
  <c r="BG175" i="1"/>
  <c r="BC175" i="1"/>
  <c r="BA175" i="1"/>
  <c r="BN76" i="1"/>
  <c r="BP76" i="1"/>
  <c r="BR76" i="1"/>
  <c r="BT76" i="1"/>
  <c r="BN793" i="1"/>
  <c r="BP793" i="1"/>
  <c r="BT793" i="1"/>
  <c r="BR793" i="1"/>
  <c r="BA878" i="1"/>
  <c r="BC878" i="1"/>
  <c r="BG878" i="1"/>
  <c r="BE878" i="1"/>
  <c r="BC855" i="1"/>
  <c r="BG855" i="1"/>
  <c r="BA855" i="1"/>
  <c r="BE855" i="1"/>
  <c r="AP43" i="1"/>
  <c r="AN43" i="1"/>
  <c r="AT43" i="1"/>
  <c r="BN855" i="1"/>
  <c r="BP855" i="1"/>
  <c r="BT855" i="1"/>
  <c r="AP490" i="1"/>
  <c r="AN490" i="1"/>
  <c r="BP172" i="1"/>
  <c r="BN172" i="1"/>
  <c r="AT663" i="1"/>
  <c r="AN663" i="1"/>
  <c r="BN714" i="1"/>
  <c r="BP714" i="1"/>
  <c r="AR943" i="1"/>
  <c r="AN943" i="1"/>
  <c r="AT943" i="1"/>
  <c r="BC113" i="1"/>
  <c r="BG113" i="1"/>
  <c r="BA113" i="1"/>
  <c r="BA323" i="1"/>
  <c r="BC323" i="1"/>
  <c r="BT292" i="1"/>
  <c r="BN292" i="1"/>
  <c r="BT917" i="1"/>
  <c r="BN917" i="1"/>
  <c r="BV917" i="1" s="1"/>
  <c r="AR154" i="1"/>
  <c r="AN154" i="1"/>
  <c r="AP154" i="1"/>
  <c r="AT154" i="1"/>
  <c r="AR49" i="1"/>
  <c r="AN49" i="1"/>
  <c r="AP49" i="1"/>
  <c r="AT49" i="1"/>
  <c r="BC193" i="1"/>
  <c r="BA193" i="1"/>
  <c r="BG193" i="1"/>
  <c r="BE193" i="1"/>
  <c r="BG614" i="1"/>
  <c r="BA614" i="1"/>
  <c r="BE614" i="1"/>
  <c r="BC614" i="1"/>
  <c r="BG110" i="1"/>
  <c r="BE110" i="1"/>
  <c r="BC110" i="1"/>
  <c r="BN594" i="1"/>
  <c r="BR594" i="1"/>
  <c r="BT594" i="1"/>
  <c r="BP594" i="1"/>
  <c r="BE332" i="1"/>
  <c r="BA802" i="1"/>
  <c r="BG900" i="1"/>
  <c r="BC798" i="1"/>
  <c r="BN847" i="1"/>
  <c r="BT287" i="1"/>
  <c r="BG771" i="1"/>
  <c r="BA107" i="1"/>
  <c r="BC685" i="1"/>
  <c r="BA622" i="1"/>
  <c r="BE984" i="1"/>
  <c r="BC880" i="1"/>
  <c r="BA471" i="1"/>
  <c r="BC796" i="1"/>
  <c r="BG827" i="1"/>
  <c r="AR679" i="1"/>
  <c r="AT679" i="1"/>
  <c r="AP679" i="1"/>
  <c r="BP840" i="1"/>
  <c r="BN840" i="1"/>
  <c r="BR840" i="1"/>
  <c r="BV840" i="1" s="1"/>
  <c r="BA563" i="1"/>
  <c r="BE563" i="1"/>
  <c r="BC563" i="1"/>
  <c r="BP823" i="1"/>
  <c r="BR823" i="1"/>
  <c r="BR96" i="1"/>
  <c r="BP96" i="1"/>
  <c r="BG893" i="1"/>
  <c r="BC893" i="1"/>
  <c r="BA893" i="1"/>
  <c r="BG326" i="1"/>
  <c r="BC326" i="1"/>
  <c r="BE326" i="1"/>
  <c r="BA326" i="1"/>
  <c r="BG6" i="1"/>
  <c r="BC6" i="1"/>
  <c r="BE6" i="1"/>
  <c r="BA6" i="1"/>
  <c r="BN240" i="1"/>
  <c r="BR240" i="1"/>
  <c r="BP240" i="1"/>
  <c r="BR818" i="1"/>
  <c r="BT818" i="1"/>
  <c r="BG334" i="1"/>
  <c r="BE334" i="1"/>
  <c r="BA649" i="1"/>
  <c r="BC649" i="1"/>
  <c r="BC959" i="1"/>
  <c r="BE959" i="1"/>
  <c r="BG959" i="1"/>
  <c r="BA959" i="1"/>
  <c r="BN405" i="1"/>
  <c r="BP405" i="1"/>
  <c r="BR405" i="1"/>
  <c r="BC266" i="1"/>
  <c r="BA266" i="1"/>
  <c r="BG266" i="1"/>
  <c r="BN446" i="1"/>
  <c r="BP446" i="1"/>
  <c r="BR446" i="1"/>
  <c r="BV446" i="1" s="1"/>
  <c r="BA469" i="1"/>
  <c r="BE469" i="1"/>
  <c r="BG469" i="1"/>
  <c r="BP519" i="1"/>
  <c r="BT519" i="1"/>
  <c r="BR519" i="1"/>
  <c r="AT652" i="1"/>
  <c r="AR652" i="1"/>
  <c r="AP652" i="1"/>
  <c r="AN80" i="1"/>
  <c r="AR80" i="1"/>
  <c r="AP80" i="1"/>
  <c r="BP745" i="1"/>
  <c r="BN745" i="1"/>
  <c r="BR745" i="1"/>
  <c r="BC201" i="1"/>
  <c r="BG201" i="1"/>
  <c r="BE201" i="1"/>
  <c r="BG212" i="1"/>
  <c r="BE212" i="1"/>
  <c r="BC212" i="1"/>
  <c r="BC768" i="1"/>
  <c r="BA768" i="1"/>
  <c r="BE768" i="1"/>
  <c r="BI768" i="1" s="1"/>
  <c r="BP261" i="1"/>
  <c r="BT261" i="1"/>
  <c r="BE228" i="1"/>
  <c r="BA228" i="1"/>
  <c r="BR394" i="1"/>
  <c r="BN394" i="1"/>
  <c r="AR436" i="1"/>
  <c r="AN436" i="1"/>
  <c r="BA918" i="1"/>
  <c r="BE918" i="1"/>
  <c r="BP40" i="1"/>
  <c r="BN165" i="1"/>
  <c r="BV165" i="1" s="1"/>
  <c r="BC942" i="1"/>
  <c r="AR940" i="1"/>
  <c r="BE41" i="1"/>
  <c r="BR660" i="1"/>
  <c r="BV660" i="1" s="1"/>
  <c r="BR865" i="1"/>
  <c r="AP903" i="1"/>
  <c r="BE296" i="1"/>
  <c r="BE652" i="1"/>
  <c r="BI652" i="1" s="1"/>
  <c r="AP931" i="1"/>
  <c r="AN560" i="1"/>
  <c r="BT231" i="1"/>
  <c r="BG785" i="1"/>
  <c r="BI785" i="1" s="1"/>
  <c r="BG118" i="1"/>
  <c r="BE23" i="1"/>
  <c r="BT956" i="1"/>
  <c r="BP987" i="1"/>
  <c r="BV987" i="1" s="1"/>
  <c r="BE171" i="1"/>
  <c r="BA723" i="1"/>
  <c r="BT279" i="1"/>
  <c r="BA897" i="1"/>
  <c r="BR941" i="1"/>
  <c r="AR559" i="1"/>
  <c r="BA383" i="1"/>
  <c r="BE814" i="1"/>
  <c r="BI814" i="1" s="1"/>
  <c r="AP641" i="1"/>
  <c r="AP904" i="1"/>
  <c r="BR343" i="1"/>
  <c r="BR49" i="1"/>
  <c r="BV49" i="1" s="1"/>
  <c r="BE173" i="1"/>
  <c r="BA68" i="1"/>
  <c r="BC747" i="1"/>
  <c r="BP1001" i="1"/>
  <c r="BV1001" i="1" s="1"/>
  <c r="BR743" i="1"/>
  <c r="BN552" i="1"/>
  <c r="BR313" i="1"/>
  <c r="BT823" i="1"/>
  <c r="BE649" i="1"/>
  <c r="BG107" i="1"/>
  <c r="BG768" i="1"/>
  <c r="BA201" i="1"/>
  <c r="BN519" i="1"/>
  <c r="BC469" i="1"/>
  <c r="BE266" i="1"/>
  <c r="BT121" i="1"/>
  <c r="BP121" i="1"/>
  <c r="BP538" i="1"/>
  <c r="BT538" i="1"/>
  <c r="BN538" i="1"/>
  <c r="AN400" i="1"/>
  <c r="AT400" i="1"/>
  <c r="AR400" i="1"/>
  <c r="AP400" i="1"/>
  <c r="AT346" i="1"/>
  <c r="AN346" i="1"/>
  <c r="AR346" i="1"/>
  <c r="AP346" i="1"/>
  <c r="BC887" i="1"/>
  <c r="BA887" i="1"/>
  <c r="BG887" i="1"/>
  <c r="BE887" i="1"/>
  <c r="BN546" i="1"/>
  <c r="BP546" i="1"/>
  <c r="BT546" i="1"/>
  <c r="BR546" i="1"/>
  <c r="BT926" i="1"/>
  <c r="BN926" i="1"/>
  <c r="BP926" i="1"/>
  <c r="BR926" i="1"/>
  <c r="BT996" i="1"/>
  <c r="BN996" i="1"/>
  <c r="BP996" i="1"/>
  <c r="BR996" i="1"/>
  <c r="BP441" i="1"/>
  <c r="BR441" i="1"/>
  <c r="BR226" i="1"/>
  <c r="BP226" i="1"/>
  <c r="BT226" i="1"/>
  <c r="BE645" i="1"/>
  <c r="BA645" i="1"/>
  <c r="BG536" i="1"/>
  <c r="BA536" i="1"/>
  <c r="BC381" i="1"/>
  <c r="BG381" i="1"/>
  <c r="BE381" i="1"/>
  <c r="BA381" i="1"/>
  <c r="BP241" i="1"/>
  <c r="BN241" i="1"/>
  <c r="BR241" i="1"/>
  <c r="BT241" i="1"/>
  <c r="AT587" i="1"/>
  <c r="AP587" i="1"/>
  <c r="AR587" i="1"/>
  <c r="AN587" i="1"/>
  <c r="BP615" i="1"/>
  <c r="BN615" i="1"/>
  <c r="BR615" i="1"/>
  <c r="BT615" i="1"/>
  <c r="AN963" i="1"/>
  <c r="AR963" i="1"/>
  <c r="AP963" i="1"/>
  <c r="AT963" i="1"/>
  <c r="BA994" i="1"/>
  <c r="BE994" i="1"/>
  <c r="BG994" i="1"/>
  <c r="BC994" i="1"/>
  <c r="BN97" i="1"/>
  <c r="BT97" i="1"/>
  <c r="BT170" i="1"/>
  <c r="BR170" i="1"/>
  <c r="BN170" i="1"/>
  <c r="BP170" i="1"/>
  <c r="AR703" i="1"/>
  <c r="AP703" i="1"/>
  <c r="AN703" i="1"/>
  <c r="AT703" i="1"/>
  <c r="AT244" i="1"/>
  <c r="AP244" i="1"/>
  <c r="BT581" i="1"/>
  <c r="BP581" i="1"/>
  <c r="BN581" i="1"/>
  <c r="BV581" i="1" s="1"/>
  <c r="AN916" i="1"/>
  <c r="AP916" i="1"/>
  <c r="AP827" i="1"/>
  <c r="AT827" i="1"/>
  <c r="AN827" i="1"/>
  <c r="AR827" i="1"/>
  <c r="BR130" i="1"/>
  <c r="BP130" i="1"/>
  <c r="BT130" i="1"/>
  <c r="BN130" i="1"/>
  <c r="BN942" i="1"/>
  <c r="BP942" i="1"/>
  <c r="BR942" i="1"/>
  <c r="BC833" i="1"/>
  <c r="BG833" i="1"/>
  <c r="BE833" i="1"/>
  <c r="BA833" i="1"/>
  <c r="BR525" i="1"/>
  <c r="BN525" i="1"/>
  <c r="BP525" i="1"/>
  <c r="BT525" i="1"/>
  <c r="BT586" i="1"/>
  <c r="BN586" i="1"/>
  <c r="BP586" i="1"/>
  <c r="BR586" i="1"/>
  <c r="BA628" i="1"/>
  <c r="BC628" i="1"/>
  <c r="BG628" i="1"/>
  <c r="BE628" i="1"/>
  <c r="AP820" i="1"/>
  <c r="AN820" i="1"/>
  <c r="AR820" i="1"/>
  <c r="BR563" i="1"/>
  <c r="BG558" i="1"/>
  <c r="BN869" i="1"/>
  <c r="BC308" i="1"/>
  <c r="AR987" i="1"/>
  <c r="BN298" i="1"/>
  <c r="BP835" i="1"/>
  <c r="BC365" i="1"/>
  <c r="BE161" i="1"/>
  <c r="BG517" i="1"/>
  <c r="BR147" i="1"/>
  <c r="BE501" i="1"/>
  <c r="BP427" i="1"/>
  <c r="BE258" i="1"/>
  <c r="BC258" i="1"/>
  <c r="BA258" i="1"/>
  <c r="BG258" i="1"/>
  <c r="BR256" i="1"/>
  <c r="BT256" i="1"/>
  <c r="BN256" i="1"/>
  <c r="BV256" i="1" s="1"/>
  <c r="BR364" i="1"/>
  <c r="BN364" i="1"/>
  <c r="BN884" i="1"/>
  <c r="BT884" i="1"/>
  <c r="AR948" i="1"/>
  <c r="AT948" i="1"/>
  <c r="BC740" i="1"/>
  <c r="BA740" i="1"/>
  <c r="BG740" i="1"/>
  <c r="BG611" i="1"/>
  <c r="BA611" i="1"/>
  <c r="BA389" i="1"/>
  <c r="BC389" i="1"/>
  <c r="BR463" i="1"/>
  <c r="BP463" i="1"/>
  <c r="BP368" i="1"/>
  <c r="BR368" i="1"/>
  <c r="AT319" i="1"/>
  <c r="AN319" i="1"/>
  <c r="AR319" i="1"/>
  <c r="AP319" i="1"/>
  <c r="BT894" i="1"/>
  <c r="BR894" i="1"/>
  <c r="BN894" i="1"/>
  <c r="BR40" i="1"/>
  <c r="BP165" i="1"/>
  <c r="BA942" i="1"/>
  <c r="AT940" i="1"/>
  <c r="AV940" i="1" s="1"/>
  <c r="BA41" i="1"/>
  <c r="BN660" i="1"/>
  <c r="BN865" i="1"/>
  <c r="AT903" i="1"/>
  <c r="AV903" i="1" s="1"/>
  <c r="BG296" i="1"/>
  <c r="BC652" i="1"/>
  <c r="AR931" i="1"/>
  <c r="AP560" i="1"/>
  <c r="BR231" i="1"/>
  <c r="BE785" i="1"/>
  <c r="BA118" i="1"/>
  <c r="BG23" i="1"/>
  <c r="BI23" i="1" s="1"/>
  <c r="BR956" i="1"/>
  <c r="BR987" i="1"/>
  <c r="BG171" i="1"/>
  <c r="BE723" i="1"/>
  <c r="BI723" i="1" s="1"/>
  <c r="BR279" i="1"/>
  <c r="BE897" i="1"/>
  <c r="BP941" i="1"/>
  <c r="AN559" i="1"/>
  <c r="AV559" i="1" s="1"/>
  <c r="BC383" i="1"/>
  <c r="BA814" i="1"/>
  <c r="AN641" i="1"/>
  <c r="AN904" i="1"/>
  <c r="AV904" i="1" s="1"/>
  <c r="BT343" i="1"/>
  <c r="BN49" i="1"/>
  <c r="BA173" i="1"/>
  <c r="BC68" i="1"/>
  <c r="BE747" i="1"/>
  <c r="BT1001" i="1"/>
  <c r="BE611" i="1"/>
  <c r="AN948" i="1"/>
  <c r="BR884" i="1"/>
  <c r="BT364" i="1"/>
  <c r="BP894" i="1"/>
  <c r="BA212" i="1"/>
  <c r="BT745" i="1"/>
  <c r="AN652" i="1"/>
  <c r="BT446" i="1"/>
  <c r="BR538" i="1"/>
  <c r="AN679" i="1"/>
  <c r="BT427" i="1"/>
  <c r="BR691" i="1"/>
  <c r="BN743" i="1"/>
  <c r="BP552" i="1"/>
  <c r="BV552" i="1" s="1"/>
  <c r="BP313" i="1"/>
  <c r="BC611" i="1"/>
  <c r="BN96" i="1"/>
  <c r="BV96" i="1" s="1"/>
  <c r="AP948" i="1"/>
  <c r="BP884" i="1"/>
  <c r="BP364" i="1"/>
  <c r="BE569" i="1"/>
  <c r="AT80" i="1"/>
  <c r="BT840" i="1"/>
  <c r="BP97" i="1"/>
  <c r="AT820" i="1"/>
  <c r="AV820" i="1" s="1"/>
  <c r="BR37" i="1"/>
  <c r="BP37" i="1"/>
  <c r="BN37" i="1"/>
  <c r="AR276" i="1"/>
  <c r="AN276" i="1"/>
  <c r="BC13" i="1"/>
  <c r="BA13" i="1"/>
  <c r="AR833" i="1"/>
  <c r="AP833" i="1"/>
  <c r="BP156" i="1"/>
  <c r="BN156" i="1"/>
  <c r="BP475" i="1"/>
  <c r="BR475" i="1"/>
  <c r="BT475" i="1"/>
  <c r="BT681" i="1"/>
  <c r="BR681" i="1"/>
  <c r="BG848" i="1"/>
  <c r="BE848" i="1"/>
  <c r="BG411" i="1"/>
  <c r="BA411" i="1"/>
  <c r="BE376" i="1"/>
  <c r="BC376" i="1"/>
  <c r="BR1005" i="1"/>
  <c r="BP1005" i="1"/>
  <c r="BE749" i="1"/>
  <c r="BG749" i="1"/>
  <c r="BA749" i="1"/>
  <c r="BR890" i="1"/>
  <c r="BT890" i="1"/>
  <c r="BP890" i="1"/>
  <c r="AN404" i="1"/>
  <c r="AT404" i="1"/>
  <c r="AR404" i="1"/>
  <c r="AP675" i="1"/>
  <c r="AR675" i="1"/>
  <c r="AT675" i="1"/>
  <c r="AV675" i="1" s="1"/>
  <c r="BG698" i="1"/>
  <c r="BE698" i="1"/>
  <c r="BC698" i="1"/>
  <c r="BA698" i="1"/>
  <c r="BN677" i="1"/>
  <c r="BR677" i="1"/>
  <c r="BT677" i="1"/>
  <c r="BP677" i="1"/>
  <c r="BA928" i="1"/>
  <c r="BE928" i="1"/>
  <c r="BG928" i="1"/>
  <c r="AN667" i="1"/>
  <c r="AR667" i="1"/>
  <c r="AT667" i="1"/>
  <c r="BT801" i="1"/>
  <c r="BN801" i="1"/>
  <c r="BV801" i="1" s="1"/>
  <c r="AR551" i="1"/>
  <c r="AP551" i="1"/>
  <c r="AN551" i="1"/>
  <c r="AR684" i="1"/>
  <c r="AN684" i="1"/>
  <c r="BP997" i="1"/>
  <c r="BN997" i="1"/>
  <c r="BR997" i="1"/>
  <c r="BV997" i="1" s="1"/>
  <c r="BR98" i="1"/>
  <c r="BP98" i="1"/>
  <c r="BR848" i="1"/>
  <c r="BT848" i="1"/>
  <c r="BN673" i="1"/>
  <c r="BR673" i="1"/>
  <c r="BT673" i="1"/>
  <c r="BR113" i="1"/>
  <c r="BP113" i="1"/>
  <c r="BT113" i="1"/>
  <c r="BG842" i="1"/>
  <c r="BE842" i="1"/>
  <c r="BC842" i="1"/>
  <c r="BA842" i="1"/>
  <c r="AR459" i="1"/>
  <c r="AN459" i="1"/>
  <c r="AP459" i="1"/>
  <c r="BP191" i="1"/>
  <c r="BN191" i="1"/>
  <c r="BT191" i="1"/>
  <c r="BR191" i="1"/>
  <c r="BG125" i="1"/>
  <c r="BE125" i="1"/>
  <c r="BA125" i="1"/>
  <c r="BI125" i="1" s="1"/>
  <c r="BE229" i="1"/>
  <c r="BG229" i="1"/>
  <c r="BC229" i="1"/>
  <c r="BT413" i="1"/>
  <c r="BR413" i="1"/>
  <c r="BN413" i="1"/>
  <c r="BR56" i="1"/>
  <c r="BP56" i="1"/>
  <c r="BN56" i="1"/>
  <c r="BT56" i="1"/>
  <c r="BE973" i="1"/>
  <c r="BA973" i="1"/>
  <c r="AN190" i="1"/>
  <c r="AT190" i="1"/>
  <c r="AR190" i="1"/>
  <c r="AP190" i="1"/>
  <c r="BA30" i="1"/>
  <c r="BC432" i="1"/>
  <c r="BC459" i="1"/>
  <c r="BE395" i="1"/>
  <c r="BI395" i="1" s="1"/>
  <c r="BT75" i="1"/>
  <c r="AR519" i="1"/>
  <c r="AN132" i="1"/>
  <c r="BT314" i="1"/>
  <c r="BP773" i="1"/>
  <c r="BA495" i="1"/>
  <c r="BC868" i="1"/>
  <c r="AT87" i="1"/>
  <c r="AV87" i="1" s="1"/>
  <c r="BP415" i="1"/>
  <c r="BT516" i="1"/>
  <c r="BE124" i="1"/>
  <c r="BC973" i="1"/>
  <c r="BE30" i="1"/>
  <c r="BA967" i="1"/>
  <c r="BG432" i="1"/>
  <c r="BG605" i="1"/>
  <c r="BI605" i="1" s="1"/>
  <c r="BA459" i="1"/>
  <c r="BE856" i="1"/>
  <c r="BC395" i="1"/>
  <c r="BR892" i="1"/>
  <c r="BE644" i="1"/>
  <c r="BN75" i="1"/>
  <c r="BA583" i="1"/>
  <c r="AN519" i="1"/>
  <c r="BE456" i="1"/>
  <c r="AR132" i="1"/>
  <c r="BT480" i="1"/>
  <c r="BR314" i="1"/>
  <c r="BT773" i="1"/>
  <c r="BE90" i="1"/>
  <c r="BG495" i="1"/>
  <c r="BA751" i="1"/>
  <c r="BE868" i="1"/>
  <c r="BA604" i="1"/>
  <c r="AR87" i="1"/>
  <c r="BR891" i="1"/>
  <c r="BV891" i="1" s="1"/>
  <c r="BN415" i="1"/>
  <c r="BT158" i="1"/>
  <c r="AR879" i="1"/>
  <c r="BT326" i="1"/>
  <c r="AT203" i="1"/>
  <c r="BC491" i="1"/>
  <c r="BT410" i="1"/>
  <c r="BR516" i="1"/>
  <c r="BV516" i="1" s="1"/>
  <c r="BA919" i="1"/>
  <c r="BP257" i="1"/>
  <c r="BC124" i="1"/>
  <c r="BC28" i="1"/>
  <c r="BI28" i="1" s="1"/>
  <c r="BN890" i="1"/>
  <c r="AT551" i="1"/>
  <c r="AN483" i="1"/>
  <c r="BT903" i="1"/>
  <c r="BV903" i="1" s="1"/>
  <c r="BR218" i="1"/>
  <c r="BC806" i="1"/>
  <c r="AT780" i="1"/>
  <c r="AP724" i="1"/>
  <c r="AP623" i="1"/>
  <c r="BC504" i="1"/>
  <c r="BE504" i="1"/>
  <c r="BC609" i="1"/>
  <c r="BE609" i="1"/>
  <c r="BA609" i="1"/>
  <c r="BT805" i="1"/>
  <c r="BP805" i="1"/>
  <c r="BE592" i="1"/>
  <c r="BG592" i="1"/>
  <c r="BA700" i="1"/>
  <c r="BC700" i="1"/>
  <c r="BG700" i="1"/>
  <c r="BT360" i="1"/>
  <c r="BR360" i="1"/>
  <c r="BN360" i="1"/>
  <c r="BV360" i="1" s="1"/>
  <c r="AP517" i="1"/>
  <c r="AR517" i="1"/>
  <c r="AN517" i="1"/>
  <c r="AT517" i="1"/>
  <c r="AT919" i="1"/>
  <c r="AP919" i="1"/>
  <c r="AN919" i="1"/>
  <c r="BP59" i="1"/>
  <c r="T59" i="80" s="1"/>
  <c r="BR59" i="1"/>
  <c r="BN59" i="1"/>
  <c r="BT59" i="1"/>
  <c r="BE888" i="1"/>
  <c r="BC888" i="1"/>
  <c r="BA888" i="1"/>
  <c r="BG888" i="1"/>
  <c r="BP788" i="1"/>
  <c r="BT788" i="1"/>
  <c r="BN788" i="1"/>
  <c r="BP682" i="1"/>
  <c r="BN682" i="1"/>
  <c r="BR682" i="1"/>
  <c r="BA478" i="1"/>
  <c r="BE478" i="1"/>
  <c r="BG478" i="1"/>
  <c r="BI478" i="1" s="1"/>
  <c r="AN997" i="1"/>
  <c r="AP997" i="1"/>
  <c r="AR997" i="1"/>
  <c r="BA1005" i="1"/>
  <c r="BE1005" i="1"/>
  <c r="BA240" i="1"/>
  <c r="BC240" i="1"/>
  <c r="BC17" i="1"/>
  <c r="BA17" i="1"/>
  <c r="BC934" i="1"/>
  <c r="BA934" i="1"/>
  <c r="BG555" i="1"/>
  <c r="BE555" i="1"/>
  <c r="BN946" i="1"/>
  <c r="BP946" i="1"/>
  <c r="BT946" i="1"/>
  <c r="BA192" i="1"/>
  <c r="BC192" i="1"/>
  <c r="BN60" i="1"/>
  <c r="BT60" i="1"/>
  <c r="BP60" i="1"/>
  <c r="BR60" i="1"/>
  <c r="BE634" i="1"/>
  <c r="BA634" i="1"/>
  <c r="AR378" i="1"/>
  <c r="AN378" i="1"/>
  <c r="BP621" i="1"/>
  <c r="BN621" i="1"/>
  <c r="BR621" i="1"/>
  <c r="BN178" i="1"/>
  <c r="BT178" i="1"/>
  <c r="BP923" i="1"/>
  <c r="BT923" i="1"/>
  <c r="BN923" i="1"/>
  <c r="BC497" i="1"/>
  <c r="BE497" i="1"/>
  <c r="BA497" i="1"/>
  <c r="BA705" i="1"/>
  <c r="BG705" i="1"/>
  <c r="AN730" i="1"/>
  <c r="AT730" i="1"/>
  <c r="BC608" i="1"/>
  <c r="BA608" i="1"/>
  <c r="BE608" i="1"/>
  <c r="BC310" i="1"/>
  <c r="BE310" i="1"/>
  <c r="BG310" i="1"/>
  <c r="BA310" i="1"/>
  <c r="BG786" i="1"/>
  <c r="BC786" i="1"/>
  <c r="BE786" i="1"/>
  <c r="BR448" i="1"/>
  <c r="BT448" i="1"/>
  <c r="BN448" i="1"/>
  <c r="BT846" i="1"/>
  <c r="BP846" i="1"/>
  <c r="BN846" i="1"/>
  <c r="BP845" i="1"/>
  <c r="BT845" i="1"/>
  <c r="AR669" i="1"/>
  <c r="AN669" i="1"/>
  <c r="AP669" i="1"/>
  <c r="BE624" i="1"/>
  <c r="BG624" i="1"/>
  <c r="BC967" i="1"/>
  <c r="BA605" i="1"/>
  <c r="BN892" i="1"/>
  <c r="BC644" i="1"/>
  <c r="BC583" i="1"/>
  <c r="BC456" i="1"/>
  <c r="BN480" i="1"/>
  <c r="BA90" i="1"/>
  <c r="BI90" i="1" s="1"/>
  <c r="BE751" i="1"/>
  <c r="BE604" i="1"/>
  <c r="BT891" i="1"/>
  <c r="BR158" i="1"/>
  <c r="BV158" i="1" s="1"/>
  <c r="AP203" i="1"/>
  <c r="BG491" i="1"/>
  <c r="BN410" i="1"/>
  <c r="BR257" i="1"/>
  <c r="BR311" i="1"/>
  <c r="AP667" i="1"/>
  <c r="BC478" i="1"/>
  <c r="BA786" i="1"/>
  <c r="BG497" i="1"/>
  <c r="BC32" i="1"/>
  <c r="BP785" i="1"/>
  <c r="AR549" i="1"/>
  <c r="BP558" i="1"/>
  <c r="BP561" i="1"/>
  <c r="BN561" i="1"/>
  <c r="BG391" i="1"/>
  <c r="BN498" i="1"/>
  <c r="BT498" i="1"/>
  <c r="BR498" i="1"/>
  <c r="AP959" i="1"/>
  <c r="AN959" i="1"/>
  <c r="BT366" i="1"/>
  <c r="BR366" i="1"/>
  <c r="BN366" i="1"/>
  <c r="BV366" i="1" s="1"/>
  <c r="BG427" i="1"/>
  <c r="BA427" i="1"/>
  <c r="BC427" i="1"/>
  <c r="BC1002" i="1"/>
  <c r="BA1002" i="1"/>
  <c r="BG1002" i="1"/>
  <c r="BE1002" i="1"/>
  <c r="BG641" i="1"/>
  <c r="BC641" i="1"/>
  <c r="BA641" i="1"/>
  <c r="BA190" i="1"/>
  <c r="BC190" i="1"/>
  <c r="BE190" i="1"/>
  <c r="BG190" i="1"/>
  <c r="BA956" i="1"/>
  <c r="BC956" i="1"/>
  <c r="BE956" i="1"/>
  <c r="BG956" i="1"/>
  <c r="BT50" i="1"/>
  <c r="BP50" i="1"/>
  <c r="BR50" i="1"/>
  <c r="BR550" i="1"/>
  <c r="BP550" i="1"/>
  <c r="BT550" i="1"/>
  <c r="BA37" i="1"/>
  <c r="BE37" i="1"/>
  <c r="BC37" i="1"/>
  <c r="BE809" i="1"/>
  <c r="BC809" i="1"/>
  <c r="BA809" i="1"/>
  <c r="BE584" i="1"/>
  <c r="BC584" i="1"/>
  <c r="BP16" i="1"/>
  <c r="BN16" i="1"/>
  <c r="BE630" i="1"/>
  <c r="BC630" i="1"/>
  <c r="BA630" i="1"/>
  <c r="AP584" i="1"/>
  <c r="AN584" i="1"/>
  <c r="AT243" i="1"/>
  <c r="AN243" i="1"/>
  <c r="AR243" i="1"/>
  <c r="AR139" i="1"/>
  <c r="AP139" i="1"/>
  <c r="AV139" i="1" s="1"/>
  <c r="BE29" i="1"/>
  <c r="BG29" i="1"/>
  <c r="BC29" i="1"/>
  <c r="BG379" i="1"/>
  <c r="BA379" i="1"/>
  <c r="BP288" i="1"/>
  <c r="BN288" i="1"/>
  <c r="BR288" i="1"/>
  <c r="BV288" i="1" s="1"/>
  <c r="BP485" i="1"/>
  <c r="BR485" i="1"/>
  <c r="BT485" i="1"/>
  <c r="BA151" i="1"/>
  <c r="BE151" i="1"/>
  <c r="BG151" i="1"/>
  <c r="BP728" i="1"/>
  <c r="BR728" i="1"/>
  <c r="BN728" i="1"/>
  <c r="BT728" i="1"/>
  <c r="BP969" i="1"/>
  <c r="BR969" i="1"/>
  <c r="BN969" i="1"/>
  <c r="BT955" i="1"/>
  <c r="BN955" i="1"/>
  <c r="BR955" i="1"/>
  <c r="BV955" i="1" s="1"/>
  <c r="BN493" i="1"/>
  <c r="BP493" i="1"/>
  <c r="BA856" i="1"/>
  <c r="AT879" i="1"/>
  <c r="AV879" i="1" s="1"/>
  <c r="BP326" i="1"/>
  <c r="BR846" i="1"/>
  <c r="BC919" i="1"/>
  <c r="BT257" i="1"/>
  <c r="BV257" i="1" s="1"/>
  <c r="BT311" i="1"/>
  <c r="BG28" i="1"/>
  <c r="BT493" i="1"/>
  <c r="BN845" i="1"/>
  <c r="BV845" i="1" s="1"/>
  <c r="BC624" i="1"/>
  <c r="BC749" i="1"/>
  <c r="AN675" i="1"/>
  <c r="BN550" i="1"/>
  <c r="BV550" i="1" s="1"/>
  <c r="BG37" i="1"/>
  <c r="BT969" i="1"/>
  <c r="BA229" i="1"/>
  <c r="BG608" i="1"/>
  <c r="BC705" i="1"/>
  <c r="BP498" i="1"/>
  <c r="BC26" i="1"/>
  <c r="BN1005" i="1"/>
  <c r="BT533" i="1"/>
  <c r="AT890" i="1"/>
  <c r="BG809" i="1"/>
  <c r="AN625" i="1"/>
  <c r="BP153" i="1"/>
  <c r="BA396" i="1"/>
  <c r="BP599" i="1"/>
  <c r="BT457" i="1"/>
  <c r="BV457" i="1" s="1"/>
  <c r="BE144" i="1"/>
  <c r="BP696" i="1"/>
  <c r="BT1004" i="1"/>
  <c r="BG784" i="1"/>
  <c r="BI784" i="1" s="1"/>
  <c r="AP693" i="1"/>
  <c r="BE693" i="1"/>
  <c r="BP12" i="1"/>
  <c r="BE581" i="1"/>
  <c r="BI581" i="1" s="1"/>
  <c r="AT558" i="1"/>
  <c r="BA966" i="1"/>
  <c r="BE648" i="1"/>
  <c r="BC870" i="1"/>
  <c r="BI870" i="1" s="1"/>
  <c r="BA300" i="1"/>
  <c r="BG452" i="1"/>
  <c r="BC178" i="1"/>
  <c r="BP419" i="1"/>
  <c r="BP863" i="1"/>
  <c r="AT769" i="1"/>
  <c r="AP329" i="1"/>
  <c r="AT748" i="1"/>
  <c r="AV748" i="1" s="1"/>
  <c r="BG73" i="1"/>
  <c r="BR11" i="1"/>
  <c r="BG678" i="1"/>
  <c r="BG829" i="1"/>
  <c r="BP620" i="1"/>
  <c r="BG580" i="1"/>
  <c r="BA922" i="1"/>
  <c r="AR391" i="1"/>
  <c r="BG529" i="1"/>
  <c r="BN985" i="1"/>
  <c r="BN908" i="1"/>
  <c r="BE441" i="1"/>
  <c r="BN507" i="1"/>
  <c r="BP507" i="1"/>
  <c r="BT466" i="1"/>
  <c r="BR466" i="1"/>
  <c r="BP466" i="1"/>
  <c r="BE331" i="1"/>
  <c r="BC331" i="1"/>
  <c r="BN82" i="1"/>
  <c r="BR82" i="1"/>
  <c r="BC691" i="1"/>
  <c r="BG691" i="1"/>
  <c r="BT683" i="1"/>
  <c r="BP683" i="1"/>
  <c r="AN880" i="1"/>
  <c r="AR880" i="1"/>
  <c r="AP1005" i="1"/>
  <c r="AT1005" i="1"/>
  <c r="BA626" i="1"/>
  <c r="BC626" i="1"/>
  <c r="AT880" i="1"/>
  <c r="BA331" i="1"/>
  <c r="BG963" i="1"/>
  <c r="BA335" i="1"/>
  <c r="BA419" i="1"/>
  <c r="BG389" i="1"/>
  <c r="BE389" i="1"/>
  <c r="BN463" i="1"/>
  <c r="BT463" i="1"/>
  <c r="BV463" i="1" s="1"/>
  <c r="BC871" i="1"/>
  <c r="BG871" i="1"/>
  <c r="BE871" i="1"/>
  <c r="BA871" i="1"/>
  <c r="BE792" i="1"/>
  <c r="BG792" i="1"/>
  <c r="BA792" i="1"/>
  <c r="BP776" i="1"/>
  <c r="BN776" i="1"/>
  <c r="BT776" i="1"/>
  <c r="BA290" i="1"/>
  <c r="BE290" i="1"/>
  <c r="BG290" i="1"/>
  <c r="AT279" i="1"/>
  <c r="AR279" i="1"/>
  <c r="AP279" i="1"/>
  <c r="BT368" i="1"/>
  <c r="BN368" i="1"/>
  <c r="BG227" i="1"/>
  <c r="BC227" i="1"/>
  <c r="BA850" i="1"/>
  <c r="BG850" i="1"/>
  <c r="BC850" i="1"/>
  <c r="BC228" i="1"/>
  <c r="BG228" i="1"/>
  <c r="BP394" i="1"/>
  <c r="BT394" i="1"/>
  <c r="AT436" i="1"/>
  <c r="AP436" i="1"/>
  <c r="BG918" i="1"/>
  <c r="BC918" i="1"/>
  <c r="BE57" i="1"/>
  <c r="BG57" i="1"/>
  <c r="BA57" i="1"/>
  <c r="BC57" i="1"/>
  <c r="BR273" i="1"/>
  <c r="BE411" i="1"/>
  <c r="BC411" i="1"/>
  <c r="BE717" i="1"/>
  <c r="BA717" i="1"/>
  <c r="BC717" i="1"/>
  <c r="AR520" i="1"/>
  <c r="AP520" i="1"/>
  <c r="AN520" i="1"/>
  <c r="BG51" i="1"/>
  <c r="BE51" i="1"/>
  <c r="AN468" i="1"/>
  <c r="AR468" i="1"/>
  <c r="AR209" i="1"/>
  <c r="AN209" i="1"/>
  <c r="AP209" i="1"/>
  <c r="AT209" i="1"/>
  <c r="AP625" i="1"/>
  <c r="AR625" i="1"/>
  <c r="BR533" i="1"/>
  <c r="BP533" i="1"/>
  <c r="BN763" i="1"/>
  <c r="BP763" i="1"/>
  <c r="BP585" i="1"/>
  <c r="BN585" i="1"/>
  <c r="BT585" i="1"/>
  <c r="BT873" i="1"/>
  <c r="BR873" i="1"/>
  <c r="BP873" i="1"/>
  <c r="BN873" i="1"/>
  <c r="BA87" i="1"/>
  <c r="BE87" i="1"/>
  <c r="BC87" i="1"/>
  <c r="BP822" i="1"/>
  <c r="BT822" i="1"/>
  <c r="BR822" i="1"/>
  <c r="BE882" i="1"/>
  <c r="BA882" i="1"/>
  <c r="AN47" i="1"/>
  <c r="AT47" i="1"/>
  <c r="BE613" i="1"/>
  <c r="BA613" i="1"/>
  <c r="BC613" i="1"/>
  <c r="BN785" i="1"/>
  <c r="BR785" i="1"/>
  <c r="BV785" i="1" s="1"/>
  <c r="BR805" i="1"/>
  <c r="BN805" i="1"/>
  <c r="AN231" i="1"/>
  <c r="AP231" i="1"/>
  <c r="AR231" i="1"/>
  <c r="BP903" i="1"/>
  <c r="BN903" i="1"/>
  <c r="BN230" i="1"/>
  <c r="BT230" i="1"/>
  <c r="BR230" i="1"/>
  <c r="BG213" i="1"/>
  <c r="BE213" i="1"/>
  <c r="AT66" i="1"/>
  <c r="AP66" i="1"/>
  <c r="AP235" i="1"/>
  <c r="AN235" i="1"/>
  <c r="AT235" i="1"/>
  <c r="BT549" i="1"/>
  <c r="BR549" i="1"/>
  <c r="BC800" i="1"/>
  <c r="BE800" i="1"/>
  <c r="BP801" i="1"/>
  <c r="BR801" i="1"/>
  <c r="BA7" i="1"/>
  <c r="BG7" i="1"/>
  <c r="BC7" i="1"/>
  <c r="BP171" i="1"/>
  <c r="BN171" i="1"/>
  <c r="BV171" i="1" s="1"/>
  <c r="AR890" i="1"/>
  <c r="AP890" i="1"/>
  <c r="BA584" i="1"/>
  <c r="BG584" i="1"/>
  <c r="BI584" i="1" s="1"/>
  <c r="BR777" i="1"/>
  <c r="BP777" i="1"/>
  <c r="BT777" i="1"/>
  <c r="BR57" i="1"/>
  <c r="BT57" i="1"/>
  <c r="BE852" i="1"/>
  <c r="BC852" i="1"/>
  <c r="BR255" i="1"/>
  <c r="BT255" i="1"/>
  <c r="BP255" i="1"/>
  <c r="BN255" i="1"/>
  <c r="AT584" i="1"/>
  <c r="AR584" i="1"/>
  <c r="BG707" i="1"/>
  <c r="BC707" i="1"/>
  <c r="BN42" i="1"/>
  <c r="BR42" i="1"/>
  <c r="BT42" i="1"/>
  <c r="BR876" i="1"/>
  <c r="BT876" i="1"/>
  <c r="BP876" i="1"/>
  <c r="AP158" i="1"/>
  <c r="AT158" i="1"/>
  <c r="AN158" i="1"/>
  <c r="BE32" i="1"/>
  <c r="P52" i="80" s="1"/>
  <c r="BG32" i="1"/>
  <c r="AT483" i="1"/>
  <c r="AR483" i="1"/>
  <c r="AV483" i="1" s="1"/>
  <c r="BG934" i="1"/>
  <c r="BE934" i="1"/>
  <c r="BT98" i="1"/>
  <c r="BN98" i="1"/>
  <c r="AN975" i="1"/>
  <c r="AT975" i="1"/>
  <c r="AR975" i="1"/>
  <c r="BA555" i="1"/>
  <c r="BC555" i="1"/>
  <c r="BG192" i="1"/>
  <c r="BE192" i="1"/>
  <c r="BE184" i="1"/>
  <c r="BC184" i="1"/>
  <c r="BG184" i="1"/>
  <c r="BC634" i="1"/>
  <c r="BG634" i="1"/>
  <c r="AT724" i="1"/>
  <c r="AR724" i="1"/>
  <c r="BG881" i="1"/>
  <c r="AR235" i="1"/>
  <c r="BA592" i="1"/>
  <c r="BA800" i="1"/>
  <c r="AR47" i="1"/>
  <c r="BC213" i="1"/>
  <c r="BI213" i="1" s="1"/>
  <c r="AN66" i="1"/>
  <c r="BG630" i="1"/>
  <c r="BN57" i="1"/>
  <c r="AT520" i="1"/>
  <c r="AT468" i="1"/>
  <c r="BG882" i="1"/>
  <c r="BP549" i="1"/>
  <c r="BT763" i="1"/>
  <c r="BG609" i="1"/>
  <c r="BR171" i="1"/>
  <c r="BC259" i="1"/>
  <c r="BT1005" i="1"/>
  <c r="BG87" i="1"/>
  <c r="BP476" i="1"/>
  <c r="BT476" i="1"/>
  <c r="AT24" i="1"/>
  <c r="L40" i="51" s="1"/>
  <c r="AP24" i="1"/>
  <c r="J40" i="51" s="1"/>
  <c r="AT41" i="1"/>
  <c r="AP41" i="1"/>
  <c r="BT82" i="1"/>
  <c r="BE638" i="1"/>
  <c r="BG638" i="1"/>
  <c r="BT379" i="1"/>
  <c r="BP379" i="1"/>
  <c r="BE71" i="1"/>
  <c r="BT384" i="1"/>
  <c r="BC116" i="1"/>
  <c r="BA116" i="1"/>
  <c r="BA696" i="1"/>
  <c r="BG696" i="1"/>
  <c r="AN768" i="1"/>
  <c r="AR768" i="1"/>
  <c r="BT924" i="1"/>
  <c r="BR924" i="1"/>
  <c r="BN868" i="1"/>
  <c r="BT868" i="1"/>
  <c r="BV868" i="1" s="1"/>
  <c r="BG570" i="1"/>
  <c r="BC570" i="1"/>
  <c r="BC407" i="1"/>
  <c r="BE407" i="1"/>
  <c r="AR33" i="1"/>
  <c r="K42" i="51" s="1"/>
  <c r="BA642" i="1"/>
  <c r="BT819" i="1"/>
  <c r="BT811" i="1"/>
  <c r="BA86" i="1"/>
  <c r="BR699" i="1"/>
  <c r="BP420" i="1"/>
  <c r="AT581" i="1"/>
  <c r="AV581" i="1" s="1"/>
  <c r="BA761" i="1"/>
  <c r="BA182" i="1"/>
  <c r="AP763" i="1"/>
  <c r="BT111" i="1"/>
  <c r="BG823" i="1"/>
  <c r="BC669" i="1"/>
  <c r="AR651" i="1"/>
  <c r="BR193" i="1"/>
  <c r="BP193" i="1"/>
  <c r="AR571" i="1"/>
  <c r="BC105" i="1"/>
  <c r="BN606" i="1"/>
  <c r="BA11" i="1"/>
  <c r="BG11" i="1"/>
  <c r="AN41" i="1"/>
  <c r="AR923" i="1"/>
  <c r="AV923" i="1" s="1"/>
  <c r="BP924" i="1"/>
  <c r="BC58" i="1"/>
  <c r="BN124" i="1"/>
  <c r="BE858" i="1"/>
  <c r="BG729" i="1"/>
  <c r="BA729" i="1"/>
  <c r="BR444" i="1"/>
  <c r="BT444" i="1"/>
  <c r="BP444" i="1"/>
  <c r="BC638" i="1"/>
  <c r="BA638" i="1"/>
  <c r="AN973" i="1"/>
  <c r="AP973" i="1"/>
  <c r="BN83" i="1"/>
  <c r="BP83" i="1"/>
  <c r="BT83" i="1"/>
  <c r="BV83" i="1" s="1"/>
  <c r="BG294" i="1"/>
  <c r="BC294" i="1"/>
  <c r="BE294" i="1"/>
  <c r="BA294" i="1"/>
  <c r="BP384" i="1"/>
  <c r="BR384" i="1"/>
  <c r="BC236" i="1"/>
  <c r="BG236" i="1"/>
  <c r="BA236" i="1"/>
  <c r="BE236" i="1"/>
  <c r="BP841" i="1"/>
  <c r="BR841" i="1"/>
  <c r="BN841" i="1"/>
  <c r="BR264" i="1"/>
  <c r="BT264" i="1"/>
  <c r="BN264" i="1"/>
  <c r="BP264" i="1"/>
  <c r="BA533" i="1"/>
  <c r="BE533" i="1"/>
  <c r="BG533" i="1"/>
  <c r="BC533" i="1"/>
  <c r="AP298" i="1"/>
  <c r="AR298" i="1"/>
  <c r="AN298" i="1"/>
  <c r="AT298" i="1"/>
  <c r="BR868" i="1"/>
  <c r="BP868" i="1"/>
  <c r="AP322" i="1"/>
  <c r="AR322" i="1"/>
  <c r="BA775" i="1"/>
  <c r="BG775" i="1"/>
  <c r="BC775" i="1"/>
  <c r="BE775" i="1"/>
  <c r="BA18" i="1"/>
  <c r="BG18" i="1"/>
  <c r="BE18" i="1"/>
  <c r="BC18" i="1"/>
  <c r="AN19" i="1"/>
  <c r="AP19" i="1"/>
  <c r="AT19" i="1"/>
  <c r="AV19" i="1" s="1"/>
  <c r="BE570" i="1"/>
  <c r="BI570" i="1" s="1"/>
  <c r="BA570" i="1"/>
  <c r="BE277" i="1"/>
  <c r="BG277" i="1"/>
  <c r="BC277" i="1"/>
  <c r="BA277" i="1"/>
  <c r="BC181" i="1"/>
  <c r="BE181" i="1"/>
  <c r="BC440" i="1"/>
  <c r="BG440" i="1"/>
  <c r="BE440" i="1"/>
  <c r="BC71" i="1"/>
  <c r="BG71" i="1"/>
  <c r="BA97" i="1"/>
  <c r="BE97" i="1"/>
  <c r="BG97" i="1"/>
  <c r="BC97" i="1"/>
  <c r="BG756" i="1"/>
  <c r="BC756" i="1"/>
  <c r="BE756" i="1"/>
  <c r="BI756" i="1" s="1"/>
  <c r="BR916" i="1"/>
  <c r="BP916" i="1"/>
  <c r="BN916" i="1"/>
  <c r="BG633" i="1"/>
  <c r="BA633" i="1"/>
  <c r="BC633" i="1"/>
  <c r="BG392" i="1"/>
  <c r="BE392" i="1"/>
  <c r="BC392" i="1"/>
  <c r="BA392" i="1"/>
  <c r="BP944" i="1"/>
  <c r="BT944" i="1"/>
  <c r="BN944" i="1"/>
  <c r="BG488" i="1"/>
  <c r="BA488" i="1"/>
  <c r="BC488" i="1"/>
  <c r="AT382" i="1"/>
  <c r="AP382" i="1"/>
  <c r="AN382" i="1"/>
  <c r="BE676" i="1"/>
  <c r="BG676" i="1"/>
  <c r="BA676" i="1"/>
  <c r="BR121" i="1"/>
  <c r="BN121" i="1"/>
  <c r="BP571" i="1"/>
  <c r="BT571" i="1"/>
  <c r="BN571" i="1"/>
  <c r="BG340" i="1"/>
  <c r="BE340" i="1"/>
  <c r="BA340" i="1"/>
  <c r="BC340" i="1"/>
  <c r="AR490" i="1"/>
  <c r="AT490" i="1"/>
  <c r="BN691" i="1"/>
  <c r="BT691" i="1"/>
  <c r="BA16" i="1"/>
  <c r="BG16" i="1"/>
  <c r="BE16" i="1"/>
  <c r="AP663" i="1"/>
  <c r="AR663" i="1"/>
  <c r="BP596" i="1"/>
  <c r="BN596" i="1"/>
  <c r="BT596" i="1"/>
  <c r="BC645" i="1"/>
  <c r="BG645" i="1"/>
  <c r="BP746" i="1"/>
  <c r="BN746" i="1"/>
  <c r="BR746" i="1"/>
  <c r="BV746" i="1" s="1"/>
  <c r="BA354" i="1"/>
  <c r="BE354" i="1"/>
  <c r="BC354" i="1"/>
  <c r="BE859" i="1"/>
  <c r="BG859" i="1"/>
  <c r="BA859" i="1"/>
  <c r="BT332" i="1"/>
  <c r="BP332" i="1"/>
  <c r="BN332" i="1"/>
  <c r="BG196" i="1"/>
  <c r="BE196" i="1"/>
  <c r="BG772" i="1"/>
  <c r="BA772" i="1"/>
  <c r="BE772" i="1"/>
  <c r="BT714" i="1"/>
  <c r="BR714" i="1"/>
  <c r="AP62" i="1"/>
  <c r="AN62" i="1"/>
  <c r="AT62" i="1"/>
  <c r="AR62" i="1"/>
  <c r="BG123" i="1"/>
  <c r="BE123" i="1"/>
  <c r="BA123" i="1"/>
  <c r="AR159" i="1"/>
  <c r="AP159" i="1"/>
  <c r="AT159" i="1"/>
  <c r="BC828" i="1"/>
  <c r="BG828" i="1"/>
  <c r="BN359" i="1"/>
  <c r="BR359" i="1"/>
  <c r="BN899" i="1"/>
  <c r="BT899" i="1"/>
  <c r="BC83" i="1"/>
  <c r="BA83" i="1"/>
  <c r="BG83" i="1"/>
  <c r="BP667" i="1"/>
  <c r="BN667" i="1"/>
  <c r="AT916" i="1"/>
  <c r="AR916" i="1"/>
  <c r="BT967" i="1"/>
  <c r="BP967" i="1"/>
  <c r="BR967" i="1"/>
  <c r="BN967" i="1"/>
  <c r="BG297" i="1"/>
  <c r="BE297" i="1"/>
  <c r="BC297" i="1"/>
  <c r="BC741" i="1"/>
  <c r="BA741" i="1"/>
  <c r="BI741" i="1" s="1"/>
  <c r="BG323" i="1"/>
  <c r="BE323" i="1"/>
  <c r="BG449" i="1"/>
  <c r="BE449" i="1"/>
  <c r="BI449" i="1" s="1"/>
  <c r="AT22" i="1"/>
  <c r="AR22" i="1"/>
  <c r="BP292" i="1"/>
  <c r="BR292" i="1"/>
  <c r="BV292" i="1" s="1"/>
  <c r="AT474" i="1"/>
  <c r="AP474" i="1"/>
  <c r="AN474" i="1"/>
  <c r="AR474" i="1"/>
  <c r="BC565" i="1"/>
  <c r="BE565" i="1"/>
  <c r="BC573" i="1"/>
  <c r="BG573" i="1"/>
  <c r="AP524" i="1"/>
  <c r="AN524" i="1"/>
  <c r="AR539" i="1"/>
  <c r="AN539" i="1"/>
  <c r="AT539" i="1"/>
  <c r="BP512" i="1"/>
  <c r="BN512" i="1"/>
  <c r="BT512" i="1"/>
  <c r="BV512" i="1" s="1"/>
  <c r="BE42" i="1"/>
  <c r="BC42" i="1"/>
  <c r="BA42" i="1"/>
  <c r="BP354" i="1"/>
  <c r="BR354" i="1"/>
  <c r="BT354" i="1"/>
  <c r="BR786" i="1"/>
  <c r="BN786" i="1"/>
  <c r="BT786" i="1"/>
  <c r="BP786" i="1"/>
  <c r="BC927" i="1"/>
  <c r="BA927" i="1"/>
  <c r="BE927" i="1"/>
  <c r="BG927" i="1"/>
  <c r="AR39" i="1"/>
  <c r="AP39" i="1"/>
  <c r="BR423" i="1"/>
  <c r="BP423" i="1"/>
  <c r="BR401" i="1"/>
  <c r="BN401" i="1"/>
  <c r="BV401" i="1" s="1"/>
  <c r="BR97" i="1"/>
  <c r="BV97" i="1" s="1"/>
  <c r="AR43" i="1"/>
  <c r="BN441" i="1"/>
  <c r="BR855" i="1"/>
  <c r="BN226" i="1"/>
  <c r="AR730" i="1"/>
  <c r="AT459" i="1"/>
  <c r="BE379" i="1"/>
  <c r="BE705" i="1"/>
  <c r="BA29" i="1"/>
  <c r="BN113" i="1"/>
  <c r="BR923" i="1"/>
  <c r="BP673" i="1"/>
  <c r="BR178" i="1"/>
  <c r="AT139" i="1"/>
  <c r="AP378" i="1"/>
  <c r="AN39" i="1"/>
  <c r="BR83" i="1"/>
  <c r="AR973" i="1"/>
  <c r="BT841" i="1"/>
  <c r="BE828" i="1"/>
  <c r="BP401" i="1"/>
  <c r="BE741" i="1"/>
  <c r="BG354" i="1"/>
  <c r="BR332" i="1"/>
  <c r="BT401" i="1"/>
  <c r="AP943" i="1"/>
  <c r="BE633" i="1"/>
  <c r="BE729" i="1"/>
  <c r="AT322" i="1"/>
  <c r="BC16" i="1"/>
  <c r="BE488" i="1"/>
  <c r="BR571" i="1"/>
  <c r="AN22" i="1"/>
  <c r="BT359" i="1"/>
  <c r="BA573" i="1"/>
  <c r="BI573" i="1" s="1"/>
  <c r="AR524" i="1"/>
  <c r="BP7" i="1"/>
  <c r="BC123" i="1"/>
  <c r="BA181" i="1"/>
  <c r="BI181" i="1" s="1"/>
  <c r="BE958" i="1"/>
  <c r="BC449" i="1"/>
  <c r="BT746" i="1"/>
  <c r="BP359" i="1"/>
  <c r="BP899" i="1"/>
  <c r="BE113" i="1"/>
  <c r="BG565" i="1"/>
  <c r="BE845" i="1"/>
  <c r="BG845" i="1"/>
  <c r="BC845" i="1"/>
  <c r="BR10" i="1"/>
  <c r="BN10" i="1"/>
  <c r="BP10" i="1"/>
  <c r="AR635" i="1"/>
  <c r="AT635" i="1"/>
  <c r="BG730" i="1"/>
  <c r="BC730" i="1"/>
  <c r="BA730" i="1"/>
  <c r="AR772" i="1"/>
  <c r="AT772" i="1"/>
  <c r="BE708" i="1"/>
  <c r="BG708" i="1"/>
  <c r="BA708" i="1"/>
  <c r="BE367" i="1"/>
  <c r="BA367" i="1"/>
  <c r="AP618" i="1"/>
  <c r="AR618" i="1"/>
  <c r="AT618" i="1"/>
  <c r="BN950" i="1"/>
  <c r="BP950" i="1"/>
  <c r="BR635" i="1"/>
  <c r="BN635" i="1"/>
  <c r="BP635" i="1"/>
  <c r="AN1005" i="1"/>
  <c r="AR1005" i="1"/>
  <c r="AT501" i="1"/>
  <c r="AN501" i="1"/>
  <c r="BE626" i="1"/>
  <c r="BG626" i="1"/>
  <c r="BC31" i="1"/>
  <c r="BA31" i="1"/>
  <c r="BE31" i="1"/>
  <c r="BA441" i="1"/>
  <c r="BC441" i="1"/>
  <c r="BI441" i="1" s="1"/>
  <c r="AE5" i="1"/>
  <c r="AN635" i="1"/>
  <c r="BG367" i="1"/>
  <c r="BT10" i="1"/>
  <c r="BR683" i="1"/>
  <c r="BE730" i="1"/>
  <c r="BC708" i="1"/>
  <c r="AP27" i="1"/>
  <c r="AT27" i="1"/>
  <c r="AR27" i="1"/>
  <c r="BC963" i="1"/>
  <c r="BA963" i="1"/>
  <c r="BI963" i="1" s="1"/>
  <c r="BE691" i="1"/>
  <c r="BA691" i="1"/>
  <c r="AN772" i="1"/>
  <c r="AP772" i="1"/>
  <c r="AP815" i="1"/>
  <c r="AN815" i="1"/>
  <c r="BR950" i="1"/>
  <c r="BT950" i="1"/>
  <c r="BE335" i="1"/>
  <c r="BG335" i="1"/>
  <c r="AC5" i="1"/>
  <c r="AG5" i="1"/>
  <c r="AT855" i="1"/>
  <c r="AN855" i="1"/>
  <c r="BA790" i="1"/>
  <c r="BE790" i="1"/>
  <c r="BC790" i="1"/>
  <c r="BG790" i="1"/>
  <c r="AP7" i="1"/>
  <c r="AT7" i="1"/>
  <c r="AN7" i="1"/>
  <c r="AR7" i="1"/>
  <c r="BP804" i="1"/>
  <c r="BR804" i="1"/>
  <c r="BV804" i="1" s="1"/>
  <c r="BC950" i="1"/>
  <c r="BG950" i="1"/>
  <c r="BA950" i="1"/>
  <c r="BA516" i="1"/>
  <c r="BG516" i="1"/>
  <c r="BE722" i="1"/>
  <c r="BC722" i="1"/>
  <c r="BN294" i="1"/>
  <c r="BR294" i="1"/>
  <c r="BN346" i="1"/>
  <c r="BP346" i="1"/>
  <c r="BR346" i="1"/>
  <c r="BV346" i="1" s="1"/>
  <c r="AT475" i="1"/>
  <c r="AR475" i="1"/>
  <c r="BN161" i="1"/>
  <c r="BP161" i="1"/>
  <c r="BV161" i="1" s="1"/>
  <c r="BC9" i="1"/>
  <c r="BG9" i="1"/>
  <c r="AN599" i="1"/>
  <c r="AT599" i="1"/>
  <c r="AV599" i="1" s="1"/>
  <c r="AR275" i="1"/>
  <c r="AN275" i="1"/>
  <c r="AP275" i="1"/>
  <c r="BN330" i="1"/>
  <c r="BP330" i="1"/>
  <c r="BE548" i="1"/>
  <c r="BG548" i="1"/>
  <c r="BC548" i="1"/>
  <c r="BI548" i="1" s="1"/>
  <c r="BE288" i="1"/>
  <c r="BG288" i="1"/>
  <c r="BE471" i="1"/>
  <c r="BP971" i="1"/>
  <c r="BR971" i="1"/>
  <c r="BT971" i="1"/>
  <c r="BA227" i="1"/>
  <c r="BE227" i="1"/>
  <c r="BN818" i="1"/>
  <c r="BP818" i="1"/>
  <c r="BA334" i="1"/>
  <c r="BC334" i="1"/>
  <c r="BN261" i="1"/>
  <c r="BR261" i="1"/>
  <c r="BT109" i="1"/>
  <c r="BN109" i="1"/>
  <c r="BP109" i="1"/>
  <c r="BT974" i="1"/>
  <c r="BP974" i="1"/>
  <c r="AP205" i="1"/>
  <c r="AT205" i="1"/>
  <c r="BN107" i="1"/>
  <c r="BT107" i="1"/>
  <c r="BR107" i="1"/>
  <c r="AN237" i="1"/>
  <c r="AR237" i="1"/>
  <c r="AT237" i="1"/>
  <c r="AP237" i="1"/>
  <c r="BP223" i="1"/>
  <c r="BR223" i="1"/>
  <c r="BE862" i="1"/>
  <c r="BC862" i="1"/>
  <c r="BI862" i="1" s="1"/>
  <c r="AR155" i="1"/>
  <c r="AP155" i="1"/>
  <c r="BR789" i="1"/>
  <c r="BN789" i="1"/>
  <c r="AR763" i="1"/>
  <c r="AT763" i="1"/>
  <c r="BG837" i="1"/>
  <c r="BE837" i="1"/>
  <c r="BA837" i="1"/>
  <c r="BC837" i="1"/>
  <c r="BR144" i="1"/>
  <c r="BT144" i="1"/>
  <c r="BN144" i="1"/>
  <c r="AP361" i="1"/>
  <c r="AR361" i="1"/>
  <c r="AT361" i="1"/>
  <c r="AV361" i="1" s="1"/>
  <c r="BN141" i="1"/>
  <c r="BP141" i="1"/>
  <c r="AR24" i="1"/>
  <c r="AN24" i="1"/>
  <c r="BR972" i="1"/>
  <c r="BN972" i="1"/>
  <c r="BE245" i="1"/>
  <c r="BA245" i="1"/>
  <c r="BI245" i="1" s="1"/>
  <c r="BE891" i="1"/>
  <c r="BA891" i="1"/>
  <c r="BC817" i="1"/>
  <c r="BG817" i="1"/>
  <c r="BA817" i="1"/>
  <c r="BE817" i="1"/>
  <c r="BG321" i="1"/>
  <c r="BA321" i="1"/>
  <c r="AT974" i="1"/>
  <c r="AN974" i="1"/>
  <c r="AR974" i="1"/>
  <c r="BN356" i="1"/>
  <c r="BR356" i="1"/>
  <c r="BT356" i="1"/>
  <c r="BN978" i="1"/>
  <c r="BT978" i="1"/>
  <c r="BG446" i="1"/>
  <c r="BC446" i="1"/>
  <c r="BA446" i="1"/>
  <c r="BG753" i="1"/>
  <c r="BA753" i="1"/>
  <c r="BA199" i="1"/>
  <c r="BE199" i="1"/>
  <c r="BC199" i="1"/>
  <c r="BG867" i="1"/>
  <c r="BE867" i="1"/>
  <c r="BA867" i="1"/>
  <c r="BP167" i="1"/>
  <c r="BN167" i="1"/>
  <c r="BE725" i="1"/>
  <c r="BA725" i="1"/>
  <c r="BC725" i="1"/>
  <c r="BI725" i="1" s="1"/>
  <c r="BN595" i="1"/>
  <c r="BR595" i="1"/>
  <c r="BN720" i="1"/>
  <c r="BP720" i="1"/>
  <c r="BT720" i="1"/>
  <c r="BN199" i="1"/>
  <c r="BR199" i="1"/>
  <c r="BT199" i="1"/>
  <c r="BV199" i="1" s="1"/>
  <c r="AP289" i="1"/>
  <c r="AN289" i="1"/>
  <c r="AR289" i="1"/>
  <c r="BA612" i="1"/>
  <c r="BG612" i="1"/>
  <c r="BP237" i="1"/>
  <c r="BT237" i="1"/>
  <c r="AR877" i="1"/>
  <c r="AP877" i="1"/>
  <c r="AN877" i="1"/>
  <c r="BC720" i="1"/>
  <c r="BG720" i="1"/>
  <c r="BA720" i="1"/>
  <c r="BR694" i="1"/>
  <c r="BP694" i="1"/>
  <c r="BA82" i="1"/>
  <c r="BE82" i="1"/>
  <c r="BP132" i="1"/>
  <c r="BT132" i="1"/>
  <c r="BR132" i="1"/>
  <c r="BV132" i="1" s="1"/>
  <c r="BC713" i="1"/>
  <c r="BA713" i="1"/>
  <c r="BC94" i="1"/>
  <c r="BA94" i="1"/>
  <c r="BI94" i="1" s="1"/>
  <c r="BE94" i="1"/>
  <c r="AP603" i="1"/>
  <c r="AT603" i="1"/>
  <c r="AN603" i="1"/>
  <c r="BC120" i="1"/>
  <c r="BG120" i="1"/>
  <c r="BR174" i="1"/>
  <c r="BN174" i="1"/>
  <c r="BT174" i="1"/>
  <c r="BR986" i="1"/>
  <c r="BN986" i="1"/>
  <c r="BP986" i="1"/>
  <c r="BT986" i="1"/>
  <c r="BG338" i="1"/>
  <c r="BC338" i="1"/>
  <c r="BP545" i="1"/>
  <c r="BT545" i="1"/>
  <c r="BN545" i="1"/>
  <c r="BG265" i="1"/>
  <c r="BC265" i="1"/>
  <c r="BI265" i="1" s="1"/>
  <c r="AT380" i="1"/>
  <c r="AP380" i="1"/>
  <c r="BA158" i="1"/>
  <c r="BE158" i="1"/>
  <c r="BC158" i="1"/>
  <c r="BR460" i="1"/>
  <c r="BT460" i="1"/>
  <c r="BN460" i="1"/>
  <c r="BP460" i="1"/>
  <c r="BP684" i="1"/>
  <c r="BR684" i="1"/>
  <c r="BC19" i="1"/>
  <c r="BG19" i="1"/>
  <c r="BP702" i="1"/>
  <c r="BT702" i="1"/>
  <c r="AT945" i="1"/>
  <c r="AR945" i="1"/>
  <c r="AN945" i="1"/>
  <c r="BP807" i="1"/>
  <c r="BN807" i="1"/>
  <c r="BV807" i="1" s="1"/>
  <c r="BA163" i="1"/>
  <c r="BE163" i="1"/>
  <c r="BG163" i="1"/>
  <c r="BE640" i="1"/>
  <c r="BA640" i="1"/>
  <c r="BG640" i="1"/>
  <c r="BC640" i="1"/>
  <c r="BR176" i="1"/>
  <c r="BP176" i="1"/>
  <c r="AP481" i="1"/>
  <c r="AN481" i="1"/>
  <c r="AR481" i="1"/>
  <c r="AV481" i="1" s="1"/>
  <c r="BC434" i="1"/>
  <c r="BE434" i="1"/>
  <c r="AP398" i="1"/>
  <c r="AT398" i="1"/>
  <c r="BA666" i="1"/>
  <c r="BG666" i="1"/>
  <c r="BA755" i="1"/>
  <c r="BC755" i="1"/>
  <c r="BG694" i="1"/>
  <c r="BE694" i="1"/>
  <c r="BN544" i="1"/>
  <c r="BR544" i="1"/>
  <c r="BV544" i="1" s="1"/>
  <c r="BP780" i="1"/>
  <c r="BN780" i="1"/>
  <c r="BA726" i="1"/>
  <c r="BC726" i="1"/>
  <c r="AN287" i="1"/>
  <c r="AT287" i="1"/>
  <c r="BP219" i="1"/>
  <c r="BR219" i="1"/>
  <c r="AT316" i="1"/>
  <c r="AN316" i="1"/>
  <c r="BN861" i="1"/>
  <c r="BR861" i="1"/>
  <c r="BV861" i="1" s="1"/>
  <c r="BR589" i="1"/>
  <c r="BN589" i="1"/>
  <c r="AN6" i="1"/>
  <c r="BT1003" i="1"/>
  <c r="AT616" i="1"/>
  <c r="AP974" i="1"/>
  <c r="BR167" i="1"/>
  <c r="BP978" i="1"/>
  <c r="BG199" i="1"/>
  <c r="BG725" i="1"/>
  <c r="AT289" i="1"/>
  <c r="BR978" i="1"/>
  <c r="BA66" i="1"/>
  <c r="BP595" i="1"/>
  <c r="AT571" i="1"/>
  <c r="AT155" i="1"/>
  <c r="AP269" i="1"/>
  <c r="AN361" i="1"/>
  <c r="BG245" i="1"/>
  <c r="BC891" i="1"/>
  <c r="BT595" i="1"/>
  <c r="BC999" i="1"/>
  <c r="AN148" i="1"/>
  <c r="BE242" i="1"/>
  <c r="AN33" i="1"/>
  <c r="AV33" i="1" s="1"/>
  <c r="BA953" i="1"/>
  <c r="BT540" i="1"/>
  <c r="BG642" i="1"/>
  <c r="BI642" i="1" s="1"/>
  <c r="BN819" i="1"/>
  <c r="BE500" i="1"/>
  <c r="BC746" i="1"/>
  <c r="BR811" i="1"/>
  <c r="BC896" i="1"/>
  <c r="BA298" i="1"/>
  <c r="AP374" i="1"/>
  <c r="BG886" i="1"/>
  <c r="AT345" i="1"/>
  <c r="AP287" i="1"/>
  <c r="BA823" i="1"/>
  <c r="BA242" i="1"/>
  <c r="BI242" i="1" s="1"/>
  <c r="BT780" i="1"/>
  <c r="AT6" i="1"/>
  <c r="BC298" i="1"/>
  <c r="BC886" i="1"/>
  <c r="BE886" i="1"/>
  <c r="AN345" i="1"/>
  <c r="BE904" i="1"/>
  <c r="BE755" i="1"/>
  <c r="BC823" i="1"/>
  <c r="AP345" i="1"/>
  <c r="BE298" i="1"/>
  <c r="AR6" i="1"/>
  <c r="AV6" i="1" s="1"/>
  <c r="BE779" i="1"/>
  <c r="BC421" i="1"/>
  <c r="BA421" i="1"/>
  <c r="BA549" i="1"/>
  <c r="BI549" i="1" s="1"/>
  <c r="BG549" i="1"/>
  <c r="BE549" i="1"/>
  <c r="AN564" i="1"/>
  <c r="AP564" i="1"/>
  <c r="AR564" i="1"/>
  <c r="BP265" i="1"/>
  <c r="BN265" i="1"/>
  <c r="BT265" i="1"/>
  <c r="BV265" i="1" s="1"/>
  <c r="BC283" i="1"/>
  <c r="BA283" i="1"/>
  <c r="BE283" i="1"/>
  <c r="BE920" i="1"/>
  <c r="BA920" i="1"/>
  <c r="BC153" i="1"/>
  <c r="BA153" i="1"/>
  <c r="BG153" i="1"/>
  <c r="BI153" i="1" s="1"/>
  <c r="AT40" i="1"/>
  <c r="AR40" i="1"/>
  <c r="AN398" i="1"/>
  <c r="AR398" i="1"/>
  <c r="BT564" i="1"/>
  <c r="BP564" i="1"/>
  <c r="BR564" i="1"/>
  <c r="BG322" i="1"/>
  <c r="BE322" i="1"/>
  <c r="BC666" i="1"/>
  <c r="BE666" i="1"/>
  <c r="AT211" i="1"/>
  <c r="AR211" i="1"/>
  <c r="AN211" i="1"/>
  <c r="AP211" i="1"/>
  <c r="BP73" i="1"/>
  <c r="BR73" i="1"/>
  <c r="BT73" i="1"/>
  <c r="BN73" i="1"/>
  <c r="BA668" i="1"/>
  <c r="BC668" i="1"/>
  <c r="BG668" i="1"/>
  <c r="BE668" i="1"/>
  <c r="BA303" i="1"/>
  <c r="BC303" i="1"/>
  <c r="BE303" i="1"/>
  <c r="AN516" i="1"/>
  <c r="AP516" i="1"/>
  <c r="AR516" i="1"/>
  <c r="AT516" i="1"/>
  <c r="AT8" i="1"/>
  <c r="AR8" i="1"/>
  <c r="AP8" i="1"/>
  <c r="AN8" i="1"/>
  <c r="BA694" i="1"/>
  <c r="BC694" i="1"/>
  <c r="BI694" i="1" s="1"/>
  <c r="AP431" i="1"/>
  <c r="AN431" i="1"/>
  <c r="AT431" i="1"/>
  <c r="AR431" i="1"/>
  <c r="BN250" i="1"/>
  <c r="BR250" i="1"/>
  <c r="BP250" i="1"/>
  <c r="BT250" i="1"/>
  <c r="BG904" i="1"/>
  <c r="BC904" i="1"/>
  <c r="BT731" i="1"/>
  <c r="BP731" i="1"/>
  <c r="BV731" i="1" s="1"/>
  <c r="BR731" i="1"/>
  <c r="BP544" i="1"/>
  <c r="BT544" i="1"/>
  <c r="BE726" i="1"/>
  <c r="BG726" i="1"/>
  <c r="BA669" i="1"/>
  <c r="BE669" i="1"/>
  <c r="AP356" i="1"/>
  <c r="AT356" i="1"/>
  <c r="AR356" i="1"/>
  <c r="BP111" i="1"/>
  <c r="BR111" i="1"/>
  <c r="BG690" i="1"/>
  <c r="BC690" i="1"/>
  <c r="BE690" i="1"/>
  <c r="BT219" i="1"/>
  <c r="BN219" i="1"/>
  <c r="BP302" i="1"/>
  <c r="BN302" i="1"/>
  <c r="AN760" i="1"/>
  <c r="AR760" i="1"/>
  <c r="AR316" i="1"/>
  <c r="AP316" i="1"/>
  <c r="BN347" i="1"/>
  <c r="BR347" i="1"/>
  <c r="BP347" i="1"/>
  <c r="BR587" i="1"/>
  <c r="BT587" i="1"/>
  <c r="BN587" i="1"/>
  <c r="BP587" i="1"/>
  <c r="AT647" i="1"/>
  <c r="AR647" i="1"/>
  <c r="AP647" i="1"/>
  <c r="AA1005" i="1"/>
  <c r="AE1005" i="1"/>
  <c r="AC1005" i="1"/>
  <c r="AI1005" i="1" s="1"/>
  <c r="BT737" i="1"/>
  <c r="BR737" i="1"/>
  <c r="BP737" i="1"/>
  <c r="BN737" i="1"/>
  <c r="AT604" i="1"/>
  <c r="AN604" i="1"/>
  <c r="AP604" i="1"/>
  <c r="BR341" i="1"/>
  <c r="BT341" i="1"/>
  <c r="BP341" i="1"/>
  <c r="BN341" i="1"/>
  <c r="BP373" i="1"/>
  <c r="BT373" i="1"/>
  <c r="BC24" i="1"/>
  <c r="BA24" i="1"/>
  <c r="BE24" i="1"/>
  <c r="P40" i="51" s="1"/>
  <c r="BG24" i="1"/>
  <c r="BR641" i="1"/>
  <c r="BN641" i="1"/>
  <c r="BP641" i="1"/>
  <c r="BV641" i="1" s="1"/>
  <c r="BR566" i="1"/>
  <c r="BN566" i="1"/>
  <c r="BP566" i="1"/>
  <c r="BT566" i="1"/>
  <c r="BT589" i="1"/>
  <c r="BV589" i="1" s="1"/>
  <c r="BP589" i="1"/>
  <c r="BE287" i="1"/>
  <c r="BC287" i="1"/>
  <c r="BA287" i="1"/>
  <c r="AP716" i="1"/>
  <c r="AN716" i="1"/>
  <c r="AR716" i="1"/>
  <c r="AT716" i="1"/>
  <c r="BN535" i="1"/>
  <c r="BR535" i="1"/>
  <c r="BG889" i="1"/>
  <c r="BE889" i="1"/>
  <c r="BA889" i="1"/>
  <c r="BC889" i="1"/>
  <c r="AP28" i="1"/>
  <c r="AN28" i="1"/>
  <c r="AT28" i="1"/>
  <c r="BN977" i="1"/>
  <c r="BR977" i="1"/>
  <c r="BV977" i="1" s="1"/>
  <c r="BT977" i="1"/>
  <c r="BP977" i="1"/>
  <c r="AP523" i="1"/>
  <c r="AT523" i="1"/>
  <c r="AN523" i="1"/>
  <c r="BP456" i="1"/>
  <c r="BR456" i="1"/>
  <c r="BR184" i="1"/>
  <c r="BT184" i="1"/>
  <c r="BN184" i="1"/>
  <c r="BP184" i="1"/>
  <c r="AR358" i="1"/>
  <c r="AT358" i="1"/>
  <c r="AP358" i="1"/>
  <c r="BR434" i="1"/>
  <c r="BT434" i="1"/>
  <c r="BP434" i="1"/>
  <c r="BN434" i="1"/>
  <c r="BC913" i="1"/>
  <c r="BE913" i="1"/>
  <c r="BA913" i="1"/>
  <c r="AR794" i="1"/>
  <c r="AN794" i="1"/>
  <c r="AT794" i="1"/>
  <c r="AP794" i="1"/>
  <c r="AT321" i="1"/>
  <c r="AP321" i="1"/>
  <c r="AN321" i="1"/>
  <c r="AR321" i="1"/>
  <c r="BR830" i="1"/>
  <c r="BN830" i="1"/>
  <c r="BP830" i="1"/>
  <c r="BV830" i="1" s="1"/>
  <c r="BT123" i="1"/>
  <c r="BN123" i="1"/>
  <c r="BP123" i="1"/>
  <c r="BE663" i="1"/>
  <c r="BG663" i="1"/>
  <c r="BA663" i="1"/>
  <c r="BC663" i="1"/>
  <c r="BR935" i="1"/>
  <c r="BT935" i="1"/>
  <c r="BN935" i="1"/>
  <c r="AP148" i="1"/>
  <c r="AT148" i="1"/>
  <c r="AV148" i="1" s="1"/>
  <c r="BP815" i="1"/>
  <c r="BN815" i="1"/>
  <c r="BT815" i="1"/>
  <c r="AT233" i="1"/>
  <c r="AN233" i="1"/>
  <c r="AP233" i="1"/>
  <c r="AR233" i="1"/>
  <c r="BG999" i="1"/>
  <c r="BE999" i="1"/>
  <c r="BN227" i="1"/>
  <c r="BT227" i="1"/>
  <c r="BA10" i="1"/>
  <c r="BG10" i="1"/>
  <c r="BC10" i="1"/>
  <c r="BE10" i="1"/>
  <c r="BP854" i="1"/>
  <c r="BT854" i="1"/>
  <c r="BR854" i="1"/>
  <c r="BN196" i="1"/>
  <c r="BT196" i="1"/>
  <c r="BV196" i="1" s="1"/>
  <c r="BP196" i="1"/>
  <c r="AN34" i="1"/>
  <c r="AP34" i="1"/>
  <c r="AT34" i="1"/>
  <c r="L41" i="51" s="1"/>
  <c r="AR34" i="1"/>
  <c r="K51" i="80" s="1"/>
  <c r="BP134" i="1"/>
  <c r="BR134" i="1"/>
  <c r="BT134" i="1"/>
  <c r="BV134" i="1" s="1"/>
  <c r="AP767" i="1"/>
  <c r="AN767" i="1"/>
  <c r="AT767" i="1"/>
  <c r="AR767" i="1"/>
  <c r="BC378" i="1"/>
  <c r="BG378" i="1"/>
  <c r="BE378" i="1"/>
  <c r="BA378" i="1"/>
  <c r="BI378" i="1" s="1"/>
  <c r="BA537" i="1"/>
  <c r="BG537" i="1"/>
  <c r="BE537" i="1"/>
  <c r="BC537" i="1"/>
  <c r="AP485" i="1"/>
  <c r="AT485" i="1"/>
  <c r="AR485" i="1"/>
  <c r="AT36" i="1"/>
  <c r="AN36" i="1"/>
  <c r="AR36" i="1"/>
  <c r="BC748" i="1"/>
  <c r="BG748" i="1"/>
  <c r="BI748" i="1" s="1"/>
  <c r="BE748" i="1"/>
  <c r="BP30" i="1"/>
  <c r="BN30" i="1"/>
  <c r="BR30" i="1"/>
  <c r="BT30" i="1"/>
  <c r="V50" i="80" s="1"/>
  <c r="AN752" i="1"/>
  <c r="AP752" i="1"/>
  <c r="BP943" i="1"/>
  <c r="BV943" i="1" s="1"/>
  <c r="BN943" i="1"/>
  <c r="BT943" i="1"/>
  <c r="BR943" i="1"/>
  <c r="BC681" i="1"/>
  <c r="BI681" i="1" s="1"/>
  <c r="BG681" i="1"/>
  <c r="BE681" i="1"/>
  <c r="AN281" i="1"/>
  <c r="AT281" i="1"/>
  <c r="AV281" i="1" s="1"/>
  <c r="AR281" i="1"/>
  <c r="AP281" i="1"/>
  <c r="BC159" i="1"/>
  <c r="BE159" i="1"/>
  <c r="BI159" i="1" s="1"/>
  <c r="BG159" i="1"/>
  <c r="BA159" i="1"/>
  <c r="BR523" i="1"/>
  <c r="BN523" i="1"/>
  <c r="BV523" i="1" s="1"/>
  <c r="BT523" i="1"/>
  <c r="BC244" i="1"/>
  <c r="BG244" i="1"/>
  <c r="BE244" i="1"/>
  <c r="BI244" i="1" s="1"/>
  <c r="BP289" i="1"/>
  <c r="BN289" i="1"/>
  <c r="BR289" i="1"/>
  <c r="BT289" i="1"/>
  <c r="BV289" i="1" s="1"/>
  <c r="BE813" i="1"/>
  <c r="BA813" i="1"/>
  <c r="BC813" i="1"/>
  <c r="BE439" i="1"/>
  <c r="BI439" i="1" s="1"/>
  <c r="BC439" i="1"/>
  <c r="BA439" i="1"/>
  <c r="BG439" i="1"/>
  <c r="AN270" i="1"/>
  <c r="AV270" i="1" s="1"/>
  <c r="AR270" i="1"/>
  <c r="AT270" i="1"/>
  <c r="BT172" i="1"/>
  <c r="BR172" i="1"/>
  <c r="AN25" i="1"/>
  <c r="AT25" i="1"/>
  <c r="AP25" i="1"/>
  <c r="BE536" i="1"/>
  <c r="BC536" i="1"/>
  <c r="BC196" i="1"/>
  <c r="BA196" i="1"/>
  <c r="AR9" i="1"/>
  <c r="AN9" i="1"/>
  <c r="AT9" i="1"/>
  <c r="BP913" i="1"/>
  <c r="BN913" i="1"/>
  <c r="BV913" i="1" s="1"/>
  <c r="BR913" i="1"/>
  <c r="AR244" i="1"/>
  <c r="AN244" i="1"/>
  <c r="BR7" i="1"/>
  <c r="BN7" i="1"/>
  <c r="BC762" i="1"/>
  <c r="BA762" i="1"/>
  <c r="BE762" i="1"/>
  <c r="BI762" i="1" s="1"/>
  <c r="BG958" i="1"/>
  <c r="BA958" i="1"/>
  <c r="BC295" i="1"/>
  <c r="BG295" i="1"/>
  <c r="BI295" i="1" s="1"/>
  <c r="BA295" i="1"/>
  <c r="BR667" i="1"/>
  <c r="BT667" i="1"/>
  <c r="BE267" i="1"/>
  <c r="BI267" i="1" s="1"/>
  <c r="BG267" i="1"/>
  <c r="BR917" i="1"/>
  <c r="BP917" i="1"/>
  <c r="BP309" i="1"/>
  <c r="BT309" i="1"/>
  <c r="BR309" i="1"/>
  <c r="BN309" i="1"/>
  <c r="BT687" i="1"/>
  <c r="BV687" i="1" s="1"/>
  <c r="BP687" i="1"/>
  <c r="BN687" i="1"/>
  <c r="BR687" i="1"/>
  <c r="AT872" i="1"/>
  <c r="AN872" i="1"/>
  <c r="AP872" i="1"/>
  <c r="AR959" i="1"/>
  <c r="AT959" i="1"/>
  <c r="AV959" i="1" s="1"/>
  <c r="BP553" i="1"/>
  <c r="BT553" i="1"/>
  <c r="BR553" i="1"/>
  <c r="BE585" i="1"/>
  <c r="BI585" i="1" s="1"/>
  <c r="BA585" i="1"/>
  <c r="BG585" i="1"/>
  <c r="BC585" i="1"/>
  <c r="AT549" i="1"/>
  <c r="AN549" i="1"/>
  <c r="BN153" i="1"/>
  <c r="BR153" i="1"/>
  <c r="BG259" i="1"/>
  <c r="BI259" i="1" s="1"/>
  <c r="BE259" i="1"/>
  <c r="BN558" i="1"/>
  <c r="BT558" i="1"/>
  <c r="BA852" i="1"/>
  <c r="BI852" i="1" s="1"/>
  <c r="BG852" i="1"/>
  <c r="BT16" i="1"/>
  <c r="BR16" i="1"/>
  <c r="AT684" i="1"/>
  <c r="AV684" i="1" s="1"/>
  <c r="AP684" i="1"/>
  <c r="BG961" i="1"/>
  <c r="BA961" i="1"/>
  <c r="BE961" i="1"/>
  <c r="BI961" i="1" s="1"/>
  <c r="BC1005" i="1"/>
  <c r="BG1005" i="1"/>
  <c r="BA707" i="1"/>
  <c r="BE707" i="1"/>
  <c r="BE240" i="1"/>
  <c r="BG240" i="1"/>
  <c r="AP780" i="1"/>
  <c r="AR780" i="1"/>
  <c r="AV780" i="1" s="1"/>
  <c r="BG17" i="1"/>
  <c r="BE17" i="1"/>
  <c r="BG577" i="1"/>
  <c r="BE577" i="1"/>
  <c r="BI577" i="1" s="1"/>
  <c r="BA577" i="1"/>
  <c r="BN739" i="1"/>
  <c r="BR739" i="1"/>
  <c r="BP739" i="1"/>
  <c r="BV739" i="1" s="1"/>
  <c r="BC396" i="1"/>
  <c r="BE396" i="1"/>
  <c r="BN848" i="1"/>
  <c r="BP848" i="1"/>
  <c r="BT218" i="1"/>
  <c r="BN218" i="1"/>
  <c r="BC447" i="1"/>
  <c r="BG447" i="1"/>
  <c r="BN476" i="1"/>
  <c r="BR476" i="1"/>
  <c r="BE105" i="1"/>
  <c r="BG105" i="1"/>
  <c r="BI105" i="1" s="1"/>
  <c r="AR596" i="1"/>
  <c r="AN596" i="1"/>
  <c r="AT596" i="1"/>
  <c r="AR338" i="1"/>
  <c r="AV338" i="1" s="1"/>
  <c r="AN338" i="1"/>
  <c r="AP338" i="1"/>
  <c r="AT338" i="1"/>
  <c r="BA493" i="1"/>
  <c r="BI493" i="1" s="1"/>
  <c r="BG493" i="1"/>
  <c r="BC493" i="1"/>
  <c r="BE612" i="1"/>
  <c r="BC612" i="1"/>
  <c r="BT694" i="1"/>
  <c r="BN694" i="1"/>
  <c r="BP234" i="1"/>
  <c r="BR234" i="1"/>
  <c r="BT234" i="1"/>
  <c r="BN234" i="1"/>
  <c r="BP649" i="1"/>
  <c r="BR649" i="1"/>
  <c r="BA485" i="1"/>
  <c r="BC485" i="1"/>
  <c r="BE485" i="1"/>
  <c r="BG485" i="1"/>
  <c r="BI485" i="1" s="1"/>
  <c r="BE706" i="1"/>
  <c r="BA706" i="1"/>
  <c r="BG704" i="1"/>
  <c r="BE704" i="1"/>
  <c r="BA704" i="1"/>
  <c r="BT915" i="1"/>
  <c r="BP915" i="1"/>
  <c r="BE713" i="1"/>
  <c r="BG713" i="1"/>
  <c r="AR303" i="1"/>
  <c r="AP303" i="1"/>
  <c r="BN832" i="1"/>
  <c r="BV832" i="1" s="1"/>
  <c r="BP832" i="1"/>
  <c r="BA120" i="1"/>
  <c r="BE120" i="1"/>
  <c r="BT795" i="1"/>
  <c r="BV795" i="1" s="1"/>
  <c r="BN795" i="1"/>
  <c r="BR795" i="1"/>
  <c r="BR627" i="1"/>
  <c r="BN627" i="1"/>
  <c r="BV627" i="1" s="1"/>
  <c r="AN380" i="1"/>
  <c r="AR380" i="1"/>
  <c r="BE803" i="1"/>
  <c r="BG803" i="1"/>
  <c r="BA505" i="1"/>
  <c r="BI505" i="1" s="1"/>
  <c r="BE505" i="1"/>
  <c r="BP47" i="1"/>
  <c r="BN47" i="1"/>
  <c r="BV47" i="1" s="1"/>
  <c r="BE58" i="1"/>
  <c r="BI58" i="1" s="1"/>
  <c r="BG58" i="1"/>
  <c r="BG858" i="1"/>
  <c r="BC858" i="1"/>
  <c r="BI858" i="1" s="1"/>
  <c r="BG116" i="1"/>
  <c r="BE116" i="1"/>
  <c r="AT768" i="1"/>
  <c r="AP768" i="1"/>
  <c r="AV768" i="1" s="1"/>
  <c r="BP124" i="1"/>
  <c r="BV124" i="1" s="1"/>
  <c r="BR124" i="1"/>
  <c r="BC696" i="1"/>
  <c r="BE696" i="1"/>
  <c r="BI696" i="1" s="1"/>
  <c r="BR379" i="1"/>
  <c r="BN379" i="1"/>
  <c r="BN423" i="1"/>
  <c r="BT423" i="1"/>
  <c r="BV423" i="1" s="1"/>
  <c r="AN29" i="1"/>
  <c r="AR29" i="1"/>
  <c r="AP29" i="1"/>
  <c r="AT29" i="1"/>
  <c r="BE26" i="1"/>
  <c r="BI26" i="1" s="1"/>
  <c r="BA26" i="1"/>
  <c r="BE881" i="1"/>
  <c r="BC881" i="1"/>
  <c r="BI881" i="1" s="1"/>
  <c r="BT561" i="1"/>
  <c r="BV561" i="1" s="1"/>
  <c r="BR561" i="1"/>
  <c r="BE806" i="1"/>
  <c r="AP832" i="1"/>
  <c r="BG504" i="1"/>
  <c r="BA504" i="1"/>
  <c r="BA51" i="1"/>
  <c r="BC51" i="1"/>
  <c r="BT849" i="1"/>
  <c r="BP849" i="1"/>
  <c r="BN849" i="1"/>
  <c r="BA376" i="1"/>
  <c r="BG376" i="1"/>
  <c r="BR1003" i="1"/>
  <c r="BP1003" i="1"/>
  <c r="AN205" i="1"/>
  <c r="AR205" i="1"/>
  <c r="BA473" i="1"/>
  <c r="BG473" i="1"/>
  <c r="BT223" i="1"/>
  <c r="BN223" i="1"/>
  <c r="BE197" i="1"/>
  <c r="BA197" i="1"/>
  <c r="BG462" i="1"/>
  <c r="BC462" i="1"/>
  <c r="BG862" i="1"/>
  <c r="BA862" i="1"/>
  <c r="AN779" i="1"/>
  <c r="AP779" i="1"/>
  <c r="BA735" i="1"/>
  <c r="BG735" i="1"/>
  <c r="AN269" i="1"/>
  <c r="AT269" i="1"/>
  <c r="BG179" i="1"/>
  <c r="BA179" i="1"/>
  <c r="AT175" i="1"/>
  <c r="AP175" i="1"/>
  <c r="AR175" i="1"/>
  <c r="BC122" i="1"/>
  <c r="BE122" i="1"/>
  <c r="BI122" i="1" s="1"/>
  <c r="BA122" i="1"/>
  <c r="BG122" i="1"/>
  <c r="BG421" i="1"/>
  <c r="BE421" i="1"/>
  <c r="BI421" i="1" s="1"/>
  <c r="BA434" i="1"/>
  <c r="BG434" i="1"/>
  <c r="BA407" i="1"/>
  <c r="BG407" i="1"/>
  <c r="BI407" i="1" s="1"/>
  <c r="BA896" i="1"/>
  <c r="BI896" i="1" s="1"/>
  <c r="BE896" i="1"/>
  <c r="AP40" i="1"/>
  <c r="AN40" i="1"/>
  <c r="AV40" i="1" s="1"/>
  <c r="BA779" i="1"/>
  <c r="BI779" i="1" s="1"/>
  <c r="BC779" i="1"/>
  <c r="BA322" i="1"/>
  <c r="BC322" i="1"/>
  <c r="AN374" i="1"/>
  <c r="AV374" i="1" s="1"/>
  <c r="AT374" i="1"/>
  <c r="BA25" i="1"/>
  <c r="BC25" i="1"/>
  <c r="BG25" i="1"/>
  <c r="BE25" i="1"/>
  <c r="B80" i="80" a="1"/>
  <c r="B80" i="80"/>
  <c r="BA766" i="1"/>
  <c r="P51" i="80"/>
  <c r="P41" i="51"/>
  <c r="T52" i="80"/>
  <c r="T42" i="51"/>
  <c r="I52" i="80"/>
  <c r="U52" i="80"/>
  <c r="U42" i="51"/>
  <c r="Q58" i="80"/>
  <c r="Q48" i="51"/>
  <c r="Q17" i="61"/>
  <c r="Q52" i="80"/>
  <c r="S55" i="80"/>
  <c r="O58" i="80"/>
  <c r="O48" i="51"/>
  <c r="O17" i="61"/>
  <c r="O49" i="51"/>
  <c r="O52" i="80"/>
  <c r="S49" i="51"/>
  <c r="J52" i="80"/>
  <c r="V42" i="51"/>
  <c r="S50" i="80"/>
  <c r="U41" i="51"/>
  <c r="U51" i="80"/>
  <c r="C80" i="80"/>
  <c r="B81" i="80" a="1"/>
  <c r="B81" i="80"/>
  <c r="C68" i="51"/>
  <c r="B69" i="51" a="1"/>
  <c r="B69" i="51"/>
  <c r="BI925" i="1"/>
  <c r="AV429" i="1"/>
  <c r="AE229" i="1"/>
  <c r="BC766" i="1"/>
  <c r="BG766" i="1"/>
  <c r="AV806" i="1"/>
  <c r="AI14" i="1"/>
  <c r="AG229" i="1"/>
  <c r="AI229" i="1" s="1"/>
  <c r="AA229" i="1"/>
  <c r="BP588" i="1"/>
  <c r="BN327" i="1"/>
  <c r="BR474" i="1"/>
  <c r="BT588" i="1"/>
  <c r="BT752" i="1"/>
  <c r="BR299" i="1"/>
  <c r="BR62" i="1"/>
  <c r="BN752" i="1"/>
  <c r="BP299" i="1"/>
  <c r="BR765" i="1"/>
  <c r="BP992" i="1"/>
  <c r="BV992" i="1" s="1"/>
  <c r="BN992" i="1"/>
  <c r="BN765" i="1"/>
  <c r="BN646" i="1"/>
  <c r="BR646" i="1"/>
  <c r="BP474" i="1"/>
  <c r="BR655" i="1"/>
  <c r="BT278" i="1"/>
  <c r="BP408" i="1"/>
  <c r="BN61" i="1"/>
  <c r="BT409" i="1"/>
  <c r="BN338" i="1"/>
  <c r="BN409" i="1"/>
  <c r="BP481" i="1"/>
  <c r="BT715" i="1"/>
  <c r="BN334" i="1"/>
  <c r="BN481" i="1"/>
  <c r="BV481" i="1" s="1"/>
  <c r="BN513" i="1"/>
  <c r="BR408" i="1"/>
  <c r="BP334" i="1"/>
  <c r="BE130" i="1"/>
  <c r="BI346" i="1"/>
  <c r="BG830" i="1"/>
  <c r="BT408" i="1"/>
  <c r="BN802" i="1"/>
  <c r="BV802" i="1" s="1"/>
  <c r="BT94" i="1"/>
  <c r="BT481" i="1"/>
  <c r="BN299" i="1"/>
  <c r="BP765" i="1"/>
  <c r="BV765" i="1" s="1"/>
  <c r="AN518" i="1"/>
  <c r="AR541" i="1"/>
  <c r="BT327" i="1"/>
  <c r="BR781" i="1"/>
  <c r="BT992" i="1"/>
  <c r="BP62" i="1"/>
  <c r="BR814" i="1"/>
  <c r="BP814" i="1"/>
  <c r="BR680" i="1"/>
  <c r="BP680" i="1"/>
  <c r="BT680" i="1"/>
  <c r="BN680" i="1"/>
  <c r="BP717" i="1"/>
  <c r="BR717" i="1"/>
  <c r="BT717" i="1"/>
  <c r="BN717" i="1"/>
  <c r="BP168" i="1"/>
  <c r="BT168" i="1"/>
  <c r="BN168" i="1"/>
  <c r="BR168" i="1"/>
  <c r="BN744" i="1"/>
  <c r="BP744" i="1"/>
  <c r="BR744" i="1"/>
  <c r="BR883" i="1"/>
  <c r="BV883" i="1" s="1"/>
  <c r="BN883" i="1"/>
  <c r="BP883" i="1"/>
  <c r="BN297" i="1"/>
  <c r="BT297" i="1"/>
  <c r="BE160" i="1"/>
  <c r="AT694" i="1"/>
  <c r="AP210" i="1"/>
  <c r="BA857" i="1"/>
  <c r="BG589" i="1"/>
  <c r="BC715" i="1"/>
  <c r="BC160" i="1"/>
  <c r="AT210" i="1"/>
  <c r="AN650" i="1"/>
  <c r="AV650" i="1" s="1"/>
  <c r="AN691" i="1"/>
  <c r="AR868" i="1"/>
  <c r="BC923" i="1"/>
  <c r="BC727" i="1"/>
  <c r="BN733" i="1"/>
  <c r="BP365" i="1"/>
  <c r="BR333" i="1"/>
  <c r="BT669" i="1"/>
  <c r="BN506" i="1"/>
  <c r="BT742" i="1"/>
  <c r="BV742" i="1" s="1"/>
  <c r="BN814" i="1"/>
  <c r="BR979" i="1"/>
  <c r="BP338" i="1"/>
  <c r="BT338" i="1"/>
  <c r="BN336" i="1"/>
  <c r="BV336" i="1" s="1"/>
  <c r="BR336" i="1"/>
  <c r="BP336" i="1"/>
  <c r="BT336" i="1"/>
  <c r="BR896" i="1"/>
  <c r="BP896" i="1"/>
  <c r="BN896" i="1"/>
  <c r="BT896" i="1"/>
  <c r="BP771" i="1"/>
  <c r="BR771" i="1"/>
  <c r="BN771" i="1"/>
  <c r="BT771" i="1"/>
  <c r="BR407" i="1"/>
  <c r="BN407" i="1"/>
  <c r="BP462" i="1"/>
  <c r="BR462" i="1"/>
  <c r="BN236" i="1"/>
  <c r="BV236" i="1" s="1"/>
  <c r="BR236" i="1"/>
  <c r="BT236" i="1"/>
  <c r="AT387" i="1"/>
  <c r="AT135" i="1"/>
  <c r="AV135" i="1" s="1"/>
  <c r="BG160" i="1"/>
  <c r="BE426" i="1"/>
  <c r="AT645" i="1"/>
  <c r="BG923" i="1"/>
  <c r="AN135" i="1"/>
  <c r="BC508" i="1"/>
  <c r="BN715" i="1"/>
  <c r="BP715" i="1"/>
  <c r="BP557" i="1"/>
  <c r="BT557" i="1"/>
  <c r="BT93" i="1"/>
  <c r="BR93" i="1"/>
  <c r="BV93" i="1" s="1"/>
  <c r="BP93" i="1"/>
  <c r="BN93" i="1"/>
  <c r="BN541" i="1"/>
  <c r="BT541" i="1"/>
  <c r="BP541" i="1"/>
  <c r="BR541" i="1"/>
  <c r="BN38" i="1"/>
  <c r="BR38" i="1"/>
  <c r="U43" i="51" s="1"/>
  <c r="BT38" i="1"/>
  <c r="BR559" i="1"/>
  <c r="BN559" i="1"/>
  <c r="AP135" i="1"/>
  <c r="BP151" i="1"/>
  <c r="BR151" i="1"/>
  <c r="BN151" i="1"/>
  <c r="BV151" i="1" s="1"/>
  <c r="BT151" i="1"/>
  <c r="BP142" i="1"/>
  <c r="BR142" i="1"/>
  <c r="BN142" i="1"/>
  <c r="BT142" i="1"/>
  <c r="BP468" i="1"/>
  <c r="BT468" i="1"/>
  <c r="BN468" i="1"/>
  <c r="BT612" i="1"/>
  <c r="BP612" i="1"/>
  <c r="BR976" i="1"/>
  <c r="BT976" i="1"/>
  <c r="BT968" i="1"/>
  <c r="BT803" i="1"/>
  <c r="BV803" i="1" s="1"/>
  <c r="BT668" i="1"/>
  <c r="BT897" i="1"/>
  <c r="BE508" i="1"/>
  <c r="BE472" i="1"/>
  <c r="BA444" i="1"/>
  <c r="BC777" i="1"/>
  <c r="BE610" i="1"/>
  <c r="BI398" i="1"/>
  <c r="BE22" i="1"/>
  <c r="BG369" i="1"/>
  <c r="BE847" i="1"/>
  <c r="BI847" i="1" s="1"/>
  <c r="BG312" i="1"/>
  <c r="BA674" i="1"/>
  <c r="BE588" i="1"/>
  <c r="BI588" i="1" s="1"/>
  <c r="BG525" i="1"/>
  <c r="BA515" i="1"/>
  <c r="BA864" i="1"/>
  <c r="BE724" i="1"/>
  <c r="BA554" i="1"/>
  <c r="BE540" i="1"/>
  <c r="BE656" i="1"/>
  <c r="BI656" i="1" s="1"/>
  <c r="BC647" i="1"/>
  <c r="BA111" i="1"/>
  <c r="BI111" i="1" s="1"/>
  <c r="BA280" i="1"/>
  <c r="BA189" i="1"/>
  <c r="BC763" i="1"/>
  <c r="BG763" i="1"/>
  <c r="BE763" i="1"/>
  <c r="BE70" i="1"/>
  <c r="BG70" i="1"/>
  <c r="BA226" i="1"/>
  <c r="BG226" i="1"/>
  <c r="BE226" i="1"/>
  <c r="BG384" i="1"/>
  <c r="BC384" i="1"/>
  <c r="BA384" i="1"/>
  <c r="BC941" i="1"/>
  <c r="BE941" i="1"/>
  <c r="BE600" i="1"/>
  <c r="BG600" i="1"/>
  <c r="BA600" i="1"/>
  <c r="BC979" i="1"/>
  <c r="BG979" i="1"/>
  <c r="AT214" i="1"/>
  <c r="BC599" i="1"/>
  <c r="BI599" i="1" s="1"/>
  <c r="BG599" i="1"/>
  <c r="BA599" i="1"/>
  <c r="BA433" i="1"/>
  <c r="BG433" i="1"/>
  <c r="BG45" i="1"/>
  <c r="BA45" i="1"/>
  <c r="BC45" i="1"/>
  <c r="BI45" i="1" s="1"/>
  <c r="BE254" i="1"/>
  <c r="BG254" i="1"/>
  <c r="BA401" i="1"/>
  <c r="BC401" i="1"/>
  <c r="BE401" i="1"/>
  <c r="BE8" i="1"/>
  <c r="BC8" i="1"/>
  <c r="BG8" i="1"/>
  <c r="BG104" i="1"/>
  <c r="BE104" i="1"/>
  <c r="BA104" i="1"/>
  <c r="BG861" i="1"/>
  <c r="BE861" i="1"/>
  <c r="BC907" i="1"/>
  <c r="BG907" i="1"/>
  <c r="BG812" i="1"/>
  <c r="BI812" i="1" s="1"/>
  <c r="AR691" i="1"/>
  <c r="AT614" i="1"/>
  <c r="AN694" i="1"/>
  <c r="AN639" i="1"/>
  <c r="AP126" i="1"/>
  <c r="AR614" i="1"/>
  <c r="AN126" i="1"/>
  <c r="AP691" i="1"/>
  <c r="AP639" i="1"/>
  <c r="AN659" i="1"/>
  <c r="AP694" i="1"/>
  <c r="AR21" i="1"/>
  <c r="AT180" i="1"/>
  <c r="AV180" i="1" s="1"/>
  <c r="AT442" i="1"/>
  <c r="AT676" i="1"/>
  <c r="AR658" i="1"/>
  <c r="AP619" i="1"/>
  <c r="AP698" i="1"/>
  <c r="AN527" i="1"/>
  <c r="AN296" i="1"/>
  <c r="AT296" i="1"/>
  <c r="AV296" i="1" s="1"/>
  <c r="AR897" i="1"/>
  <c r="AT897" i="1"/>
  <c r="AP897" i="1"/>
  <c r="AN897" i="1"/>
  <c r="AN882" i="1"/>
  <c r="AP882" i="1"/>
  <c r="AR882" i="1"/>
  <c r="AV882" i="1" s="1"/>
  <c r="AR97" i="1"/>
  <c r="AN97" i="1"/>
  <c r="AP97" i="1"/>
  <c r="AP761" i="1"/>
  <c r="AT761" i="1"/>
  <c r="AR761" i="1"/>
  <c r="AN761" i="1"/>
  <c r="AR113" i="1"/>
  <c r="AN113" i="1"/>
  <c r="AV113" i="1" s="1"/>
  <c r="AP113" i="1"/>
  <c r="AN645" i="1"/>
  <c r="AR645" i="1"/>
  <c r="AP424" i="1"/>
  <c r="AT424" i="1"/>
  <c r="AP933" i="1"/>
  <c r="AT933" i="1"/>
  <c r="AN486" i="1"/>
  <c r="AR659" i="1"/>
  <c r="AT527" i="1"/>
  <c r="AN971" i="1"/>
  <c r="AR967" i="1"/>
  <c r="AV967" i="1" s="1"/>
  <c r="AT369" i="1"/>
  <c r="AN415" i="1"/>
  <c r="AT512" i="1"/>
  <c r="AR369" i="1"/>
  <c r="AT415" i="1"/>
  <c r="AN46" i="1"/>
  <c r="AN886" i="1"/>
  <c r="AT354" i="1"/>
  <c r="AR293" i="1"/>
  <c r="AV293" i="1" s="1"/>
  <c r="AT181" i="1"/>
  <c r="AR837" i="1"/>
  <c r="AV837" i="1" s="1"/>
  <c r="AP611" i="1"/>
  <c r="AR611" i="1"/>
  <c r="AR339" i="1"/>
  <c r="AP339" i="1"/>
  <c r="AT339" i="1"/>
  <c r="AV339" i="1" s="1"/>
  <c r="AN339" i="1"/>
  <c r="AT414" i="1"/>
  <c r="AP414" i="1"/>
  <c r="AR414" i="1"/>
  <c r="AT367" i="1"/>
  <c r="AR367" i="1"/>
  <c r="AN367" i="1"/>
  <c r="AR216" i="1"/>
  <c r="AV216" i="1" s="1"/>
  <c r="AN216" i="1"/>
  <c r="AP216" i="1"/>
  <c r="AT216" i="1"/>
  <c r="AT788" i="1"/>
  <c r="AN788" i="1"/>
  <c r="AT76" i="1"/>
  <c r="AN76" i="1"/>
  <c r="AR76" i="1"/>
  <c r="AN637" i="1"/>
  <c r="AP637" i="1"/>
  <c r="AR59" i="1"/>
  <c r="AN59" i="1"/>
  <c r="I49" i="51" s="1"/>
  <c r="AN620" i="1"/>
  <c r="AT620" i="1"/>
  <c r="AR829" i="1"/>
  <c r="AP829" i="1"/>
  <c r="AT368" i="1"/>
  <c r="AN368" i="1"/>
  <c r="AT569" i="1"/>
  <c r="AR569" i="1"/>
  <c r="AV569" i="1" s="1"/>
  <c r="AT239" i="1"/>
  <c r="AN239" i="1"/>
  <c r="AR439" i="1"/>
  <c r="AT439" i="1"/>
  <c r="AV439" i="1" s="1"/>
  <c r="AR67" i="1"/>
  <c r="AN67" i="1"/>
  <c r="AR606" i="1"/>
  <c r="AN606" i="1"/>
  <c r="AV606" i="1" s="1"/>
  <c r="AT606" i="1"/>
  <c r="AP606" i="1"/>
  <c r="AP870" i="1"/>
  <c r="AT870" i="1"/>
  <c r="AN870" i="1"/>
  <c r="AR870" i="1"/>
  <c r="AT508" i="1"/>
  <c r="AN508" i="1"/>
  <c r="AV508" i="1" s="1"/>
  <c r="AP508" i="1"/>
  <c r="AR508" i="1"/>
  <c r="AT119" i="1"/>
  <c r="AP119" i="1"/>
  <c r="AV119" i="1" s="1"/>
  <c r="AN119" i="1"/>
  <c r="AR642" i="1"/>
  <c r="AT642" i="1"/>
  <c r="AP642" i="1"/>
  <c r="AN642" i="1"/>
  <c r="AR157" i="1"/>
  <c r="AT157" i="1"/>
  <c r="AR258" i="1"/>
  <c r="AV258" i="1" s="1"/>
  <c r="AT258" i="1"/>
  <c r="AR245" i="1"/>
  <c r="AT245" i="1"/>
  <c r="AR671" i="1"/>
  <c r="AT671" i="1"/>
  <c r="AT224" i="1"/>
  <c r="AP224" i="1"/>
  <c r="AV79" i="1"/>
  <c r="AN460" i="1"/>
  <c r="AT894" i="1"/>
  <c r="AN336" i="1"/>
  <c r="AN442" i="1"/>
  <c r="AR676" i="1"/>
  <c r="AT658" i="1"/>
  <c r="AR336" i="1"/>
  <c r="AT698" i="1"/>
  <c r="AV698" i="1" s="1"/>
  <c r="AP67" i="1"/>
  <c r="AP21" i="1"/>
  <c r="AP569" i="1"/>
  <c r="AP239" i="1"/>
  <c r="AP61" i="1"/>
  <c r="AV61" i="1" s="1"/>
  <c r="AT745" i="1"/>
  <c r="AN698" i="1"/>
  <c r="AP527" i="1"/>
  <c r="AR387" i="1"/>
  <c r="AP894" i="1"/>
  <c r="AR226" i="1"/>
  <c r="AT226" i="1"/>
  <c r="AV226" i="1" s="1"/>
  <c r="AN14" i="1"/>
  <c r="AP14" i="1"/>
  <c r="J55" i="80" s="1"/>
  <c r="AR14" i="1"/>
  <c r="AT14" i="1"/>
  <c r="AV14" i="1" s="1"/>
  <c r="AN227" i="1"/>
  <c r="AR227" i="1"/>
  <c r="AT227" i="1"/>
  <c r="AP227" i="1"/>
  <c r="AR830" i="1"/>
  <c r="AP830" i="1"/>
  <c r="AT830" i="1"/>
  <c r="AN830" i="1"/>
  <c r="AN74" i="1"/>
  <c r="AR74" i="1"/>
  <c r="AP74" i="1"/>
  <c r="AV74" i="1" s="1"/>
  <c r="AT874" i="1"/>
  <c r="AV874" i="1" s="1"/>
  <c r="AP874" i="1"/>
  <c r="AN874" i="1"/>
  <c r="AR150" i="1"/>
  <c r="AT150" i="1"/>
  <c r="AV150" i="1" s="1"/>
  <c r="AT138" i="1"/>
  <c r="AR138" i="1"/>
  <c r="AP138" i="1"/>
  <c r="AT822" i="1"/>
  <c r="AP822" i="1"/>
  <c r="AR594" i="1"/>
  <c r="AN594" i="1"/>
  <c r="AN105" i="1"/>
  <c r="AV105" i="1" s="1"/>
  <c r="AP105" i="1"/>
  <c r="AN470" i="1"/>
  <c r="AR470" i="1"/>
  <c r="AT799" i="1"/>
  <c r="AV799" i="1" s="1"/>
  <c r="AR799" i="1"/>
  <c r="AT868" i="1"/>
  <c r="AN256" i="1"/>
  <c r="AT685" i="1"/>
  <c r="AI1003" i="1"/>
  <c r="AI152" i="1"/>
  <c r="AE491" i="1"/>
  <c r="AI491" i="1" s="1"/>
  <c r="AG644" i="1"/>
  <c r="AG755" i="1"/>
  <c r="AG381" i="1"/>
  <c r="AG94" i="1"/>
  <c r="AC231" i="1"/>
  <c r="AE75" i="1"/>
  <c r="AI75" i="1" s="1"/>
  <c r="AA603" i="1"/>
  <c r="AI603" i="1" s="1"/>
  <c r="AA64" i="1"/>
  <c r="AG533" i="1"/>
  <c r="AI533" i="1" s="1"/>
  <c r="AA277" i="1"/>
  <c r="AA788" i="1"/>
  <c r="AE619" i="1"/>
  <c r="AC166" i="1"/>
  <c r="AG149" i="1"/>
  <c r="AI149" i="1" s="1"/>
  <c r="AE302" i="1"/>
  <c r="AC159" i="1"/>
  <c r="AI159" i="1" s="1"/>
  <c r="AE679" i="1"/>
  <c r="AI679" i="1" s="1"/>
  <c r="AC748" i="1"/>
  <c r="AC264" i="1"/>
  <c r="AG287" i="1"/>
  <c r="AC752" i="1"/>
  <c r="AG752" i="1"/>
  <c r="AE752" i="1"/>
  <c r="AA38" i="1"/>
  <c r="AC38" i="1"/>
  <c r="AC422" i="1"/>
  <c r="AI422" i="1" s="1"/>
  <c r="AC665" i="1"/>
  <c r="AA665" i="1"/>
  <c r="AA778" i="1"/>
  <c r="AE896" i="1"/>
  <c r="AC896" i="1"/>
  <c r="AA896" i="1"/>
  <c r="AI896" i="1" s="1"/>
  <c r="AE919" i="1"/>
  <c r="AC919" i="1"/>
  <c r="AG615" i="1"/>
  <c r="AA615" i="1"/>
  <c r="AG535" i="1"/>
  <c r="AA535" i="1"/>
  <c r="AC535" i="1"/>
  <c r="AE535" i="1"/>
  <c r="AA954" i="1"/>
  <c r="AC954" i="1"/>
  <c r="AI969" i="1"/>
  <c r="AG974" i="1"/>
  <c r="AC522" i="1"/>
  <c r="AA919" i="1"/>
  <c r="AI919" i="1" s="1"/>
  <c r="AG458" i="1"/>
  <c r="AI458" i="1" s="1"/>
  <c r="AG183" i="1"/>
  <c r="AG871" i="1"/>
  <c r="AC602" i="1"/>
  <c r="AI602" i="1" s="1"/>
  <c r="AC346" i="1"/>
  <c r="AI346" i="1" s="1"/>
  <c r="AC154" i="1"/>
  <c r="AE764" i="1"/>
  <c r="AI764" i="1" s="1"/>
  <c r="AC370" i="1"/>
  <c r="AG370" i="1"/>
  <c r="AI370" i="1" s="1"/>
  <c r="AE320" i="1"/>
  <c r="AA298" i="1"/>
  <c r="AC298" i="1"/>
  <c r="AG954" i="1"/>
  <c r="AA711" i="1"/>
  <c r="AG711" i="1"/>
  <c r="AC903" i="1"/>
  <c r="AE903" i="1"/>
  <c r="AI903" i="1" s="1"/>
  <c r="AG298" i="1"/>
  <c r="AC593" i="1"/>
  <c r="AA593" i="1"/>
  <c r="AI593" i="1" s="1"/>
  <c r="AG607" i="1"/>
  <c r="AI607" i="1" s="1"/>
  <c r="AE607" i="1"/>
  <c r="AC93" i="1"/>
  <c r="AG93" i="1"/>
  <c r="AE708" i="1"/>
  <c r="AG708" i="1"/>
  <c r="AA708" i="1"/>
  <c r="AC407" i="1"/>
  <c r="AE407" i="1"/>
  <c r="AG407" i="1"/>
  <c r="AC24" i="1"/>
  <c r="E50" i="80" s="1"/>
  <c r="AE24" i="1"/>
  <c r="AA24" i="1"/>
  <c r="D50" i="80" s="1"/>
  <c r="AE499" i="1"/>
  <c r="AC499" i="1"/>
  <c r="AG620" i="1"/>
  <c r="AC620" i="1"/>
  <c r="AI620" i="1" s="1"/>
  <c r="AC284" i="1"/>
  <c r="AE284" i="1"/>
  <c r="AA108" i="1"/>
  <c r="AA693" i="1"/>
  <c r="AC693" i="1"/>
  <c r="AE757" i="1"/>
  <c r="AG757" i="1"/>
  <c r="AG290" i="1"/>
  <c r="AI290" i="1" s="1"/>
  <c r="AE290" i="1"/>
  <c r="AG250" i="1"/>
  <c r="AA250" i="1"/>
  <c r="AE250" i="1"/>
  <c r="AC329" i="1"/>
  <c r="AE329" i="1"/>
  <c r="AA329" i="1"/>
  <c r="AC912" i="1"/>
  <c r="AI912" i="1" s="1"/>
  <c r="AE912" i="1"/>
  <c r="AA912" i="1"/>
  <c r="AC469" i="1"/>
  <c r="AA469" i="1"/>
  <c r="AI469" i="1" s="1"/>
  <c r="AE268" i="1"/>
  <c r="AA268" i="1"/>
  <c r="AG268" i="1"/>
  <c r="AC559" i="1"/>
  <c r="AA559" i="1"/>
  <c r="AA85" i="1"/>
  <c r="AG85" i="1"/>
  <c r="AG693" i="1"/>
  <c r="AC757" i="1"/>
  <c r="AC290" i="1"/>
  <c r="AC250" i="1"/>
  <c r="AG329" i="1"/>
  <c r="AG912" i="1"/>
  <c r="AE469" i="1"/>
  <c r="AC268" i="1"/>
  <c r="AE559" i="1"/>
  <c r="AG648" i="1"/>
  <c r="AC477" i="1"/>
  <c r="AA331" i="1"/>
  <c r="AE851" i="1"/>
  <c r="AA809" i="1"/>
  <c r="AA29" i="1"/>
  <c r="AE315" i="1"/>
  <c r="AA568" i="1"/>
  <c r="AG537" i="1"/>
  <c r="AA408" i="1"/>
  <c r="AC85" i="1"/>
  <c r="AG153" i="1"/>
  <c r="AC744" i="1"/>
  <c r="AC163" i="1"/>
  <c r="AI163" i="1" s="1"/>
  <c r="AG697" i="1"/>
  <c r="AG805" i="1"/>
  <c r="AE52" i="1"/>
  <c r="AE8" i="1"/>
  <c r="AG8" i="1"/>
  <c r="AV706" i="1"/>
  <c r="BV150" i="1"/>
  <c r="AI980" i="1"/>
  <c r="AV805" i="1"/>
  <c r="AI760" i="1"/>
  <c r="BV782" i="1"/>
  <c r="AV655" i="1"/>
  <c r="AV732" i="1"/>
  <c r="AI547" i="1"/>
  <c r="AI485" i="1"/>
  <c r="AV484" i="1"/>
  <c r="AI722" i="1"/>
  <c r="AV641" i="1"/>
  <c r="AI824" i="1"/>
  <c r="BV89" i="1"/>
  <c r="BY89" i="1" s="1"/>
  <c r="AI463" i="1"/>
  <c r="AI899" i="1"/>
  <c r="AV48" i="1"/>
  <c r="AI126" i="1"/>
  <c r="AV182" i="1"/>
  <c r="BV55" i="1"/>
  <c r="AV568" i="1"/>
  <c r="AI517" i="1"/>
  <c r="AV654" i="1"/>
  <c r="BV206" i="1"/>
  <c r="AI352" i="1"/>
  <c r="BV800" i="1"/>
  <c r="AI227" i="1"/>
  <c r="AV710" i="1"/>
  <c r="AI621" i="1"/>
  <c r="AI690" i="1"/>
  <c r="BV792" i="1"/>
  <c r="AV811" i="1"/>
  <c r="AI528" i="1"/>
  <c r="BV285" i="1"/>
  <c r="AV989" i="1"/>
  <c r="AI84" i="1"/>
  <c r="AV887" i="1"/>
  <c r="BI274" i="1"/>
  <c r="BV424" i="1"/>
  <c r="AI518" i="1"/>
  <c r="BI892" i="1"/>
  <c r="AI434" i="1"/>
  <c r="AV195" i="1"/>
  <c r="BV488" i="1"/>
  <c r="BV692" i="1"/>
  <c r="BI170" i="1"/>
  <c r="BV634" i="1"/>
  <c r="AI403" i="1"/>
  <c r="AI833" i="1"/>
  <c r="AI794" i="1"/>
  <c r="AV168" i="1"/>
  <c r="BI848" i="1"/>
  <c r="AI136" i="1"/>
  <c r="BI169" i="1"/>
  <c r="AV841" i="1"/>
  <c r="BV99" i="1"/>
  <c r="BV102" i="1"/>
  <c r="BV889" i="1"/>
  <c r="AV365" i="1"/>
  <c r="AI908" i="1"/>
  <c r="AI193" i="1"/>
  <c r="AI319" i="1"/>
  <c r="BV705" i="1"/>
  <c r="AV831" i="1"/>
  <c r="BI686" i="1"/>
  <c r="AV664" i="1"/>
  <c r="BI34" i="1"/>
  <c r="AV965" i="1"/>
  <c r="BV797" i="1"/>
  <c r="BV887" i="1"/>
  <c r="BI991" i="1"/>
  <c r="BV592" i="1"/>
  <c r="BI769" i="1"/>
  <c r="AI589" i="1"/>
  <c r="BI368" i="1"/>
  <c r="AI247" i="1"/>
  <c r="AI521" i="1"/>
  <c r="AV16" i="1"/>
  <c r="BV738" i="1"/>
  <c r="BV542" i="1"/>
  <c r="AI184" i="1"/>
  <c r="BI490" i="1"/>
  <c r="AV91" i="1"/>
  <c r="AV704" i="1"/>
  <c r="AI167" i="1"/>
  <c r="AI916" i="1"/>
  <c r="BI320" i="1"/>
  <c r="AI945" i="1"/>
  <c r="BV554" i="1"/>
  <c r="AI365" i="1"/>
  <c r="AV184" i="1"/>
  <c r="AV219" i="1"/>
  <c r="AV590" i="1"/>
  <c r="AI288" i="1"/>
  <c r="BI510" i="1"/>
  <c r="BI412" i="1"/>
  <c r="BI484" i="1"/>
  <c r="BI231" i="1"/>
  <c r="BI388" i="1"/>
  <c r="BI349" i="1"/>
  <c r="BV260" i="1"/>
  <c r="AV935" i="1"/>
  <c r="AV713" i="1"/>
  <c r="BV838" i="1"/>
  <c r="AV699" i="1"/>
  <c r="AV938" i="1"/>
  <c r="AI850" i="1"/>
  <c r="AI60" i="1"/>
  <c r="AI898" i="1"/>
  <c r="BI655" i="1"/>
  <c r="BV422" i="1"/>
  <c r="AI918" i="1"/>
  <c r="BI377" i="1"/>
  <c r="BV870" i="1"/>
  <c r="AI419" i="1"/>
  <c r="BV578" i="1"/>
  <c r="AI429" i="1"/>
  <c r="BV518" i="1"/>
  <c r="BV263" i="1"/>
  <c r="AI933" i="1"/>
  <c r="AV857" i="1"/>
  <c r="AV420" i="1"/>
  <c r="BI55" i="1"/>
  <c r="BI5" i="1"/>
  <c r="AV852" i="1"/>
  <c r="AI424" i="1"/>
  <c r="AV1004" i="1"/>
  <c r="AI676" i="1"/>
  <c r="BI133" i="1"/>
  <c r="BV442" i="1"/>
  <c r="AI481" i="1"/>
  <c r="BV312" i="1"/>
  <c r="AV927" i="1"/>
  <c r="AV413" i="1"/>
  <c r="AI135" i="1"/>
  <c r="AV869" i="1"/>
  <c r="AI383" i="1"/>
  <c r="AI640" i="1"/>
  <c r="AV534" i="1"/>
  <c r="AI109" i="1"/>
  <c r="AI211" i="1"/>
  <c r="AV749" i="1"/>
  <c r="BV248" i="1"/>
  <c r="AV624" i="1"/>
  <c r="AI544" i="1"/>
  <c r="AI872" i="1"/>
  <c r="BV389" i="1"/>
  <c r="BI758" i="1"/>
  <c r="AV853" i="1"/>
  <c r="BV764" i="1"/>
  <c r="AI625" i="1"/>
  <c r="AI860" i="1"/>
  <c r="BI233" i="1"/>
  <c r="AV236" i="1"/>
  <c r="AI251" i="1"/>
  <c r="AV96" i="1"/>
  <c r="BV205" i="1"/>
  <c r="AV914" i="1"/>
  <c r="AI490" i="1"/>
  <c r="AI89" i="1"/>
  <c r="BV536" i="1"/>
  <c r="BV886" i="1"/>
  <c r="AI246" i="1"/>
  <c r="BI202" i="1"/>
  <c r="BV363" i="1"/>
  <c r="AV535" i="1"/>
  <c r="AV110" i="1"/>
  <c r="BI246" i="1"/>
  <c r="AV11" i="1"/>
  <c r="AI921" i="1"/>
  <c r="AI610" i="1"/>
  <c r="BI299" i="1"/>
  <c r="BV382" i="1"/>
  <c r="BI981" i="1"/>
  <c r="AV543" i="1"/>
  <c r="BV483" i="1"/>
  <c r="AV397" i="1"/>
  <c r="AV708" i="1"/>
  <c r="BI482" i="1"/>
  <c r="BI209" i="1"/>
  <c r="AI879" i="1"/>
  <c r="BI718" i="1"/>
  <c r="BI547" i="1"/>
  <c r="AV146" i="1"/>
  <c r="BV321" i="1"/>
  <c r="AV631" i="1"/>
  <c r="AI588" i="1"/>
  <c r="BI520" i="1"/>
  <c r="AV634" i="1"/>
  <c r="BI662" i="1"/>
  <c r="AI548" i="1"/>
  <c r="BV662" i="1"/>
  <c r="AI327" i="1"/>
  <c r="BI47" i="1"/>
  <c r="BV500" i="1"/>
  <c r="BI61" i="1"/>
  <c r="BI460" i="1"/>
  <c r="BV856" i="1"/>
  <c r="BV984" i="1"/>
  <c r="AV165" i="1"/>
  <c r="AI884" i="1"/>
  <c r="AI22" i="1"/>
  <c r="BV417" i="1"/>
  <c r="BI978" i="1"/>
  <c r="BV502" i="1"/>
  <c r="AI256" i="1"/>
  <c r="AI803" i="1"/>
  <c r="AI982" i="1"/>
  <c r="AV968" i="1"/>
  <c r="AI671" i="1"/>
  <c r="BI63" i="1"/>
  <c r="AI820" i="1"/>
  <c r="AI210" i="1"/>
  <c r="AV386" i="1"/>
  <c r="AI16" i="1"/>
  <c r="AI997" i="1"/>
  <c r="AI228" i="1"/>
  <c r="AI995" i="1"/>
  <c r="BY995" i="1" s="1"/>
  <c r="AI112" i="1"/>
  <c r="AI23" i="1"/>
  <c r="AV867" i="1"/>
  <c r="AV695" i="1"/>
  <c r="AV682" i="1"/>
  <c r="BI530" i="1"/>
  <c r="AV793" i="1"/>
  <c r="BI481" i="1"/>
  <c r="AV939" i="1"/>
  <c r="BI41" i="1"/>
  <c r="AV558" i="1"/>
  <c r="BI459" i="1"/>
  <c r="BI854" i="1"/>
  <c r="BV44" i="1"/>
  <c r="AV82" i="1"/>
  <c r="BI52" i="1"/>
  <c r="BV137" i="1"/>
  <c r="AV836" i="1"/>
  <c r="AV969" i="1"/>
  <c r="AI304" i="1"/>
  <c r="BI455" i="1"/>
  <c r="AI218" i="1"/>
  <c r="AI105" i="1"/>
  <c r="AI852" i="1"/>
  <c r="BI528" i="1"/>
  <c r="AV980" i="1"/>
  <c r="AV876" i="1"/>
  <c r="BI186" i="1"/>
  <c r="AV751" i="1"/>
  <c r="AI542" i="1"/>
  <c r="BI556" i="1"/>
  <c r="AV185" i="1"/>
  <c r="AV362" i="1"/>
  <c r="AI39" i="1"/>
  <c r="BV317" i="1"/>
  <c r="BI885" i="1"/>
  <c r="BI313" i="1"/>
  <c r="BV778" i="1"/>
  <c r="BV907" i="1"/>
  <c r="BV194" i="1"/>
  <c r="AV668" i="1"/>
  <c r="BI767" i="1"/>
  <c r="BI732" i="1"/>
  <c r="BV966" i="1"/>
  <c r="AI444" i="1"/>
  <c r="AV115" i="1"/>
  <c r="BV406" i="1"/>
  <c r="BV940" i="1"/>
  <c r="BI203" i="1"/>
  <c r="BV860" i="1"/>
  <c r="BV645" i="1"/>
  <c r="BV496" i="1"/>
  <c r="BI301" i="1"/>
  <c r="AV449" i="1"/>
  <c r="BI185" i="1"/>
  <c r="BI947" i="1"/>
  <c r="BV303" i="1"/>
  <c r="BV392" i="1"/>
  <c r="AV144" i="1"/>
  <c r="BI535" i="1"/>
  <c r="BI783" i="1"/>
  <c r="BI822" i="1"/>
  <c r="AI739" i="1"/>
  <c r="AV785" i="1"/>
  <c r="AI90" i="1"/>
  <c r="AV612" i="1"/>
  <c r="AI509" i="1"/>
  <c r="AI175" i="1"/>
  <c r="AV666" i="1"/>
  <c r="BV690" i="1"/>
  <c r="AV192" i="1"/>
  <c r="AI28" i="1"/>
  <c r="AI784" i="1"/>
  <c r="AV928" i="1"/>
  <c r="AI326" i="1"/>
  <c r="AI426" i="1"/>
  <c r="BV222" i="1"/>
  <c r="BV701" i="1"/>
  <c r="AV313" i="1"/>
  <c r="AI994" i="1"/>
  <c r="BV962" i="1"/>
  <c r="BV376" i="1"/>
  <c r="AI301" i="1"/>
  <c r="BI74" i="1"/>
  <c r="AI55" i="1"/>
  <c r="AV719" i="1"/>
  <c r="AV331" i="1"/>
  <c r="AV315" i="1"/>
  <c r="AI358" i="1"/>
  <c r="AI303" i="1"/>
  <c r="AV863" i="1"/>
  <c r="AV803" i="1"/>
  <c r="AI745" i="1"/>
  <c r="AV73" i="1"/>
  <c r="AV435" i="1"/>
  <c r="AI864" i="1"/>
  <c r="AI350" i="1"/>
  <c r="AI457" i="1"/>
  <c r="AV528" i="1"/>
  <c r="AI279" i="1"/>
  <c r="AI120" i="1"/>
  <c r="BV750" i="1"/>
  <c r="AI374" i="1"/>
  <c r="AV996" i="1"/>
  <c r="BV318" i="1"/>
  <c r="BI243" i="1"/>
  <c r="AI513" i="1"/>
  <c r="AI727" i="1"/>
  <c r="AI449" i="1"/>
  <c r="AI539" i="1"/>
  <c r="AI905" i="1"/>
  <c r="AI207" i="1"/>
  <c r="AI762" i="1"/>
  <c r="AI289" i="1"/>
  <c r="AV648" i="1"/>
  <c r="BI380" i="1"/>
  <c r="BV575" i="1"/>
  <c r="BV388" i="1"/>
  <c r="AI317" i="1"/>
  <c r="AI452" i="1"/>
  <c r="AV118" i="1"/>
  <c r="BV342" i="1"/>
  <c r="AI197" i="1"/>
  <c r="BV115" i="1"/>
  <c r="AI405" i="1"/>
  <c r="AI417" i="1"/>
  <c r="BI48" i="1"/>
  <c r="BI916" i="1"/>
  <c r="BV25" i="1"/>
  <c r="AV50" i="1"/>
  <c r="AV163" i="1"/>
  <c r="AI698" i="1"/>
  <c r="AV116" i="1"/>
  <c r="BV282" i="1"/>
  <c r="AV689" i="1"/>
  <c r="AV838" i="1"/>
  <c r="BV140" i="1"/>
  <c r="AI173" i="1"/>
  <c r="BI187" i="1"/>
  <c r="AV683" i="1"/>
  <c r="AV792" i="1"/>
  <c r="AV323" i="1"/>
  <c r="BV790" i="1"/>
  <c r="BI782" i="1"/>
  <c r="AI280" i="1"/>
  <c r="BI995" i="1"/>
  <c r="BV670" i="1"/>
  <c r="BV723" i="1"/>
  <c r="BV335" i="1"/>
  <c r="BI418" i="1"/>
  <c r="AV875" i="1"/>
  <c r="BI425" i="1"/>
  <c r="BI342" i="1"/>
  <c r="BI241" i="1"/>
  <c r="BI559" i="1"/>
  <c r="AV284" i="1"/>
  <c r="AI91" i="1"/>
  <c r="AV899" i="1"/>
  <c r="AI347" i="1"/>
  <c r="AI756" i="1"/>
  <c r="AV241" i="1"/>
  <c r="BV885" i="1"/>
  <c r="BI356" i="1"/>
  <c r="AV555" i="1"/>
  <c r="AI777" i="1"/>
  <c r="BV748" i="1"/>
  <c r="AI430" i="1"/>
  <c r="BI1001" i="1"/>
  <c r="AV572" i="1"/>
  <c r="AI433" i="1"/>
  <c r="AV499" i="1"/>
  <c r="AI293" i="1"/>
  <c r="AI911" i="1"/>
  <c r="AV734" i="1"/>
  <c r="AV302" i="1"/>
  <c r="BI139" i="1"/>
  <c r="AV722" i="1"/>
  <c r="AI746" i="1"/>
  <c r="BV70" i="1"/>
  <c r="AI584" i="1"/>
  <c r="AV586" i="1"/>
  <c r="AI414" i="1"/>
  <c r="BI593" i="1"/>
  <c r="BI677" i="1"/>
  <c r="AI278" i="1"/>
  <c r="AI886" i="1"/>
  <c r="AV566" i="1"/>
  <c r="AV981" i="1"/>
  <c r="AI567" i="1"/>
  <c r="AV605" i="1"/>
  <c r="AI76" i="1"/>
  <c r="AI707" i="1"/>
  <c r="BI688" i="1"/>
  <c r="AI913" i="1"/>
  <c r="AI323" i="1"/>
  <c r="BV45" i="1"/>
  <c r="AI111" i="1"/>
  <c r="AV117" i="1"/>
  <c r="BI964" i="1"/>
  <c r="AV711" i="1"/>
  <c r="BI989" i="1"/>
  <c r="BI560" i="1"/>
  <c r="AV200" i="1"/>
  <c r="BI458" i="1"/>
  <c r="BV760" i="1"/>
  <c r="AV930" i="1"/>
  <c r="AV673" i="1"/>
  <c r="AV423" i="1"/>
  <c r="AI960" i="1"/>
  <c r="AV379" i="1"/>
  <c r="BI166" i="1"/>
  <c r="AI531" i="1"/>
  <c r="BI428" i="1"/>
  <c r="BI680" i="1"/>
  <c r="BV239" i="1"/>
  <c r="AV213" i="1"/>
  <c r="BV224" i="1"/>
  <c r="BI210" i="1"/>
  <c r="BV910" i="1"/>
  <c r="AV681" i="1"/>
  <c r="AV789" i="1"/>
  <c r="BI615" i="1"/>
  <c r="AV961" i="1"/>
  <c r="BV85" i="1"/>
  <c r="AI343" i="1"/>
  <c r="BV921" i="1"/>
  <c r="BV68" i="1"/>
  <c r="BV825" i="1"/>
  <c r="BI387" i="1"/>
  <c r="AI32" i="1"/>
  <c r="AV990" i="1"/>
  <c r="AI372" i="1"/>
  <c r="BI424" i="1"/>
  <c r="BV504" i="1"/>
  <c r="AI274" i="1"/>
  <c r="BV874" i="1"/>
  <c r="AV505" i="1"/>
  <c r="AI808" i="1"/>
  <c r="AI158" i="1"/>
  <c r="AI937" i="1"/>
  <c r="AV129" i="1"/>
  <c r="AI672" i="1"/>
  <c r="AV629" i="1"/>
  <c r="BV812" i="1"/>
  <c r="AI797" i="1"/>
  <c r="AV141" i="1"/>
  <c r="BV455" i="1"/>
  <c r="AI942" i="1"/>
  <c r="AV85" i="1"/>
  <c r="BI80" i="1"/>
  <c r="BI252" i="1"/>
  <c r="AI291" i="1"/>
  <c r="AI932" i="1"/>
  <c r="BV428" i="1"/>
  <c r="BI134" i="1"/>
  <c r="AV334" i="1"/>
  <c r="AV533" i="1"/>
  <c r="AI25" i="1"/>
  <c r="BV110" i="1"/>
  <c r="AI703" i="1"/>
  <c r="BV624" i="1"/>
  <c r="BV526" i="1"/>
  <c r="AI761" i="1"/>
  <c r="AI151" i="1"/>
  <c r="AV595" i="1"/>
  <c r="AI876" i="1"/>
  <c r="AI119" i="1"/>
  <c r="BI494" i="1"/>
  <c r="BV67" i="1"/>
  <c r="AI630" i="1"/>
  <c r="AI692" i="1"/>
  <c r="AI855" i="1"/>
  <c r="AI743" i="1"/>
  <c r="AI556" i="1"/>
  <c r="AI62" i="1"/>
  <c r="AV593" i="1"/>
  <c r="AI160" i="1"/>
  <c r="BI247" i="1"/>
  <c r="AI322" i="1"/>
  <c r="BI873" i="1"/>
  <c r="AI637" i="1"/>
  <c r="AV408" i="1"/>
  <c r="BI275" i="1"/>
  <c r="BI328" i="1"/>
  <c r="BV337" i="1"/>
  <c r="BI445" i="1"/>
  <c r="AV714" i="1"/>
  <c r="AI223" i="1"/>
  <c r="AI305" i="1"/>
  <c r="BI944" i="1"/>
  <c r="AV862" i="1"/>
  <c r="AV816" i="1"/>
  <c r="AI394" i="1"/>
  <c r="BI304" i="1"/>
  <c r="BV672" i="1"/>
  <c r="AV410" i="1"/>
  <c r="AV106" i="1"/>
  <c r="AV892" i="1"/>
  <c r="BI625" i="1"/>
  <c r="AI450" i="1"/>
  <c r="AI758" i="1"/>
  <c r="BI851" i="1"/>
  <c r="AI901" i="1"/>
  <c r="AI1002" i="1"/>
  <c r="BV953" i="1"/>
  <c r="AI144" i="1"/>
  <c r="AV60" i="1"/>
  <c r="AV246" i="1"/>
  <c r="BI760" i="1"/>
  <c r="AI571" i="1"/>
  <c r="AI51" i="1"/>
  <c r="AI170" i="1"/>
  <c r="BI607" i="1"/>
  <c r="BI590" i="1"/>
  <c r="BV53" i="1"/>
  <c r="AV900" i="1"/>
  <c r="BV105" i="1"/>
  <c r="BI921" i="1"/>
  <c r="AV707" i="1"/>
  <c r="AV466" i="1"/>
  <c r="AV979" i="1"/>
  <c r="BV472" i="1"/>
  <c r="AI127" i="1"/>
  <c r="AI878" i="1"/>
  <c r="AV225" i="1"/>
  <c r="BI480" i="1"/>
  <c r="BI587" i="1"/>
  <c r="AI115" i="1"/>
  <c r="AI658" i="1"/>
  <c r="BI341" i="1"/>
  <c r="AV278" i="1"/>
  <c r="BI486" i="1"/>
  <c r="BV32" i="1"/>
  <c r="BV24" i="1"/>
  <c r="BV724" i="1"/>
  <c r="AI410" i="1"/>
  <c r="BV770" i="1"/>
  <c r="AI883" i="1"/>
  <c r="BV440" i="1"/>
  <c r="AV290" i="1"/>
  <c r="AI505" i="1"/>
  <c r="BV843" i="1"/>
  <c r="BV995" i="1"/>
  <c r="BV477" i="1"/>
  <c r="AI540" i="1"/>
  <c r="AI966" i="1"/>
  <c r="AI70" i="1"/>
  <c r="AI977" i="1"/>
  <c r="AI172" i="1"/>
  <c r="AI375" i="1"/>
  <c r="BV290" i="1"/>
  <c r="BI195" i="1"/>
  <c r="BV72" i="1"/>
  <c r="AI325" i="1"/>
  <c r="AI737" i="1"/>
  <c r="AI877" i="1"/>
  <c r="AI255" i="1"/>
  <c r="BV452" i="1"/>
  <c r="AI774" i="1"/>
  <c r="AV756" i="1"/>
  <c r="AI667" i="1"/>
  <c r="BI799" i="1"/>
  <c r="BV880" i="1"/>
  <c r="AV142" i="1"/>
  <c r="BI835" i="1"/>
  <c r="BV573" i="1"/>
  <c r="AI653" i="1"/>
  <c r="AV873" i="1"/>
  <c r="AV585" i="1"/>
  <c r="AI578" i="1"/>
  <c r="AV764" i="1"/>
  <c r="BI479" i="1"/>
  <c r="AV285" i="1"/>
  <c r="BV108" i="1"/>
  <c r="AV856" i="1"/>
  <c r="BV465" i="1"/>
  <c r="AI988" i="1"/>
  <c r="AI41" i="1"/>
  <c r="BV652" i="1"/>
  <c r="AI684" i="1"/>
  <c r="AV835" i="1"/>
  <c r="AI992" i="1"/>
  <c r="AI266" i="1"/>
  <c r="BI629" i="1"/>
  <c r="BI818" i="1"/>
  <c r="BV187" i="1"/>
  <c r="AV402" i="1"/>
  <c r="BI643" i="1"/>
  <c r="BI506" i="1"/>
  <c r="AI728" i="1"/>
  <c r="AI553" i="1"/>
  <c r="AV343" i="1"/>
  <c r="AV65" i="1"/>
  <c r="AV970" i="1"/>
  <c r="BV399" i="1"/>
  <c r="BI917" i="1"/>
  <c r="BI639" i="1"/>
  <c r="BI524" i="1"/>
  <c r="BV620" i="1"/>
  <c r="BI764" i="1"/>
  <c r="BV159" i="1"/>
  <c r="AI270" i="1"/>
  <c r="AI203" i="1"/>
  <c r="AI597" i="1"/>
  <c r="AV257" i="1"/>
  <c r="AI502" i="1"/>
  <c r="BI503" i="1"/>
  <c r="AV849" i="1"/>
  <c r="AI72" i="1"/>
  <c r="AI663" i="1"/>
  <c r="AI963" i="1"/>
  <c r="AI732" i="1"/>
  <c r="AI155" i="1"/>
  <c r="BV114" i="1"/>
  <c r="AV223" i="1"/>
  <c r="AV950" i="1"/>
  <c r="BV964" i="1"/>
  <c r="AI232" i="1"/>
  <c r="AI564" i="1"/>
  <c r="BI103" i="1"/>
  <c r="AI849" i="1"/>
  <c r="AV983" i="1"/>
  <c r="BI339" i="1"/>
  <c r="AV299" i="1"/>
  <c r="BI431" i="1"/>
  <c r="AV972" i="1"/>
  <c r="BI135" i="1"/>
  <c r="BI62" i="1"/>
  <c r="BI699" i="1"/>
  <c r="AI66" i="1"/>
  <c r="BI330" i="1"/>
  <c r="BI65" i="1"/>
  <c r="BI765" i="1"/>
  <c r="BI603" i="1"/>
  <c r="BV181" i="1"/>
  <c r="AV884" i="1"/>
  <c r="BI810" i="1"/>
  <c r="AV776" i="1"/>
  <c r="BV328" i="1"/>
  <c r="BV918" i="1"/>
  <c r="AV309" i="1"/>
  <c r="AI565" i="1"/>
  <c r="BI742" i="1"/>
  <c r="BV791" i="1"/>
  <c r="AV565" i="1"/>
  <c r="AV692" i="1"/>
  <c r="BI943" i="1"/>
  <c r="AV613" i="1"/>
  <c r="AI387" i="1"/>
  <c r="AV570" i="1"/>
  <c r="AV137" i="1"/>
  <c r="AV448" i="1"/>
  <c r="BV369" i="1"/>
  <c r="AV128" i="1"/>
  <c r="AV633" i="1"/>
  <c r="AV878" i="1"/>
  <c r="BI804" i="1"/>
  <c r="BI282" i="1"/>
  <c r="BV749" i="1"/>
  <c r="AV843" i="1"/>
  <c r="AI656" i="1"/>
  <c r="AV859" i="1"/>
  <c r="BV865" i="1"/>
  <c r="BI660" i="1"/>
  <c r="AV770" i="1"/>
  <c r="AV1002" i="1"/>
  <c r="BV908" i="1"/>
  <c r="BI648" i="1"/>
  <c r="BI649" i="1"/>
  <c r="BV528" i="1"/>
  <c r="BV656" i="1"/>
  <c r="BV956" i="1"/>
  <c r="AI252" i="1"/>
  <c r="AI467" i="1"/>
  <c r="AI314" i="1"/>
  <c r="BV537" i="1"/>
  <c r="BI788" i="1"/>
  <c r="BV831" i="1"/>
  <c r="AV30" i="1"/>
  <c r="AI178" i="1"/>
  <c r="AV985" i="1"/>
  <c r="AV851" i="1"/>
  <c r="BI759" i="1"/>
  <c r="AV377" i="1"/>
  <c r="AI445" i="1"/>
  <c r="BI225" i="1"/>
  <c r="BI358" i="1"/>
  <c r="AV542" i="1"/>
  <c r="AI106" i="1"/>
  <c r="BI60" i="1"/>
  <c r="BV117" i="1"/>
  <c r="AI455" i="1"/>
  <c r="AV188" i="1"/>
  <c r="BV313" i="1"/>
  <c r="BI296" i="1"/>
  <c r="AI150" i="1"/>
  <c r="AV301" i="1"/>
  <c r="BV839" i="1"/>
  <c r="AI267" i="1"/>
  <c r="AV544" i="1"/>
  <c r="BV459" i="1"/>
  <c r="BI289" i="1"/>
  <c r="BV149" i="1"/>
  <c r="BV329" i="1"/>
  <c r="AV495" i="1"/>
  <c r="BV928" i="1"/>
  <c r="BI734" i="1"/>
  <c r="AI98" i="1"/>
  <c r="AI917" i="1"/>
  <c r="AV340" i="1"/>
  <c r="BV706" i="1"/>
  <c r="BV357" i="1"/>
  <c r="BV269" i="1"/>
  <c r="AI770" i="1"/>
  <c r="AI892" i="1"/>
  <c r="BV249" i="1"/>
  <c r="BV834" i="1"/>
  <c r="AV693" i="1"/>
  <c r="BI983" i="1"/>
  <c r="BI316" i="1"/>
  <c r="AV529" i="1"/>
  <c r="BI385" i="1"/>
  <c r="BI430" i="1"/>
  <c r="BV350" i="1"/>
  <c r="AV921" i="1"/>
  <c r="AI831" i="1"/>
  <c r="AV680" i="1"/>
  <c r="AV312" i="1"/>
  <c r="AI185" i="1"/>
  <c r="AI26" i="1"/>
  <c r="BV65" i="1"/>
  <c r="BV642" i="1"/>
  <c r="AI265" i="1"/>
  <c r="AI733" i="1"/>
  <c r="AI751" i="1"/>
  <c r="AI986" i="1"/>
  <c r="AI54" i="1"/>
  <c r="AV464" i="1"/>
  <c r="AV809" i="1"/>
  <c r="AI118" i="1"/>
  <c r="BI562" i="1"/>
  <c r="BI924" i="1"/>
  <c r="AV52" i="1"/>
  <c r="AI807" i="1"/>
  <c r="AV489" i="1"/>
  <c r="AV465" i="1"/>
  <c r="AI221" i="1"/>
  <c r="AI655" i="1"/>
  <c r="AI987" i="1"/>
  <c r="AI441" i="1"/>
  <c r="AI782" i="1"/>
  <c r="BV721" i="1"/>
  <c r="BI683" i="1"/>
  <c r="BV23" i="1"/>
  <c r="BI527" i="1"/>
  <c r="AV628" i="1"/>
  <c r="BV622" i="1"/>
  <c r="BI219" i="1"/>
  <c r="BI502" i="1"/>
  <c r="BI461" i="1"/>
  <c r="BV593" i="1"/>
  <c r="AI814" i="1"/>
  <c r="AI869" i="1"/>
  <c r="AI970" i="1"/>
  <c r="BI400" i="1"/>
  <c r="BV735" i="1"/>
  <c r="BV951" i="1"/>
  <c r="BI701" i="1"/>
  <c r="BV315" i="1"/>
  <c r="AV504" i="1"/>
  <c r="BV754" i="1"/>
  <c r="AV274" i="1"/>
  <c r="BV920" i="1"/>
  <c r="AI496" i="1"/>
  <c r="BI684" i="1"/>
  <c r="BV254" i="1"/>
  <c r="AV786" i="1"/>
  <c r="BV630" i="1"/>
  <c r="AI483" i="1"/>
  <c r="BI40" i="1"/>
  <c r="BV604" i="1"/>
  <c r="BV79" i="1"/>
  <c r="AI340" i="1"/>
  <c r="BV351" i="1"/>
  <c r="BI167" i="1"/>
  <c r="AI527" i="1"/>
  <c r="AI515" i="1"/>
  <c r="AV960" i="1"/>
  <c r="BI543" i="1"/>
  <c r="AI649" i="1"/>
  <c r="AI311" i="1"/>
  <c r="AI134" i="1"/>
  <c r="AI122" i="1"/>
  <c r="BV66" i="1"/>
  <c r="BV844" i="1"/>
  <c r="BV21" i="1"/>
  <c r="BI752" i="1"/>
  <c r="BV163" i="1"/>
  <c r="AI404" i="1"/>
  <c r="AV20" i="1"/>
  <c r="BI930" i="1"/>
  <c r="AV445" i="1"/>
  <c r="AV196" i="1"/>
  <c r="BV779" i="1"/>
  <c r="BV259" i="1"/>
  <c r="AI961" i="1"/>
  <c r="BV29" i="1"/>
  <c r="AV909" i="1"/>
  <c r="AV66" i="1"/>
  <c r="BV985" i="1"/>
  <c r="BI966" i="1"/>
  <c r="BV696" i="1"/>
  <c r="BV160" i="1"/>
  <c r="AI822" i="1"/>
  <c r="AV263" i="1"/>
  <c r="AI156" i="1"/>
  <c r="BV213" i="1"/>
  <c r="BI188" i="1"/>
  <c r="AI56" i="1"/>
  <c r="AI61" i="1"/>
  <c r="BV806" i="1"/>
  <c r="AV108" i="1"/>
  <c r="BI291" i="1"/>
  <c r="AV394" i="1"/>
  <c r="BV857" i="1"/>
  <c r="AV712" i="1"/>
  <c r="AV172" i="1"/>
  <c r="BI594" i="1"/>
  <c r="AI835" i="1"/>
  <c r="BI601" i="1"/>
  <c r="BI305" i="1"/>
  <c r="BI33" i="1"/>
  <c r="BI204" i="1"/>
  <c r="BI474" i="1"/>
  <c r="AV941" i="1"/>
  <c r="BV195" i="1"/>
  <c r="BI257" i="1"/>
  <c r="BV458" i="1"/>
  <c r="AI902" i="1"/>
  <c r="AI146" i="1"/>
  <c r="AI720" i="1"/>
  <c r="BV957" i="1"/>
  <c r="AV725" i="1"/>
  <c r="BI109" i="1"/>
  <c r="AV376" i="1"/>
  <c r="BI579" i="1"/>
  <c r="BV675" i="1"/>
  <c r="BV878" i="1"/>
  <c r="BI988" i="1"/>
  <c r="BI747" i="1"/>
  <c r="AV591" i="1"/>
  <c r="AI868" i="1"/>
  <c r="AI555" i="1"/>
  <c r="AI92" i="1"/>
  <c r="BV568" i="1"/>
  <c r="AI705" i="1"/>
  <c r="AI216" i="1"/>
  <c r="BV727" i="1"/>
  <c r="BV983" i="1"/>
  <c r="BI306" i="1"/>
  <c r="AV32" i="1"/>
  <c r="BI182" i="1"/>
  <c r="BI409" i="1"/>
  <c r="AV64" i="1"/>
  <c r="BI940" i="1"/>
  <c r="AI102" i="1"/>
  <c r="AI46" i="1"/>
  <c r="BI844" i="1"/>
  <c r="BV175" i="1"/>
  <c r="BV945" i="1"/>
  <c r="BI616" i="1"/>
  <c r="BV867" i="1"/>
  <c r="BV817" i="1"/>
  <c r="BV441" i="1"/>
  <c r="BI121" i="1"/>
  <c r="BV390" i="1"/>
  <c r="AI981" i="1"/>
  <c r="AI15" i="1"/>
  <c r="AV249" i="1"/>
  <c r="BI344" i="1"/>
  <c r="BV402" i="1"/>
  <c r="BI671" i="1"/>
  <c r="AV103" i="1"/>
  <c r="AV364" i="1"/>
  <c r="AV936" i="1"/>
  <c r="BV435" i="1"/>
  <c r="AV513" i="1"/>
  <c r="BV449" i="1"/>
  <c r="BI971" i="1"/>
  <c r="AV125" i="1"/>
  <c r="AV797" i="1"/>
  <c r="BV577" i="1"/>
  <c r="AI95" i="1"/>
  <c r="AI639" i="1"/>
  <c r="BV1004" i="1"/>
  <c r="BI597" i="1"/>
  <c r="AV478" i="1"/>
  <c r="BI269" i="1"/>
  <c r="BV279" i="1"/>
  <c r="BI781" i="1"/>
  <c r="BI716" i="1"/>
  <c r="BI646" i="1"/>
  <c r="BV27" i="1"/>
  <c r="AV326" i="1"/>
  <c r="AV160" i="1"/>
  <c r="BV377" i="1"/>
  <c r="BI534" i="1"/>
  <c r="BI692" i="1"/>
  <c r="AV782" i="1"/>
  <c r="BY782" i="1" s="1"/>
  <c r="BI496" i="1"/>
  <c r="BI841" i="1"/>
  <c r="BV816" i="1"/>
  <c r="BI66" i="1"/>
  <c r="BV141" i="1"/>
  <c r="BI112" i="1"/>
  <c r="BI88" i="1"/>
  <c r="AV17" i="1"/>
  <c r="AV380" i="1"/>
  <c r="AV202" i="1"/>
  <c r="BV364" i="1"/>
  <c r="BI89" i="1"/>
  <c r="BV378" i="1"/>
  <c r="BI960" i="1"/>
  <c r="BI383" i="1"/>
  <c r="BI687" i="1"/>
  <c r="AV71" i="1"/>
  <c r="BI37" i="1"/>
  <c r="BI456" i="1"/>
  <c r="BV773" i="1"/>
  <c r="BV75" i="1"/>
  <c r="BI118" i="1"/>
  <c r="AI900" i="1"/>
  <c r="BI284" i="1"/>
  <c r="BI56" i="1"/>
  <c r="BV266" i="1"/>
  <c r="AI192" i="1"/>
  <c r="AI427" i="1"/>
  <c r="BI382" i="1"/>
  <c r="BV467" i="1"/>
  <c r="AV203" i="1"/>
  <c r="BI967" i="1"/>
  <c r="BV538" i="1"/>
  <c r="BI976" i="1"/>
  <c r="AV690" i="1"/>
  <c r="BI682" i="1"/>
  <c r="BV638" i="1"/>
  <c r="AV22" i="1"/>
  <c r="BI298" i="1"/>
  <c r="BV780" i="1"/>
  <c r="BV485" i="1"/>
  <c r="BI29" i="1"/>
  <c r="BV498" i="1"/>
  <c r="BI491" i="1"/>
  <c r="BV178" i="1"/>
  <c r="AV997" i="1"/>
  <c r="BI592" i="1"/>
  <c r="BI868" i="1"/>
  <c r="BI856" i="1"/>
  <c r="AV551" i="1"/>
  <c r="BI928" i="1"/>
  <c r="BI749" i="1"/>
  <c r="BV745" i="1"/>
  <c r="BV894" i="1"/>
  <c r="BI611" i="1"/>
  <c r="AV703" i="1"/>
  <c r="BV261" i="1"/>
  <c r="BI469" i="1"/>
  <c r="BI563" i="1"/>
  <c r="BV594" i="1"/>
  <c r="BI110" i="1"/>
  <c r="BI970" i="1"/>
  <c r="BV280" i="1"/>
  <c r="AV702" i="1"/>
  <c r="AV208" i="1"/>
  <c r="AI316" i="1"/>
  <c r="BV703" i="1"/>
  <c r="BV616" i="1"/>
  <c r="AV187" i="1"/>
  <c r="BV322" i="1"/>
  <c r="AI273" i="1"/>
  <c r="BV948" i="1"/>
  <c r="AV597" i="1"/>
  <c r="AV114" i="1"/>
  <c r="BI797" i="1"/>
  <c r="AV854" i="1"/>
  <c r="AV455" i="1"/>
  <c r="BI248" i="1"/>
  <c r="AV421" i="1"/>
  <c r="BV204" i="1"/>
  <c r="AI817" i="1"/>
  <c r="AI461" i="1"/>
  <c r="BV277" i="1"/>
  <c r="AV557" i="1"/>
  <c r="BI602" i="1"/>
  <c r="AI710" i="1"/>
  <c r="AI928" i="1"/>
  <c r="BY928" i="1" s="1"/>
  <c r="AV348" i="1"/>
  <c r="BV380" i="1"/>
  <c r="BV81" i="1"/>
  <c r="BI374" i="1"/>
  <c r="BI627" i="1"/>
  <c r="BI390" i="1"/>
  <c r="BI99" i="1"/>
  <c r="AV846" i="1"/>
  <c r="AV406" i="1"/>
  <c r="AV686" i="1"/>
  <c r="BI511" i="1"/>
  <c r="AI842" i="1"/>
  <c r="BI800" i="1"/>
  <c r="BV507" i="1"/>
  <c r="BI124" i="1"/>
  <c r="AV314" i="1"/>
  <c r="BI260" i="1"/>
  <c r="BI937" i="1"/>
  <c r="AV718" i="1"/>
  <c r="BV190" i="1"/>
  <c r="BV824" i="1"/>
  <c r="AV432" i="1"/>
  <c r="BI420" i="1"/>
  <c r="AV381" i="1"/>
  <c r="BI955" i="1"/>
  <c r="BI746" i="1"/>
  <c r="AV860" i="1"/>
  <c r="BV990" i="1"/>
  <c r="AV947" i="1"/>
  <c r="BV155" i="1"/>
  <c r="BV228" i="1"/>
  <c r="AV931" i="1"/>
  <c r="AV265" i="1"/>
  <c r="BI466" i="1"/>
  <c r="AI234" i="1"/>
  <c r="AI384" i="1"/>
  <c r="BV859" i="1"/>
  <c r="BI281" i="1"/>
  <c r="AI121" i="1"/>
  <c r="AV131" i="1"/>
  <c r="AI96" i="1"/>
  <c r="BV579" i="1"/>
  <c r="AV943" i="1"/>
  <c r="BI953" i="1"/>
  <c r="BI705" i="1"/>
  <c r="BI86" i="1"/>
  <c r="BV673" i="1"/>
  <c r="BI934" i="1"/>
  <c r="BI32" i="1"/>
  <c r="BI918" i="1"/>
  <c r="BV394" i="1"/>
  <c r="BI792" i="1"/>
  <c r="BI331" i="1"/>
  <c r="BI229" i="1"/>
  <c r="BI919" i="1"/>
  <c r="BI151" i="1"/>
  <c r="BI608" i="1"/>
  <c r="BV410" i="1"/>
  <c r="BI495" i="1"/>
  <c r="BV37" i="1"/>
  <c r="AV475" i="1"/>
  <c r="BI691" i="1"/>
  <c r="AV890" i="1"/>
  <c r="BV702" i="1"/>
  <c r="BV684" i="1"/>
  <c r="AV635" i="1"/>
  <c r="BI626" i="1"/>
  <c r="BI565" i="1"/>
  <c r="AV524" i="1"/>
  <c r="BI440" i="1"/>
  <c r="BI638" i="1"/>
  <c r="BI729" i="1"/>
  <c r="AV41" i="1"/>
  <c r="BV924" i="1"/>
  <c r="BI192" i="1"/>
  <c r="BV777" i="1"/>
  <c r="BV549" i="1"/>
  <c r="AV47" i="1"/>
  <c r="BV585" i="1"/>
  <c r="BV476" i="1"/>
  <c r="BI288" i="1"/>
  <c r="BI722" i="1"/>
  <c r="AV855" i="1"/>
  <c r="BI708" i="1"/>
  <c r="AV916" i="1"/>
  <c r="BI123" i="1"/>
  <c r="BV571" i="1"/>
  <c r="AV382" i="1"/>
  <c r="BV916" i="1"/>
  <c r="BI735" i="1"/>
  <c r="BI197" i="1"/>
  <c r="BI707" i="1"/>
  <c r="BV818" i="1"/>
  <c r="BI42" i="1"/>
  <c r="BI120" i="1"/>
  <c r="BV218" i="1"/>
  <c r="BV16" i="1"/>
  <c r="BV153" i="1"/>
  <c r="BI163" i="1"/>
  <c r="BI446" i="1"/>
  <c r="AV237" i="1"/>
  <c r="BV974" i="1"/>
  <c r="AV287" i="1"/>
  <c r="BI9" i="1"/>
  <c r="BI335" i="1"/>
  <c r="BI196" i="1"/>
  <c r="AV752" i="1"/>
  <c r="BV815" i="1"/>
  <c r="BV123" i="1"/>
  <c r="AV604" i="1"/>
  <c r="BI669" i="1"/>
  <c r="BI904" i="1"/>
  <c r="BV564" i="1"/>
  <c r="AV275" i="1"/>
  <c r="BI950" i="1"/>
  <c r="BV694" i="1"/>
  <c r="AV25" i="1"/>
  <c r="AV345" i="1"/>
  <c r="AV316" i="1"/>
  <c r="BI666" i="1"/>
  <c r="BI434" i="1"/>
  <c r="BV379" i="1"/>
  <c r="BI823" i="1"/>
  <c r="BI338" i="1"/>
  <c r="BI504" i="1"/>
  <c r="BV566" i="1"/>
  <c r="BI17" i="1"/>
  <c r="BV7" i="1"/>
  <c r="BV849" i="1"/>
  <c r="BV309" i="1"/>
  <c r="BI240" i="1"/>
  <c r="F50" i="80"/>
  <c r="R41" i="51"/>
  <c r="K49" i="51"/>
  <c r="J45" i="51"/>
  <c r="C69" i="51"/>
  <c r="B70" i="51" a="1"/>
  <c r="B70" i="51"/>
  <c r="C81" i="80"/>
  <c r="B82" i="80" a="1"/>
  <c r="B82" i="80"/>
  <c r="B5" i="1"/>
  <c r="CC5" i="1" s="1"/>
  <c r="BI766" i="1"/>
  <c r="BI426" i="1"/>
  <c r="AV594" i="1"/>
  <c r="AV387" i="1"/>
  <c r="BV559" i="1"/>
  <c r="AV76" i="1"/>
  <c r="AI615" i="1"/>
  <c r="AV620" i="1"/>
  <c r="BI8" i="1"/>
  <c r="BI433" i="1"/>
  <c r="BI104" i="1"/>
  <c r="BI763" i="1"/>
  <c r="BV142" i="1"/>
  <c r="BI600" i="1"/>
  <c r="AV645" i="1"/>
  <c r="AV414" i="1"/>
  <c r="AV897" i="1"/>
  <c r="AV415" i="1"/>
  <c r="AI407" i="1"/>
  <c r="AI93" i="1"/>
  <c r="AI757" i="1"/>
  <c r="AI85" i="1"/>
  <c r="AI693" i="1"/>
  <c r="AI250" i="1"/>
  <c r="BY692" i="1"/>
  <c r="BY849" i="1"/>
  <c r="BY103" i="1"/>
  <c r="C70" i="51"/>
  <c r="B71" i="51" a="1"/>
  <c r="B71" i="51"/>
  <c r="C82" i="80"/>
  <c r="B83" i="80" a="1"/>
  <c r="B83" i="80"/>
  <c r="B84" i="80" a="1"/>
  <c r="B84" i="80"/>
  <c r="C83" i="80"/>
  <c r="C71" i="51"/>
  <c r="B72" i="51" a="1"/>
  <c r="B72" i="51"/>
  <c r="C72" i="51"/>
  <c r="B73" i="51" a="1"/>
  <c r="B73" i="51"/>
  <c r="C84" i="80"/>
  <c r="B85" i="80" a="1"/>
  <c r="B85" i="80"/>
  <c r="C73" i="51"/>
  <c r="B74" i="51" a="1"/>
  <c r="B74" i="51"/>
  <c r="C85" i="80"/>
  <c r="B86" i="80" a="1"/>
  <c r="B86" i="80"/>
  <c r="C86" i="80"/>
  <c r="B87" i="80" a="1"/>
  <c r="B87" i="80"/>
  <c r="C74" i="51"/>
  <c r="B75" i="51" a="1"/>
  <c r="B75" i="51"/>
  <c r="C87" i="80"/>
  <c r="B88" i="80" a="1"/>
  <c r="B88" i="80"/>
  <c r="C75" i="51"/>
  <c r="B76" i="51" a="1"/>
  <c r="B76" i="51"/>
  <c r="G204" i="1"/>
  <c r="B204" i="1"/>
  <c r="B955" i="1"/>
  <c r="G955" i="1"/>
  <c r="C88" i="80"/>
  <c r="B89" i="80" a="1"/>
  <c r="B89" i="80"/>
  <c r="C76" i="51"/>
  <c r="B77" i="51" a="1"/>
  <c r="B77" i="51"/>
  <c r="C77" i="51"/>
  <c r="B78" i="51" a="1"/>
  <c r="B78" i="51"/>
  <c r="C89" i="80"/>
  <c r="B90" i="80" a="1"/>
  <c r="B90" i="80"/>
  <c r="C90" i="80"/>
  <c r="B91" i="80" a="1"/>
  <c r="B91" i="80"/>
  <c r="C78" i="51"/>
  <c r="B79" i="51" a="1"/>
  <c r="B79" i="51"/>
  <c r="B873" i="1"/>
  <c r="G873" i="1"/>
  <c r="B524" i="1"/>
  <c r="G524" i="1"/>
  <c r="G89" i="1"/>
  <c r="B89" i="1"/>
  <c r="G26" i="1"/>
  <c r="B26" i="1"/>
  <c r="B616" i="1"/>
  <c r="G616" i="1"/>
  <c r="B541" i="1"/>
  <c r="G541" i="1"/>
  <c r="B120" i="1"/>
  <c r="G120" i="1"/>
  <c r="G908" i="1"/>
  <c r="B908" i="1"/>
  <c r="B334" i="1"/>
  <c r="G334" i="1"/>
  <c r="G733" i="1"/>
  <c r="B733" i="1"/>
  <c r="G540" i="1"/>
  <c r="B540" i="1"/>
  <c r="G383" i="1"/>
  <c r="B383" i="1"/>
  <c r="B114" i="1"/>
  <c r="G114" i="1"/>
  <c r="G199" i="1"/>
  <c r="B199" i="1"/>
  <c r="G189" i="1"/>
  <c r="B189" i="1"/>
  <c r="G181" i="1"/>
  <c r="B181" i="1"/>
  <c r="G380" i="1"/>
  <c r="B380" i="1"/>
  <c r="B961" i="1"/>
  <c r="G961" i="1"/>
  <c r="B762" i="1"/>
  <c r="G762" i="1"/>
  <c r="G217" i="1"/>
  <c r="B217" i="1"/>
  <c r="B19" i="1"/>
  <c r="G19" i="1"/>
  <c r="B202" i="1"/>
  <c r="G202" i="1"/>
  <c r="B218" i="1"/>
  <c r="G218" i="1"/>
  <c r="G192" i="1"/>
  <c r="B192" i="1"/>
  <c r="G313" i="1"/>
  <c r="B313" i="1"/>
  <c r="B213" i="1"/>
  <c r="G213" i="1"/>
  <c r="B514" i="1"/>
  <c r="G514" i="1"/>
  <c r="G462" i="1"/>
  <c r="B462" i="1"/>
  <c r="G184" i="1"/>
  <c r="B184" i="1"/>
  <c r="B113" i="1"/>
  <c r="G113" i="1"/>
  <c r="B827" i="1"/>
  <c r="G827" i="1"/>
  <c r="B331" i="1"/>
  <c r="G331" i="1"/>
  <c r="B746" i="1"/>
  <c r="G746" i="1"/>
  <c r="B793" i="1"/>
  <c r="G793" i="1"/>
  <c r="B437" i="1"/>
  <c r="G437" i="1"/>
  <c r="G447" i="1"/>
  <c r="B447" i="1"/>
  <c r="B885" i="1"/>
  <c r="G885" i="1"/>
  <c r="B791" i="1"/>
  <c r="G791" i="1"/>
  <c r="G11" i="1"/>
  <c r="B11" i="1"/>
  <c r="B136" i="1"/>
  <c r="G136" i="1"/>
  <c r="G265" i="1"/>
  <c r="B265" i="1"/>
  <c r="B823" i="1"/>
  <c r="G823" i="1"/>
  <c r="B486" i="1"/>
  <c r="G486" i="1"/>
  <c r="B233" i="1"/>
  <c r="G233" i="1"/>
  <c r="B320" i="1"/>
  <c r="G320" i="1"/>
  <c r="B520" i="1"/>
  <c r="G520" i="1"/>
  <c r="B972" i="1"/>
  <c r="G972" i="1"/>
  <c r="B724" i="1"/>
  <c r="G724" i="1"/>
  <c r="B971" i="1"/>
  <c r="G971" i="1"/>
  <c r="G569" i="1"/>
  <c r="B569" i="1"/>
  <c r="B441" i="1"/>
  <c r="G441" i="1"/>
  <c r="B643" i="1"/>
  <c r="G643" i="1"/>
  <c r="B741" i="1"/>
  <c r="G741" i="1"/>
  <c r="B958" i="1"/>
  <c r="G958" i="1"/>
  <c r="G337" i="1"/>
  <c r="B337" i="1"/>
  <c r="G999" i="1"/>
  <c r="B999" i="1"/>
  <c r="G435" i="1"/>
  <c r="B435" i="1"/>
  <c r="B992" i="1"/>
  <c r="G992" i="1"/>
  <c r="B101" i="1"/>
  <c r="G101" i="1"/>
  <c r="G340" i="1"/>
  <c r="B340" i="1"/>
  <c r="G934" i="1"/>
  <c r="B934" i="1"/>
  <c r="B517" i="1"/>
  <c r="G517" i="1"/>
  <c r="G284" i="1"/>
  <c r="B284" i="1"/>
  <c r="G191" i="1"/>
  <c r="B191" i="1"/>
  <c r="B686" i="1"/>
  <c r="G686" i="1"/>
  <c r="G289" i="1"/>
  <c r="B289" i="1"/>
  <c r="B775" i="1"/>
  <c r="G775" i="1"/>
  <c r="G16" i="1"/>
  <c r="B16" i="1"/>
  <c r="B548" i="1"/>
  <c r="G548" i="1"/>
  <c r="G41" i="1"/>
  <c r="B41" i="1"/>
  <c r="G576" i="1"/>
  <c r="B576" i="1"/>
  <c r="G678" i="1"/>
  <c r="B678" i="1"/>
  <c r="G300" i="1"/>
  <c r="B300" i="1"/>
  <c r="B805" i="1"/>
  <c r="G805" i="1"/>
  <c r="B412" i="1"/>
  <c r="G412" i="1"/>
  <c r="G776" i="1"/>
  <c r="B776" i="1"/>
  <c r="G216" i="1"/>
  <c r="B216" i="1"/>
  <c r="B857" i="1"/>
  <c r="G857" i="1"/>
  <c r="B770" i="1"/>
  <c r="G770" i="1"/>
  <c r="B205" i="1"/>
  <c r="G205" i="1"/>
  <c r="G240" i="1"/>
  <c r="B240" i="1"/>
  <c r="B814" i="1"/>
  <c r="G814" i="1"/>
  <c r="B871" i="1"/>
  <c r="G871" i="1"/>
  <c r="G428" i="1"/>
  <c r="B428" i="1"/>
  <c r="B669" i="1"/>
  <c r="G669" i="1"/>
  <c r="G952" i="1"/>
  <c r="B952" i="1"/>
  <c r="B163" i="1"/>
  <c r="G163" i="1"/>
  <c r="B757" i="1"/>
  <c r="G757" i="1"/>
  <c r="B510" i="1"/>
  <c r="G510" i="1"/>
  <c r="G930" i="1"/>
  <c r="B930" i="1"/>
  <c r="B39" i="1"/>
  <c r="G39" i="1"/>
  <c r="B984" i="1"/>
  <c r="G984" i="1"/>
  <c r="B343" i="1"/>
  <c r="G343" i="1"/>
  <c r="G105" i="1"/>
  <c r="B105" i="1"/>
  <c r="B521" i="1"/>
  <c r="G521" i="1"/>
  <c r="G639" i="1"/>
  <c r="B639" i="1"/>
  <c r="B348" i="1"/>
  <c r="G348" i="1"/>
  <c r="G54" i="1"/>
  <c r="B54" i="1"/>
  <c r="B835" i="1"/>
  <c r="G835" i="1"/>
  <c r="G597" i="1"/>
  <c r="B597" i="1"/>
  <c r="G463" i="1"/>
  <c r="B463" i="1"/>
  <c r="B159" i="1"/>
  <c r="G159" i="1"/>
  <c r="B274" i="1"/>
  <c r="G274" i="1"/>
  <c r="B36" i="1"/>
  <c r="G36" i="1"/>
  <c r="B262" i="1"/>
  <c r="G262" i="1"/>
  <c r="B716" i="1"/>
  <c r="G716" i="1"/>
  <c r="B160" i="1"/>
  <c r="G160" i="1"/>
  <c r="B394" i="1"/>
  <c r="G394" i="1"/>
  <c r="G140" i="1"/>
  <c r="B140" i="1"/>
  <c r="G799" i="1"/>
  <c r="B799" i="1"/>
  <c r="G803" i="1"/>
  <c r="B803" i="1"/>
  <c r="B177" i="1"/>
  <c r="G177" i="1"/>
  <c r="B145" i="1"/>
  <c r="G145" i="1"/>
  <c r="B845" i="1"/>
  <c r="G845" i="1"/>
  <c r="B884" i="1"/>
  <c r="G884" i="1"/>
  <c r="G210" i="1"/>
  <c r="B210" i="1"/>
  <c r="B998" i="1"/>
  <c r="G998" i="1"/>
  <c r="G528" i="1"/>
  <c r="B528" i="1"/>
  <c r="G384" i="1"/>
  <c r="B384" i="1"/>
  <c r="B424" i="1"/>
  <c r="G424" i="1"/>
  <c r="G609" i="1"/>
  <c r="B609" i="1"/>
  <c r="G93" i="1"/>
  <c r="B93" i="1"/>
  <c r="G680" i="1"/>
  <c r="B680" i="1"/>
  <c r="B982" i="1"/>
  <c r="G982" i="1"/>
  <c r="G829" i="1"/>
  <c r="B829" i="1"/>
  <c r="B257" i="1"/>
  <c r="G257" i="1"/>
  <c r="G190" i="1"/>
  <c r="B190" i="1"/>
  <c r="G743" i="1"/>
  <c r="B743" i="1"/>
  <c r="G1000" i="1"/>
  <c r="B1000" i="1"/>
  <c r="G978" i="1"/>
  <c r="B978" i="1"/>
  <c r="G489" i="1"/>
  <c r="B489" i="1"/>
  <c r="G667" i="1"/>
  <c r="B667" i="1"/>
  <c r="B839" i="1"/>
  <c r="G839" i="1"/>
  <c r="G851" i="1"/>
  <c r="B851" i="1"/>
  <c r="B505" i="1"/>
  <c r="G505" i="1"/>
  <c r="G937" i="1"/>
  <c r="B937" i="1"/>
  <c r="G440" i="1"/>
  <c r="B440" i="1"/>
  <c r="G63" i="1"/>
  <c r="B63" i="1"/>
  <c r="B594" i="1"/>
  <c r="G594" i="1"/>
  <c r="G761" i="1"/>
  <c r="B761" i="1"/>
  <c r="G844" i="1"/>
  <c r="B844" i="1"/>
  <c r="B476" i="1"/>
  <c r="G476" i="1"/>
  <c r="G147" i="1"/>
  <c r="B147" i="1"/>
  <c r="B363" i="1"/>
  <c r="G363" i="1"/>
  <c r="B633" i="1"/>
  <c r="G633" i="1"/>
  <c r="B591" i="1"/>
  <c r="G591" i="1"/>
  <c r="B303" i="1"/>
  <c r="G303" i="1"/>
  <c r="G509" i="1"/>
  <c r="B509" i="1"/>
  <c r="G150" i="1"/>
  <c r="B150" i="1"/>
  <c r="G656" i="1"/>
  <c r="B656" i="1"/>
  <c r="B962" i="1"/>
  <c r="G962" i="1"/>
  <c r="G660" i="1"/>
  <c r="B660" i="1"/>
  <c r="B90" i="1"/>
  <c r="G90" i="1"/>
  <c r="G103" i="1"/>
  <c r="B103" i="1"/>
  <c r="G133" i="1"/>
  <c r="B133" i="1"/>
  <c r="B920" i="1"/>
  <c r="G920" i="1"/>
  <c r="B987" i="1"/>
  <c r="G987" i="1"/>
  <c r="B888" i="1"/>
  <c r="G888" i="1"/>
  <c r="G902" i="1"/>
  <c r="B902" i="1"/>
  <c r="G708" i="1"/>
  <c r="B708" i="1"/>
  <c r="G625" i="1"/>
  <c r="B625" i="1"/>
  <c r="G13" i="1"/>
  <c r="B13" i="1"/>
  <c r="B511" i="1"/>
  <c r="G511" i="1"/>
  <c r="B649" i="1"/>
  <c r="G649" i="1"/>
  <c r="G869" i="1"/>
  <c r="B869" i="1"/>
  <c r="B572" i="1"/>
  <c r="G572" i="1"/>
  <c r="B763" i="1"/>
  <c r="G763" i="1"/>
  <c r="G957" i="1"/>
  <c r="B957" i="1"/>
  <c r="B221" i="1"/>
  <c r="G221" i="1"/>
  <c r="B355" i="1"/>
  <c r="G355" i="1"/>
  <c r="G50" i="1"/>
  <c r="B50" i="1"/>
  <c r="B581" i="1"/>
  <c r="G581" i="1"/>
  <c r="G228" i="1"/>
  <c r="B228" i="1"/>
  <c r="B333" i="1"/>
  <c r="G333" i="1"/>
  <c r="G9" i="1"/>
  <c r="B9" i="1"/>
  <c r="B600" i="1"/>
  <c r="G600" i="1"/>
  <c r="G195" i="1"/>
  <c r="B195" i="1"/>
  <c r="G38" i="1"/>
  <c r="B38" i="1"/>
  <c r="B1002" i="1"/>
  <c r="G1002" i="1"/>
  <c r="G614" i="1"/>
  <c r="B614" i="1"/>
  <c r="B482" i="1"/>
  <c r="G482" i="1"/>
  <c r="B369" i="1"/>
  <c r="G369" i="1"/>
  <c r="G465" i="1"/>
  <c r="B465" i="1"/>
  <c r="G610" i="1"/>
  <c r="B610" i="1"/>
  <c r="G821" i="1"/>
  <c r="B821" i="1"/>
  <c r="B250" i="1"/>
  <c r="G250" i="1"/>
  <c r="B71" i="1"/>
  <c r="G71" i="1"/>
  <c r="B834" i="1"/>
  <c r="G834" i="1"/>
  <c r="B522" i="1"/>
  <c r="G522" i="1"/>
  <c r="B55" i="1"/>
  <c r="G55" i="1"/>
  <c r="B224" i="1"/>
  <c r="G224" i="1"/>
  <c r="G979" i="1"/>
  <c r="B979" i="1"/>
  <c r="B676" i="1"/>
  <c r="G676" i="1"/>
  <c r="B566" i="1"/>
  <c r="G566" i="1"/>
  <c r="B81" i="1"/>
  <c r="G81" i="1"/>
  <c r="G297" i="1"/>
  <c r="B297" i="1"/>
  <c r="G507" i="1"/>
  <c r="B507" i="1"/>
  <c r="B543" i="1"/>
  <c r="G543" i="1"/>
  <c r="B749" i="1"/>
  <c r="G749" i="1"/>
  <c r="B29" i="1"/>
  <c r="G29" i="1"/>
  <c r="G655" i="1"/>
  <c r="B655" i="1"/>
  <c r="B501" i="1"/>
  <c r="G501" i="1"/>
  <c r="B405" i="1"/>
  <c r="G405" i="1"/>
  <c r="B928" i="1"/>
  <c r="G928" i="1"/>
  <c r="B282" i="1"/>
  <c r="G282" i="1"/>
  <c r="G562" i="1"/>
  <c r="B562" i="1"/>
  <c r="G116" i="1"/>
  <c r="B116" i="1"/>
  <c r="G391" i="1"/>
  <c r="B391" i="1"/>
  <c r="B135" i="1"/>
  <c r="G135" i="1"/>
  <c r="B744" i="1"/>
  <c r="G744" i="1"/>
  <c r="G661" i="1"/>
  <c r="B661" i="1"/>
  <c r="G515" i="1"/>
  <c r="B515" i="1"/>
  <c r="B366" i="1"/>
  <c r="G366" i="1"/>
  <c r="G65" i="1"/>
  <c r="B65" i="1"/>
  <c r="B849" i="1"/>
  <c r="G849" i="1"/>
  <c r="B458" i="1"/>
  <c r="G458" i="1"/>
  <c r="G997" i="1"/>
  <c r="B997" i="1"/>
  <c r="G299" i="1"/>
  <c r="B299" i="1"/>
  <c r="G231" i="1"/>
  <c r="B231" i="1"/>
  <c r="G691" i="1"/>
  <c r="B691" i="1"/>
  <c r="B798" i="1"/>
  <c r="G798" i="1"/>
  <c r="G243" i="1"/>
  <c r="B243" i="1"/>
  <c r="G642" i="1"/>
  <c r="B642" i="1"/>
  <c r="B765" i="1"/>
  <c r="G765" i="1"/>
  <c r="B146" i="1"/>
  <c r="G146" i="1"/>
  <c r="G948" i="1"/>
  <c r="B948" i="1"/>
  <c r="G968" i="1"/>
  <c r="B968" i="1"/>
  <c r="B617" i="1"/>
  <c r="G617" i="1"/>
  <c r="G830" i="1"/>
  <c r="B830" i="1"/>
  <c r="B426" i="1"/>
  <c r="G426" i="1"/>
  <c r="G1003" i="1"/>
  <c r="B1003" i="1"/>
  <c r="B342" i="1"/>
  <c r="G342" i="1"/>
  <c r="G768" i="1"/>
  <c r="B768" i="1"/>
  <c r="G473" i="1"/>
  <c r="B473" i="1"/>
  <c r="B21" i="1"/>
  <c r="G21" i="1"/>
  <c r="G212" i="1"/>
  <c r="B212" i="1"/>
  <c r="B601" i="1"/>
  <c r="G601" i="1"/>
  <c r="B737" i="1"/>
  <c r="G737" i="1"/>
  <c r="B420" i="1"/>
  <c r="G420" i="1"/>
  <c r="B981" i="1"/>
  <c r="G981" i="1"/>
  <c r="G760" i="1"/>
  <c r="B760" i="1"/>
  <c r="B287" i="1"/>
  <c r="G287" i="1"/>
  <c r="B947" i="1"/>
  <c r="G947" i="1"/>
  <c r="B315" i="1"/>
  <c r="G315" i="1"/>
  <c r="G550" i="1"/>
  <c r="B550" i="1"/>
  <c r="B407" i="1"/>
  <c r="G407" i="1"/>
  <c r="G815" i="1"/>
  <c r="B815" i="1"/>
  <c r="G651" i="1"/>
  <c r="B651" i="1"/>
  <c r="B666" i="1"/>
  <c r="G666" i="1"/>
  <c r="G419" i="1"/>
  <c r="B419" i="1"/>
  <c r="G149" i="1"/>
  <c r="B149" i="1"/>
  <c r="G247" i="1"/>
  <c r="B247" i="1"/>
  <c r="G20" i="1"/>
  <c r="B20" i="1"/>
  <c r="G629" i="1"/>
  <c r="B629" i="1"/>
  <c r="G175" i="1"/>
  <c r="B175" i="1"/>
  <c r="B393" i="1"/>
  <c r="G393" i="1"/>
  <c r="G500" i="1"/>
  <c r="B500" i="1"/>
  <c r="G143" i="1"/>
  <c r="B143" i="1"/>
  <c r="G712" i="1"/>
  <c r="B712" i="1"/>
  <c r="B397" i="1"/>
  <c r="G397" i="1"/>
  <c r="B58" i="1"/>
  <c r="G58" i="1"/>
  <c r="B17" i="1"/>
  <c r="G17" i="1"/>
  <c r="G538" i="1"/>
  <c r="B538" i="1"/>
  <c r="B704" i="1"/>
  <c r="G704" i="1"/>
  <c r="B988" i="1"/>
  <c r="G988" i="1"/>
  <c r="B49" i="1"/>
  <c r="G49" i="1"/>
  <c r="G335" i="1"/>
  <c r="B335" i="1"/>
  <c r="B10" i="1"/>
  <c r="G10" i="1"/>
  <c r="G165" i="1"/>
  <c r="B165" i="1"/>
  <c r="B456" i="1"/>
  <c r="G456" i="1"/>
  <c r="B558" i="1"/>
  <c r="G558" i="1"/>
  <c r="B912" i="1"/>
  <c r="G912" i="1"/>
  <c r="G595" i="1"/>
  <c r="B595" i="1"/>
  <c r="B151" i="1"/>
  <c r="G151" i="1"/>
  <c r="B1004" i="1"/>
  <c r="G1004" i="1"/>
  <c r="B872" i="1"/>
  <c r="G872" i="1"/>
  <c r="G589" i="1"/>
  <c r="B589" i="1"/>
  <c r="B924" i="1"/>
  <c r="G924" i="1"/>
  <c r="B34" i="1"/>
  <c r="G34" i="1"/>
  <c r="G796" i="1"/>
  <c r="B796" i="1"/>
  <c r="B241" i="1"/>
  <c r="G241" i="1"/>
  <c r="G1001" i="1"/>
  <c r="B1001" i="1"/>
  <c r="B28" i="1"/>
  <c r="G28" i="1"/>
  <c r="G632" i="1"/>
  <c r="B632" i="1"/>
  <c r="G357" i="1"/>
  <c r="B357" i="1"/>
  <c r="B223" i="1"/>
  <c r="G223" i="1"/>
  <c r="G252" i="1"/>
  <c r="B252" i="1"/>
  <c r="G604" i="1"/>
  <c r="B604" i="1"/>
  <c r="G158" i="1"/>
  <c r="B158" i="1"/>
  <c r="B374" i="1"/>
  <c r="G374" i="1"/>
  <c r="B802" i="1"/>
  <c r="G802" i="1"/>
  <c r="G468" i="1"/>
  <c r="B468" i="1"/>
  <c r="G61" i="1"/>
  <c r="B61" i="1"/>
  <c r="B820" i="1"/>
  <c r="G820" i="1"/>
  <c r="B74" i="1"/>
  <c r="G74" i="1"/>
  <c r="G446" i="1"/>
  <c r="B446" i="1"/>
  <c r="B531" i="1"/>
  <c r="G531" i="1"/>
  <c r="G378" i="1"/>
  <c r="B378" i="1"/>
  <c r="B683" i="1"/>
  <c r="G683" i="1"/>
  <c r="B628" i="1"/>
  <c r="G628" i="1"/>
  <c r="B910" i="1"/>
  <c r="G910" i="1"/>
  <c r="B80" i="1"/>
  <c r="G80" i="1"/>
  <c r="G899" i="1"/>
  <c r="B899" i="1"/>
  <c r="B702" i="1"/>
  <c r="G702" i="1"/>
  <c r="B867" i="1"/>
  <c r="G867" i="1"/>
  <c r="G571" i="1"/>
  <c r="B571" i="1"/>
  <c r="G692" i="1"/>
  <c r="B692" i="1"/>
  <c r="G44" i="1"/>
  <c r="B44" i="1"/>
  <c r="G925" i="1"/>
  <c r="B925" i="1"/>
  <c r="B194" i="1"/>
  <c r="G194" i="1"/>
  <c r="B767" i="1"/>
  <c r="G767" i="1"/>
  <c r="G35" i="1"/>
  <c r="B35" i="1"/>
  <c r="B918" i="1"/>
  <c r="G918" i="1"/>
  <c r="G92" i="1"/>
  <c r="B92" i="1"/>
  <c r="G168" i="1"/>
  <c r="B168" i="1"/>
  <c r="G336" i="1"/>
  <c r="B336" i="1"/>
  <c r="G720" i="1"/>
  <c r="B720" i="1"/>
  <c r="B615" i="1"/>
  <c r="G615" i="1"/>
  <c r="B1005" i="1"/>
  <c r="G1005" i="1"/>
  <c r="B754" i="1"/>
  <c r="G754" i="1"/>
  <c r="B219" i="1"/>
  <c r="G219" i="1"/>
  <c r="G582" i="1"/>
  <c r="B582" i="1"/>
  <c r="G870" i="1"/>
  <c r="B870" i="1"/>
  <c r="G260" i="1"/>
  <c r="B260" i="1"/>
  <c r="B895" i="1"/>
  <c r="G895" i="1"/>
  <c r="B759" i="1"/>
  <c r="G759" i="1"/>
  <c r="B811" i="1"/>
  <c r="G811" i="1"/>
  <c r="B790" i="1"/>
  <c r="G790" i="1"/>
  <c r="G461" i="1"/>
  <c r="B461" i="1"/>
  <c r="G472" i="1"/>
  <c r="B472" i="1"/>
  <c r="G498" i="1"/>
  <c r="B498" i="1"/>
  <c r="G57" i="1"/>
  <c r="B57" i="1"/>
  <c r="B976" i="1"/>
  <c r="G976" i="1"/>
  <c r="B963" i="1"/>
  <c r="G963" i="1"/>
  <c r="B269" i="1"/>
  <c r="G269" i="1"/>
  <c r="B197" i="1"/>
  <c r="G197" i="1"/>
  <c r="G69" i="1"/>
  <c r="B69" i="1"/>
  <c r="B364" i="1"/>
  <c r="G364" i="1"/>
  <c r="G360" i="1"/>
  <c r="B360" i="1"/>
  <c r="G847" i="1"/>
  <c r="B847" i="1"/>
  <c r="B377" i="1"/>
  <c r="G377" i="1"/>
  <c r="B242" i="1"/>
  <c r="G242" i="1"/>
  <c r="B232" i="1"/>
  <c r="G232" i="1"/>
  <c r="G32" i="1"/>
  <c r="B32" i="1"/>
  <c r="G636" i="1"/>
  <c r="B636" i="1"/>
  <c r="G452" i="1"/>
  <c r="B452" i="1"/>
  <c r="G561" i="1"/>
  <c r="B561" i="1"/>
  <c r="B545" i="1"/>
  <c r="G545" i="1"/>
  <c r="B102" i="1"/>
  <c r="G102" i="1"/>
  <c r="G504" i="1"/>
  <c r="B504" i="1"/>
  <c r="B229" i="1"/>
  <c r="G229" i="1"/>
  <c r="B350" i="1"/>
  <c r="G350" i="1"/>
  <c r="G710" i="1"/>
  <c r="B710" i="1"/>
  <c r="B665" i="1"/>
  <c r="G665" i="1"/>
  <c r="G567" i="1"/>
  <c r="B567" i="1"/>
  <c r="G270" i="1"/>
  <c r="B270" i="1"/>
  <c r="B491" i="1"/>
  <c r="G491" i="1"/>
  <c r="B612" i="1"/>
  <c r="G612" i="1"/>
  <c r="G478" i="1"/>
  <c r="B478" i="1"/>
  <c r="B276" i="1"/>
  <c r="G276" i="1"/>
  <c r="B479" i="1"/>
  <c r="G479" i="1"/>
  <c r="B698" i="1"/>
  <c r="G698" i="1"/>
  <c r="B752" i="1"/>
  <c r="G752" i="1"/>
  <c r="B425" i="1"/>
  <c r="G425" i="1"/>
  <c r="B459" i="1"/>
  <c r="G459" i="1"/>
  <c r="B687" i="1"/>
  <c r="G687" i="1"/>
  <c r="B166" i="1"/>
  <c r="G166" i="1"/>
  <c r="G12" i="1"/>
  <c r="B12" i="1"/>
  <c r="B513" i="1"/>
  <c r="G513" i="1"/>
  <c r="G200" i="1"/>
  <c r="B200" i="1"/>
  <c r="B403" i="1"/>
  <c r="G403" i="1"/>
  <c r="G795" i="1"/>
  <c r="B795" i="1"/>
  <c r="G747" i="1"/>
  <c r="B747" i="1"/>
  <c r="B278" i="1"/>
  <c r="G278" i="1"/>
  <c r="B855" i="1"/>
  <c r="G855" i="1"/>
  <c r="G174" i="1"/>
  <c r="B174" i="1"/>
  <c r="G619" i="1"/>
  <c r="B619" i="1"/>
  <c r="B471" i="1"/>
  <c r="G471" i="1"/>
  <c r="B539" i="1"/>
  <c r="G539" i="1"/>
  <c r="G484" i="1"/>
  <c r="B484" i="1"/>
  <c r="B905" i="1"/>
  <c r="G905" i="1"/>
  <c r="G8" i="1"/>
  <c r="B8" i="1"/>
  <c r="G367" i="1"/>
  <c r="B367" i="1"/>
  <c r="B347" i="1"/>
  <c r="G347" i="1"/>
  <c r="G87" i="1"/>
  <c r="B87" i="1"/>
  <c r="G782" i="1"/>
  <c r="B782" i="1"/>
  <c r="G564" i="1"/>
  <c r="B564" i="1"/>
  <c r="G840" i="1"/>
  <c r="B840" i="1"/>
  <c r="G236" i="1"/>
  <c r="B236" i="1"/>
  <c r="B292" i="1"/>
  <c r="G292" i="1"/>
  <c r="B709" i="1"/>
  <c r="G709" i="1"/>
  <c r="G863" i="1"/>
  <c r="B863" i="1"/>
  <c r="G860" i="1"/>
  <c r="B860" i="1"/>
  <c r="B324" i="1"/>
  <c r="G324" i="1"/>
  <c r="B778" i="1"/>
  <c r="G778" i="1"/>
  <c r="B353" i="1"/>
  <c r="G353" i="1"/>
  <c r="G261" i="1"/>
  <c r="B261" i="1"/>
  <c r="B283" i="1"/>
  <c r="G283" i="1"/>
  <c r="B277" i="1"/>
  <c r="G277" i="1"/>
  <c r="G487" i="1"/>
  <c r="B487" i="1"/>
  <c r="G725" i="1"/>
  <c r="B725" i="1"/>
  <c r="B207" i="1"/>
  <c r="G207" i="1"/>
  <c r="G966" i="1"/>
  <c r="B966" i="1"/>
  <c r="B711" i="1"/>
  <c r="G711" i="1"/>
  <c r="G883" i="1"/>
  <c r="B883" i="1"/>
  <c r="G396" i="1"/>
  <c r="B396" i="1"/>
  <c r="G338" i="1"/>
  <c r="B338" i="1"/>
  <c r="G748" i="1"/>
  <c r="B748" i="1"/>
  <c r="B800" i="1"/>
  <c r="G800" i="1"/>
  <c r="G431" i="1"/>
  <c r="B431" i="1"/>
  <c r="G856" i="1"/>
  <c r="B856" i="1"/>
  <c r="G53" i="1"/>
  <c r="B53" i="1"/>
  <c r="B864" i="1"/>
  <c r="G864" i="1"/>
  <c r="B523" i="1"/>
  <c r="G523" i="1"/>
  <c r="B245" i="1"/>
  <c r="G245" i="1"/>
  <c r="G878" i="1"/>
  <c r="B878" i="1"/>
  <c r="G490" i="1"/>
  <c r="B490" i="1"/>
  <c r="G784" i="1"/>
  <c r="B784" i="1"/>
  <c r="B640" i="1"/>
  <c r="G640" i="1"/>
  <c r="B603" i="1"/>
  <c r="G603" i="1"/>
  <c r="B980" i="1"/>
  <c r="G980" i="1"/>
  <c r="G225" i="1"/>
  <c r="B225" i="1"/>
  <c r="G659" i="1"/>
  <c r="B659" i="1"/>
  <c r="G673" i="1"/>
  <c r="B673" i="1"/>
  <c r="B861" i="1"/>
  <c r="G861" i="1"/>
  <c r="B841" i="1"/>
  <c r="G841" i="1"/>
  <c r="G60" i="1"/>
  <c r="B60" i="1"/>
  <c r="G503" i="1"/>
  <c r="B503" i="1"/>
  <c r="B193" i="1"/>
  <c r="G193" i="1"/>
  <c r="B967" i="1"/>
  <c r="G967" i="1"/>
  <c r="G40" i="1"/>
  <c r="B40" i="1"/>
  <c r="B7" i="1"/>
  <c r="G7" i="1"/>
  <c r="G119" i="1"/>
  <c r="B119" i="1"/>
  <c r="B483" i="1"/>
  <c r="G483" i="1"/>
  <c r="B361" i="1"/>
  <c r="G361" i="1"/>
  <c r="B220" i="1"/>
  <c r="G220" i="1"/>
  <c r="G359" i="1"/>
  <c r="B359" i="1"/>
  <c r="B173" i="1"/>
  <c r="G173" i="1"/>
  <c r="G690" i="1"/>
  <c r="B690" i="1"/>
  <c r="B734" i="1"/>
  <c r="G734" i="1"/>
  <c r="G994" i="1"/>
  <c r="B994" i="1"/>
  <c r="B816" i="1"/>
  <c r="G816" i="1"/>
  <c r="B850" i="1"/>
  <c r="G850" i="1"/>
  <c r="G15" i="1"/>
  <c r="B15" i="1"/>
  <c r="G769" i="1"/>
  <c r="B769" i="1"/>
  <c r="B323" i="1"/>
  <c r="G323" i="1"/>
  <c r="G341" i="1"/>
  <c r="B341" i="1"/>
  <c r="B879" i="1"/>
  <c r="G879" i="1"/>
  <c r="B645" i="1"/>
  <c r="G645" i="1"/>
  <c r="B415" i="1"/>
  <c r="G415" i="1"/>
  <c r="G398" i="1"/>
  <c r="B398" i="1"/>
  <c r="B266" i="1"/>
  <c r="G266" i="1"/>
  <c r="B358" i="1"/>
  <c r="G358" i="1"/>
  <c r="B535" i="1"/>
  <c r="G535" i="1"/>
  <c r="G894" i="1"/>
  <c r="B894" i="1"/>
  <c r="G783" i="1"/>
  <c r="B783" i="1"/>
  <c r="G745" i="1"/>
  <c r="B745" i="1"/>
  <c r="B532" i="1"/>
  <c r="G532" i="1"/>
  <c r="B91" i="1"/>
  <c r="G91" i="1"/>
  <c r="B740" i="1"/>
  <c r="G740" i="1"/>
  <c r="B953" i="1"/>
  <c r="G953" i="1"/>
  <c r="B186" i="1"/>
  <c r="G186" i="1"/>
  <c r="B79" i="1"/>
  <c r="G79" i="1"/>
  <c r="B817" i="1"/>
  <c r="G817" i="1"/>
  <c r="B182" i="1"/>
  <c r="G182" i="1"/>
  <c r="B124" i="1"/>
  <c r="G124" i="1"/>
  <c r="G244" i="1"/>
  <c r="B244" i="1"/>
  <c r="G203" i="1"/>
  <c r="B203" i="1"/>
  <c r="B401" i="1"/>
  <c r="G401" i="1"/>
  <c r="B537" i="1"/>
  <c r="G537" i="1"/>
  <c r="G137" i="1"/>
  <c r="B137" i="1"/>
  <c r="G736" i="1"/>
  <c r="B736" i="1"/>
  <c r="B936" i="1"/>
  <c r="G936" i="1"/>
  <c r="B18" i="1"/>
  <c r="G18" i="1"/>
  <c r="B887" i="1"/>
  <c r="G887" i="1"/>
  <c r="G421" i="1"/>
  <c r="B421" i="1"/>
  <c r="B499" i="1"/>
  <c r="G499" i="1"/>
  <c r="B875" i="1"/>
  <c r="G875" i="1"/>
  <c r="G554" i="1"/>
  <c r="B554" i="1"/>
  <c r="G434" i="1"/>
  <c r="B434" i="1"/>
  <c r="G422" i="1"/>
  <c r="B422" i="1"/>
  <c r="G281" i="1"/>
  <c r="B281" i="1"/>
  <c r="G836" i="1"/>
  <c r="B836" i="1"/>
  <c r="B329" i="1"/>
  <c r="G329" i="1"/>
  <c r="G866" i="1"/>
  <c r="B866" i="1"/>
  <c r="B707" i="1"/>
  <c r="G707" i="1"/>
  <c r="G449" i="1"/>
  <c r="B449" i="1"/>
  <c r="G256" i="1"/>
  <c r="B256" i="1"/>
  <c r="B685" i="1"/>
  <c r="G685" i="1"/>
  <c r="G944" i="1"/>
  <c r="B944" i="1"/>
  <c r="B188" i="1"/>
  <c r="G188" i="1"/>
  <c r="G64" i="1"/>
  <c r="B64" i="1"/>
  <c r="G180" i="1"/>
  <c r="B180" i="1"/>
  <c r="B404" i="1"/>
  <c r="G404" i="1"/>
  <c r="G859" i="1"/>
  <c r="B859" i="1"/>
  <c r="G328" i="1"/>
  <c r="B328" i="1"/>
  <c r="G481" i="1"/>
  <c r="B481" i="1"/>
  <c r="G444" i="1"/>
  <c r="B444" i="1"/>
  <c r="G547" i="1"/>
  <c r="B547" i="1"/>
  <c r="B123" i="1"/>
  <c r="G123" i="1"/>
  <c r="B376" i="1"/>
  <c r="G376" i="1"/>
  <c r="G751" i="1"/>
  <c r="B751" i="1"/>
  <c r="G371" i="1"/>
  <c r="B371" i="1"/>
  <c r="B451" i="1"/>
  <c r="G451" i="1"/>
  <c r="B927" i="1"/>
  <c r="G927" i="1"/>
  <c r="G584" i="1"/>
  <c r="B584" i="1"/>
  <c r="B519" i="1"/>
  <c r="G519" i="1"/>
  <c r="B977" i="1"/>
  <c r="G977" i="1"/>
  <c r="G559" i="1"/>
  <c r="B559" i="1"/>
  <c r="G291" i="1"/>
  <c r="B291" i="1"/>
  <c r="B322" i="1"/>
  <c r="G322" i="1"/>
  <c r="G433" i="1"/>
  <c r="B433" i="1"/>
  <c r="G718" i="1"/>
  <c r="B718" i="1"/>
  <c r="G671" i="1"/>
  <c r="B671" i="1"/>
  <c r="G583" i="1"/>
  <c r="B583" i="1"/>
  <c r="G512" i="1"/>
  <c r="B512" i="1"/>
  <c r="G330" i="1"/>
  <c r="B330" i="1"/>
  <c r="G172" i="1"/>
  <c r="B172" i="1"/>
  <c r="G631" i="1"/>
  <c r="B631" i="1"/>
  <c r="G695" i="1"/>
  <c r="B695" i="1"/>
  <c r="G455" i="1"/>
  <c r="B455" i="1"/>
  <c r="B706" i="1"/>
  <c r="G706" i="1"/>
  <c r="B596" i="1"/>
  <c r="G596" i="1"/>
  <c r="B917" i="1"/>
  <c r="G917" i="1"/>
  <c r="G563" i="1"/>
  <c r="B563" i="1"/>
  <c r="G308" i="1"/>
  <c r="B308" i="1"/>
  <c r="B259" i="1"/>
  <c r="G259" i="1"/>
  <c r="G964" i="1"/>
  <c r="B964" i="1"/>
  <c r="G310" i="1"/>
  <c r="B310" i="1"/>
  <c r="G931" i="1"/>
  <c r="B931" i="1"/>
  <c r="B432" i="1"/>
  <c r="G432" i="1"/>
  <c r="G590" i="1"/>
  <c r="B590" i="1"/>
  <c r="B922" i="1"/>
  <c r="G922" i="1"/>
  <c r="B969" i="1"/>
  <c r="G969" i="1"/>
  <c r="G891" i="1"/>
  <c r="B891" i="1"/>
  <c r="B235" i="1"/>
  <c r="G235" i="1"/>
  <c r="B946" i="1"/>
  <c r="G946" i="1"/>
  <c r="G27" i="1"/>
  <c r="B27" i="1"/>
  <c r="G258" i="1"/>
  <c r="B258" i="1"/>
  <c r="G797" i="1"/>
  <c r="B797" i="1"/>
  <c r="G647" i="1"/>
  <c r="B647" i="1"/>
  <c r="B542" i="1"/>
  <c r="G542" i="1"/>
  <c r="G654" i="1"/>
  <c r="B654" i="1"/>
  <c r="G819" i="1"/>
  <c r="B819" i="1"/>
  <c r="G919" i="1"/>
  <c r="B919" i="1"/>
  <c r="B658" i="1"/>
  <c r="G658" i="1"/>
  <c r="B389" i="1"/>
  <c r="G389" i="1"/>
  <c r="G467" i="1"/>
  <c r="B467" i="1"/>
  <c r="G773" i="1"/>
  <c r="B773" i="1"/>
  <c r="B606" i="1"/>
  <c r="G606" i="1"/>
  <c r="G45" i="1"/>
  <c r="B45" i="1"/>
  <c r="B198" i="1"/>
  <c r="G198" i="1"/>
  <c r="B126" i="1"/>
  <c r="G126" i="1"/>
  <c r="B51" i="1"/>
  <c r="G51" i="1"/>
  <c r="G466" i="1"/>
  <c r="B466" i="1"/>
  <c r="B777" i="1"/>
  <c r="G777" i="1"/>
  <c r="B587" i="1"/>
  <c r="G587" i="1"/>
  <c r="G132" i="1"/>
  <c r="B132" i="1"/>
  <c r="G534" i="1"/>
  <c r="B534" i="1"/>
  <c r="B622" i="1"/>
  <c r="G622" i="1"/>
  <c r="B646" i="1"/>
  <c r="G646" i="1"/>
  <c r="B222" i="1"/>
  <c r="G222" i="1"/>
  <c r="B31" i="1"/>
  <c r="G31" i="1"/>
  <c r="B138" i="1"/>
  <c r="G138" i="1"/>
  <c r="B570" i="1"/>
  <c r="G570" i="1"/>
  <c r="B234" i="1"/>
  <c r="G234" i="1"/>
  <c r="G750" i="1"/>
  <c r="B750" i="1"/>
  <c r="G302" i="1"/>
  <c r="B302" i="1"/>
  <c r="G443" i="1"/>
  <c r="B443" i="1"/>
  <c r="G833" i="1"/>
  <c r="B833" i="1"/>
  <c r="G663" i="1"/>
  <c r="B663" i="1"/>
  <c r="G652" i="1"/>
  <c r="B652" i="1"/>
  <c r="B42" i="1"/>
  <c r="G42" i="1"/>
  <c r="B915" i="1"/>
  <c r="G915" i="1"/>
  <c r="G901" i="1"/>
  <c r="B901" i="1"/>
  <c r="B95" i="1"/>
  <c r="G95" i="1"/>
  <c r="B436" i="1"/>
  <c r="G436" i="1"/>
  <c r="B995" i="1"/>
  <c r="G995" i="1"/>
  <c r="B76" i="1"/>
  <c r="G76" i="1"/>
  <c r="G635" i="1"/>
  <c r="B635" i="1"/>
  <c r="G409" i="1"/>
  <c r="B409" i="1"/>
  <c r="G480" i="1"/>
  <c r="B480" i="1"/>
  <c r="B650" i="1"/>
  <c r="G650" i="1"/>
  <c r="B986" i="1"/>
  <c r="G986" i="1"/>
  <c r="B730" i="1"/>
  <c r="G730" i="1"/>
  <c r="B506" i="1"/>
  <c r="G506" i="1"/>
  <c r="B921" i="1"/>
  <c r="G921" i="1"/>
  <c r="G607" i="1"/>
  <c r="B607" i="1"/>
  <c r="G689" i="1"/>
  <c r="B689" i="1"/>
  <c r="G238" i="1"/>
  <c r="B238" i="1"/>
  <c r="G634" i="1"/>
  <c r="B634" i="1"/>
  <c r="G156" i="1"/>
  <c r="B156" i="1"/>
  <c r="G406" i="1"/>
  <c r="B406" i="1"/>
  <c r="B183" i="1"/>
  <c r="G183" i="1"/>
  <c r="B772" i="1"/>
  <c r="G772" i="1"/>
  <c r="G301" i="1"/>
  <c r="B301" i="1"/>
  <c r="B916" i="1"/>
  <c r="G916" i="1"/>
  <c r="B556" i="1"/>
  <c r="G556" i="1"/>
  <c r="B732" i="1"/>
  <c r="G732" i="1"/>
  <c r="B602" i="1"/>
  <c r="G602" i="1"/>
  <c r="B527" i="1"/>
  <c r="G527" i="1"/>
  <c r="G526" i="1"/>
  <c r="B526" i="1"/>
  <c r="B786" i="1"/>
  <c r="G786" i="1"/>
  <c r="B279" i="1"/>
  <c r="G279" i="1"/>
  <c r="B826" i="1"/>
  <c r="G826" i="1"/>
  <c r="G627" i="1"/>
  <c r="B627" i="1"/>
  <c r="B942" i="1"/>
  <c r="G942" i="1"/>
  <c r="B771" i="1"/>
  <c r="G771" i="1"/>
  <c r="B139" i="1"/>
  <c r="G139" i="1"/>
  <c r="B954" i="1"/>
  <c r="G954" i="1"/>
  <c r="G25" i="1"/>
  <c r="B25" i="1"/>
  <c r="B230" i="1"/>
  <c r="G230" i="1"/>
  <c r="G808" i="1"/>
  <c r="B808" i="1"/>
  <c r="B399" i="1"/>
  <c r="G399" i="1"/>
  <c r="B460" i="1"/>
  <c r="G460" i="1"/>
  <c r="G960" i="1"/>
  <c r="B960" i="1"/>
  <c r="B848" i="1"/>
  <c r="G848" i="1"/>
  <c r="G155" i="1"/>
  <c r="B155" i="1"/>
  <c r="B294" i="1"/>
  <c r="G294" i="1"/>
  <c r="B109" i="1"/>
  <c r="G109" i="1"/>
  <c r="B755" i="1"/>
  <c r="G755" i="1"/>
  <c r="G881" i="1"/>
  <c r="B881" i="1"/>
  <c r="G518" i="1"/>
  <c r="B518" i="1"/>
  <c r="B907" i="1"/>
  <c r="G907" i="1"/>
  <c r="G427" i="1"/>
  <c r="B427" i="1"/>
  <c r="B549" i="1"/>
  <c r="G549" i="1"/>
  <c r="G832" i="1"/>
  <c r="B832" i="1"/>
  <c r="B448" i="1"/>
  <c r="G448" i="1"/>
  <c r="G735" i="1"/>
  <c r="B735" i="1"/>
  <c r="B664" i="1"/>
  <c r="G664" i="1"/>
  <c r="B488" i="1"/>
  <c r="G488" i="1"/>
  <c r="G553" i="1"/>
  <c r="B553" i="1"/>
  <c r="G853" i="1"/>
  <c r="B853" i="1"/>
  <c r="G475" i="1"/>
  <c r="B475" i="1"/>
  <c r="B825" i="1"/>
  <c r="G825" i="1"/>
  <c r="G316" i="1"/>
  <c r="B316" i="1"/>
  <c r="B898" i="1"/>
  <c r="G898" i="1"/>
  <c r="G30" i="1"/>
  <c r="B30" i="1"/>
  <c r="B700" i="1"/>
  <c r="G700" i="1"/>
  <c r="G731" i="1"/>
  <c r="B731" i="1"/>
  <c r="B502" i="1"/>
  <c r="G502" i="1"/>
  <c r="B648" i="1"/>
  <c r="G648" i="1"/>
  <c r="B794" i="1"/>
  <c r="G794" i="1"/>
  <c r="B579" i="1"/>
  <c r="G579" i="1"/>
  <c r="G386" i="1"/>
  <c r="B386" i="1"/>
  <c r="G129" i="1"/>
  <c r="B129" i="1"/>
  <c r="B127" i="1"/>
  <c r="G127" i="1"/>
  <c r="G684" i="1"/>
  <c r="B684" i="1"/>
  <c r="G822" i="1"/>
  <c r="B822" i="1"/>
  <c r="B99" i="1"/>
  <c r="G99" i="1"/>
  <c r="G414" i="1"/>
  <c r="B414" i="1"/>
  <c r="G248" i="1"/>
  <c r="B248" i="1"/>
  <c r="B605" i="1"/>
  <c r="G605" i="1"/>
  <c r="B766" i="1"/>
  <c r="G766" i="1"/>
  <c r="G886" i="1"/>
  <c r="B886" i="1"/>
  <c r="B390" i="1"/>
  <c r="G390" i="1"/>
  <c r="B533" i="1"/>
  <c r="G533" i="1"/>
  <c r="B785" i="1"/>
  <c r="G785" i="1"/>
  <c r="B903" i="1"/>
  <c r="G903" i="1"/>
  <c r="B209" i="1"/>
  <c r="G209" i="1"/>
  <c r="B106" i="1"/>
  <c r="G106" i="1"/>
  <c r="B593" i="1"/>
  <c r="G593" i="1"/>
  <c r="B580" i="1"/>
  <c r="G580" i="1"/>
  <c r="B641" i="1"/>
  <c r="G641" i="1"/>
  <c r="G546" i="1"/>
  <c r="B546" i="1"/>
  <c r="B474" i="1"/>
  <c r="G474" i="1"/>
  <c r="G780" i="1"/>
  <c r="B780" i="1"/>
  <c r="G118" i="1"/>
  <c r="B118" i="1"/>
  <c r="B868" i="1"/>
  <c r="G868" i="1"/>
  <c r="G693" i="1"/>
  <c r="B693" i="1"/>
  <c r="G263" i="1"/>
  <c r="B263" i="1"/>
  <c r="B208" i="1"/>
  <c r="G208" i="1"/>
  <c r="B77" i="1"/>
  <c r="G77" i="1"/>
  <c r="G865" i="1"/>
  <c r="B865" i="1"/>
  <c r="B943" i="1"/>
  <c r="G943" i="1"/>
  <c r="G295" i="1"/>
  <c r="B295" i="1"/>
  <c r="B874" i="1"/>
  <c r="G874" i="1"/>
  <c r="B618" i="1"/>
  <c r="G618" i="1"/>
  <c r="G23" i="1"/>
  <c r="B23" i="1"/>
  <c r="B346" i="1"/>
  <c r="G346" i="1"/>
  <c r="G312" i="1"/>
  <c r="B312" i="1"/>
  <c r="G813" i="1"/>
  <c r="B813" i="1"/>
  <c r="B246" i="1"/>
  <c r="G246" i="1"/>
  <c r="B557" i="1"/>
  <c r="G557" i="1"/>
  <c r="G161" i="1"/>
  <c r="B161" i="1"/>
  <c r="G862" i="1"/>
  <c r="B862" i="1"/>
  <c r="G304" i="1"/>
  <c r="B304" i="1"/>
  <c r="G900" i="1"/>
  <c r="B900" i="1"/>
  <c r="G588" i="1"/>
  <c r="B588" i="1"/>
  <c r="G85" i="1"/>
  <c r="B85" i="1"/>
  <c r="B254" i="1"/>
  <c r="G254" i="1"/>
  <c r="B638" i="1"/>
  <c r="G638" i="1"/>
  <c r="G317" i="1"/>
  <c r="B317" i="1"/>
  <c r="G423" i="1"/>
  <c r="B423" i="1"/>
  <c r="G788" i="1"/>
  <c r="B788" i="1"/>
  <c r="G167" i="1"/>
  <c r="B167" i="1"/>
  <c r="G889" i="1"/>
  <c r="B889" i="1"/>
  <c r="B251" i="1"/>
  <c r="G251" i="1"/>
  <c r="B84" i="1"/>
  <c r="G84" i="1"/>
  <c r="G810" i="1"/>
  <c r="B810" i="1"/>
  <c r="G536" i="1"/>
  <c r="B536" i="1"/>
  <c r="B892" i="1"/>
  <c r="G892" i="1"/>
  <c r="G86" i="1"/>
  <c r="B86" i="1"/>
  <c r="G14" i="1"/>
  <c r="B14" i="1"/>
  <c r="B494" i="1"/>
  <c r="G494" i="1"/>
  <c r="G450" i="1"/>
  <c r="B450" i="1"/>
  <c r="B445" i="1"/>
  <c r="G445" i="1"/>
  <c r="B157" i="1"/>
  <c r="G157" i="1"/>
  <c r="G906" i="1"/>
  <c r="B906" i="1"/>
  <c r="G332" i="1"/>
  <c r="B332" i="1"/>
  <c r="B599" i="1"/>
  <c r="G599" i="1"/>
  <c r="G454" i="1"/>
  <c r="B454" i="1"/>
  <c r="G271" i="1"/>
  <c r="B271" i="1"/>
  <c r="G375" i="1"/>
  <c r="B375" i="1"/>
  <c r="B196" i="1"/>
  <c r="G196" i="1"/>
  <c r="B719" i="1"/>
  <c r="G719" i="1"/>
  <c r="B67" i="1"/>
  <c r="G67" i="1"/>
  <c r="B185" i="1"/>
  <c r="G185" i="1"/>
  <c r="G993" i="1"/>
  <c r="B993" i="1"/>
  <c r="G568" i="1"/>
  <c r="B568" i="1"/>
  <c r="G909" i="1"/>
  <c r="B909" i="1"/>
  <c r="B682" i="1"/>
  <c r="G682" i="1"/>
  <c r="G344" i="1"/>
  <c r="B344" i="1"/>
  <c r="B400" i="1"/>
  <c r="G400" i="1"/>
  <c r="B288" i="1"/>
  <c r="G288" i="1"/>
  <c r="G325" i="1"/>
  <c r="B325" i="1"/>
  <c r="G321" i="1"/>
  <c r="B321" i="1"/>
  <c r="B544" i="1"/>
  <c r="G544" i="1"/>
  <c r="G880" i="1"/>
  <c r="B880" i="1"/>
  <c r="B877" i="1"/>
  <c r="G877" i="1"/>
  <c r="G305" i="1"/>
  <c r="B305" i="1"/>
  <c r="G565" i="1"/>
  <c r="B565" i="1"/>
  <c r="B578" i="1"/>
  <c r="G578" i="1"/>
  <c r="B970" i="1"/>
  <c r="G970" i="1"/>
  <c r="B824" i="1"/>
  <c r="G824" i="1"/>
  <c r="B852" i="1"/>
  <c r="G852" i="1"/>
  <c r="G941" i="1"/>
  <c r="B941" i="1"/>
  <c r="B939" i="1"/>
  <c r="G939" i="1"/>
  <c r="B477" i="1"/>
  <c r="G477" i="1"/>
  <c r="B949" i="1"/>
  <c r="G949" i="1"/>
  <c r="B73" i="1"/>
  <c r="G73" i="1"/>
  <c r="B110" i="1"/>
  <c r="G110" i="1"/>
  <c r="G837" i="1"/>
  <c r="B837" i="1"/>
  <c r="G621" i="1"/>
  <c r="B621" i="1"/>
  <c r="G516" i="1"/>
  <c r="B516" i="1"/>
  <c r="G290" i="1"/>
  <c r="B290" i="1"/>
  <c r="G929" i="1"/>
  <c r="B929" i="1"/>
  <c r="G726" i="1"/>
  <c r="B726" i="1"/>
  <c r="B227" i="1"/>
  <c r="G227" i="1"/>
  <c r="G72" i="1"/>
  <c r="B72" i="1"/>
  <c r="B46" i="1"/>
  <c r="G46" i="1"/>
  <c r="B154" i="1"/>
  <c r="G154" i="1"/>
  <c r="B858" i="1"/>
  <c r="G858" i="1"/>
  <c r="B530" i="1"/>
  <c r="G530" i="1"/>
  <c r="B675" i="1"/>
  <c r="G675" i="1"/>
  <c r="G66" i="1"/>
  <c r="B66" i="1"/>
  <c r="B613" i="1"/>
  <c r="G613" i="1"/>
  <c r="B96" i="1"/>
  <c r="G96" i="1"/>
  <c r="G882" i="1"/>
  <c r="B882" i="1"/>
  <c r="G226" i="1"/>
  <c r="B226" i="1"/>
  <c r="B408" i="1"/>
  <c r="G408" i="1"/>
  <c r="G94" i="1"/>
  <c r="B94" i="1"/>
  <c r="B214" i="1"/>
  <c r="G214" i="1"/>
  <c r="B141" i="1"/>
  <c r="G141" i="1"/>
  <c r="B365" i="1"/>
  <c r="G365" i="1"/>
  <c r="B577" i="1"/>
  <c r="G577" i="1"/>
  <c r="B108" i="1"/>
  <c r="G108" i="1"/>
  <c r="G653" i="1"/>
  <c r="B653" i="1"/>
  <c r="B552" i="1"/>
  <c r="G552" i="1"/>
  <c r="G598" i="1"/>
  <c r="B598" i="1"/>
  <c r="B717" i="1"/>
  <c r="G717" i="1"/>
  <c r="B637" i="1"/>
  <c r="G637" i="1"/>
  <c r="G620" i="1"/>
  <c r="B620" i="1"/>
  <c r="B148" i="1"/>
  <c r="G148" i="1"/>
  <c r="B273" i="1"/>
  <c r="G273" i="1"/>
  <c r="B753" i="1"/>
  <c r="G753" i="1"/>
  <c r="B696" i="1"/>
  <c r="G696" i="1"/>
  <c r="B713" i="1"/>
  <c r="G713" i="1"/>
  <c r="B170" i="1"/>
  <c r="G170" i="1"/>
  <c r="G705" i="1"/>
  <c r="B705" i="1"/>
  <c r="G838" i="1"/>
  <c r="B838" i="1"/>
  <c r="G430" i="1"/>
  <c r="B430" i="1"/>
  <c r="B670" i="1"/>
  <c r="G670" i="1"/>
  <c r="B201" i="1"/>
  <c r="G201" i="1"/>
  <c r="G345" i="1"/>
  <c r="B345" i="1"/>
  <c r="B688" i="1"/>
  <c r="G688" i="1"/>
  <c r="B176" i="1"/>
  <c r="G176" i="1"/>
  <c r="B326" i="1"/>
  <c r="G326" i="1"/>
  <c r="B142" i="1"/>
  <c r="G142" i="1"/>
  <c r="B293" i="1"/>
  <c r="G293" i="1"/>
  <c r="G496" i="1"/>
  <c r="B496" i="1"/>
  <c r="B843" i="1"/>
  <c r="G843" i="1"/>
  <c r="B989" i="1"/>
  <c r="G989" i="1"/>
  <c r="G307" i="1"/>
  <c r="B307" i="1"/>
  <c r="B727" i="1"/>
  <c r="G727" i="1"/>
  <c r="G714" i="1"/>
  <c r="B714" i="1"/>
  <c r="G555" i="1"/>
  <c r="B555" i="1"/>
  <c r="B904" i="1"/>
  <c r="G904" i="1"/>
  <c r="B206" i="1"/>
  <c r="G206" i="1"/>
  <c r="G699" i="1"/>
  <c r="B699" i="1"/>
  <c r="G373" i="1"/>
  <c r="B373" i="1"/>
  <c r="G70" i="1"/>
  <c r="B70" i="1"/>
  <c r="G410" i="1"/>
  <c r="B410" i="1"/>
  <c r="B818" i="1"/>
  <c r="G818" i="1"/>
  <c r="G52" i="1"/>
  <c r="B52" i="1"/>
  <c r="G497" i="1"/>
  <c r="B497" i="1"/>
  <c r="B781" i="1"/>
  <c r="G781" i="1"/>
  <c r="B950" i="1"/>
  <c r="G950" i="1"/>
  <c r="B774" i="1"/>
  <c r="G774" i="1"/>
  <c r="G122" i="1"/>
  <c r="B122" i="1"/>
  <c r="B83" i="1"/>
  <c r="CC83" i="1" s="1"/>
  <c r="G83" i="1"/>
  <c r="B575" i="1"/>
  <c r="G575" i="1"/>
  <c r="G107" i="1"/>
  <c r="B107" i="1"/>
  <c r="G356" i="1"/>
  <c r="B356" i="1"/>
  <c r="G485" i="1"/>
  <c r="B485" i="1"/>
  <c r="G914" i="1"/>
  <c r="B914" i="1"/>
  <c r="G153" i="1"/>
  <c r="B153" i="1"/>
  <c r="G608" i="1"/>
  <c r="B608" i="1"/>
  <c r="B215" i="1"/>
  <c r="G215" i="1"/>
  <c r="B804" i="1"/>
  <c r="G804" i="1"/>
  <c r="B88" i="1"/>
  <c r="G88" i="1"/>
  <c r="G78" i="1"/>
  <c r="B78" i="1"/>
  <c r="G739" i="1"/>
  <c r="B739" i="1"/>
  <c r="B439" i="1"/>
  <c r="G439" i="1"/>
  <c r="G983" i="1"/>
  <c r="B983" i="1"/>
  <c r="B392" i="1"/>
  <c r="G392" i="1"/>
  <c r="G945" i="1"/>
  <c r="B945" i="1"/>
  <c r="B121" i="1"/>
  <c r="G121" i="1"/>
  <c r="B792" i="1"/>
  <c r="G792" i="1"/>
  <c r="B715" i="1"/>
  <c r="G715" i="1"/>
  <c r="G974" i="1"/>
  <c r="B974" i="1"/>
  <c r="G285" i="1"/>
  <c r="B285" i="1"/>
  <c r="G453" i="1"/>
  <c r="B453" i="1"/>
  <c r="B911" i="1"/>
  <c r="G911" i="1"/>
  <c r="G286" i="1"/>
  <c r="B286" i="1"/>
  <c r="B354" i="1"/>
  <c r="G354" i="1"/>
  <c r="G318" i="1"/>
  <c r="B318" i="1"/>
  <c r="G131" i="1"/>
  <c r="B131" i="1"/>
  <c r="G239" i="1"/>
  <c r="B239" i="1"/>
  <c r="B416" i="1"/>
  <c r="G416" i="1"/>
  <c r="B940" i="1"/>
  <c r="G940" i="1"/>
  <c r="B956" i="1"/>
  <c r="G956" i="1"/>
  <c r="G349" i="1"/>
  <c r="B349" i="1"/>
  <c r="B264" i="1"/>
  <c r="G264" i="1"/>
  <c r="B626" i="1"/>
  <c r="G626" i="1"/>
  <c r="B721" i="1"/>
  <c r="G721" i="1"/>
  <c r="B585" i="1"/>
  <c r="G585" i="1"/>
  <c r="B893" i="1"/>
  <c r="G893" i="1"/>
  <c r="G112" i="1"/>
  <c r="B112" i="1"/>
  <c r="B812" i="1"/>
  <c r="G812" i="1"/>
  <c r="G111" i="1"/>
  <c r="B111" i="1"/>
  <c r="G296" i="1"/>
  <c r="B296" i="1"/>
  <c r="G237" i="1"/>
  <c r="B237" i="1"/>
  <c r="G339" i="1"/>
  <c r="B339" i="1"/>
  <c r="B508" i="1"/>
  <c r="G508" i="1"/>
  <c r="G211" i="1"/>
  <c r="B211" i="1"/>
  <c r="G75" i="1"/>
  <c r="B75" i="1"/>
  <c r="B319" i="1"/>
  <c r="G319" i="1"/>
  <c r="G742" i="1"/>
  <c r="B742" i="1"/>
  <c r="G417" i="1"/>
  <c r="B417" i="1"/>
  <c r="B179" i="1"/>
  <c r="G179" i="1"/>
  <c r="G311" i="1"/>
  <c r="B311" i="1"/>
  <c r="B24" i="1"/>
  <c r="G24" i="1"/>
  <c r="G418" i="1"/>
  <c r="B418" i="1"/>
  <c r="B309" i="1"/>
  <c r="G309" i="1"/>
  <c r="G381" i="1"/>
  <c r="B381" i="1"/>
  <c r="B298" i="1"/>
  <c r="G298" i="1"/>
  <c r="G551" i="1"/>
  <c r="B551" i="1"/>
  <c r="G268" i="1"/>
  <c r="B268" i="1"/>
  <c r="B932" i="1"/>
  <c r="G932" i="1"/>
  <c r="G926" i="1"/>
  <c r="B926" i="1"/>
  <c r="B996" i="1"/>
  <c r="G996" i="1"/>
  <c r="G493" i="1"/>
  <c r="B493" i="1"/>
  <c r="G411" i="1"/>
  <c r="B411" i="1"/>
  <c r="G807" i="1"/>
  <c r="B807" i="1"/>
  <c r="B697" i="1"/>
  <c r="G697" i="1"/>
  <c r="G965" i="1"/>
  <c r="B965" i="1"/>
  <c r="B991" i="1"/>
  <c r="G991" i="1"/>
  <c r="G272" i="1"/>
  <c r="B272" i="1"/>
  <c r="B82" i="1"/>
  <c r="G82" i="1"/>
  <c r="B592" i="1"/>
  <c r="G592" i="1"/>
  <c r="G787" i="1"/>
  <c r="B787" i="1"/>
  <c r="G933" i="1"/>
  <c r="B933" i="1"/>
  <c r="G275" i="1"/>
  <c r="B275" i="1"/>
  <c r="G402" i="1"/>
  <c r="B402" i="1"/>
  <c r="G249" i="1"/>
  <c r="B249" i="1"/>
  <c r="B464" i="1"/>
  <c r="G464" i="1"/>
  <c r="B56" i="1"/>
  <c r="G56" i="1"/>
  <c r="B469" i="1"/>
  <c r="G469" i="1"/>
  <c r="G876" i="1"/>
  <c r="B876" i="1"/>
  <c r="B560" i="1"/>
  <c r="G560" i="1"/>
  <c r="G630" i="1"/>
  <c r="B630" i="1"/>
  <c r="B395" i="1"/>
  <c r="G395" i="1"/>
  <c r="G846" i="1"/>
  <c r="B846" i="1"/>
  <c r="G22" i="1"/>
  <c r="B22" i="1"/>
  <c r="B923" i="1"/>
  <c r="G923" i="1"/>
  <c r="G100" i="1"/>
  <c r="B100" i="1"/>
  <c r="G442" i="1"/>
  <c r="B442" i="1"/>
  <c r="B128" i="1"/>
  <c r="G128" i="1"/>
  <c r="G457" i="1"/>
  <c r="B457" i="1"/>
  <c r="B43" i="1"/>
  <c r="G43" i="1"/>
  <c r="B187" i="1"/>
  <c r="G187" i="1"/>
  <c r="B164" i="1"/>
  <c r="G164" i="1"/>
  <c r="G48" i="1"/>
  <c r="B48" i="1"/>
  <c r="G152" i="1"/>
  <c r="B152" i="1"/>
  <c r="G47" i="1"/>
  <c r="B47" i="1"/>
  <c r="B429" i="1"/>
  <c r="G429" i="1"/>
  <c r="G413" i="1"/>
  <c r="B413" i="1"/>
  <c r="B806" i="1"/>
  <c r="G806" i="1"/>
  <c r="B701" i="1"/>
  <c r="G701" i="1"/>
  <c r="B253" i="1"/>
  <c r="G253" i="1"/>
  <c r="B913" i="1"/>
  <c r="G913" i="1"/>
  <c r="G134" i="1"/>
  <c r="B134" i="1"/>
  <c r="G115" i="1"/>
  <c r="B115" i="1"/>
  <c r="B681" i="1"/>
  <c r="G681" i="1"/>
  <c r="G694" i="1"/>
  <c r="B694" i="1"/>
  <c r="G171" i="1"/>
  <c r="B171" i="1"/>
  <c r="B624" i="1"/>
  <c r="G624" i="1"/>
  <c r="B975" i="1"/>
  <c r="G975" i="1"/>
  <c r="B97" i="1"/>
  <c r="G97" i="1"/>
  <c r="G351" i="1"/>
  <c r="B351" i="1"/>
  <c r="G723" i="1"/>
  <c r="B723" i="1"/>
  <c r="B789" i="1"/>
  <c r="G789" i="1"/>
  <c r="B368" i="1"/>
  <c r="G368" i="1"/>
  <c r="G68" i="1"/>
  <c r="B68" i="1"/>
  <c r="B162" i="1"/>
  <c r="G162" i="1"/>
  <c r="B801" i="1"/>
  <c r="G801" i="1"/>
  <c r="B896" i="1"/>
  <c r="G896" i="1"/>
  <c r="B657" i="1"/>
  <c r="G657" i="1"/>
  <c r="B117" i="1"/>
  <c r="G117" i="1"/>
  <c r="G897" i="1"/>
  <c r="B897" i="1"/>
  <c r="B470" i="1"/>
  <c r="G470" i="1"/>
  <c r="B59" i="1"/>
  <c r="G59" i="1"/>
  <c r="B842" i="1"/>
  <c r="G842" i="1"/>
  <c r="G668" i="1"/>
  <c r="B668" i="1"/>
  <c r="G362" i="1"/>
  <c r="B362" i="1"/>
  <c r="G280" i="1"/>
  <c r="B280" i="1"/>
  <c r="G764" i="1"/>
  <c r="B764" i="1"/>
  <c r="B828" i="1"/>
  <c r="G828" i="1"/>
  <c r="B388" i="1"/>
  <c r="G388" i="1"/>
  <c r="G672" i="1"/>
  <c r="B672" i="1"/>
  <c r="B890" i="1"/>
  <c r="G890" i="1"/>
  <c r="B495" i="1"/>
  <c r="G495" i="1"/>
  <c r="G144" i="1"/>
  <c r="B144" i="1"/>
  <c r="B125" i="1"/>
  <c r="G125" i="1"/>
  <c r="B756" i="1"/>
  <c r="G756" i="1"/>
  <c r="B385" i="1"/>
  <c r="G385" i="1"/>
  <c r="B130" i="1"/>
  <c r="G130" i="1"/>
  <c r="B951" i="1"/>
  <c r="G951" i="1"/>
  <c r="G938" i="1"/>
  <c r="B938" i="1"/>
  <c r="G679" i="1"/>
  <c r="B679" i="1"/>
  <c r="G831" i="1"/>
  <c r="B831" i="1"/>
  <c r="B306" i="1"/>
  <c r="G306" i="1"/>
  <c r="B352" i="1"/>
  <c r="G352" i="1"/>
  <c r="B779" i="1"/>
  <c r="G779" i="1"/>
  <c r="B728" i="1"/>
  <c r="G728" i="1"/>
  <c r="G267" i="1"/>
  <c r="B267" i="1"/>
  <c r="B492" i="1"/>
  <c r="G492" i="1"/>
  <c r="B438" i="1"/>
  <c r="G438" i="1"/>
  <c r="G574" i="1"/>
  <c r="B574" i="1"/>
  <c r="G525" i="1"/>
  <c r="B525" i="1"/>
  <c r="G98" i="1"/>
  <c r="B98" i="1"/>
  <c r="B990" i="1"/>
  <c r="G990" i="1"/>
  <c r="B387" i="1"/>
  <c r="G387" i="1"/>
  <c r="B935" i="1"/>
  <c r="G935" i="1"/>
  <c r="G677" i="1"/>
  <c r="B677" i="1"/>
  <c r="B62" i="1"/>
  <c r="G62" i="1"/>
  <c r="G370" i="1"/>
  <c r="B370" i="1"/>
  <c r="G662" i="1"/>
  <c r="B662" i="1"/>
  <c r="B959" i="1"/>
  <c r="G959" i="1"/>
  <c r="G37" i="1"/>
  <c r="B37" i="1"/>
  <c r="B104" i="1"/>
  <c r="G104" i="1"/>
  <c r="B722" i="1"/>
  <c r="G722" i="1"/>
  <c r="G573" i="1"/>
  <c r="B573" i="1"/>
  <c r="G169" i="1"/>
  <c r="B169" i="1"/>
  <c r="G758" i="1"/>
  <c r="B758" i="1"/>
  <c r="B973" i="1"/>
  <c r="G973" i="1"/>
  <c r="B379" i="1"/>
  <c r="G379" i="1"/>
  <c r="G255" i="1"/>
  <c r="B255" i="1"/>
  <c r="B623" i="1"/>
  <c r="G623" i="1"/>
  <c r="G327" i="1"/>
  <c r="B327" i="1"/>
  <c r="G314" i="1"/>
  <c r="B314" i="1"/>
  <c r="B703" i="1"/>
  <c r="G703" i="1"/>
  <c r="G33" i="1"/>
  <c r="B33" i="1"/>
  <c r="G985" i="1"/>
  <c r="B985" i="1"/>
  <c r="B372" i="1"/>
  <c r="G372" i="1"/>
  <c r="G382" i="1"/>
  <c r="B382" i="1"/>
  <c r="B586" i="1"/>
  <c r="G586" i="1"/>
  <c r="B738" i="1"/>
  <c r="G738" i="1"/>
  <c r="B644" i="1"/>
  <c r="G644" i="1"/>
  <c r="B809" i="1"/>
  <c r="G809" i="1"/>
  <c r="B6" i="1"/>
  <c r="G6" i="1"/>
  <c r="G178" i="1"/>
  <c r="B178" i="1"/>
  <c r="B674" i="1"/>
  <c r="G674" i="1"/>
  <c r="G729" i="1"/>
  <c r="B729" i="1"/>
  <c r="B529" i="1"/>
  <c r="G529" i="1"/>
  <c r="B611" i="1"/>
  <c r="G611" i="1"/>
  <c r="B854" i="1"/>
  <c r="G854" i="1"/>
  <c r="C79" i="51"/>
  <c r="B80" i="51" a="1"/>
  <c r="B80" i="51"/>
  <c r="B92" i="80" a="1"/>
  <c r="B92" i="80"/>
  <c r="C91" i="80"/>
  <c r="C80" i="51"/>
  <c r="B81" i="51" a="1"/>
  <c r="B81" i="51"/>
  <c r="C92" i="80"/>
  <c r="B93" i="80" a="1"/>
  <c r="B93" i="80"/>
  <c r="C93" i="80"/>
  <c r="B94" i="80" a="1"/>
  <c r="B94" i="80"/>
  <c r="C81" i="51"/>
  <c r="B82" i="51" a="1"/>
  <c r="B82" i="51"/>
  <c r="B95" i="80" a="1"/>
  <c r="B95" i="80"/>
  <c r="C94" i="80"/>
  <c r="C82" i="51"/>
  <c r="B83" i="51" a="1"/>
  <c r="B83" i="51"/>
  <c r="C83" i="51"/>
  <c r="B84" i="51" a="1"/>
  <c r="B84" i="51"/>
  <c r="C95" i="80"/>
  <c r="B96" i="80" a="1"/>
  <c r="B96" i="80"/>
  <c r="C96" i="80"/>
  <c r="B97" i="80" a="1"/>
  <c r="B97" i="80"/>
  <c r="C84" i="51"/>
  <c r="B85" i="51" a="1"/>
  <c r="B85" i="51"/>
  <c r="C97" i="80"/>
  <c r="B98" i="80" a="1"/>
  <c r="B98" i="80"/>
  <c r="C85" i="51"/>
  <c r="B86" i="51" a="1"/>
  <c r="B86" i="51"/>
  <c r="C98" i="80"/>
  <c r="B99" i="80" a="1"/>
  <c r="B99" i="80"/>
  <c r="C86" i="51"/>
  <c r="B87" i="51" a="1"/>
  <c r="B87" i="51"/>
  <c r="C99" i="80"/>
  <c r="B100" i="80" a="1"/>
  <c r="B100" i="80"/>
  <c r="C87" i="51"/>
  <c r="B88" i="51" a="1"/>
  <c r="B88" i="51"/>
  <c r="C100" i="80"/>
  <c r="B101" i="80" a="1"/>
  <c r="B101" i="80"/>
  <c r="C88" i="51"/>
  <c r="B89" i="51" a="1"/>
  <c r="B89" i="51"/>
  <c r="C101" i="80"/>
  <c r="B102" i="80" a="1"/>
  <c r="B102" i="80"/>
  <c r="C89" i="51"/>
  <c r="B90" i="51" a="1"/>
  <c r="B90" i="51"/>
  <c r="C102" i="80"/>
  <c r="B103" i="80" a="1"/>
  <c r="B103" i="80"/>
  <c r="C90" i="51"/>
  <c r="B91" i="51" a="1"/>
  <c r="B91" i="51"/>
  <c r="C91" i="51"/>
  <c r="B92" i="51" a="1"/>
  <c r="B92" i="51"/>
  <c r="C103" i="80"/>
  <c r="B104" i="80" a="1"/>
  <c r="B104" i="80"/>
  <c r="C104" i="80"/>
  <c r="C92" i="51"/>
  <c r="B93" i="51" a="1"/>
  <c r="B93" i="51"/>
  <c r="C93" i="51"/>
  <c r="B94" i="51" a="1"/>
  <c r="B94" i="51"/>
  <c r="C94" i="51"/>
  <c r="D13" i="51"/>
  <c r="D14" i="61"/>
  <c r="D14" i="60"/>
  <c r="AA3" i="1"/>
  <c r="E13" i="80"/>
  <c r="E12" i="80"/>
  <c r="E13" i="60"/>
  <c r="E13" i="61"/>
  <c r="E12" i="51"/>
  <c r="AC2" i="1"/>
  <c r="AC3" i="1"/>
  <c r="E14" i="60"/>
  <c r="E14" i="61"/>
  <c r="E13" i="51"/>
  <c r="F13" i="80"/>
  <c r="F12" i="80"/>
  <c r="F12" i="51"/>
  <c r="F13" i="61"/>
  <c r="F13" i="60"/>
  <c r="AE2" i="1"/>
  <c r="AE3" i="1"/>
  <c r="F14" i="60"/>
  <c r="F13" i="51"/>
  <c r="F14" i="61"/>
  <c r="G13" i="80"/>
  <c r="G12" i="80"/>
  <c r="G13" i="60"/>
  <c r="G12" i="51"/>
  <c r="G13" i="61"/>
  <c r="AG2" i="1"/>
  <c r="G13" i="51"/>
  <c r="G14" i="61"/>
  <c r="G14" i="60"/>
  <c r="I13" i="60"/>
  <c r="AG3" i="1"/>
  <c r="I13" i="61"/>
  <c r="I12" i="51"/>
  <c r="I13" i="80"/>
  <c r="I12" i="80"/>
  <c r="AN2" i="1"/>
  <c r="AN3" i="1"/>
  <c r="I14" i="61"/>
  <c r="J12" i="51"/>
  <c r="I13" i="51"/>
  <c r="I14" i="60"/>
  <c r="AP2" i="1"/>
  <c r="J13" i="60"/>
  <c r="J13" i="61"/>
  <c r="J13" i="80"/>
  <c r="J12" i="80"/>
  <c r="J14" i="60"/>
  <c r="AP3" i="1"/>
  <c r="J14" i="61"/>
  <c r="K13" i="61"/>
  <c r="J13" i="51"/>
  <c r="K12" i="51"/>
  <c r="AR2" i="1"/>
  <c r="B34" i="77"/>
  <c r="K13" i="60"/>
  <c r="K13" i="80"/>
  <c r="K12" i="80"/>
  <c r="K14" i="61"/>
  <c r="L13" i="80"/>
  <c r="K13" i="51"/>
  <c r="AR3" i="1"/>
  <c r="L12" i="80"/>
  <c r="K14" i="60"/>
  <c r="AT2" i="1"/>
  <c r="L12" i="51"/>
  <c r="L13" i="60"/>
  <c r="L13" i="61"/>
  <c r="L14" i="60"/>
  <c r="L14" i="61"/>
  <c r="L13" i="51"/>
  <c r="AT3" i="1"/>
  <c r="N13" i="80"/>
  <c r="N12" i="80"/>
  <c r="BA2" i="1"/>
  <c r="N13" i="60"/>
  <c r="N13" i="61"/>
  <c r="N12" i="51"/>
  <c r="N14" i="61"/>
  <c r="N14" i="60"/>
  <c r="N13" i="51"/>
  <c r="BA3" i="1"/>
  <c r="O13" i="80"/>
  <c r="O12" i="80"/>
  <c r="BC2" i="1"/>
  <c r="O12" i="51"/>
  <c r="O13" i="60"/>
  <c r="O13" i="61"/>
  <c r="O14" i="61"/>
  <c r="O14" i="60"/>
  <c r="O13" i="51"/>
  <c r="BC3" i="1"/>
  <c r="P13" i="80"/>
  <c r="P12" i="80"/>
  <c r="P13" i="60"/>
  <c r="BE2" i="1"/>
  <c r="P12" i="51"/>
  <c r="P13" i="61"/>
  <c r="B54" i="77"/>
  <c r="P14" i="61"/>
  <c r="P14" i="60"/>
  <c r="P13" i="51"/>
  <c r="BE3" i="1"/>
  <c r="Q13" i="80"/>
  <c r="Q12" i="80"/>
  <c r="Q13" i="60"/>
  <c r="Q13" i="61"/>
  <c r="BG2" i="1"/>
  <c r="Q12" i="51"/>
  <c r="Q14" i="61"/>
  <c r="Q14" i="60"/>
  <c r="Q13" i="51"/>
  <c r="BG3" i="1"/>
  <c r="C59" i="77"/>
  <c r="S13" i="80"/>
  <c r="S12" i="80"/>
  <c r="BN2" i="1"/>
  <c r="S13" i="60"/>
  <c r="S13" i="61"/>
  <c r="S12" i="51"/>
  <c r="S14" i="61"/>
  <c r="S14" i="60"/>
  <c r="S13" i="51"/>
  <c r="BN3" i="1"/>
  <c r="T13" i="80"/>
  <c r="T12" i="80"/>
  <c r="BP2" i="1"/>
  <c r="T12" i="51"/>
  <c r="T13" i="60"/>
  <c r="T13" i="61"/>
  <c r="T14" i="61"/>
  <c r="T14" i="60"/>
  <c r="T13" i="51"/>
  <c r="BP3" i="1"/>
  <c r="U13" i="80"/>
  <c r="U12" i="80"/>
  <c r="U13" i="60"/>
  <c r="BR2" i="1"/>
  <c r="U12" i="51"/>
  <c r="U13" i="61"/>
  <c r="U14" i="61"/>
  <c r="U14" i="60"/>
  <c r="U13" i="51"/>
  <c r="BR3" i="1"/>
  <c r="V13" i="80"/>
  <c r="V12" i="80"/>
  <c r="V13" i="60"/>
  <c r="V13" i="61"/>
  <c r="BT2" i="1"/>
  <c r="V12" i="51"/>
  <c r="V14" i="60"/>
  <c r="V14" i="61"/>
  <c r="V13" i="51"/>
  <c r="BT3" i="1"/>
  <c r="B79" i="77"/>
  <c r="B49" i="77" l="1"/>
  <c r="C29" i="77"/>
  <c r="BI13" i="1"/>
  <c r="K45" i="51"/>
  <c r="K55" i="80"/>
  <c r="BY163" i="1"/>
  <c r="BI447" i="1"/>
  <c r="L47" i="51"/>
  <c r="BG46" i="1"/>
  <c r="BE46" i="1"/>
  <c r="AR18" i="1"/>
  <c r="K49" i="80" s="1"/>
  <c r="AN18" i="1"/>
  <c r="AT18" i="1"/>
  <c r="L39" i="51" s="1"/>
  <c r="BE839" i="1"/>
  <c r="BC839" i="1"/>
  <c r="BA839" i="1"/>
  <c r="BN582" i="1"/>
  <c r="BT582" i="1"/>
  <c r="BP582" i="1"/>
  <c r="BG651" i="1"/>
  <c r="BC651" i="1"/>
  <c r="BA442" i="1"/>
  <c r="BE442" i="1"/>
  <c r="BR952" i="1"/>
  <c r="BT952" i="1"/>
  <c r="BR479" i="1"/>
  <c r="BT479" i="1"/>
  <c r="BP479" i="1"/>
  <c r="BP270" i="1"/>
  <c r="BN270" i="1"/>
  <c r="BR270" i="1"/>
  <c r="BT270" i="1"/>
  <c r="BA946" i="1"/>
  <c r="BC946" i="1"/>
  <c r="BG261" i="1"/>
  <c r="BE261" i="1"/>
  <c r="BA261" i="1"/>
  <c r="AP701" i="1"/>
  <c r="AN701" i="1"/>
  <c r="AR701" i="1"/>
  <c r="BN664" i="1"/>
  <c r="BT664" i="1"/>
  <c r="AT813" i="1"/>
  <c r="AP813" i="1"/>
  <c r="AN813" i="1"/>
  <c r="AR813" i="1"/>
  <c r="BP756" i="1"/>
  <c r="BR756" i="1"/>
  <c r="BN756" i="1"/>
  <c r="BA636" i="1"/>
  <c r="BC636" i="1"/>
  <c r="AR815" i="1"/>
  <c r="AT815" i="1"/>
  <c r="AP391" i="1"/>
  <c r="AN391" i="1"/>
  <c r="AV391" i="1" s="1"/>
  <c r="BC922" i="1"/>
  <c r="BG922" i="1"/>
  <c r="BA580" i="1"/>
  <c r="BC580" i="1"/>
  <c r="BE580" i="1"/>
  <c r="BC829" i="1"/>
  <c r="BE829" i="1"/>
  <c r="BA678" i="1"/>
  <c r="BI678" i="1" s="1"/>
  <c r="BC678" i="1"/>
  <c r="BP11" i="1"/>
  <c r="BT11" i="1"/>
  <c r="BN11" i="1"/>
  <c r="BV11" i="1" s="1"/>
  <c r="BA73" i="1"/>
  <c r="BE73" i="1"/>
  <c r="BC73" i="1"/>
  <c r="AR329" i="1"/>
  <c r="AT329" i="1"/>
  <c r="AN769" i="1"/>
  <c r="AR769" i="1"/>
  <c r="BR863" i="1"/>
  <c r="BN863" i="1"/>
  <c r="BT863" i="1"/>
  <c r="BR419" i="1"/>
  <c r="BT419" i="1"/>
  <c r="BC452" i="1"/>
  <c r="BE452" i="1"/>
  <c r="BE300" i="1"/>
  <c r="BC300" i="1"/>
  <c r="BG300" i="1"/>
  <c r="BA251" i="1"/>
  <c r="BG251" i="1"/>
  <c r="BC582" i="1"/>
  <c r="BI582" i="1" s="1"/>
  <c r="BE582" i="1"/>
  <c r="BN173" i="1"/>
  <c r="BV173" i="1" s="1"/>
  <c r="BY173" i="1" s="1"/>
  <c r="BR173" i="1"/>
  <c r="BP173" i="1"/>
  <c r="AT222" i="1"/>
  <c r="AN222" i="1"/>
  <c r="AV222" i="1" s="1"/>
  <c r="AP222" i="1"/>
  <c r="BA408" i="1"/>
  <c r="BC408" i="1"/>
  <c r="BE408" i="1"/>
  <c r="BR156" i="1"/>
  <c r="BT156" i="1"/>
  <c r="BV156" i="1" s="1"/>
  <c r="AP538" i="1"/>
  <c r="AT538" i="1"/>
  <c r="AN538" i="1"/>
  <c r="BG745" i="1"/>
  <c r="BI745" i="1" s="1"/>
  <c r="BE745" i="1"/>
  <c r="BE894" i="1"/>
  <c r="BA894" i="1"/>
  <c r="BI894" i="1" s="1"/>
  <c r="AN42" i="1"/>
  <c r="AV42" i="1" s="1"/>
  <c r="AP42" i="1"/>
  <c r="BG53" i="1"/>
  <c r="BA53" i="1"/>
  <c r="AR37" i="1"/>
  <c r="AT37" i="1"/>
  <c r="AR791" i="1"/>
  <c r="AP791" i="1"/>
  <c r="BG532" i="1"/>
  <c r="BI532" i="1" s="1"/>
  <c r="BE532" i="1"/>
  <c r="BR925" i="1"/>
  <c r="BN925" i="1"/>
  <c r="BT633" i="1"/>
  <c r="BN633" i="1"/>
  <c r="BR487" i="1"/>
  <c r="BP487" i="1"/>
  <c r="AR653" i="1"/>
  <c r="AT653" i="1"/>
  <c r="AT250" i="1"/>
  <c r="AR250" i="1"/>
  <c r="AP250" i="1"/>
  <c r="AT530" i="1"/>
  <c r="AN530" i="1"/>
  <c r="AP530" i="1"/>
  <c r="AR228" i="1"/>
  <c r="AN228" i="1"/>
  <c r="AP228" i="1"/>
  <c r="AT230" i="1"/>
  <c r="AR230" i="1"/>
  <c r="AN230" i="1"/>
  <c r="AV230" i="1" s="1"/>
  <c r="AP615" i="1"/>
  <c r="AR615" i="1"/>
  <c r="AP170" i="1"/>
  <c r="AN170" i="1"/>
  <c r="BR875" i="1"/>
  <c r="BT875" i="1"/>
  <c r="BP875" i="1"/>
  <c r="AP460" i="1"/>
  <c r="AR460" i="1"/>
  <c r="BA337" i="1"/>
  <c r="BC337" i="1"/>
  <c r="BG337" i="1"/>
  <c r="BA986" i="1"/>
  <c r="BG986" i="1"/>
  <c r="BC986" i="1"/>
  <c r="BE986" i="1"/>
  <c r="BR464" i="1"/>
  <c r="BN464" i="1"/>
  <c r="AN957" i="1"/>
  <c r="AR957" i="1"/>
  <c r="BE453" i="1"/>
  <c r="BA453" i="1"/>
  <c r="BT858" i="1"/>
  <c r="BV858" i="1" s="1"/>
  <c r="BR858" i="1"/>
  <c r="BG659" i="1"/>
  <c r="BA659" i="1"/>
  <c r="BR262" i="1"/>
  <c r="BN262" i="1"/>
  <c r="BT262" i="1"/>
  <c r="BP262" i="1"/>
  <c r="BR650" i="1"/>
  <c r="BT650" i="1"/>
  <c r="BG606" i="1"/>
  <c r="BI606" i="1" s="1"/>
  <c r="BE606" i="1"/>
  <c r="BR980" i="1"/>
  <c r="BP980" i="1"/>
  <c r="BN980" i="1"/>
  <c r="BE499" i="1"/>
  <c r="BA499" i="1"/>
  <c r="BE884" i="1"/>
  <c r="BG884" i="1"/>
  <c r="BA884" i="1"/>
  <c r="BR251" i="1"/>
  <c r="BN251" i="1"/>
  <c r="BP433" i="1"/>
  <c r="BT433" i="1"/>
  <c r="BA673" i="1"/>
  <c r="BI673" i="1" s="1"/>
  <c r="BE673" i="1"/>
  <c r="BN759" i="1"/>
  <c r="BT759" i="1"/>
  <c r="BP759" i="1"/>
  <c r="AN796" i="1"/>
  <c r="AR796" i="1"/>
  <c r="AT796" i="1"/>
  <c r="BR138" i="1"/>
  <c r="BN138" i="1"/>
  <c r="BT138" i="1"/>
  <c r="BE333" i="1"/>
  <c r="BG333" i="1"/>
  <c r="BC333" i="1"/>
  <c r="BC463" i="1"/>
  <c r="BG463" i="1"/>
  <c r="BI463" i="1" s="1"/>
  <c r="BC709" i="1"/>
  <c r="BE709" i="1"/>
  <c r="BG709" i="1"/>
  <c r="BR947" i="1"/>
  <c r="BT947" i="1"/>
  <c r="BP947" i="1"/>
  <c r="BN947" i="1"/>
  <c r="BC404" i="1"/>
  <c r="BG404" i="1"/>
  <c r="AN643" i="1"/>
  <c r="AP643" i="1"/>
  <c r="AT643" i="1"/>
  <c r="BA551" i="1"/>
  <c r="BE551" i="1"/>
  <c r="BG551" i="1"/>
  <c r="AP286" i="1"/>
  <c r="AT286" i="1"/>
  <c r="BC67" i="1"/>
  <c r="BE67" i="1"/>
  <c r="P59" i="51" s="1"/>
  <c r="BG67" i="1"/>
  <c r="BI67" i="1" s="1"/>
  <c r="BG183" i="1"/>
  <c r="BE183" i="1"/>
  <c r="BA183" i="1"/>
  <c r="BC183" i="1"/>
  <c r="AN547" i="1"/>
  <c r="AR547" i="1"/>
  <c r="AT727" i="1"/>
  <c r="AR727" i="1"/>
  <c r="AN727" i="1"/>
  <c r="AV727" i="1" s="1"/>
  <c r="AP727" i="1"/>
  <c r="AT193" i="1"/>
  <c r="AP193" i="1"/>
  <c r="AR193" i="1"/>
  <c r="AT777" i="1"/>
  <c r="AR777" i="1"/>
  <c r="AP777" i="1"/>
  <c r="AN777" i="1"/>
  <c r="AV777" i="1" s="1"/>
  <c r="BN136" i="1"/>
  <c r="BP136" i="1"/>
  <c r="BR136" i="1"/>
  <c r="AR913" i="1"/>
  <c r="AP913" i="1"/>
  <c r="AT913" i="1"/>
  <c r="BP397" i="1"/>
  <c r="BT397" i="1"/>
  <c r="BN397" i="1"/>
  <c r="BN505" i="1"/>
  <c r="BR505" i="1"/>
  <c r="BC444" i="1"/>
  <c r="BE444" i="1"/>
  <c r="BG444" i="1"/>
  <c r="BR932" i="1"/>
  <c r="BT932" i="1"/>
  <c r="BP932" i="1"/>
  <c r="BN932" i="1"/>
  <c r="AG64" i="1"/>
  <c r="AE64" i="1"/>
  <c r="AA49" i="1"/>
  <c r="AC49" i="1"/>
  <c r="AG49" i="1"/>
  <c r="AE49" i="1"/>
  <c r="AG12" i="1"/>
  <c r="AC12" i="1"/>
  <c r="AE12" i="1"/>
  <c r="AA12" i="1"/>
  <c r="AI12" i="1" s="1"/>
  <c r="AE660" i="1"/>
  <c r="AC660" i="1"/>
  <c r="AA660" i="1"/>
  <c r="AG660" i="1"/>
  <c r="AE818" i="1"/>
  <c r="AA818" i="1"/>
  <c r="AG818" i="1"/>
  <c r="AC818" i="1"/>
  <c r="AE856" i="1"/>
  <c r="AA856" i="1"/>
  <c r="AA439" i="1"/>
  <c r="AE439" i="1"/>
  <c r="AG439" i="1"/>
  <c r="AC439" i="1"/>
  <c r="AG1004" i="1"/>
  <c r="AA1004" i="1"/>
  <c r="AE1004" i="1"/>
  <c r="AC1004" i="1"/>
  <c r="AE623" i="1"/>
  <c r="AC623" i="1"/>
  <c r="AG623" i="1"/>
  <c r="BN784" i="1"/>
  <c r="BR784" i="1"/>
  <c r="BP784" i="1"/>
  <c r="BT784" i="1"/>
  <c r="BG617" i="1"/>
  <c r="BE617" i="1"/>
  <c r="BC617" i="1"/>
  <c r="BA617" i="1"/>
  <c r="BE521" i="1"/>
  <c r="BC521" i="1"/>
  <c r="BE457" i="1"/>
  <c r="BC457" i="1"/>
  <c r="BG457" i="1"/>
  <c r="BA457" i="1"/>
  <c r="AR507" i="1"/>
  <c r="AT507" i="1"/>
  <c r="AT783" i="1"/>
  <c r="AR783" i="1"/>
  <c r="AP783" i="1"/>
  <c r="AN149" i="1"/>
  <c r="AP149" i="1"/>
  <c r="AN742" i="1"/>
  <c r="AT742" i="1"/>
  <c r="AP742" i="1"/>
  <c r="BT127" i="1"/>
  <c r="BN127" i="1"/>
  <c r="BP127" i="1"/>
  <c r="BR127" i="1"/>
  <c r="AP444" i="1"/>
  <c r="AV444" i="1" s="1"/>
  <c r="AR444" i="1"/>
  <c r="AP773" i="1"/>
  <c r="AT773" i="1"/>
  <c r="BN719" i="1"/>
  <c r="BR719" i="1"/>
  <c r="BP719" i="1"/>
  <c r="BR393" i="1"/>
  <c r="BT393" i="1"/>
  <c r="BR74" i="1"/>
  <c r="BP74" i="1"/>
  <c r="BN74" i="1"/>
  <c r="BT74" i="1"/>
  <c r="BG438" i="1"/>
  <c r="BC438" i="1"/>
  <c r="BE438" i="1"/>
  <c r="BA451" i="1"/>
  <c r="BE451" i="1"/>
  <c r="BC451" i="1"/>
  <c r="AA582" i="1"/>
  <c r="AE582" i="1"/>
  <c r="AC582" i="1"/>
  <c r="AA345" i="1"/>
  <c r="AI345" i="1" s="1"/>
  <c r="AC345" i="1"/>
  <c r="AE345" i="1"/>
  <c r="AC805" i="1"/>
  <c r="AE805" i="1"/>
  <c r="AA805" i="1"/>
  <c r="AI805" i="1" s="1"/>
  <c r="AC475" i="1"/>
  <c r="AG475" i="1"/>
  <c r="AE475" i="1"/>
  <c r="AA475" i="1"/>
  <c r="AA926" i="1"/>
  <c r="AE926" i="1"/>
  <c r="AG926" i="1"/>
  <c r="AC926" i="1"/>
  <c r="AG890" i="1"/>
  <c r="AC890" i="1"/>
  <c r="AA890" i="1"/>
  <c r="AI890" i="1" s="1"/>
  <c r="AE890" i="1"/>
  <c r="AE927" i="1"/>
  <c r="AC927" i="1"/>
  <c r="AI927" i="1" s="1"/>
  <c r="AC622" i="1"/>
  <c r="AI622" i="1" s="1"/>
  <c r="AG622" i="1"/>
  <c r="AC281" i="1"/>
  <c r="AA281" i="1"/>
  <c r="AI281" i="1" s="1"/>
  <c r="AN588" i="1"/>
  <c r="AV588" i="1" s="1"/>
  <c r="AP588" i="1"/>
  <c r="AT395" i="1"/>
  <c r="AV395" i="1" s="1"/>
  <c r="AR395" i="1"/>
  <c r="AN636" i="1"/>
  <c r="AV636" i="1" s="1"/>
  <c r="AR636" i="1"/>
  <c r="BT293" i="1"/>
  <c r="BV293" i="1" s="1"/>
  <c r="BP293" i="1"/>
  <c r="BR509" i="1"/>
  <c r="BP509" i="1"/>
  <c r="AA153" i="1"/>
  <c r="AE153" i="1"/>
  <c r="AC153" i="1"/>
  <c r="AA253" i="1"/>
  <c r="AC253" i="1"/>
  <c r="AG253" i="1"/>
  <c r="BP930" i="1"/>
  <c r="BT930" i="1"/>
  <c r="BN930" i="1"/>
  <c r="BR930" i="1"/>
  <c r="BA805" i="1"/>
  <c r="BI805" i="1" s="1"/>
  <c r="BE805" i="1"/>
  <c r="BC819" i="1"/>
  <c r="BI819" i="1" s="1"/>
  <c r="BE819" i="1"/>
  <c r="AR828" i="1"/>
  <c r="AP828" i="1"/>
  <c r="AN828" i="1"/>
  <c r="AT477" i="1"/>
  <c r="AN477" i="1"/>
  <c r="AV477" i="1" s="1"/>
  <c r="AR477" i="1"/>
  <c r="AP332" i="1"/>
  <c r="AR332" i="1"/>
  <c r="AR366" i="1"/>
  <c r="AP366" i="1"/>
  <c r="AN366" i="1"/>
  <c r="AT360" i="1"/>
  <c r="AN360" i="1"/>
  <c r="AV360" i="1" s="1"/>
  <c r="BN619" i="1"/>
  <c r="BP619" i="1"/>
  <c r="BR619" i="1"/>
  <c r="BT619" i="1"/>
  <c r="BA661" i="1"/>
  <c r="BE661" i="1"/>
  <c r="AR532" i="1"/>
  <c r="AT532" i="1"/>
  <c r="BC117" i="1"/>
  <c r="BE117" i="1"/>
  <c r="BA117" i="1"/>
  <c r="BG117" i="1"/>
  <c r="BP319" i="1"/>
  <c r="BN319" i="1"/>
  <c r="BV319" i="1" s="1"/>
  <c r="BC36" i="1"/>
  <c r="BA36" i="1"/>
  <c r="BR752" i="1"/>
  <c r="BP752" i="1"/>
  <c r="BV752" i="1" s="1"/>
  <c r="BG345" i="1"/>
  <c r="BC345" i="1"/>
  <c r="BA345" i="1"/>
  <c r="BE345" i="1"/>
  <c r="BE522" i="1"/>
  <c r="BA522" i="1"/>
  <c r="BG522" i="1"/>
  <c r="BC522" i="1"/>
  <c r="BN666" i="1"/>
  <c r="BT666" i="1"/>
  <c r="BG115" i="1"/>
  <c r="BE115" i="1"/>
  <c r="BC115" i="1"/>
  <c r="BA115" i="1"/>
  <c r="BI115" i="1" s="1"/>
  <c r="BY115" i="1" s="1"/>
  <c r="AE259" i="1"/>
  <c r="AA259" i="1"/>
  <c r="AG259" i="1"/>
  <c r="AG34" i="1"/>
  <c r="AC34" i="1"/>
  <c r="AA34" i="1"/>
  <c r="AE34" i="1"/>
  <c r="AE333" i="1"/>
  <c r="AA333" i="1"/>
  <c r="AC333" i="1"/>
  <c r="AG333" i="1"/>
  <c r="AC721" i="1"/>
  <c r="AG721" i="1"/>
  <c r="AE721" i="1"/>
  <c r="AA721" i="1"/>
  <c r="AG161" i="1"/>
  <c r="AA161" i="1"/>
  <c r="AG500" i="1"/>
  <c r="AC500" i="1"/>
  <c r="AA500" i="1"/>
  <c r="AE500" i="1"/>
  <c r="AE536" i="1"/>
  <c r="AC536" i="1"/>
  <c r="AG536" i="1"/>
  <c r="AC464" i="1"/>
  <c r="AE464" i="1"/>
  <c r="AG468" i="1"/>
  <c r="AC468" i="1"/>
  <c r="AA943" i="1"/>
  <c r="AE943" i="1"/>
  <c r="AG943" i="1"/>
  <c r="AC943" i="1"/>
  <c r="AE562" i="1"/>
  <c r="AA562" i="1"/>
  <c r="AG562" i="1"/>
  <c r="AE685" i="1"/>
  <c r="AA685" i="1"/>
  <c r="AC685" i="1"/>
  <c r="AC950" i="1"/>
  <c r="AE950" i="1"/>
  <c r="AG950" i="1"/>
  <c r="AA950" i="1"/>
  <c r="AG612" i="1"/>
  <c r="AA612" i="1"/>
  <c r="AE612" i="1"/>
  <c r="AG925" i="1"/>
  <c r="AC925" i="1"/>
  <c r="AA71" i="1"/>
  <c r="AG71" i="1"/>
  <c r="AC71" i="1"/>
  <c r="AE71" i="1"/>
  <c r="BN753" i="1"/>
  <c r="BP753" i="1"/>
  <c r="BT753" i="1"/>
  <c r="BR753" i="1"/>
  <c r="BN629" i="1"/>
  <c r="BP629" i="1"/>
  <c r="BR629" i="1"/>
  <c r="BT629" i="1"/>
  <c r="BT513" i="1"/>
  <c r="BP513" i="1"/>
  <c r="BG410" i="1"/>
  <c r="BE410" i="1"/>
  <c r="BC410" i="1"/>
  <c r="BA410" i="1"/>
  <c r="AP676" i="1"/>
  <c r="AN676" i="1"/>
  <c r="AR416" i="1"/>
  <c r="AN416" i="1"/>
  <c r="AP416" i="1"/>
  <c r="AT416" i="1"/>
  <c r="AT639" i="1"/>
  <c r="AV639" i="1" s="1"/>
  <c r="AR639" i="1"/>
  <c r="AE586" i="1"/>
  <c r="AC586" i="1"/>
  <c r="AA586" i="1"/>
  <c r="AE282" i="1"/>
  <c r="AA282" i="1"/>
  <c r="AE187" i="1"/>
  <c r="AA187" i="1"/>
  <c r="AC187" i="1"/>
  <c r="AG187" i="1"/>
  <c r="BC571" i="1"/>
  <c r="BE571" i="1"/>
  <c r="BE375" i="1"/>
  <c r="BA375" i="1"/>
  <c r="BG375" i="1"/>
  <c r="AT336" i="1"/>
  <c r="AP336" i="1"/>
  <c r="AA412" i="1"/>
  <c r="AG412" i="1"/>
  <c r="AE183" i="1"/>
  <c r="AA183" i="1"/>
  <c r="AC183" i="1"/>
  <c r="BT762" i="1"/>
  <c r="BR762" i="1"/>
  <c r="BN762" i="1"/>
  <c r="BP762" i="1"/>
  <c r="BC513" i="1"/>
  <c r="BA513" i="1"/>
  <c r="BG513" i="1"/>
  <c r="AT133" i="1"/>
  <c r="AR133" i="1"/>
  <c r="AP133" i="1"/>
  <c r="AN133" i="1"/>
  <c r="AA174" i="1"/>
  <c r="AC174" i="1"/>
  <c r="BT235" i="1"/>
  <c r="BP235" i="1"/>
  <c r="BN235" i="1"/>
  <c r="BV235" i="1" s="1"/>
  <c r="BR235" i="1"/>
  <c r="BG715" i="1"/>
  <c r="BA715" i="1"/>
  <c r="BE715" i="1"/>
  <c r="BN669" i="1"/>
  <c r="BR669" i="1"/>
  <c r="BP669" i="1"/>
  <c r="AT619" i="1"/>
  <c r="AN619" i="1"/>
  <c r="AR619" i="1"/>
  <c r="AP357" i="1"/>
  <c r="AT357" i="1"/>
  <c r="AN357" i="1"/>
  <c r="BN588" i="1"/>
  <c r="BV588" i="1" s="1"/>
  <c r="BR588" i="1"/>
  <c r="BT63" i="1"/>
  <c r="BP63" i="1"/>
  <c r="BN63" i="1"/>
  <c r="BR63" i="1"/>
  <c r="AN614" i="1"/>
  <c r="AV614" i="1" s="1"/>
  <c r="AP614" i="1"/>
  <c r="BE35" i="1"/>
  <c r="BC35" i="1"/>
  <c r="BA35" i="1"/>
  <c r="BI35" i="1" s="1"/>
  <c r="BG35" i="1"/>
  <c r="BP61" i="1"/>
  <c r="BR61" i="1"/>
  <c r="BT61" i="1"/>
  <c r="BG465" i="1"/>
  <c r="BC465" i="1"/>
  <c r="BA465" i="1"/>
  <c r="AE700" i="1"/>
  <c r="AC700" i="1"/>
  <c r="AA700" i="1"/>
  <c r="AG700" i="1"/>
  <c r="AA21" i="1"/>
  <c r="AC21" i="1"/>
  <c r="E45" i="51" s="1"/>
  <c r="AE21" i="1"/>
  <c r="F55" i="80" s="1"/>
  <c r="AE269" i="1"/>
  <c r="AG269" i="1"/>
  <c r="AA269" i="1"/>
  <c r="AC269" i="1"/>
  <c r="AA837" i="1"/>
  <c r="AG837" i="1"/>
  <c r="AC837" i="1"/>
  <c r="AE837" i="1"/>
  <c r="AE77" i="1"/>
  <c r="AC77" i="1"/>
  <c r="AA77" i="1"/>
  <c r="AG230" i="1"/>
  <c r="AA230" i="1"/>
  <c r="AC230" i="1"/>
  <c r="BR657" i="1"/>
  <c r="BP657" i="1"/>
  <c r="BN657" i="1"/>
  <c r="BT657" i="1"/>
  <c r="BG508" i="1"/>
  <c r="BA508" i="1"/>
  <c r="BG93" i="1"/>
  <c r="BE93" i="1"/>
  <c r="BC93" i="1"/>
  <c r="BA93" i="1"/>
  <c r="BI93" i="1" s="1"/>
  <c r="AT399" i="1"/>
  <c r="AN399" i="1"/>
  <c r="AR399" i="1"/>
  <c r="BA216" i="1"/>
  <c r="BI216" i="1" s="1"/>
  <c r="BC216" i="1"/>
  <c r="BE216" i="1"/>
  <c r="BG216" i="1"/>
  <c r="AP369" i="1"/>
  <c r="AN369" i="1"/>
  <c r="BN69" i="1"/>
  <c r="BR69" i="1"/>
  <c r="BP69" i="1"/>
  <c r="AT964" i="1"/>
  <c r="AN964" i="1"/>
  <c r="AR964" i="1"/>
  <c r="AP964" i="1"/>
  <c r="BP189" i="1"/>
  <c r="BN189" i="1"/>
  <c r="BT189" i="1"/>
  <c r="BR189" i="1"/>
  <c r="BN499" i="1"/>
  <c r="BP499" i="1"/>
  <c r="BE20" i="1"/>
  <c r="BC20" i="1"/>
  <c r="O67" i="80" s="1"/>
  <c r="BG20" i="1"/>
  <c r="Q57" i="51" s="1"/>
  <c r="BA20" i="1"/>
  <c r="AC604" i="1"/>
  <c r="AG604" i="1"/>
  <c r="AG885" i="1"/>
  <c r="AA885" i="1"/>
  <c r="AC885" i="1"/>
  <c r="AE885" i="1"/>
  <c r="AE779" i="1"/>
  <c r="AC779" i="1"/>
  <c r="AG779" i="1"/>
  <c r="AA779" i="1"/>
  <c r="AI779" i="1" s="1"/>
  <c r="AG334" i="1"/>
  <c r="AA334" i="1"/>
  <c r="BR43" i="1"/>
  <c r="BT43" i="1"/>
  <c r="AP51" i="1"/>
  <c r="AN51" i="1"/>
  <c r="AR51" i="1"/>
  <c r="AT51" i="1"/>
  <c r="BT679" i="1"/>
  <c r="BP679" i="1"/>
  <c r="BC137" i="1"/>
  <c r="BA137" i="1"/>
  <c r="BI137" i="1" s="1"/>
  <c r="BE137" i="1"/>
  <c r="BG137" i="1"/>
  <c r="BC12" i="1"/>
  <c r="O65" i="80" s="1"/>
  <c r="BE12" i="1"/>
  <c r="AC297" i="1"/>
  <c r="AA297" i="1"/>
  <c r="AE791" i="1"/>
  <c r="AC791" i="1"/>
  <c r="AE42" i="1"/>
  <c r="AC42" i="1"/>
  <c r="AG339" i="1"/>
  <c r="AC339" i="1"/>
  <c r="AG124" i="1"/>
  <c r="AC124" i="1"/>
  <c r="BP767" i="1"/>
  <c r="BT767" i="1"/>
  <c r="BP902" i="1"/>
  <c r="BN902" i="1"/>
  <c r="BP970" i="1"/>
  <c r="BT970" i="1"/>
  <c r="AP488" i="1"/>
  <c r="AR488" i="1"/>
  <c r="AR802" i="1"/>
  <c r="AP802" i="1"/>
  <c r="AT70" i="1"/>
  <c r="AP70" i="1"/>
  <c r="AT317" i="1"/>
  <c r="AN317" i="1"/>
  <c r="AC669" i="1"/>
  <c r="AE669" i="1"/>
  <c r="AG669" i="1"/>
  <c r="AA561" i="1"/>
  <c r="AC561" i="1"/>
  <c r="AG561" i="1"/>
  <c r="AC795" i="1"/>
  <c r="AG795" i="1"/>
  <c r="AE795" i="1"/>
  <c r="AG435" i="1"/>
  <c r="AA435" i="1"/>
  <c r="AC435" i="1"/>
  <c r="AG294" i="1"/>
  <c r="AE294" i="1"/>
  <c r="AG579" i="1"/>
  <c r="AA579" i="1"/>
  <c r="AI579" i="1" s="1"/>
  <c r="AG614" i="1"/>
  <c r="AA614" i="1"/>
  <c r="AI614" i="1" s="1"/>
  <c r="AE614" i="1"/>
  <c r="BN736" i="1"/>
  <c r="BV736" i="1" s="1"/>
  <c r="BT736" i="1"/>
  <c r="BP736" i="1"/>
  <c r="AV619" i="1"/>
  <c r="AI24" i="1"/>
  <c r="P18" i="61"/>
  <c r="AV691" i="1"/>
  <c r="Q18" i="61"/>
  <c r="BV38" i="1"/>
  <c r="BV338" i="1"/>
  <c r="BV383" i="1"/>
  <c r="BV695" i="1"/>
  <c r="BN479" i="1"/>
  <c r="BR582" i="1"/>
  <c r="BN809" i="1"/>
  <c r="AT391" i="1"/>
  <c r="BP664" i="1"/>
  <c r="BC529" i="1"/>
  <c r="BI529" i="1" s="1"/>
  <c r="BG946" i="1"/>
  <c r="BA829" i="1"/>
  <c r="BI829" i="1" s="1"/>
  <c r="BR809" i="1"/>
  <c r="D40" i="51"/>
  <c r="BY528" i="1"/>
  <c r="AN403" i="1"/>
  <c r="AV403" i="1" s="1"/>
  <c r="BP145" i="1"/>
  <c r="BV145" i="1" s="1"/>
  <c r="AR447" i="1"/>
  <c r="AV447" i="1" s="1"/>
  <c r="BP643" i="1"/>
  <c r="BV643" i="1" s="1"/>
  <c r="BG877" i="1"/>
  <c r="BI877" i="1" s="1"/>
  <c r="BR993" i="1"/>
  <c r="BV993" i="1" s="1"/>
  <c r="BA619" i="1"/>
  <c r="BI619" i="1" s="1"/>
  <c r="BP836" i="1"/>
  <c r="BV836" i="1" s="1"/>
  <c r="BT663" i="1"/>
  <c r="BP661" i="1"/>
  <c r="BV661" i="1" s="1"/>
  <c r="AC470" i="1"/>
  <c r="AI470" i="1" s="1"/>
  <c r="BY470" i="1" s="1"/>
  <c r="AG984" i="1"/>
  <c r="AN189" i="1"/>
  <c r="AV189" i="1" s="1"/>
  <c r="AA355" i="1"/>
  <c r="AI355" i="1" s="1"/>
  <c r="BC654" i="1"/>
  <c r="BG702" i="1"/>
  <c r="AC635" i="1"/>
  <c r="AI635" i="1" s="1"/>
  <c r="BE695" i="1"/>
  <c r="BI695" i="1" s="1"/>
  <c r="BP339" i="1"/>
  <c r="BV339" i="1" s="1"/>
  <c r="AP199" i="1"/>
  <c r="AV199" i="1" s="1"/>
  <c r="AG763" i="1"/>
  <c r="AI763" i="1" s="1"/>
  <c r="AN934" i="1"/>
  <c r="AG725" i="1"/>
  <c r="AI725" i="1" s="1"/>
  <c r="AN303" i="1"/>
  <c r="AV303" i="1" s="1"/>
  <c r="BG706" i="1"/>
  <c r="BC46" i="1"/>
  <c r="BT193" i="1"/>
  <c r="BR515" i="1"/>
  <c r="AN363" i="1"/>
  <c r="BE909" i="1"/>
  <c r="BR510" i="1"/>
  <c r="BV510" i="1" s="1"/>
  <c r="BE998" i="1"/>
  <c r="BI998" i="1" s="1"/>
  <c r="AR363" i="1"/>
  <c r="BP718" i="1"/>
  <c r="BV718" i="1" s="1"/>
  <c r="BA743" i="1"/>
  <c r="BR232" i="1"/>
  <c r="AT194" i="1"/>
  <c r="AV194" i="1" s="1"/>
  <c r="AT563" i="1"/>
  <c r="BE165" i="1"/>
  <c r="AT167" i="1"/>
  <c r="AV167" i="1" s="1"/>
  <c r="BE637" i="1"/>
  <c r="BT220" i="1"/>
  <c r="BN919" i="1"/>
  <c r="BE719" i="1"/>
  <c r="BN695" i="1"/>
  <c r="AT701" i="1"/>
  <c r="AV701" i="1" s="1"/>
  <c r="BN952" i="1"/>
  <c r="BP809" i="1"/>
  <c r="BV837" i="1"/>
  <c r="BR664" i="1"/>
  <c r="BN419" i="1"/>
  <c r="BV419" i="1" s="1"/>
  <c r="BG442" i="1"/>
  <c r="BA452" i="1"/>
  <c r="BI452" i="1" s="1"/>
  <c r="BE651" i="1"/>
  <c r="BC551" i="1"/>
  <c r="BY916" i="1"/>
  <c r="R42" i="51"/>
  <c r="BY66" i="1"/>
  <c r="BY797" i="1"/>
  <c r="AI183" i="1"/>
  <c r="AV460" i="1"/>
  <c r="BV669" i="1"/>
  <c r="BV61" i="1"/>
  <c r="BI706" i="1"/>
  <c r="AV485" i="1"/>
  <c r="BY485" i="1" s="1"/>
  <c r="AV358" i="1"/>
  <c r="BI690" i="1"/>
  <c r="BY690" i="1" s="1"/>
  <c r="BI283" i="1"/>
  <c r="AV289" i="1"/>
  <c r="BY289" i="1" s="1"/>
  <c r="BI867" i="1"/>
  <c r="BY867" i="1" s="1"/>
  <c r="AV974" i="1"/>
  <c r="AV763" i="1"/>
  <c r="AV815" i="1"/>
  <c r="BV10" i="1"/>
  <c r="BV596" i="1"/>
  <c r="AV490" i="1"/>
  <c r="BV264" i="1"/>
  <c r="BA46" i="1"/>
  <c r="BT649" i="1"/>
  <c r="BV649" i="1" s="1"/>
  <c r="AR538" i="1"/>
  <c r="AT833" i="1"/>
  <c r="BA909" i="1"/>
  <c r="AN355" i="1"/>
  <c r="BT232" i="1"/>
  <c r="AN563" i="1"/>
  <c r="BE251" i="1"/>
  <c r="BA165" i="1"/>
  <c r="BI165" i="1" s="1"/>
  <c r="BR853" i="1"/>
  <c r="BP919" i="1"/>
  <c r="BG719" i="1"/>
  <c r="BI719" i="1" s="1"/>
  <c r="BN607" i="1"/>
  <c r="BE636" i="1"/>
  <c r="BC261" i="1"/>
  <c r="BC442" i="1"/>
  <c r="BG839" i="1"/>
  <c r="BV759" i="1"/>
  <c r="AI582" i="1"/>
  <c r="BE946" i="1"/>
  <c r="AN329" i="1"/>
  <c r="AP18" i="1"/>
  <c r="AP769" i="1"/>
  <c r="BR915" i="1"/>
  <c r="BV915" i="1" s="1"/>
  <c r="BA333" i="1"/>
  <c r="BI333" i="1" s="1"/>
  <c r="BT505" i="1"/>
  <c r="BA286" i="1"/>
  <c r="BC286" i="1"/>
  <c r="AP864" i="1"/>
  <c r="AR864" i="1"/>
  <c r="AN864" i="1"/>
  <c r="AV864" i="1" s="1"/>
  <c r="BP91" i="1"/>
  <c r="BT91" i="1"/>
  <c r="BR91" i="1"/>
  <c r="BT396" i="1"/>
  <c r="BR396" i="1"/>
  <c r="BN396" i="1"/>
  <c r="BP396" i="1"/>
  <c r="BP646" i="1"/>
  <c r="BV646" i="1" s="1"/>
  <c r="BT646" i="1"/>
  <c r="BR557" i="1"/>
  <c r="BN557" i="1"/>
  <c r="BC977" i="1"/>
  <c r="BE977" i="1"/>
  <c r="BA977" i="1"/>
  <c r="BG977" i="1"/>
  <c r="BC664" i="1"/>
  <c r="BE664" i="1"/>
  <c r="BA664" i="1"/>
  <c r="BG664" i="1"/>
  <c r="AE665" i="1"/>
  <c r="AI665" i="1" s="1"/>
  <c r="AG665" i="1"/>
  <c r="AC479" i="1"/>
  <c r="AA479" i="1"/>
  <c r="AA520" i="1"/>
  <c r="AI520" i="1" s="1"/>
  <c r="AE520" i="1"/>
  <c r="AG520" i="1"/>
  <c r="AC520" i="1"/>
  <c r="AA418" i="1"/>
  <c r="AI418" i="1" s="1"/>
  <c r="AE418" i="1"/>
  <c r="AG418" i="1"/>
  <c r="AC418" i="1"/>
  <c r="AC841" i="1"/>
  <c r="AA841" i="1"/>
  <c r="AG841" i="1"/>
  <c r="AE841" i="1"/>
  <c r="AA806" i="1"/>
  <c r="AC806" i="1"/>
  <c r="BN129" i="1"/>
  <c r="BR129" i="1"/>
  <c r="BP129" i="1"/>
  <c r="BT129" i="1"/>
  <c r="BE857" i="1"/>
  <c r="BC857" i="1"/>
  <c r="BG857" i="1"/>
  <c r="BI857" i="1" s="1"/>
  <c r="BC416" i="1"/>
  <c r="BE416" i="1"/>
  <c r="BA416" i="1"/>
  <c r="BG416" i="1"/>
  <c r="BE280" i="1"/>
  <c r="BC280" i="1"/>
  <c r="BG280" i="1"/>
  <c r="BI280" i="1" s="1"/>
  <c r="AN396" i="1"/>
  <c r="AV396" i="1" s="1"/>
  <c r="AP396" i="1"/>
  <c r="AR396" i="1"/>
  <c r="AT396" i="1"/>
  <c r="AT611" i="1"/>
  <c r="AN611" i="1"/>
  <c r="BA727" i="1"/>
  <c r="BI727" i="1" s="1"/>
  <c r="BE727" i="1"/>
  <c r="AN210" i="1"/>
  <c r="AR210" i="1"/>
  <c r="BP445" i="1"/>
  <c r="BT445" i="1"/>
  <c r="BN445" i="1"/>
  <c r="BV445" i="1" s="1"/>
  <c r="BY445" i="1" s="1"/>
  <c r="BR445" i="1"/>
  <c r="BG621" i="1"/>
  <c r="BA621" i="1"/>
  <c r="BE621" i="1"/>
  <c r="BC621" i="1"/>
  <c r="BR450" i="1"/>
  <c r="BT450" i="1"/>
  <c r="BP450" i="1"/>
  <c r="BN450" i="1"/>
  <c r="BP979" i="1"/>
  <c r="BT979" i="1"/>
  <c r="BN979" i="1"/>
  <c r="BV979" i="1" s="1"/>
  <c r="BY979" i="1" s="1"/>
  <c r="BA472" i="1"/>
  <c r="BG472" i="1"/>
  <c r="BI472" i="1" s="1"/>
  <c r="BC472" i="1"/>
  <c r="AA86" i="1"/>
  <c r="AI86" i="1" s="1"/>
  <c r="AE86" i="1"/>
  <c r="AC86" i="1"/>
  <c r="AG86" i="1"/>
  <c r="AE451" i="1"/>
  <c r="AA451" i="1"/>
  <c r="AC451" i="1"/>
  <c r="AG451" i="1"/>
  <c r="AE973" i="1"/>
  <c r="AC973" i="1"/>
  <c r="AA973" i="1"/>
  <c r="AG973" i="1"/>
  <c r="AA224" i="1"/>
  <c r="AI224" i="1" s="1"/>
  <c r="AC224" i="1"/>
  <c r="AE224" i="1"/>
  <c r="AG224" i="1"/>
  <c r="BE81" i="1"/>
  <c r="BG81" i="1"/>
  <c r="BA81" i="1"/>
  <c r="BC81" i="1"/>
  <c r="AT992" i="1"/>
  <c r="AN992" i="1"/>
  <c r="AP992" i="1"/>
  <c r="AR992" i="1"/>
  <c r="AT271" i="1"/>
  <c r="AN271" i="1"/>
  <c r="AP271" i="1"/>
  <c r="AR271" i="1"/>
  <c r="AN78" i="1"/>
  <c r="AV78" i="1" s="1"/>
  <c r="AT78" i="1"/>
  <c r="AR78" i="1"/>
  <c r="AP78" i="1"/>
  <c r="BG397" i="1"/>
  <c r="BI397" i="1" s="1"/>
  <c r="BE397" i="1"/>
  <c r="BC397" i="1"/>
  <c r="BR58" i="1"/>
  <c r="BN58" i="1"/>
  <c r="BP58" i="1"/>
  <c r="BT58" i="1"/>
  <c r="AA260" i="1"/>
  <c r="AE260" i="1"/>
  <c r="AC260" i="1"/>
  <c r="AG260" i="1"/>
  <c r="AA386" i="1"/>
  <c r="AC386" i="1"/>
  <c r="AE386" i="1"/>
  <c r="AG386" i="1"/>
  <c r="AC137" i="1"/>
  <c r="AE137" i="1"/>
  <c r="AG137" i="1"/>
  <c r="AE558" i="1"/>
  <c r="AC558" i="1"/>
  <c r="AG558" i="1"/>
  <c r="AA558" i="1"/>
  <c r="BP48" i="1"/>
  <c r="BR48" i="1"/>
  <c r="BN48" i="1"/>
  <c r="BT48" i="1"/>
  <c r="AR608" i="1"/>
  <c r="AP608" i="1"/>
  <c r="AT608" i="1"/>
  <c r="BC552" i="1"/>
  <c r="BA552" i="1"/>
  <c r="BE552" i="1"/>
  <c r="BG552" i="1"/>
  <c r="AR430" i="1"/>
  <c r="AT430" i="1"/>
  <c r="AN430" i="1"/>
  <c r="AP430" i="1"/>
  <c r="BC914" i="1"/>
  <c r="BG914" i="1"/>
  <c r="BI914" i="1" s="1"/>
  <c r="BE914" i="1"/>
  <c r="AR452" i="1"/>
  <c r="AP452" i="1"/>
  <c r="AN452" i="1"/>
  <c r="AT452" i="1"/>
  <c r="BP418" i="1"/>
  <c r="BR418" i="1"/>
  <c r="BN418" i="1"/>
  <c r="AR840" i="1"/>
  <c r="AN840" i="1"/>
  <c r="AV840" i="1" s="1"/>
  <c r="AT840" i="1"/>
  <c r="AP840" i="1"/>
  <c r="AG776" i="1"/>
  <c r="AA776" i="1"/>
  <c r="AI776" i="1" s="1"/>
  <c r="AC776" i="1"/>
  <c r="AP610" i="1"/>
  <c r="AT610" i="1"/>
  <c r="AN610" i="1"/>
  <c r="AV610" i="1" s="1"/>
  <c r="AR610" i="1"/>
  <c r="AC566" i="1"/>
  <c r="AG566" i="1"/>
  <c r="AE566" i="1"/>
  <c r="AE726" i="1"/>
  <c r="AG726" i="1"/>
  <c r="AA726" i="1"/>
  <c r="AC726" i="1"/>
  <c r="AC125" i="1"/>
  <c r="AG125" i="1"/>
  <c r="AA125" i="1"/>
  <c r="AE125" i="1"/>
  <c r="BA214" i="1"/>
  <c r="BC214" i="1"/>
  <c r="BG214" i="1"/>
  <c r="AC254" i="1"/>
  <c r="AA254" i="1"/>
  <c r="AG254" i="1"/>
  <c r="AE254" i="1"/>
  <c r="AE196" i="1"/>
  <c r="AC196" i="1"/>
  <c r="AG196" i="1"/>
  <c r="AA196" i="1"/>
  <c r="AG337" i="1"/>
  <c r="AC337" i="1"/>
  <c r="AE337" i="1"/>
  <c r="AG581" i="1"/>
  <c r="AA581" i="1"/>
  <c r="AI581" i="1" s="1"/>
  <c r="AE581" i="1"/>
  <c r="AC581" i="1"/>
  <c r="AC213" i="1"/>
  <c r="AG213" i="1"/>
  <c r="AA213" i="1"/>
  <c r="AA830" i="1"/>
  <c r="AC830" i="1"/>
  <c r="AG830" i="1"/>
  <c r="AE830" i="1"/>
  <c r="AA378" i="1"/>
  <c r="AE378" i="1"/>
  <c r="AC378" i="1"/>
  <c r="AG378" i="1"/>
  <c r="AE978" i="1"/>
  <c r="AG978" i="1"/>
  <c r="AA978" i="1"/>
  <c r="AI978" i="1" s="1"/>
  <c r="AT104" i="1"/>
  <c r="AN104" i="1"/>
  <c r="AP104" i="1"/>
  <c r="AR104" i="1"/>
  <c r="BG476" i="1"/>
  <c r="BC476" i="1"/>
  <c r="BE476" i="1"/>
  <c r="BA476" i="1"/>
  <c r="BI476" i="1" s="1"/>
  <c r="AE955" i="1"/>
  <c r="AA955" i="1"/>
  <c r="AG955" i="1"/>
  <c r="AC800" i="1"/>
  <c r="AG800" i="1"/>
  <c r="AE800" i="1"/>
  <c r="AE675" i="1"/>
  <c r="AG675" i="1"/>
  <c r="AA675" i="1"/>
  <c r="AG313" i="1"/>
  <c r="AC313" i="1"/>
  <c r="AA313" i="1"/>
  <c r="AI313" i="1" s="1"/>
  <c r="BY313" i="1" s="1"/>
  <c r="AE313" i="1"/>
  <c r="AG767" i="1"/>
  <c r="AA767" i="1"/>
  <c r="AC767" i="1"/>
  <c r="AE162" i="1"/>
  <c r="AG162" i="1"/>
  <c r="AA162" i="1"/>
  <c r="AC162" i="1"/>
  <c r="AE845" i="1"/>
  <c r="AC845" i="1"/>
  <c r="AG845" i="1"/>
  <c r="AA845" i="1"/>
  <c r="AI845" i="1" s="1"/>
  <c r="AA996" i="1"/>
  <c r="AG996" i="1"/>
  <c r="AE996" i="1"/>
  <c r="AA50" i="1"/>
  <c r="AI50" i="1" s="1"/>
  <c r="AG50" i="1"/>
  <c r="AE50" i="1"/>
  <c r="AC50" i="1"/>
  <c r="AE236" i="1"/>
  <c r="AG236" i="1"/>
  <c r="AC236" i="1"/>
  <c r="AA332" i="1"/>
  <c r="AC332" i="1"/>
  <c r="AG332" i="1"/>
  <c r="AE332" i="1"/>
  <c r="AE416" i="1"/>
  <c r="AA416" i="1"/>
  <c r="AI416" i="1" s="1"/>
  <c r="AC416" i="1"/>
  <c r="AG416" i="1"/>
  <c r="AE53" i="1"/>
  <c r="AG53" i="1"/>
  <c r="AC53" i="1"/>
  <c r="BC875" i="1"/>
  <c r="BE875" i="1"/>
  <c r="BA875" i="1"/>
  <c r="BG875" i="1"/>
  <c r="AN574" i="1"/>
  <c r="AR574" i="1"/>
  <c r="AP574" i="1"/>
  <c r="AT574" i="1"/>
  <c r="AC99" i="1"/>
  <c r="AA99" i="1"/>
  <c r="AE99" i="1"/>
  <c r="AG99" i="1"/>
  <c r="BP133" i="1"/>
  <c r="BT133" i="1"/>
  <c r="BR133" i="1"/>
  <c r="BN133" i="1"/>
  <c r="AA526" i="1"/>
  <c r="AG526" i="1"/>
  <c r="AC526" i="1"/>
  <c r="AE526" i="1"/>
  <c r="AT469" i="1"/>
  <c r="AP469" i="1"/>
  <c r="AN469" i="1"/>
  <c r="AC141" i="1"/>
  <c r="AE141" i="1"/>
  <c r="AG141" i="1"/>
  <c r="AR823" i="1"/>
  <c r="AP823" i="1"/>
  <c r="AT672" i="1"/>
  <c r="AR672" i="1"/>
  <c r="AN672" i="1"/>
  <c r="AV672" i="1" s="1"/>
  <c r="BC816" i="1"/>
  <c r="BE816" i="1"/>
  <c r="BG816" i="1"/>
  <c r="BA816" i="1"/>
  <c r="BI816" i="1" s="1"/>
  <c r="AC723" i="1"/>
  <c r="AE723" i="1"/>
  <c r="AA723" i="1"/>
  <c r="AG723" i="1"/>
  <c r="AE308" i="1"/>
  <c r="AA308" i="1"/>
  <c r="AG308" i="1"/>
  <c r="AC308" i="1"/>
  <c r="AP238" i="1"/>
  <c r="AN238" i="1"/>
  <c r="AV238" i="1" s="1"/>
  <c r="AR238" i="1"/>
  <c r="AE391" i="1"/>
  <c r="AC391" i="1"/>
  <c r="AA391" i="1"/>
  <c r="AP954" i="1"/>
  <c r="AN954" i="1"/>
  <c r="AV954" i="1" s="1"/>
  <c r="AC718" i="1"/>
  <c r="AG718" i="1"/>
  <c r="AE718" i="1"/>
  <c r="AC704" i="1"/>
  <c r="AA704" i="1"/>
  <c r="AC59" i="1"/>
  <c r="AG59" i="1"/>
  <c r="AA59" i="1"/>
  <c r="AC519" i="1"/>
  <c r="AE519" i="1"/>
  <c r="AG519" i="1"/>
  <c r="AC177" i="1"/>
  <c r="AE177" i="1"/>
  <c r="AE638" i="1"/>
  <c r="AG638" i="1"/>
  <c r="AC638" i="1"/>
  <c r="AI638" i="1" s="1"/>
  <c r="BC789" i="1"/>
  <c r="BE789" i="1"/>
  <c r="AT915" i="1"/>
  <c r="AP915" i="1"/>
  <c r="AN915" i="1"/>
  <c r="AA456" i="1"/>
  <c r="AI456" i="1" s="1"/>
  <c r="AE456" i="1"/>
  <c r="AG456" i="1"/>
  <c r="BA164" i="1"/>
  <c r="BE164" i="1"/>
  <c r="BG164" i="1"/>
  <c r="BC164" i="1"/>
  <c r="AT637" i="1"/>
  <c r="AR637" i="1"/>
  <c r="AN424" i="1"/>
  <c r="AV424" i="1" s="1"/>
  <c r="BY424" i="1" s="1"/>
  <c r="AR424" i="1"/>
  <c r="BG929" i="1"/>
  <c r="BE929" i="1"/>
  <c r="AC33" i="1"/>
  <c r="AA33" i="1"/>
  <c r="AG33" i="1"/>
  <c r="AE33" i="1"/>
  <c r="AG514" i="1"/>
  <c r="AC514" i="1"/>
  <c r="AE514" i="1"/>
  <c r="AA514" i="1"/>
  <c r="AN330" i="1"/>
  <c r="AP330" i="1"/>
  <c r="AR330" i="1"/>
  <c r="AT330" i="1"/>
  <c r="AC712" i="1"/>
  <c r="AA712" i="1"/>
  <c r="AI712" i="1" s="1"/>
  <c r="AE712" i="1"/>
  <c r="AG712" i="1"/>
  <c r="AA537" i="1"/>
  <c r="AE537" i="1"/>
  <c r="AI537" i="1" s="1"/>
  <c r="AC537" i="1"/>
  <c r="AG421" i="1"/>
  <c r="AE421" i="1"/>
  <c r="AA421" i="1"/>
  <c r="AC687" i="1"/>
  <c r="AG687" i="1"/>
  <c r="AA315" i="1"/>
  <c r="AG315" i="1"/>
  <c r="AC315" i="1"/>
  <c r="AC397" i="1"/>
  <c r="AA397" i="1"/>
  <c r="AE397" i="1"/>
  <c r="AA371" i="1"/>
  <c r="AG371" i="1"/>
  <c r="AC371" i="1"/>
  <c r="AE371" i="1"/>
  <c r="BT768" i="1"/>
  <c r="BP768" i="1"/>
  <c r="BR768" i="1"/>
  <c r="BN768" i="1"/>
  <c r="BV768" i="1" s="1"/>
  <c r="BG177" i="1"/>
  <c r="BA177" i="1"/>
  <c r="BR612" i="1"/>
  <c r="BN612" i="1"/>
  <c r="BV612" i="1" s="1"/>
  <c r="AT388" i="1"/>
  <c r="AP388" i="1"/>
  <c r="AR388" i="1"/>
  <c r="AN388" i="1"/>
  <c r="AV388" i="1" s="1"/>
  <c r="AG148" i="1"/>
  <c r="AC148" i="1"/>
  <c r="AA148" i="1"/>
  <c r="AE148" i="1"/>
  <c r="BT551" i="1"/>
  <c r="BN551" i="1"/>
  <c r="AP157" i="1"/>
  <c r="AN157" i="1"/>
  <c r="AV157" i="1" s="1"/>
  <c r="AP88" i="1"/>
  <c r="AR88" i="1"/>
  <c r="AT88" i="1"/>
  <c r="AR99" i="1"/>
  <c r="AT99" i="1"/>
  <c r="AG809" i="1"/>
  <c r="AC809" i="1"/>
  <c r="AI809" i="1" s="1"/>
  <c r="AE809" i="1"/>
  <c r="AC680" i="1"/>
  <c r="AG680" i="1"/>
  <c r="AE220" i="1"/>
  <c r="AA220" i="1"/>
  <c r="AI220" i="1" s="1"/>
  <c r="AG220" i="1"/>
  <c r="AC220" i="1"/>
  <c r="BN229" i="1"/>
  <c r="BR229" i="1"/>
  <c r="AR262" i="1"/>
  <c r="AT262" i="1"/>
  <c r="AN262" i="1"/>
  <c r="AP262" i="1"/>
  <c r="AA107" i="1"/>
  <c r="AG107" i="1"/>
  <c r="AE107" i="1"/>
  <c r="AC107" i="1"/>
  <c r="AE189" i="1"/>
  <c r="AC189" i="1"/>
  <c r="AR788" i="1"/>
  <c r="AP788" i="1"/>
  <c r="AV788" i="1" s="1"/>
  <c r="AP765" i="1"/>
  <c r="AR765" i="1"/>
  <c r="AA717" i="1"/>
  <c r="AC717" i="1"/>
  <c r="AC476" i="1"/>
  <c r="AA476" i="1"/>
  <c r="AG476" i="1"/>
  <c r="AE476" i="1"/>
  <c r="AC755" i="1"/>
  <c r="AA755" i="1"/>
  <c r="AE755" i="1"/>
  <c r="AE985" i="1"/>
  <c r="AG985" i="1"/>
  <c r="AG415" i="1"/>
  <c r="AE415" i="1"/>
  <c r="AC331" i="1"/>
  <c r="AI331" i="1" s="1"/>
  <c r="AG331" i="1"/>
  <c r="AE331" i="1"/>
  <c r="AE971" i="1"/>
  <c r="AA971" i="1"/>
  <c r="AI971" i="1" s="1"/>
  <c r="AG971" i="1"/>
  <c r="AC971" i="1"/>
  <c r="AC573" i="1"/>
  <c r="AG573" i="1"/>
  <c r="AE573" i="1"/>
  <c r="AA573" i="1"/>
  <c r="AA934" i="1"/>
  <c r="AG934" i="1"/>
  <c r="AG771" i="1"/>
  <c r="AC771" i="1"/>
  <c r="AA399" i="1"/>
  <c r="AG399" i="1"/>
  <c r="AE399" i="1"/>
  <c r="AC399" i="1"/>
  <c r="AG563" i="1"/>
  <c r="AA563" i="1"/>
  <c r="AC563" i="1"/>
  <c r="AC648" i="1"/>
  <c r="AA648" i="1"/>
  <c r="AG976" i="1"/>
  <c r="AI976" i="1" s="1"/>
  <c r="AA976" i="1"/>
  <c r="AC976" i="1"/>
  <c r="AG857" i="1"/>
  <c r="AC857" i="1"/>
  <c r="AA857" i="1"/>
  <c r="AE857" i="1"/>
  <c r="AC790" i="1"/>
  <c r="AE790" i="1"/>
  <c r="AA790" i="1"/>
  <c r="AG790" i="1"/>
  <c r="BP486" i="1"/>
  <c r="BN486" i="1"/>
  <c r="BC279" i="1"/>
  <c r="BA279" i="1"/>
  <c r="BE279" i="1"/>
  <c r="BG279" i="1"/>
  <c r="AT674" i="1"/>
  <c r="AR674" i="1"/>
  <c r="AP674" i="1"/>
  <c r="AN674" i="1"/>
  <c r="AV674" i="1" s="1"/>
  <c r="BC987" i="1"/>
  <c r="BG987" i="1"/>
  <c r="BA987" i="1"/>
  <c r="BE987" i="1"/>
  <c r="AC20" i="1"/>
  <c r="AA20" i="1"/>
  <c r="AE20" i="1"/>
  <c r="AG20" i="1"/>
  <c r="BC270" i="1"/>
  <c r="BG270" i="1"/>
  <c r="BE270" i="1"/>
  <c r="BA270" i="1"/>
  <c r="BI270" i="1" s="1"/>
  <c r="BE215" i="1"/>
  <c r="BC215" i="1"/>
  <c r="BG215" i="1"/>
  <c r="BA215" i="1"/>
  <c r="BI215" i="1" s="1"/>
  <c r="AP229" i="1"/>
  <c r="AT229" i="1"/>
  <c r="AN229" i="1"/>
  <c r="AR229" i="1"/>
  <c r="AE206" i="1"/>
  <c r="AA206" i="1"/>
  <c r="AC206" i="1"/>
  <c r="AG206" i="1"/>
  <c r="BN640" i="1"/>
  <c r="BR640" i="1"/>
  <c r="BT640" i="1"/>
  <c r="BA264" i="1"/>
  <c r="BI264" i="1" s="1"/>
  <c r="BC264" i="1"/>
  <c r="BE264" i="1"/>
  <c r="BG264" i="1"/>
  <c r="AP145" i="1"/>
  <c r="AT145" i="1"/>
  <c r="AR145" i="1"/>
  <c r="AN145" i="1"/>
  <c r="AC116" i="1"/>
  <c r="AE116" i="1"/>
  <c r="AA116" i="1"/>
  <c r="AG116" i="1"/>
  <c r="BP864" i="1"/>
  <c r="BN864" i="1"/>
  <c r="BT864" i="1"/>
  <c r="BR864" i="1"/>
  <c r="AR548" i="1"/>
  <c r="AP548" i="1"/>
  <c r="AT548" i="1"/>
  <c r="AN548" i="1"/>
  <c r="BP119" i="1"/>
  <c r="BR119" i="1"/>
  <c r="BT119" i="1"/>
  <c r="BN119" i="1"/>
  <c r="AN342" i="1"/>
  <c r="AV342" i="1" s="1"/>
  <c r="BY342" i="1" s="1"/>
  <c r="AP342" i="1"/>
  <c r="AT342" i="1"/>
  <c r="AR342" i="1"/>
  <c r="AR771" i="1"/>
  <c r="AN771" i="1"/>
  <c r="AT771" i="1"/>
  <c r="AP771" i="1"/>
  <c r="AP1000" i="1"/>
  <c r="AR1000" i="1"/>
  <c r="AT1000" i="1"/>
  <c r="AN1000" i="1"/>
  <c r="AP494" i="1"/>
  <c r="AR494" i="1"/>
  <c r="AN494" i="1"/>
  <c r="AT494" i="1"/>
  <c r="AA179" i="1"/>
  <c r="AI179" i="1" s="1"/>
  <c r="AE179" i="1"/>
  <c r="AC179" i="1"/>
  <c r="AG179" i="1"/>
  <c r="AA1001" i="1"/>
  <c r="AI1001" i="1" s="1"/>
  <c r="AC1001" i="1"/>
  <c r="AG1001" i="1"/>
  <c r="AE1001" i="1"/>
  <c r="AG302" i="1"/>
  <c r="AC302" i="1"/>
  <c r="AA302" i="1"/>
  <c r="AI302" i="1" s="1"/>
  <c r="BY302" i="1" s="1"/>
  <c r="AN733" i="1"/>
  <c r="AP733" i="1"/>
  <c r="AT733" i="1"/>
  <c r="AR733" i="1"/>
  <c r="AN134" i="1"/>
  <c r="AR134" i="1"/>
  <c r="AP134" i="1"/>
  <c r="AT134" i="1"/>
  <c r="AN901" i="1"/>
  <c r="AT901" i="1"/>
  <c r="AP901" i="1"/>
  <c r="AR901" i="1"/>
  <c r="AA359" i="1"/>
  <c r="AE359" i="1"/>
  <c r="AC359" i="1"/>
  <c r="BA591" i="1"/>
  <c r="BG591" i="1"/>
  <c r="BC591" i="1"/>
  <c r="BA941" i="1"/>
  <c r="BI941" i="1" s="1"/>
  <c r="BG941" i="1"/>
  <c r="AG714" i="1"/>
  <c r="AE714" i="1"/>
  <c r="AA714" i="1"/>
  <c r="AC714" i="1"/>
  <c r="AA501" i="1"/>
  <c r="AE501" i="1"/>
  <c r="AG501" i="1"/>
  <c r="AC501" i="1"/>
  <c r="AT207" i="1"/>
  <c r="AP207" i="1"/>
  <c r="AN207" i="1"/>
  <c r="AT162" i="1"/>
  <c r="AR162" i="1"/>
  <c r="AN162" i="1"/>
  <c r="AP162" i="1"/>
  <c r="AE117" i="1"/>
  <c r="AC117" i="1"/>
  <c r="AG117" i="1"/>
  <c r="AA117" i="1"/>
  <c r="BE101" i="1"/>
  <c r="BC101" i="1"/>
  <c r="BA101" i="1"/>
  <c r="BI101" i="1" s="1"/>
  <c r="BP810" i="1"/>
  <c r="BT810" i="1"/>
  <c r="BR810" i="1"/>
  <c r="BN810" i="1"/>
  <c r="BV810" i="1" s="1"/>
  <c r="AT858" i="1"/>
  <c r="AP858" i="1"/>
  <c r="AN858" i="1"/>
  <c r="AR858" i="1"/>
  <c r="AA834" i="1"/>
  <c r="AE834" i="1"/>
  <c r="BN689" i="1"/>
  <c r="BT689" i="1"/>
  <c r="BR689" i="1"/>
  <c r="BP689" i="1"/>
  <c r="BR154" i="1"/>
  <c r="BT154" i="1"/>
  <c r="BN154" i="1"/>
  <c r="BP154" i="1"/>
  <c r="BA254" i="1"/>
  <c r="BI254" i="1" s="1"/>
  <c r="BC254" i="1"/>
  <c r="BG1003" i="1"/>
  <c r="BE1003" i="1"/>
  <c r="AT264" i="1"/>
  <c r="AN264" i="1"/>
  <c r="AV264" i="1" s="1"/>
  <c r="AP264" i="1"/>
  <c r="AR264" i="1"/>
  <c r="AN273" i="1"/>
  <c r="AP273" i="1"/>
  <c r="AT273" i="1"/>
  <c r="AR273" i="1"/>
  <c r="AG750" i="1"/>
  <c r="AA750" i="1"/>
  <c r="AI750" i="1" s="1"/>
  <c r="AE750" i="1"/>
  <c r="AR729" i="1"/>
  <c r="AP729" i="1"/>
  <c r="AN476" i="1"/>
  <c r="AR476" i="1"/>
  <c r="AN349" i="1"/>
  <c r="AT349" i="1"/>
  <c r="AP349" i="1"/>
  <c r="AR349" i="1"/>
  <c r="BT909" i="1"/>
  <c r="BR909" i="1"/>
  <c r="BP909" i="1"/>
  <c r="BN909" i="1"/>
  <c r="AG543" i="1"/>
  <c r="AA543" i="1"/>
  <c r="AC543" i="1"/>
  <c r="AE543" i="1"/>
  <c r="AG67" i="1"/>
  <c r="AE67" i="1"/>
  <c r="BN212" i="1"/>
  <c r="BV212" i="1" s="1"/>
  <c r="BP212" i="1"/>
  <c r="BT212" i="1"/>
  <c r="BR212" i="1"/>
  <c r="AP456" i="1"/>
  <c r="AT456" i="1"/>
  <c r="AR456" i="1"/>
  <c r="AN456" i="1"/>
  <c r="BT275" i="1"/>
  <c r="BR275" i="1"/>
  <c r="BN275" i="1"/>
  <c r="BP275" i="1"/>
  <c r="AC645" i="1"/>
  <c r="AE645" i="1"/>
  <c r="AA645" i="1"/>
  <c r="AP457" i="1"/>
  <c r="AR457" i="1"/>
  <c r="AN457" i="1"/>
  <c r="AT457" i="1"/>
  <c r="AA484" i="1"/>
  <c r="AE484" i="1"/>
  <c r="AC484" i="1"/>
  <c r="BA70" i="1"/>
  <c r="N68" i="80" s="1"/>
  <c r="BC70" i="1"/>
  <c r="BC821" i="1"/>
  <c r="BA821" i="1"/>
  <c r="BG821" i="1"/>
  <c r="BE821" i="1"/>
  <c r="BA207" i="1"/>
  <c r="BE207" i="1"/>
  <c r="AT277" i="1"/>
  <c r="AN277" i="1"/>
  <c r="AP277" i="1"/>
  <c r="AR277" i="1"/>
  <c r="BA665" i="1"/>
  <c r="BG665" i="1"/>
  <c r="BE665" i="1"/>
  <c r="BC665" i="1"/>
  <c r="BE285" i="1"/>
  <c r="BA285" i="1"/>
  <c r="BG285" i="1"/>
  <c r="BC285" i="1"/>
  <c r="BT548" i="1"/>
  <c r="BR548" i="1"/>
  <c r="BP548" i="1"/>
  <c r="BN548" i="1"/>
  <c r="AC661" i="1"/>
  <c r="AE661" i="1"/>
  <c r="AG661" i="1"/>
  <c r="AA661" i="1"/>
  <c r="BT821" i="1"/>
  <c r="BP821" i="1"/>
  <c r="BN821" i="1"/>
  <c r="BV821" i="1" s="1"/>
  <c r="BR821" i="1"/>
  <c r="AE217" i="1"/>
  <c r="AC217" i="1"/>
  <c r="AA217" i="1"/>
  <c r="AI217" i="1" s="1"/>
  <c r="AG217" i="1"/>
  <c r="AA863" i="1"/>
  <c r="AE863" i="1"/>
  <c r="AG863" i="1"/>
  <c r="AG69" i="1"/>
  <c r="AA69" i="1"/>
  <c r="AE69" i="1"/>
  <c r="AC69" i="1"/>
  <c r="AC871" i="1"/>
  <c r="AA871" i="1"/>
  <c r="AI871" i="1" s="1"/>
  <c r="AE871" i="1"/>
  <c r="BG487" i="1"/>
  <c r="BE487" i="1"/>
  <c r="BC487" i="1"/>
  <c r="BA487" i="1"/>
  <c r="AT818" i="1"/>
  <c r="AR818" i="1"/>
  <c r="AN818" i="1"/>
  <c r="AR958" i="1"/>
  <c r="AN958" i="1"/>
  <c r="AV958" i="1" s="1"/>
  <c r="AP958" i="1"/>
  <c r="AT958" i="1"/>
  <c r="AT1003" i="1"/>
  <c r="AN1003" i="1"/>
  <c r="AV1003" i="1" s="1"/>
  <c r="AP1003" i="1"/>
  <c r="AR1003" i="1"/>
  <c r="AN171" i="1"/>
  <c r="AT171" i="1"/>
  <c r="AR171" i="1"/>
  <c r="AP171" i="1"/>
  <c r="AT261" i="1"/>
  <c r="AR261" i="1"/>
  <c r="AN261" i="1"/>
  <c r="AP261" i="1"/>
  <c r="AG538" i="1"/>
  <c r="AC538" i="1"/>
  <c r="AE538" i="1"/>
  <c r="AA538" i="1"/>
  <c r="AG447" i="1"/>
  <c r="AE447" i="1"/>
  <c r="AC447" i="1"/>
  <c r="AA447" i="1"/>
  <c r="AG647" i="1"/>
  <c r="AE647" i="1"/>
  <c r="AC647" i="1"/>
  <c r="AE471" i="1"/>
  <c r="AG471" i="1"/>
  <c r="AC471" i="1"/>
  <c r="AA471" i="1"/>
  <c r="AG895" i="1"/>
  <c r="AA895" i="1"/>
  <c r="AC895" i="1"/>
  <c r="AE895" i="1"/>
  <c r="AC43" i="1"/>
  <c r="AG43" i="1"/>
  <c r="G58" i="80" s="1"/>
  <c r="AE43" i="1"/>
  <c r="F48" i="51" s="1"/>
  <c r="AC512" i="1"/>
  <c r="AG512" i="1"/>
  <c r="AE512" i="1"/>
  <c r="AA512" i="1"/>
  <c r="AI512" i="1" s="1"/>
  <c r="AG257" i="1"/>
  <c r="AE257" i="1"/>
  <c r="AA257" i="1"/>
  <c r="AC257" i="1"/>
  <c r="AP300" i="1"/>
  <c r="AN300" i="1"/>
  <c r="AR300" i="1"/>
  <c r="AT300" i="1"/>
  <c r="BE647" i="1"/>
  <c r="BG647" i="1"/>
  <c r="BA647" i="1"/>
  <c r="BI647" i="1" s="1"/>
  <c r="BR605" i="1"/>
  <c r="BN605" i="1"/>
  <c r="BT605" i="1"/>
  <c r="BP605" i="1"/>
  <c r="AA748" i="1"/>
  <c r="AI748" i="1" s="1"/>
  <c r="BY748" i="1" s="1"/>
  <c r="AG748" i="1"/>
  <c r="AE748" i="1"/>
  <c r="AC393" i="1"/>
  <c r="AE393" i="1"/>
  <c r="AA393" i="1"/>
  <c r="AG393" i="1"/>
  <c r="AR894" i="1"/>
  <c r="AN894" i="1"/>
  <c r="AV894" i="1" s="1"/>
  <c r="AA735" i="1"/>
  <c r="AC735" i="1"/>
  <c r="AE735" i="1"/>
  <c r="AG735" i="1"/>
  <c r="AG952" i="1"/>
  <c r="AC952" i="1"/>
  <c r="AE952" i="1"/>
  <c r="AA952" i="1"/>
  <c r="AI952" i="1" s="1"/>
  <c r="AG804" i="1"/>
  <c r="AE804" i="1"/>
  <c r="AC804" i="1"/>
  <c r="AN174" i="1"/>
  <c r="AV174" i="1" s="1"/>
  <c r="AR174" i="1"/>
  <c r="AP174" i="1"/>
  <c r="AT174" i="1"/>
  <c r="AA283" i="1"/>
  <c r="AC283" i="1"/>
  <c r="AE283" i="1"/>
  <c r="AG283" i="1"/>
  <c r="AG947" i="1"/>
  <c r="AE947" i="1"/>
  <c r="AC947" i="1"/>
  <c r="AA947" i="1"/>
  <c r="AT46" i="1"/>
  <c r="AV46" i="1" s="1"/>
  <c r="AP46" i="1"/>
  <c r="AR46" i="1"/>
  <c r="AG321" i="1"/>
  <c r="AC321" i="1"/>
  <c r="AE321" i="1"/>
  <c r="AA321" i="1"/>
  <c r="AE143" i="1"/>
  <c r="AC143" i="1"/>
  <c r="AG143" i="1"/>
  <c r="AA143" i="1"/>
  <c r="AG277" i="1"/>
  <c r="AC277" i="1"/>
  <c r="AI277" i="1" s="1"/>
  <c r="BY277" i="1" s="1"/>
  <c r="AE277" i="1"/>
  <c r="AC759" i="1"/>
  <c r="AG759" i="1"/>
  <c r="AE759" i="1"/>
  <c r="AA759" i="1"/>
  <c r="BT829" i="1"/>
  <c r="BP829" i="1"/>
  <c r="BR829" i="1"/>
  <c r="BN829" i="1"/>
  <c r="AA181" i="1"/>
  <c r="AE181" i="1"/>
  <c r="AG9" i="1"/>
  <c r="AA9" i="1"/>
  <c r="AN608" i="1"/>
  <c r="AA236" i="1"/>
  <c r="AC955" i="1"/>
  <c r="BE214" i="1"/>
  <c r="AA137" i="1"/>
  <c r="AN88" i="1"/>
  <c r="AV88" i="1" s="1"/>
  <c r="AC996" i="1"/>
  <c r="AC978" i="1"/>
  <c r="AA566" i="1"/>
  <c r="BP407" i="1"/>
  <c r="BV407" i="1" s="1"/>
  <c r="BN62" i="1"/>
  <c r="BV62" i="1" s="1"/>
  <c r="BY62" i="1" s="1"/>
  <c r="AC421" i="1"/>
  <c r="BT418" i="1"/>
  <c r="AV632" i="1"/>
  <c r="AV333" i="1"/>
  <c r="BV429" i="1"/>
  <c r="BY429" i="1" s="1"/>
  <c r="BI860" i="1"/>
  <c r="BY860" i="1" s="1"/>
  <c r="BI49" i="1"/>
  <c r="AI865" i="1"/>
  <c r="AI802" i="1"/>
  <c r="AI411" i="1"/>
  <c r="AI65" i="1"/>
  <c r="BY65" i="1" s="1"/>
  <c r="AI754" i="1"/>
  <c r="AV372" i="1"/>
  <c r="BI119" i="1"/>
  <c r="BV324" i="1"/>
  <c r="AI677" i="1"/>
  <c r="AI243" i="1"/>
  <c r="AI295" i="1"/>
  <c r="AV790" i="1"/>
  <c r="BI470" i="1"/>
  <c r="AI240" i="1"/>
  <c r="BI156" i="1"/>
  <c r="BI697" i="1"/>
  <c r="S52" i="80"/>
  <c r="AI1000" i="1"/>
  <c r="BV253" i="1"/>
  <c r="BV729" i="1"/>
  <c r="AI811" i="1"/>
  <c r="BI509" i="1"/>
  <c r="BI545" i="1"/>
  <c r="BV143" i="1"/>
  <c r="AI577" i="1"/>
  <c r="AV977" i="1"/>
  <c r="AI164" i="1"/>
  <c r="AI681" i="1"/>
  <c r="BI598" i="1"/>
  <c r="AI787" i="1"/>
  <c r="BX56" i="1"/>
  <c r="BX544" i="1"/>
  <c r="B74" i="77"/>
  <c r="B24" i="77"/>
  <c r="AV642" i="1"/>
  <c r="U53" i="80"/>
  <c r="I59" i="80"/>
  <c r="BY383" i="1"/>
  <c r="BY358" i="1"/>
  <c r="BV234" i="1"/>
  <c r="BV595" i="1"/>
  <c r="AI559" i="1"/>
  <c r="BI51" i="1"/>
  <c r="O59" i="51"/>
  <c r="U65" i="80"/>
  <c r="AV211" i="1"/>
  <c r="AI329" i="1"/>
  <c r="BY593" i="1"/>
  <c r="AV336" i="1"/>
  <c r="K59" i="80"/>
  <c r="BV976" i="1"/>
  <c r="BV468" i="1"/>
  <c r="BV715" i="1"/>
  <c r="AV210" i="1"/>
  <c r="BV168" i="1"/>
  <c r="BV717" i="1"/>
  <c r="BV814" i="1"/>
  <c r="BV408" i="1"/>
  <c r="BV327" i="1"/>
  <c r="AV579" i="1"/>
  <c r="BY579" i="1" s="1"/>
  <c r="BE394" i="1"/>
  <c r="BG394" i="1"/>
  <c r="AN328" i="1"/>
  <c r="AV328" i="1" s="1"/>
  <c r="AP328" i="1"/>
  <c r="BA393" i="1"/>
  <c r="BG393" i="1"/>
  <c r="AN829" i="1"/>
  <c r="AV829" i="1" s="1"/>
  <c r="AT829" i="1"/>
  <c r="BN295" i="1"/>
  <c r="BV295" i="1" s="1"/>
  <c r="BT295" i="1"/>
  <c r="AE114" i="1"/>
  <c r="AA114" i="1"/>
  <c r="AG205" i="1"/>
  <c r="AC205" i="1"/>
  <c r="AG689" i="1"/>
  <c r="AE689" i="1"/>
  <c r="AC689" i="1"/>
  <c r="AI689" i="1" s="1"/>
  <c r="AE983" i="1"/>
  <c r="AG983" i="1"/>
  <c r="AC335" i="1"/>
  <c r="AG335" i="1"/>
  <c r="AA335" i="1"/>
  <c r="AG769" i="1"/>
  <c r="AC769" i="1"/>
  <c r="BN120" i="1"/>
  <c r="BV120" i="1" s="1"/>
  <c r="BY120" i="1" s="1"/>
  <c r="BR120" i="1"/>
  <c r="AP248" i="1"/>
  <c r="AR248" i="1"/>
  <c r="AR506" i="1"/>
  <c r="AP506" i="1"/>
  <c r="BP730" i="1"/>
  <c r="BN730" i="1"/>
  <c r="AA169" i="1"/>
  <c r="AI169" i="1" s="1"/>
  <c r="AC169" i="1"/>
  <c r="BP570" i="1"/>
  <c r="BT570" i="1"/>
  <c r="BA728" i="1"/>
  <c r="BI728" i="1" s="1"/>
  <c r="BC728" i="1"/>
  <c r="AE532" i="1"/>
  <c r="AI532" i="1" s="1"/>
  <c r="AG532" i="1"/>
  <c r="AE742" i="1"/>
  <c r="AA742" i="1"/>
  <c r="BP221" i="1"/>
  <c r="BT221" i="1"/>
  <c r="BR221" i="1"/>
  <c r="AP908" i="1"/>
  <c r="AR908" i="1"/>
  <c r="BN118" i="1"/>
  <c r="BT118" i="1"/>
  <c r="BP118" i="1"/>
  <c r="BA724" i="1"/>
  <c r="BG724" i="1"/>
  <c r="BR827" i="1"/>
  <c r="BV827" i="1" s="1"/>
  <c r="BN827" i="1"/>
  <c r="BP827" i="1"/>
  <c r="BP495" i="1"/>
  <c r="BN495" i="1"/>
  <c r="AA19" i="1"/>
  <c r="AE19" i="1"/>
  <c r="AA975" i="1"/>
  <c r="AC975" i="1"/>
  <c r="AA576" i="1"/>
  <c r="AE576" i="1"/>
  <c r="AC110" i="1"/>
  <c r="AE110" i="1"/>
  <c r="AC406" i="1"/>
  <c r="AG406" i="1"/>
  <c r="AA406" i="1"/>
  <c r="AC829" i="1"/>
  <c r="AI829" i="1" s="1"/>
  <c r="AG829" i="1"/>
  <c r="AA113" i="1"/>
  <c r="AI113" i="1" s="1"/>
  <c r="AG113" i="1"/>
  <c r="AA300" i="1"/>
  <c r="AE300" i="1"/>
  <c r="AG300" i="1"/>
  <c r="AE840" i="1"/>
  <c r="AG840" i="1"/>
  <c r="AC840" i="1"/>
  <c r="AE939" i="1"/>
  <c r="AA939" i="1"/>
  <c r="AC409" i="1"/>
  <c r="AI409" i="1" s="1"/>
  <c r="AE409" i="1"/>
  <c r="AE176" i="1"/>
  <c r="AC176" i="1"/>
  <c r="AG176" i="1"/>
  <c r="AG819" i="1"/>
  <c r="AC819" i="1"/>
  <c r="AA605" i="1"/>
  <c r="AC605" i="1"/>
  <c r="AC248" i="1"/>
  <c r="AG248" i="1"/>
  <c r="BR775" i="1"/>
  <c r="BP775" i="1"/>
  <c r="AE388" i="1"/>
  <c r="AG388" i="1"/>
  <c r="BE77" i="1"/>
  <c r="BG77" i="1"/>
  <c r="AA600" i="1"/>
  <c r="AE600" i="1"/>
  <c r="BT296" i="1"/>
  <c r="BN296" i="1"/>
  <c r="BE965" i="1"/>
  <c r="BC965" i="1"/>
  <c r="BI965" i="1" s="1"/>
  <c r="AE549" i="1"/>
  <c r="AG549" i="1"/>
  <c r="AE880" i="1"/>
  <c r="AG880" i="1"/>
  <c r="AC696" i="1"/>
  <c r="AG696" i="1"/>
  <c r="AE287" i="1"/>
  <c r="AC287" i="1"/>
  <c r="AI287" i="1" s="1"/>
  <c r="AE482" i="1"/>
  <c r="AA482" i="1"/>
  <c r="AA654" i="1"/>
  <c r="AG654" i="1"/>
  <c r="AT951" i="1"/>
  <c r="AN951" i="1"/>
  <c r="AR306" i="1"/>
  <c r="AT306" i="1"/>
  <c r="AV306" i="1" s="1"/>
  <c r="AE503" i="1"/>
  <c r="AA503" i="1"/>
  <c r="AC503" i="1"/>
  <c r="BP26" i="1"/>
  <c r="BN26" i="1"/>
  <c r="AP98" i="1"/>
  <c r="AT98" i="1"/>
  <c r="AA854" i="1"/>
  <c r="AI854" i="1" s="1"/>
  <c r="AG854" i="1"/>
  <c r="BY588" i="1"/>
  <c r="AI8" i="1"/>
  <c r="AI268" i="1"/>
  <c r="AI499" i="1"/>
  <c r="AI708" i="1"/>
  <c r="AI711" i="1"/>
  <c r="BY764" i="1"/>
  <c r="AV470" i="1"/>
  <c r="AV830" i="1"/>
  <c r="AV658" i="1"/>
  <c r="AV224" i="1"/>
  <c r="AV761" i="1"/>
  <c r="AV676" i="1"/>
  <c r="BI979" i="1"/>
  <c r="BV896" i="1"/>
  <c r="BV95" i="1"/>
  <c r="BY656" i="1"/>
  <c r="AI954" i="1"/>
  <c r="AI38" i="1"/>
  <c r="AV227" i="1"/>
  <c r="BY61" i="1"/>
  <c r="AV671" i="1"/>
  <c r="AV870" i="1"/>
  <c r="AV367" i="1"/>
  <c r="AV442" i="1"/>
  <c r="BI724" i="1"/>
  <c r="BT281" i="1"/>
  <c r="BV281" i="1" s="1"/>
  <c r="BV473" i="1"/>
  <c r="AA205" i="1"/>
  <c r="AP92" i="1"/>
  <c r="AV92" i="1" s="1"/>
  <c r="BE874" i="1"/>
  <c r="BE253" i="1"/>
  <c r="BX117" i="1"/>
  <c r="AV861" i="1"/>
  <c r="BX250" i="1"/>
  <c r="BX506" i="1"/>
  <c r="BX967" i="1"/>
  <c r="BX769" i="1"/>
  <c r="B69" i="77"/>
  <c r="C69" i="77"/>
  <c r="B29" i="77"/>
  <c r="AV779" i="1"/>
  <c r="BY779" i="1" s="1"/>
  <c r="BI462" i="1"/>
  <c r="BV223" i="1"/>
  <c r="AV205" i="1"/>
  <c r="BI376" i="1"/>
  <c r="AV29" i="1"/>
  <c r="BI713" i="1"/>
  <c r="BI704" i="1"/>
  <c r="BY684" i="1"/>
  <c r="BI537" i="1"/>
  <c r="AV767" i="1"/>
  <c r="BV854" i="1"/>
  <c r="BI10" i="1"/>
  <c r="BI999" i="1"/>
  <c r="AV233" i="1"/>
  <c r="BV935" i="1"/>
  <c r="BI663" i="1"/>
  <c r="AV321" i="1"/>
  <c r="AV794" i="1"/>
  <c r="BI913" i="1"/>
  <c r="BV434" i="1"/>
  <c r="BV184" i="1"/>
  <c r="AV523" i="1"/>
  <c r="AV28" i="1"/>
  <c r="BI889" i="1"/>
  <c r="AV716" i="1"/>
  <c r="BI287" i="1"/>
  <c r="BV373" i="1"/>
  <c r="BV341" i="1"/>
  <c r="BV737" i="1"/>
  <c r="AV647" i="1"/>
  <c r="BV587" i="1"/>
  <c r="BV347" i="1"/>
  <c r="AV760" i="1"/>
  <c r="BY760" i="1" s="1"/>
  <c r="BV219" i="1"/>
  <c r="AV356" i="1"/>
  <c r="BV250" i="1"/>
  <c r="AV431" i="1"/>
  <c r="AV8" i="1"/>
  <c r="AV516" i="1"/>
  <c r="BI303" i="1"/>
  <c r="BY303" i="1" s="1"/>
  <c r="BI668" i="1"/>
  <c r="BV73" i="1"/>
  <c r="AV564" i="1"/>
  <c r="BI886" i="1"/>
  <c r="BI891" i="1"/>
  <c r="BI726" i="1"/>
  <c r="AV398" i="1"/>
  <c r="BV176" i="1"/>
  <c r="BI640" i="1"/>
  <c r="BV460" i="1"/>
  <c r="BV545" i="1"/>
  <c r="BV986" i="1"/>
  <c r="BI612" i="1"/>
  <c r="BV167" i="1"/>
  <c r="BI199" i="1"/>
  <c r="BI753" i="1"/>
  <c r="BV978" i="1"/>
  <c r="BY978" i="1" s="1"/>
  <c r="BV356" i="1"/>
  <c r="BI817" i="1"/>
  <c r="AV24" i="1"/>
  <c r="BV144" i="1"/>
  <c r="BI837" i="1"/>
  <c r="BV109" i="1"/>
  <c r="BV330" i="1"/>
  <c r="BV294" i="1"/>
  <c r="BI516" i="1"/>
  <c r="AV7" i="1"/>
  <c r="BI790" i="1"/>
  <c r="BV950" i="1"/>
  <c r="AV27" i="1"/>
  <c r="BI31" i="1"/>
  <c r="BV635" i="1"/>
  <c r="BI730" i="1"/>
  <c r="S65" i="80"/>
  <c r="BI845" i="1"/>
  <c r="BV359" i="1"/>
  <c r="BI354" i="1"/>
  <c r="BV841" i="1"/>
  <c r="AV378" i="1"/>
  <c r="BI927" i="1"/>
  <c r="BV786" i="1"/>
  <c r="BV354" i="1"/>
  <c r="AV539" i="1"/>
  <c r="BY539" i="1" s="1"/>
  <c r="AV474" i="1"/>
  <c r="BY449" i="1"/>
  <c r="BI297" i="1"/>
  <c r="BV967" i="1"/>
  <c r="BV667" i="1"/>
  <c r="BI828" i="1"/>
  <c r="BY707" i="1"/>
  <c r="BY32" i="1"/>
  <c r="F17" i="61"/>
  <c r="AV159" i="1"/>
  <c r="AV62" i="1"/>
  <c r="BI772" i="1"/>
  <c r="BV332" i="1"/>
  <c r="BI859" i="1"/>
  <c r="BI645" i="1"/>
  <c r="AV663" i="1"/>
  <c r="BI16" i="1"/>
  <c r="BY16" i="1" s="1"/>
  <c r="BI340" i="1"/>
  <c r="BV121" i="1"/>
  <c r="BY121" i="1" s="1"/>
  <c r="BI676" i="1"/>
  <c r="BV944" i="1"/>
  <c r="BI392" i="1"/>
  <c r="BI633" i="1"/>
  <c r="BI97" i="1"/>
  <c r="BI71" i="1"/>
  <c r="BI277" i="1"/>
  <c r="BI18" i="1"/>
  <c r="BI775" i="1"/>
  <c r="AV322" i="1"/>
  <c r="AV298" i="1"/>
  <c r="BI533" i="1"/>
  <c r="BI236" i="1"/>
  <c r="BI294" i="1"/>
  <c r="AV973" i="1"/>
  <c r="BV444" i="1"/>
  <c r="BV193" i="1"/>
  <c r="BY581" i="1"/>
  <c r="BV811" i="1"/>
  <c r="BI116" i="1"/>
  <c r="BV763" i="1"/>
  <c r="BI184" i="1"/>
  <c r="BY184" i="1" s="1"/>
  <c r="BI555" i="1"/>
  <c r="BV98" i="1"/>
  <c r="BV876" i="1"/>
  <c r="BY876" i="1" s="1"/>
  <c r="AV584" i="1"/>
  <c r="BV255" i="1"/>
  <c r="BV57" i="1"/>
  <c r="BI7" i="1"/>
  <c r="AV235" i="1"/>
  <c r="BV230" i="1"/>
  <c r="BI882" i="1"/>
  <c r="BI87" i="1"/>
  <c r="BV873" i="1"/>
  <c r="BV533" i="1"/>
  <c r="AV209" i="1"/>
  <c r="AV468" i="1"/>
  <c r="P69" i="80"/>
  <c r="BI290" i="1"/>
  <c r="BI871" i="1"/>
  <c r="AV1005" i="1"/>
  <c r="BV683" i="1"/>
  <c r="BV466" i="1"/>
  <c r="BV969" i="1"/>
  <c r="BV728" i="1"/>
  <c r="AV243" i="1"/>
  <c r="BI630" i="1"/>
  <c r="BI809" i="1"/>
  <c r="BV50" i="1"/>
  <c r="BI956" i="1"/>
  <c r="BI190" i="1"/>
  <c r="BI641" i="1"/>
  <c r="BI1002" i="1"/>
  <c r="BI786" i="1"/>
  <c r="BI624" i="1"/>
  <c r="AV669" i="1"/>
  <c r="BV846" i="1"/>
  <c r="BV448" i="1"/>
  <c r="BI310" i="1"/>
  <c r="AV730" i="1"/>
  <c r="BI497" i="1"/>
  <c r="BV621" i="1"/>
  <c r="BI634" i="1"/>
  <c r="BV60" i="1"/>
  <c r="O49" i="80"/>
  <c r="BI1005" i="1"/>
  <c r="BV682" i="1"/>
  <c r="BI888" i="1"/>
  <c r="AV517" i="1"/>
  <c r="BI700" i="1"/>
  <c r="BV805" i="1"/>
  <c r="BI609" i="1"/>
  <c r="AV724" i="1"/>
  <c r="BV326" i="1"/>
  <c r="BI751" i="1"/>
  <c r="BY751" i="1" s="1"/>
  <c r="AV190" i="1"/>
  <c r="BV56" i="1"/>
  <c r="BV413" i="1"/>
  <c r="BV191" i="1"/>
  <c r="AV459" i="1"/>
  <c r="BI842" i="1"/>
  <c r="BV113" i="1"/>
  <c r="BV848" i="1"/>
  <c r="AV667" i="1"/>
  <c r="BV677" i="1"/>
  <c r="BI698" i="1"/>
  <c r="BY698" i="1" s="1"/>
  <c r="BV890" i="1"/>
  <c r="BI411" i="1"/>
  <c r="BV475" i="1"/>
  <c r="AV833" i="1"/>
  <c r="BI212" i="1"/>
  <c r="AV948" i="1"/>
  <c r="O58" i="51"/>
  <c r="AV319" i="1"/>
  <c r="BV368" i="1"/>
  <c r="BI389" i="1"/>
  <c r="BV884" i="1"/>
  <c r="BI258" i="1"/>
  <c r="BI628" i="1"/>
  <c r="BV586" i="1"/>
  <c r="BV525" i="1"/>
  <c r="BI833" i="1"/>
  <c r="BV942" i="1"/>
  <c r="BV130" i="1"/>
  <c r="AV827" i="1"/>
  <c r="AV244" i="1"/>
  <c r="BV170" i="1"/>
  <c r="BI994" i="1"/>
  <c r="AV963" i="1"/>
  <c r="BV615" i="1"/>
  <c r="AV587" i="1"/>
  <c r="BV241" i="1"/>
  <c r="BI381" i="1"/>
  <c r="BV226" i="1"/>
  <c r="BV996" i="1"/>
  <c r="BV926" i="1"/>
  <c r="BV546" i="1"/>
  <c r="BI887" i="1"/>
  <c r="AV346" i="1"/>
  <c r="BY346" i="1" s="1"/>
  <c r="AV400" i="1"/>
  <c r="BI201" i="1"/>
  <c r="BV823" i="1"/>
  <c r="AV80" i="1"/>
  <c r="AV652" i="1"/>
  <c r="BV519" i="1"/>
  <c r="BI266" i="1"/>
  <c r="BV405" i="1"/>
  <c r="BI959" i="1"/>
  <c r="BI334" i="1"/>
  <c r="BV240" i="1"/>
  <c r="BI6" i="1"/>
  <c r="BI326" i="1"/>
  <c r="BY326" i="1" s="1"/>
  <c r="BI893" i="1"/>
  <c r="AV679" i="1"/>
  <c r="BI614" i="1"/>
  <c r="BI193" i="1"/>
  <c r="AV49" i="1"/>
  <c r="AV154" i="1"/>
  <c r="BI323" i="1"/>
  <c r="BI113" i="1"/>
  <c r="BY113" i="1" s="1"/>
  <c r="BV714" i="1"/>
  <c r="AV43" i="1"/>
  <c r="BI855" i="1"/>
  <c r="BI878" i="1"/>
  <c r="BY878" i="1" s="1"/>
  <c r="BV793" i="1"/>
  <c r="BV76" i="1"/>
  <c r="BV192" i="1"/>
  <c r="BY192" i="1" s="1"/>
  <c r="AI40" i="1"/>
  <c r="BI343" i="1"/>
  <c r="BV411" i="1"/>
  <c r="AI31" i="1"/>
  <c r="AI373" i="1"/>
  <c r="BV131" i="1"/>
  <c r="AV220" i="1"/>
  <c r="BI738" i="1"/>
  <c r="BV51" i="1"/>
  <c r="BV603" i="1"/>
  <c r="BV611" i="1"/>
  <c r="BV126" i="1"/>
  <c r="BV877" i="1"/>
  <c r="BV381" i="1"/>
  <c r="BI129" i="1"/>
  <c r="BV245" i="1"/>
  <c r="BV391" i="1"/>
  <c r="AV130" i="1"/>
  <c r="BV182" i="1"/>
  <c r="BI422" i="1"/>
  <c r="AV443" i="1"/>
  <c r="AV266" i="1"/>
  <c r="AV427" i="1"/>
  <c r="BV708" i="1"/>
  <c r="BY708" i="1" s="1"/>
  <c r="BV491" i="1"/>
  <c r="BI194" i="1"/>
  <c r="AI946" i="1"/>
  <c r="AI307" i="1"/>
  <c r="AI839" i="1"/>
  <c r="BV86" i="1"/>
  <c r="BV769" i="1"/>
  <c r="BV470" i="1"/>
  <c r="BV349" i="1"/>
  <c r="BI938" i="1"/>
  <c r="BI703" i="1"/>
  <c r="BY703" i="1" s="1"/>
  <c r="BV663" i="1"/>
  <c r="BV654" i="1"/>
  <c r="AV136" i="1"/>
  <c r="BI794" i="1"/>
  <c r="BV87" i="1"/>
  <c r="BV31" i="1"/>
  <c r="AV26" i="1"/>
  <c r="BI351" i="1"/>
  <c r="BY351" i="1" s="1"/>
  <c r="BI363" i="1"/>
  <c r="BV820" i="1"/>
  <c r="BY820" i="1" s="1"/>
  <c r="AV865" i="1"/>
  <c r="BI386" i="1"/>
  <c r="BI78" i="1"/>
  <c r="BI174" i="1"/>
  <c r="BI414" i="1"/>
  <c r="BI437" i="1"/>
  <c r="BI152" i="1"/>
  <c r="BV454" i="1"/>
  <c r="BI500" i="1"/>
  <c r="BV540" i="1"/>
  <c r="AV952" i="1"/>
  <c r="BI150" i="1"/>
  <c r="BI475" i="1"/>
  <c r="BI450" i="1"/>
  <c r="BV722" i="1"/>
  <c r="BY722" i="1" s="1"/>
  <c r="BV713" i="1"/>
  <c r="BV478" i="1"/>
  <c r="BI898" i="1"/>
  <c r="AV949" i="1"/>
  <c r="BV991" i="1"/>
  <c r="BI954" i="1"/>
  <c r="BI168" i="1"/>
  <c r="AV259" i="1"/>
  <c r="BI635" i="1"/>
  <c r="AV496" i="1"/>
  <c r="BY496" i="1" s="1"/>
  <c r="BI514" i="1"/>
  <c r="AV847" i="1"/>
  <c r="BI712" i="1"/>
  <c r="BY712" i="1" s="1"/>
  <c r="BI795" i="1"/>
  <c r="BV208" i="1"/>
  <c r="BV210" i="1"/>
  <c r="BV922" i="1"/>
  <c r="BI566" i="1"/>
  <c r="BI309" i="1"/>
  <c r="BV787" i="1"/>
  <c r="BI359" i="1"/>
  <c r="BI293" i="1"/>
  <c r="AV814" i="1"/>
  <c r="BY814" i="1" s="1"/>
  <c r="AV161" i="1"/>
  <c r="BV685" i="1"/>
  <c r="BV456" i="1"/>
  <c r="BV92" i="1"/>
  <c r="AV392" i="1"/>
  <c r="BV225" i="1"/>
  <c r="BI761" i="1"/>
  <c r="BV699" i="1"/>
  <c r="AV94" i="1"/>
  <c r="BI271" i="1"/>
  <c r="AV750" i="1"/>
  <c r="BY750" i="1" s="1"/>
  <c r="BV200" i="1"/>
  <c r="BV904" i="1"/>
  <c r="BI205" i="1"/>
  <c r="BI974" i="1"/>
  <c r="BV610" i="1"/>
  <c r="BI399" i="1"/>
  <c r="AV35" i="1"/>
  <c r="BV671" i="1"/>
  <c r="BY671" i="1" s="1"/>
  <c r="BI670" i="1"/>
  <c r="BV973" i="1"/>
  <c r="BI936" i="1"/>
  <c r="BI825" i="1"/>
  <c r="BV521" i="1"/>
  <c r="BI757" i="1"/>
  <c r="BV895" i="1"/>
  <c r="BI69" i="1"/>
  <c r="BI132" i="1"/>
  <c r="AV417" i="1"/>
  <c r="AV556" i="1"/>
  <c r="BI711" i="1"/>
  <c r="AV10" i="1"/>
  <c r="AV687" i="1"/>
  <c r="BV420" i="1"/>
  <c r="BV819" i="1"/>
  <c r="BV901" i="1"/>
  <c r="BI620" i="1"/>
  <c r="BV258" i="1"/>
  <c r="AV617" i="1"/>
  <c r="AV12" i="1"/>
  <c r="BV304" i="1"/>
  <c r="BI933" i="1"/>
  <c r="AV389" i="1"/>
  <c r="BV404" i="1"/>
  <c r="AV787" i="1"/>
  <c r="BV162" i="1"/>
  <c r="BI912" i="1"/>
  <c r="AV922" i="1"/>
  <c r="BI64" i="1"/>
  <c r="AI944" i="1"/>
  <c r="AI380" i="1"/>
  <c r="BY380" i="1" s="1"/>
  <c r="AV1001" i="1"/>
  <c r="AI191" i="1"/>
  <c r="AI123" i="1"/>
  <c r="AV267" i="1"/>
  <c r="BY267" i="1" s="1"/>
  <c r="BV100" i="1"/>
  <c r="AV988" i="1"/>
  <c r="BI370" i="1"/>
  <c r="AV81" i="1"/>
  <c r="BV386" i="1"/>
  <c r="AV762" i="1"/>
  <c r="BV343" i="1"/>
  <c r="BV231" i="1"/>
  <c r="AV791" i="1"/>
  <c r="BI171" i="1"/>
  <c r="BI268" i="1"/>
  <c r="AV526" i="1"/>
  <c r="AV373" i="1"/>
  <c r="BI38" i="1"/>
  <c r="AI292" i="1"/>
  <c r="AI580" i="1"/>
  <c r="BI834" i="1"/>
  <c r="AV198" i="1"/>
  <c r="AV784" i="1"/>
  <c r="AV576" i="1"/>
  <c r="AI366" i="1"/>
  <c r="AI190" i="1"/>
  <c r="BI972" i="1"/>
  <c r="BI596" i="1"/>
  <c r="BV906" i="1"/>
  <c r="BV487" i="1"/>
  <c r="BV511" i="1"/>
  <c r="BI942" i="1"/>
  <c r="BI173" i="1"/>
  <c r="BI353" i="1"/>
  <c r="AV453" i="1"/>
  <c r="AV834" i="1"/>
  <c r="BI136" i="1"/>
  <c r="AI341" i="1"/>
  <c r="AI922" i="1"/>
  <c r="AI984" i="1"/>
  <c r="AV545" i="1"/>
  <c r="AV183" i="1"/>
  <c r="BV936" i="1"/>
  <c r="BV9" i="1"/>
  <c r="AI202" i="1"/>
  <c r="BI14" i="1"/>
  <c r="BV879" i="1"/>
  <c r="BY879" i="1" s="1"/>
  <c r="BI567" i="1"/>
  <c r="BI968" i="1"/>
  <c r="BV608" i="1"/>
  <c r="AV808" i="1"/>
  <c r="BV933" i="1"/>
  <c r="AV911" i="1"/>
  <c r="AV902" i="1"/>
  <c r="AV657" i="1"/>
  <c r="AI554" i="1"/>
  <c r="AI504" i="1"/>
  <c r="BY504" i="1" s="1"/>
  <c r="AI780" i="1"/>
  <c r="BI654" i="1"/>
  <c r="AV554" i="1"/>
  <c r="AV434" i="1"/>
  <c r="BI435" i="1"/>
  <c r="BI702" i="1"/>
  <c r="AI296" i="1"/>
  <c r="AI935" i="1"/>
  <c r="BV443" i="1"/>
  <c r="BV211" i="1"/>
  <c r="BV180" i="1"/>
  <c r="BI659" i="1"/>
  <c r="BI553" i="1"/>
  <c r="BV556" i="1"/>
  <c r="BV471" i="1"/>
  <c r="BV301" i="1"/>
  <c r="BY301" i="1" s="1"/>
  <c r="BI191" i="1"/>
  <c r="AV122" i="1"/>
  <c r="AV463" i="1"/>
  <c r="BY463" i="1" s="1"/>
  <c r="BI542" i="1"/>
  <c r="BY542" i="1" s="1"/>
  <c r="BV316" i="1"/>
  <c r="BY316" i="1" s="1"/>
  <c r="BV412" i="1"/>
  <c r="BV783" i="1"/>
  <c r="BI423" i="1"/>
  <c r="BV732" i="1"/>
  <c r="BY732" i="1" s="1"/>
  <c r="AI611" i="1"/>
  <c r="AI768" i="1"/>
  <c r="BY768" i="1" s="1"/>
  <c r="BI364" i="1"/>
  <c r="BI217" i="1"/>
  <c r="AV308" i="1"/>
  <c r="AV934" i="1"/>
  <c r="BV569" i="1"/>
  <c r="BI141" i="1"/>
  <c r="AI437" i="1"/>
  <c r="BI803" i="1"/>
  <c r="BY195" i="1"/>
  <c r="BV237" i="1"/>
  <c r="BV515" i="1"/>
  <c r="AV571" i="1"/>
  <c r="BI468" i="1"/>
  <c r="AV651" i="1"/>
  <c r="BV972" i="1"/>
  <c r="BI179" i="1"/>
  <c r="BI11" i="1"/>
  <c r="AI545" i="1"/>
  <c r="BV233" i="1"/>
  <c r="BI172" i="1"/>
  <c r="BV372" i="1"/>
  <c r="AV766" i="1"/>
  <c r="BV425" i="1"/>
  <c r="AV173" i="1"/>
  <c r="BV214" i="1"/>
  <c r="BV169" i="1"/>
  <c r="BV432" i="1"/>
  <c r="BV215" i="1"/>
  <c r="BI1004" i="1"/>
  <c r="BV64" i="1"/>
  <c r="AV355" i="1"/>
  <c r="AV363" i="1"/>
  <c r="BV517" i="1"/>
  <c r="BI653" i="1"/>
  <c r="BV252" i="1"/>
  <c r="BI218" i="1"/>
  <c r="BV881" i="1"/>
  <c r="BI237" i="1"/>
  <c r="BI324" i="1"/>
  <c r="BI128" i="1"/>
  <c r="BV501" i="1"/>
  <c r="BI743" i="1"/>
  <c r="AV563" i="1"/>
  <c r="BI251" i="1"/>
  <c r="BV157" i="1"/>
  <c r="BV534" i="1"/>
  <c r="BV41" i="1"/>
  <c r="BY41" i="1" s="1"/>
  <c r="BV766" i="1"/>
  <c r="BV851" i="1"/>
  <c r="BI507" i="1"/>
  <c r="BV617" i="1"/>
  <c r="BI739" i="1"/>
  <c r="AV891" i="1"/>
  <c r="AV755" i="1"/>
  <c r="BI75" i="1"/>
  <c r="BV469" i="1"/>
  <c r="BI578" i="1"/>
  <c r="BY578" i="1" s="1"/>
  <c r="AV411" i="1"/>
  <c r="AV924" i="1"/>
  <c r="BI736" i="1"/>
  <c r="BI39" i="1"/>
  <c r="BV602" i="1"/>
  <c r="BV128" i="1"/>
  <c r="BI997" i="1"/>
  <c r="BY997" i="1" s="1"/>
  <c r="AV240" i="1"/>
  <c r="BY240" i="1" s="1"/>
  <c r="BV125" i="1"/>
  <c r="BI952" i="1"/>
  <c r="BI637" i="1"/>
  <c r="BV220" i="1"/>
  <c r="BV853" i="1"/>
  <c r="BV183" i="1"/>
  <c r="AI670" i="1"/>
  <c r="AV500" i="1"/>
  <c r="AV998" i="1"/>
  <c r="AI574" i="1"/>
  <c r="AI334" i="1"/>
  <c r="BV499" i="1"/>
  <c r="AV649" i="1"/>
  <c r="BV310" i="1"/>
  <c r="AI438" i="1"/>
  <c r="BV711" i="1"/>
  <c r="AI859" i="1"/>
  <c r="AI856" i="1"/>
  <c r="BY856" i="1" s="1"/>
  <c r="AI953" i="1"/>
  <c r="BY953" i="1" s="1"/>
  <c r="AI215" i="1"/>
  <c r="BV597" i="1"/>
  <c r="BY597" i="1" s="1"/>
  <c r="AV662" i="1"/>
  <c r="AV462" i="1"/>
  <c r="AV715" i="1"/>
  <c r="BI618" i="1"/>
  <c r="BV307" i="1"/>
  <c r="BV291" i="1"/>
  <c r="AV412" i="1"/>
  <c r="BI223" i="1"/>
  <c r="BV607" i="1"/>
  <c r="AI400" i="1"/>
  <c r="BI178" i="1"/>
  <c r="BV599" i="1"/>
  <c r="BV961" i="1"/>
  <c r="BV311" i="1"/>
  <c r="BI432" i="1"/>
  <c r="BI903" i="1"/>
  <c r="BY903" i="1" s="1"/>
  <c r="BV415" i="1"/>
  <c r="BV479" i="1"/>
  <c r="BI604" i="1"/>
  <c r="AI613" i="1"/>
  <c r="AI261" i="1"/>
  <c r="BI557" i="1"/>
  <c r="BV426" i="1"/>
  <c r="BY426" i="1" s="1"/>
  <c r="AV626" i="1"/>
  <c r="AV757" i="1"/>
  <c r="AV850" i="1"/>
  <c r="AV932" i="1"/>
  <c r="BV90" i="1"/>
  <c r="AI472" i="1"/>
  <c r="AI826" i="1"/>
  <c r="AI816" i="1"/>
  <c r="BY816" i="1" s="1"/>
  <c r="AI659" i="1"/>
  <c r="AI590" i="1"/>
  <c r="BV367" i="1"/>
  <c r="AI208" i="1"/>
  <c r="AI330" i="1"/>
  <c r="AI74" i="1"/>
  <c r="AI875" i="1"/>
  <c r="AI793" i="1"/>
  <c r="BI222" i="1"/>
  <c r="AI636" i="1"/>
  <c r="BI477" i="1"/>
  <c r="AI361" i="1"/>
  <c r="AV234" i="1"/>
  <c r="BY234" i="1" s="1"/>
  <c r="BI483" i="1"/>
  <c r="AI30" i="1"/>
  <c r="H50" i="80" s="1"/>
  <c r="AI508" i="1"/>
  <c r="BI372" i="1"/>
  <c r="BY372" i="1" s="1"/>
  <c r="BV437" i="1"/>
  <c r="BI879" i="1"/>
  <c r="BI572" i="1"/>
  <c r="AI626" i="1"/>
  <c r="AI390" i="1"/>
  <c r="AV697" i="1"/>
  <c r="BV152" i="1"/>
  <c r="AV140" i="1"/>
  <c r="BI595" i="1"/>
  <c r="BI693" i="1"/>
  <c r="BV112" i="1"/>
  <c r="AI87" i="1"/>
  <c r="BY87" i="1" s="1"/>
  <c r="AV783" i="1"/>
  <c r="AV282" i="1"/>
  <c r="BV726" i="1"/>
  <c r="BI744" i="1"/>
  <c r="BV447" i="1"/>
  <c r="BV1002" i="1"/>
  <c r="BV565" i="1"/>
  <c r="BY565" i="1" s="1"/>
  <c r="AI799" i="1"/>
  <c r="BV28" i="1"/>
  <c r="AI354" i="1"/>
  <c r="AV906" i="1"/>
  <c r="BV636" i="1"/>
  <c r="AI275" i="1"/>
  <c r="AV254" i="1"/>
  <c r="AV531" i="1"/>
  <c r="AI893" i="1"/>
  <c r="AI186" i="1"/>
  <c r="AI369" i="1"/>
  <c r="AV152" i="1"/>
  <c r="AV454" i="1"/>
  <c r="AV242" i="1"/>
  <c r="AI68" i="1"/>
  <c r="AI460" i="1"/>
  <c r="AV510" i="1"/>
  <c r="BI140" i="1"/>
  <c r="BI789" i="1"/>
  <c r="AI177" i="1"/>
  <c r="AI704" i="1"/>
  <c r="AI308" i="1"/>
  <c r="AV469" i="1"/>
  <c r="AV425" i="1"/>
  <c r="AI789" i="1"/>
  <c r="AI344" i="1"/>
  <c r="AI979" i="1"/>
  <c r="AI964" i="1"/>
  <c r="AI609" i="1"/>
  <c r="AV826" i="1"/>
  <c r="BI206" i="1"/>
  <c r="BI126" i="1"/>
  <c r="BV954" i="1"/>
  <c r="AV638" i="1"/>
  <c r="BY638" i="1" s="1"/>
  <c r="BV179" i="1"/>
  <c r="BI286" i="1"/>
  <c r="AI294" i="1"/>
  <c r="AI795" i="1"/>
  <c r="BI872" i="1"/>
  <c r="AV178" i="1"/>
  <c r="BV648" i="1"/>
  <c r="AI357" i="1"/>
  <c r="AI634" i="1"/>
  <c r="AV601" i="1"/>
  <c r="BI672" i="1"/>
  <c r="BY672" i="1" s="1"/>
  <c r="AI139" i="1"/>
  <c r="AI688" i="1"/>
  <c r="BV520" i="1"/>
  <c r="AV758" i="1"/>
  <c r="BV938" i="1"/>
  <c r="BI76" i="1"/>
  <c r="AI827" i="1"/>
  <c r="AI557" i="1"/>
  <c r="AV577" i="1"/>
  <c r="AV532" i="1"/>
  <c r="AV332" i="1"/>
  <c r="AI938" i="1"/>
  <c r="AI715" i="1"/>
  <c r="AN58" i="1"/>
  <c r="AT58" i="1"/>
  <c r="BA355" i="1"/>
  <c r="BC355" i="1"/>
  <c r="AR759" i="1"/>
  <c r="AP759" i="1"/>
  <c r="AC114" i="1"/>
  <c r="AG114" i="1"/>
  <c r="AC713" i="1"/>
  <c r="AA713" i="1"/>
  <c r="AE713" i="1"/>
  <c r="AC263" i="1"/>
  <c r="AG263" i="1"/>
  <c r="AA263" i="1"/>
  <c r="AG353" i="1"/>
  <c r="AC353" i="1"/>
  <c r="AC402" i="1"/>
  <c r="AE402" i="1"/>
  <c r="AG402" i="1"/>
  <c r="AA402" i="1"/>
  <c r="AG853" i="1"/>
  <c r="AC853" i="1"/>
  <c r="BN122" i="1"/>
  <c r="BR122" i="1"/>
  <c r="BP122" i="1"/>
  <c r="BC176" i="1"/>
  <c r="BA176" i="1"/>
  <c r="BA498" i="1"/>
  <c r="BG498" i="1"/>
  <c r="AN845" i="1"/>
  <c r="AP845" i="1"/>
  <c r="AR845" i="1"/>
  <c r="AA983" i="1"/>
  <c r="AC983" i="1"/>
  <c r="AC941" i="1"/>
  <c r="AG941" i="1"/>
  <c r="AE941" i="1"/>
  <c r="AG778" i="1"/>
  <c r="AE778" i="1"/>
  <c r="AC778" i="1"/>
  <c r="AE644" i="1"/>
  <c r="AA644" i="1"/>
  <c r="AI644" i="1" s="1"/>
  <c r="AC541" i="1"/>
  <c r="AA541" i="1"/>
  <c r="AI541" i="1" s="1"/>
  <c r="AG541" i="1"/>
  <c r="AG320" i="1"/>
  <c r="AC320" i="1"/>
  <c r="AA320" i="1"/>
  <c r="BG189" i="1"/>
  <c r="BC189" i="1"/>
  <c r="AA650" i="1"/>
  <c r="AG650" i="1"/>
  <c r="AN994" i="1"/>
  <c r="AP994" i="1"/>
  <c r="AR994" i="1"/>
  <c r="AT156" i="1"/>
  <c r="AR156" i="1"/>
  <c r="AN337" i="1"/>
  <c r="AR337" i="1"/>
  <c r="AT337" i="1"/>
  <c r="BE100" i="1"/>
  <c r="BG100" i="1"/>
  <c r="AC697" i="1"/>
  <c r="AA697" i="1"/>
  <c r="AE36" i="1"/>
  <c r="AA36" i="1"/>
  <c r="AC742" i="1"/>
  <c r="AG742" i="1"/>
  <c r="AR774" i="1"/>
  <c r="AT774" i="1"/>
  <c r="BC853" i="1"/>
  <c r="BG853" i="1"/>
  <c r="BE853" i="1"/>
  <c r="BT912" i="1"/>
  <c r="BR912" i="1"/>
  <c r="BT276" i="1"/>
  <c r="BN276" i="1"/>
  <c r="BP276" i="1"/>
  <c r="AT824" i="1"/>
  <c r="AN824" i="1"/>
  <c r="BP826" i="1"/>
  <c r="BR826" i="1"/>
  <c r="AC930" i="1"/>
  <c r="AA930" i="1"/>
  <c r="BP331" i="1"/>
  <c r="BR331" i="1"/>
  <c r="AG832" i="1"/>
  <c r="AC832" i="1"/>
  <c r="AA832" i="1"/>
  <c r="AE894" i="1"/>
  <c r="AG894" i="1"/>
  <c r="AC906" i="1"/>
  <c r="AA906" i="1"/>
  <c r="AG906" i="1"/>
  <c r="AE488" i="1"/>
  <c r="AC488" i="1"/>
  <c r="AA993" i="1"/>
  <c r="AE993" i="1"/>
  <c r="AC993" i="1"/>
  <c r="AP283" i="1"/>
  <c r="AR283" i="1"/>
  <c r="AN283" i="1"/>
  <c r="AT232" i="1"/>
  <c r="AR232" i="1"/>
  <c r="AE572" i="1"/>
  <c r="AA572" i="1"/>
  <c r="AC572" i="1"/>
  <c r="AC724" i="1"/>
  <c r="AG724" i="1"/>
  <c r="AA724" i="1"/>
  <c r="AC595" i="1"/>
  <c r="AA595" i="1"/>
  <c r="AG595" i="1"/>
  <c r="AA132" i="1"/>
  <c r="AG132" i="1"/>
  <c r="AC132" i="1"/>
  <c r="AA546" i="1"/>
  <c r="AG546" i="1"/>
  <c r="AT95" i="1"/>
  <c r="AN95" i="1"/>
  <c r="BT15" i="1"/>
  <c r="BV15" i="1" s="1"/>
  <c r="BP15" i="1"/>
  <c r="BR15" i="1"/>
  <c r="AP982" i="1"/>
  <c r="AN982" i="1"/>
  <c r="BE948" i="1"/>
  <c r="BC948" i="1"/>
  <c r="AN583" i="1"/>
  <c r="AP583" i="1"/>
  <c r="AR409" i="1"/>
  <c r="AT409" i="1"/>
  <c r="BP395" i="1"/>
  <c r="BN395" i="1"/>
  <c r="BT395" i="1"/>
  <c r="BT202" i="1"/>
  <c r="BP202" i="1"/>
  <c r="AE936" i="1"/>
  <c r="AG936" i="1"/>
  <c r="AN910" i="1"/>
  <c r="AP910" i="1"/>
  <c r="AR910" i="1"/>
  <c r="BC315" i="1"/>
  <c r="BE315" i="1"/>
  <c r="BA902" i="1"/>
  <c r="BG902" i="1"/>
  <c r="AG641" i="1"/>
  <c r="AC641" i="1"/>
  <c r="AG674" i="1"/>
  <c r="AE674" i="1"/>
  <c r="AG773" i="1"/>
  <c r="AA773" i="1"/>
  <c r="AC924" i="1"/>
  <c r="AE924" i="1"/>
  <c r="BN676" i="1"/>
  <c r="BP676" i="1"/>
  <c r="AE377" i="1"/>
  <c r="AA377" i="1"/>
  <c r="AN384" i="1"/>
  <c r="AP384" i="1"/>
  <c r="BT17" i="1"/>
  <c r="BR17" i="1"/>
  <c r="AR522" i="1"/>
  <c r="AP522" i="1"/>
  <c r="AI702" i="1"/>
  <c r="BI438" i="1"/>
  <c r="BV393" i="1"/>
  <c r="AV507" i="1"/>
  <c r="AI363" i="1"/>
  <c r="AI550" i="1"/>
  <c r="AV193" i="1"/>
  <c r="AV547" i="1"/>
  <c r="BI404" i="1"/>
  <c r="BV530" i="1"/>
  <c r="BI273" i="1"/>
  <c r="BI92" i="1"/>
  <c r="BI96" i="1"/>
  <c r="BY96" i="1" s="1"/>
  <c r="BI232" i="1"/>
  <c r="AV68" i="1"/>
  <c r="BV734" i="1"/>
  <c r="BI91" i="1"/>
  <c r="AV598" i="1"/>
  <c r="AI897" i="1"/>
  <c r="AI376" i="1"/>
  <c r="AV746" i="1"/>
  <c r="BY746" i="1" s="1"/>
  <c r="BI518" i="1"/>
  <c r="AV844" i="1"/>
  <c r="AV630" i="1"/>
  <c r="BV421" i="1"/>
  <c r="AV329" i="1"/>
  <c r="BY329" i="1" s="1"/>
  <c r="BV12" i="1"/>
  <c r="BI144" i="1"/>
  <c r="BI198" i="1"/>
  <c r="BV270" i="1"/>
  <c r="BY270" i="1" s="1"/>
  <c r="BI863" i="1"/>
  <c r="AI271" i="1"/>
  <c r="AI838" i="1"/>
  <c r="AV401" i="1"/>
  <c r="BV560" i="1"/>
  <c r="AV109" i="1"/>
  <c r="AV796" i="1"/>
  <c r="BI230" i="1"/>
  <c r="BV796" i="1"/>
  <c r="AI766" i="1"/>
  <c r="AI272" i="1"/>
  <c r="AI848" i="1"/>
  <c r="AI523" i="1"/>
  <c r="BV497" i="1"/>
  <c r="BI811" i="1"/>
  <c r="AI487" i="1"/>
  <c r="AI466" i="1"/>
  <c r="AI199" i="1"/>
  <c r="BY199" i="1" s="1"/>
  <c r="AI233" i="1"/>
  <c r="AI561" i="1"/>
  <c r="AI348" i="1"/>
  <c r="AI753" i="1"/>
  <c r="BV931" i="1"/>
  <c r="AV487" i="1"/>
  <c r="AV253" i="1"/>
  <c r="BV609" i="1"/>
  <c r="AV602" i="1"/>
  <c r="AV937" i="1"/>
  <c r="AI420" i="1"/>
  <c r="AI27" i="1"/>
  <c r="AV515" i="1"/>
  <c r="BI467" i="1"/>
  <c r="AI6" i="1"/>
  <c r="BI350" i="1"/>
  <c r="BV952" i="1"/>
  <c r="AI888" i="1"/>
  <c r="BI155" i="1"/>
  <c r="BV398" i="1"/>
  <c r="AV778" i="1"/>
  <c r="BV618" i="1"/>
  <c r="AV678" i="1"/>
  <c r="AI904" i="1"/>
  <c r="BY904" i="1" s="1"/>
  <c r="BI574" i="1"/>
  <c r="AV839" i="1"/>
  <c r="BV697" i="1"/>
  <c r="BV626" i="1"/>
  <c r="BI417" i="1"/>
  <c r="BI366" i="1"/>
  <c r="BI84" i="1"/>
  <c r="BV712" i="1"/>
  <c r="AI432" i="1"/>
  <c r="AI157" i="1"/>
  <c r="AI242" i="1"/>
  <c r="BY242" i="1" s="1"/>
  <c r="AI530" i="1"/>
  <c r="BI300" i="1"/>
  <c r="BI406" i="1"/>
  <c r="AI804" i="1"/>
  <c r="AI257" i="1"/>
  <c r="AI647" i="1"/>
  <c r="AI863" i="1"/>
  <c r="BV994" i="1"/>
  <c r="AV353" i="1"/>
  <c r="AV992" i="1"/>
  <c r="BI95" i="1"/>
  <c r="BV188" i="1"/>
  <c r="BV353" i="1"/>
  <c r="AI920" i="1"/>
  <c r="AV589" i="1"/>
  <c r="BV5" i="1"/>
  <c r="AV93" i="1"/>
  <c r="AI623" i="1"/>
  <c r="AI49" i="1"/>
  <c r="BV794" i="1"/>
  <c r="BV106" i="1"/>
  <c r="BY106" i="1" s="1"/>
  <c r="AV907" i="1"/>
  <c r="BV48" i="1"/>
  <c r="BI180" i="1"/>
  <c r="AI286" i="1"/>
  <c r="BI255" i="1"/>
  <c r="AV248" i="1"/>
  <c r="BV514" i="1"/>
  <c r="BV761" i="1"/>
  <c r="AV419" i="1"/>
  <c r="AI730" i="1"/>
  <c r="AI940" i="1"/>
  <c r="BY940" i="1" s="1"/>
  <c r="AI338" i="1"/>
  <c r="BV344" i="1"/>
  <c r="AV688" i="1"/>
  <c r="AI53" i="1"/>
  <c r="AI800" i="1"/>
  <c r="AI125" i="1"/>
  <c r="AV124" i="1"/>
  <c r="AI818" i="1"/>
  <c r="BI564" i="1"/>
  <c r="AV335" i="1"/>
  <c r="BI926" i="1"/>
  <c r="BV201" i="1"/>
  <c r="AV166" i="1"/>
  <c r="AV741" i="1"/>
  <c r="BP352" i="1"/>
  <c r="BV352" i="1" s="1"/>
  <c r="AV277" i="1"/>
  <c r="AI552" i="1"/>
  <c r="BV527" i="1"/>
  <c r="G42" i="51"/>
  <c r="AI371" i="1"/>
  <c r="F42" i="51"/>
  <c r="AI310" i="1"/>
  <c r="AI100" i="1"/>
  <c r="AI837" i="1"/>
  <c r="AV133" i="1"/>
  <c r="AI283" i="1"/>
  <c r="AI885" i="1"/>
  <c r="G39" i="51"/>
  <c r="AV781" i="1"/>
  <c r="BV58" i="1"/>
  <c r="AV530" i="1"/>
  <c r="BV583" i="1"/>
  <c r="BV522" i="1"/>
  <c r="AI989" i="1"/>
  <c r="AV821" i="1"/>
  <c r="AA44" i="1"/>
  <c r="AI428" i="1"/>
  <c r="AE205" i="1"/>
  <c r="AI205" i="1" s="1"/>
  <c r="AI510" i="1"/>
  <c r="AI385" i="1"/>
  <c r="AI498" i="1"/>
  <c r="AI425" i="1"/>
  <c r="BY425" i="1" s="1"/>
  <c r="BI875" i="1"/>
  <c r="AC44" i="1"/>
  <c r="AE724" i="1"/>
  <c r="AE930" i="1"/>
  <c r="AP337" i="1"/>
  <c r="AT845" i="1"/>
  <c r="AG713" i="1"/>
  <c r="AE263" i="1"/>
  <c r="AR982" i="1"/>
  <c r="BT653" i="1"/>
  <c r="BV653" i="1" s="1"/>
  <c r="AP600" i="1"/>
  <c r="AV600" i="1" s="1"/>
  <c r="BA657" i="1"/>
  <c r="BI657" i="1" s="1"/>
  <c r="BC498" i="1"/>
  <c r="AE335" i="1"/>
  <c r="AI335" i="1" s="1"/>
  <c r="BY335" i="1" s="1"/>
  <c r="BG176" i="1"/>
  <c r="AG488" i="1"/>
  <c r="BT331" i="1"/>
  <c r="AP824" i="1"/>
  <c r="AP156" i="1"/>
  <c r="BE176" i="1"/>
  <c r="AE353" i="1"/>
  <c r="AC546" i="1"/>
  <c r="AG572" i="1"/>
  <c r="BN826" i="1"/>
  <c r="AT994" i="1"/>
  <c r="BE498" i="1"/>
  <c r="AI83" i="1"/>
  <c r="AE819" i="1"/>
  <c r="AI819" i="1" s="1"/>
  <c r="AA262" i="1"/>
  <c r="AI262" i="1" s="1"/>
  <c r="BP543" i="1"/>
  <c r="BE393" i="1"/>
  <c r="AG44" i="1"/>
  <c r="AA853" i="1"/>
  <c r="AA353" i="1"/>
  <c r="AE132" i="1"/>
  <c r="AG993" i="1"/>
  <c r="BA853" i="1"/>
  <c r="BT122" i="1"/>
  <c r="BC100" i="1"/>
  <c r="BX12" i="1"/>
  <c r="BX665" i="1"/>
  <c r="BX590" i="1"/>
  <c r="BX569" i="1"/>
  <c r="BX813" i="1"/>
  <c r="BV631" i="1"/>
  <c r="AI368" i="1"/>
  <c r="AI618" i="1"/>
  <c r="AV179" i="1"/>
  <c r="BY179" i="1" s="1"/>
  <c r="AV280" i="1"/>
  <c r="AI356" i="1"/>
  <c r="BY356" i="1" s="1"/>
  <c r="BV637" i="1"/>
  <c r="AV984" i="1"/>
  <c r="BX110" i="1"/>
  <c r="BX474" i="1"/>
  <c r="BY523" i="1"/>
  <c r="M50" i="80"/>
  <c r="M40" i="51"/>
  <c r="BY159" i="1"/>
  <c r="BY663" i="1"/>
  <c r="BY667" i="1"/>
  <c r="BY434" i="1"/>
  <c r="BY265" i="1"/>
  <c r="BY290" i="1"/>
  <c r="BY338" i="1"/>
  <c r="BY105" i="1"/>
  <c r="O55" i="51"/>
  <c r="O68" i="80"/>
  <c r="P58" i="51"/>
  <c r="Q48" i="80"/>
  <c r="BI25" i="1"/>
  <c r="BY25" i="1" s="1"/>
  <c r="AV36" i="1"/>
  <c r="BI57" i="1"/>
  <c r="BI322" i="1"/>
  <c r="BY322" i="1" s="1"/>
  <c r="BI755" i="1"/>
  <c r="G48" i="51"/>
  <c r="G17" i="61"/>
  <c r="AV772" i="1"/>
  <c r="BI488" i="1"/>
  <c r="BV111" i="1"/>
  <c r="AV520" i="1"/>
  <c r="BI227" i="1"/>
  <c r="BY227" i="1" s="1"/>
  <c r="BV82" i="1"/>
  <c r="BV1005" i="1"/>
  <c r="BY1005" i="1" s="1"/>
  <c r="BI379" i="1"/>
  <c r="BV923" i="1"/>
  <c r="BI973" i="1"/>
  <c r="BI536" i="1"/>
  <c r="AV436" i="1"/>
  <c r="BI228" i="1"/>
  <c r="BV172" i="1"/>
  <c r="BY172" i="1" s="1"/>
  <c r="BV855" i="1"/>
  <c r="BY855" i="1" s="1"/>
  <c r="S49" i="80"/>
  <c r="BV20" i="1"/>
  <c r="AV112" i="1"/>
  <c r="AI738" i="1"/>
  <c r="BV272" i="1"/>
  <c r="BI920" i="1"/>
  <c r="BV543" i="1"/>
  <c r="BV300" i="1"/>
  <c r="BI824" i="1"/>
  <c r="BV529" i="1"/>
  <c r="BI221" i="1"/>
  <c r="BV46" i="1"/>
  <c r="V55" i="80"/>
  <c r="BV14" i="1"/>
  <c r="W55" i="80" s="1"/>
  <c r="AV272" i="1"/>
  <c r="U18" i="61"/>
  <c r="BV989" i="1"/>
  <c r="BY989" i="1" s="1"/>
  <c r="BV370" i="1"/>
  <c r="BV6" i="1"/>
  <c r="BI362" i="1"/>
  <c r="BY545" i="1"/>
  <c r="BY382" i="1"/>
  <c r="BV681" i="1"/>
  <c r="BY681" i="1" s="1"/>
  <c r="AV276" i="1"/>
  <c r="BV613" i="1"/>
  <c r="V51" i="80"/>
  <c r="V41" i="51"/>
  <c r="BV34" i="1"/>
  <c r="W51" i="80" s="1"/>
  <c r="BV387" i="1"/>
  <c r="D45" i="51"/>
  <c r="D55" i="80"/>
  <c r="AI81" i="1"/>
  <c r="AI48" i="1"/>
  <c r="AI129" i="1"/>
  <c r="AV54" i="1"/>
  <c r="AV795" i="1"/>
  <c r="BY795" i="1" s="1"/>
  <c r="BI327" i="1"/>
  <c r="BY327" i="1" s="1"/>
  <c r="U57" i="80"/>
  <c r="AV560" i="1"/>
  <c r="AI511" i="1"/>
  <c r="BY511" i="1" s="1"/>
  <c r="BI832" i="1"/>
  <c r="BI644" i="1"/>
  <c r="BI19" i="1"/>
  <c r="H40" i="51"/>
  <c r="BY620" i="1"/>
  <c r="BY8" i="1"/>
  <c r="BY387" i="1"/>
  <c r="BY614" i="1"/>
  <c r="S55" i="51"/>
  <c r="N58" i="51"/>
  <c r="N67" i="80"/>
  <c r="O57" i="51"/>
  <c r="Q38" i="51"/>
  <c r="BI24" i="1"/>
  <c r="AV34" i="1"/>
  <c r="AI5" i="1"/>
  <c r="BI82" i="1"/>
  <c r="U50" i="80"/>
  <c r="U40" i="51"/>
  <c r="BY481" i="1"/>
  <c r="BY76" i="1"/>
  <c r="U55" i="51"/>
  <c r="P68" i="80"/>
  <c r="BV30" i="1"/>
  <c r="BV59" i="1"/>
  <c r="BV371" i="1"/>
  <c r="BV362" i="1"/>
  <c r="AI709" i="1"/>
  <c r="BI403" i="1"/>
  <c r="BY403" i="1" s="1"/>
  <c r="BY483" i="1"/>
  <c r="F49" i="51"/>
  <c r="F59" i="80"/>
  <c r="AI59" i="1"/>
  <c r="H59" i="80" s="1"/>
  <c r="BI636" i="1"/>
  <c r="BY636" i="1" s="1"/>
  <c r="D39" i="51"/>
  <c r="AI18" i="1"/>
  <c r="AI999" i="1"/>
  <c r="BY999" i="1" s="1"/>
  <c r="BY178" i="1"/>
  <c r="AI209" i="1"/>
  <c r="BV582" i="1"/>
  <c r="BY455" i="1"/>
  <c r="BY808" i="1"/>
  <c r="BY343" i="1"/>
  <c r="BY961" i="1"/>
  <c r="BY981" i="1"/>
  <c r="BY295" i="1"/>
  <c r="BY323" i="1"/>
  <c r="BY92" i="1"/>
  <c r="BY711" i="1"/>
  <c r="BI492" i="1"/>
  <c r="AV75" i="1"/>
  <c r="BY75" i="1" s="1"/>
  <c r="BV674" i="1"/>
  <c r="AV344" i="1"/>
  <c r="AI846" i="1"/>
  <c r="BV35" i="1"/>
  <c r="AI392" i="1"/>
  <c r="BY392" i="1" s="1"/>
  <c r="T45" i="51"/>
  <c r="BV186" i="1"/>
  <c r="BV929" i="1"/>
  <c r="BI147" i="1"/>
  <c r="BY49" i="1"/>
  <c r="BV243" i="1"/>
  <c r="BY243" i="1" s="1"/>
  <c r="AV218" i="1"/>
  <c r="BY218" i="1" s="1"/>
  <c r="BY921" i="1"/>
  <c r="BV33" i="1"/>
  <c r="BY890" i="1"/>
  <c r="BY624" i="1"/>
  <c r="BY749" i="1"/>
  <c r="F40" i="51"/>
  <c r="AI298" i="1"/>
  <c r="AI535" i="1"/>
  <c r="AI752" i="1"/>
  <c r="BY752" i="1" s="1"/>
  <c r="BI79" i="1"/>
  <c r="BY79" i="1" s="1"/>
  <c r="AV801" i="1"/>
  <c r="AI847" i="1"/>
  <c r="D58" i="80"/>
  <c r="D17" i="61"/>
  <c r="BV709" i="1"/>
  <c r="BI44" i="1"/>
  <c r="AV479" i="1"/>
  <c r="AI10" i="1"/>
  <c r="BY10" i="1" s="1"/>
  <c r="AV138" i="1"/>
  <c r="BY350" i="1"/>
  <c r="AI231" i="1"/>
  <c r="AI153" i="1"/>
  <c r="AI755" i="1"/>
  <c r="AV512" i="1"/>
  <c r="BI189" i="1"/>
  <c r="BI864" i="1"/>
  <c r="BV897" i="1"/>
  <c r="AN670" i="1"/>
  <c r="AP670" i="1"/>
  <c r="AT644" i="1"/>
  <c r="AR644" i="1"/>
  <c r="AN84" i="1"/>
  <c r="AP84" i="1"/>
  <c r="BR623" i="1"/>
  <c r="BN623" i="1"/>
  <c r="BG276" i="1"/>
  <c r="BE276" i="1"/>
  <c r="BP905" i="1"/>
  <c r="BN905" i="1"/>
  <c r="BG148" i="1"/>
  <c r="BC148" i="1"/>
  <c r="BN968" i="1"/>
  <c r="BP968" i="1"/>
  <c r="BR286" i="1"/>
  <c r="BP286" i="1"/>
  <c r="BE957" i="1"/>
  <c r="BC957" i="1"/>
  <c r="AV745" i="1"/>
  <c r="AV245" i="1"/>
  <c r="AV239" i="1"/>
  <c r="AV181" i="1"/>
  <c r="AV97" i="1"/>
  <c r="BY97" i="1" s="1"/>
  <c r="O18" i="61"/>
  <c r="BI401" i="1"/>
  <c r="BI384" i="1"/>
  <c r="BI226" i="1"/>
  <c r="BI515" i="1"/>
  <c r="BY515" i="1" s="1"/>
  <c r="BI444" i="1"/>
  <c r="BY444" i="1" s="1"/>
  <c r="S43" i="51"/>
  <c r="BV541" i="1"/>
  <c r="BV462" i="1"/>
  <c r="BV771" i="1"/>
  <c r="BV365" i="1"/>
  <c r="BI160" i="1"/>
  <c r="BY160" i="1" s="1"/>
  <c r="BY210" i="1"/>
  <c r="BV297" i="1"/>
  <c r="BV744" i="1"/>
  <c r="BV680" i="1"/>
  <c r="BV299" i="1"/>
  <c r="AP111" i="1"/>
  <c r="AV111" i="1" s="1"/>
  <c r="BY111" i="1" s="1"/>
  <c r="AN627" i="1"/>
  <c r="AT627" i="1"/>
  <c r="BE98" i="1"/>
  <c r="BG98" i="1"/>
  <c r="BA780" i="1"/>
  <c r="BG780" i="1"/>
  <c r="AT422" i="1"/>
  <c r="AR422" i="1"/>
  <c r="AC318" i="1"/>
  <c r="AG318" i="1"/>
  <c r="BR988" i="1"/>
  <c r="BP988" i="1"/>
  <c r="AA180" i="1"/>
  <c r="AG180" i="1"/>
  <c r="BR503" i="1"/>
  <c r="BN503" i="1"/>
  <c r="BP503" i="1"/>
  <c r="BP13" i="1"/>
  <c r="BN13" i="1"/>
  <c r="AC431" i="1"/>
  <c r="AE431" i="1"/>
  <c r="AE63" i="1"/>
  <c r="AC63" i="1"/>
  <c r="BN576" i="1"/>
  <c r="BR576" i="1"/>
  <c r="BN474" i="1"/>
  <c r="BT474" i="1"/>
  <c r="AR55" i="1"/>
  <c r="AT55" i="1"/>
  <c r="AP55" i="1"/>
  <c r="BC589" i="1"/>
  <c r="BA589" i="1"/>
  <c r="AA695" i="1"/>
  <c r="AG695" i="1"/>
  <c r="AA664" i="1"/>
  <c r="AG664" i="1"/>
  <c r="AE101" i="1"/>
  <c r="AC101" i="1"/>
  <c r="AC443" i="1"/>
  <c r="AG443" i="1"/>
  <c r="AA443" i="1"/>
  <c r="AE443" i="1"/>
  <c r="AA686" i="1"/>
  <c r="AC686" i="1"/>
  <c r="BA127" i="1"/>
  <c r="BE127" i="1"/>
  <c r="BC127" i="1"/>
  <c r="BE220" i="1"/>
  <c r="BA220" i="1"/>
  <c r="BG220" i="1"/>
  <c r="AT405" i="1"/>
  <c r="AN405" i="1"/>
  <c r="AR405" i="1"/>
  <c r="AE796" i="1"/>
  <c r="AG796" i="1"/>
  <c r="AN503" i="1"/>
  <c r="AP503" i="1"/>
  <c r="BG610" i="1"/>
  <c r="BA610" i="1"/>
  <c r="AA47" i="1"/>
  <c r="AE47" i="1"/>
  <c r="AG473" i="1"/>
  <c r="AA473" i="1"/>
  <c r="AE642" i="1"/>
  <c r="AG642" i="1"/>
  <c r="BA541" i="1"/>
  <c r="BC541" i="1"/>
  <c r="BR246" i="1"/>
  <c r="BP246" i="1"/>
  <c r="AP592" i="1"/>
  <c r="AR592" i="1"/>
  <c r="AT622" i="1"/>
  <c r="AN622" i="1"/>
  <c r="AA241" i="1"/>
  <c r="AC241" i="1"/>
  <c r="AC462" i="1"/>
  <c r="AE462" i="1"/>
  <c r="AP705" i="1"/>
  <c r="AR705" i="1"/>
  <c r="BP562" i="1"/>
  <c r="BN562" i="1"/>
  <c r="BC314" i="1"/>
  <c r="BA314" i="1"/>
  <c r="BE314" i="1"/>
  <c r="AP804" i="1"/>
  <c r="AT804" i="1"/>
  <c r="AG454" i="1"/>
  <c r="AA454" i="1"/>
  <c r="BA540" i="1"/>
  <c r="BC540" i="1"/>
  <c r="BG540" i="1"/>
  <c r="AT509" i="1"/>
  <c r="AP509" i="1"/>
  <c r="AT325" i="1"/>
  <c r="AN325" i="1"/>
  <c r="AP325" i="1"/>
  <c r="AP917" i="1"/>
  <c r="AT917" i="1"/>
  <c r="AR946" i="1"/>
  <c r="AP946" i="1"/>
  <c r="AT471" i="1"/>
  <c r="AN471" i="1"/>
  <c r="AE632" i="1"/>
  <c r="AC632" i="1"/>
  <c r="AA632" i="1"/>
  <c r="AE212" i="1"/>
  <c r="AG212" i="1"/>
  <c r="AE772" i="1"/>
  <c r="AC772" i="1"/>
  <c r="AA772" i="1"/>
  <c r="BT80" i="1"/>
  <c r="BP80" i="1"/>
  <c r="BC526" i="1"/>
  <c r="BG526" i="1"/>
  <c r="BA982" i="1"/>
  <c r="BE982" i="1"/>
  <c r="BG982" i="1"/>
  <c r="AC736" i="1"/>
  <c r="AG736" i="1"/>
  <c r="AG166" i="1"/>
  <c r="AA166" i="1"/>
  <c r="AE166" i="1"/>
  <c r="AT798" i="1"/>
  <c r="AN798" i="1"/>
  <c r="BR959" i="1"/>
  <c r="BN959" i="1"/>
  <c r="BC990" i="1"/>
  <c r="BG990" i="1"/>
  <c r="AE740" i="1"/>
  <c r="AA740" i="1"/>
  <c r="BT436" i="1"/>
  <c r="BR436" i="1"/>
  <c r="AT201" i="1"/>
  <c r="AR201" i="1"/>
  <c r="BR453" i="1"/>
  <c r="BP453" i="1"/>
  <c r="AT288" i="1"/>
  <c r="AN288" i="1"/>
  <c r="AE744" i="1"/>
  <c r="AG744" i="1"/>
  <c r="BC512" i="1"/>
  <c r="BA512" i="1"/>
  <c r="AE967" i="1"/>
  <c r="AC967" i="1"/>
  <c r="AA967" i="1"/>
  <c r="AG967" i="1"/>
  <c r="AG492" i="1"/>
  <c r="AA492" i="1"/>
  <c r="AC492" i="1"/>
  <c r="AE494" i="1"/>
  <c r="AA494" i="1"/>
  <c r="AA785" i="1"/>
  <c r="AC785" i="1"/>
  <c r="AG785" i="1"/>
  <c r="BP39" i="1"/>
  <c r="T53" i="80" s="1"/>
  <c r="BT39" i="1"/>
  <c r="AE442" i="1"/>
  <c r="AG442" i="1"/>
  <c r="AA631" i="1"/>
  <c r="AC631" i="1"/>
  <c r="BP177" i="1"/>
  <c r="BR177" i="1"/>
  <c r="BN177" i="1"/>
  <c r="AG446" i="1"/>
  <c r="AE446" i="1"/>
  <c r="AA446" i="1"/>
  <c r="AC446" i="1"/>
  <c r="AR518" i="1"/>
  <c r="AP518" i="1"/>
  <c r="AT518" i="1"/>
  <c r="AA594" i="1"/>
  <c r="AC594" i="1"/>
  <c r="AE594" i="1"/>
  <c r="AG594" i="1"/>
  <c r="BP655" i="1"/>
  <c r="BN655" i="1"/>
  <c r="AC974" i="1"/>
  <c r="AE974" i="1"/>
  <c r="AC11" i="1"/>
  <c r="AA11" i="1"/>
  <c r="AT418" i="1"/>
  <c r="AV418" i="1" s="1"/>
  <c r="BR639" i="1"/>
  <c r="BP198" i="1"/>
  <c r="BV198" i="1" s="1"/>
  <c r="BY198" i="1" s="1"/>
  <c r="BP185" i="1"/>
  <c r="BV185" i="1" s="1"/>
  <c r="BY185" i="1" s="1"/>
  <c r="AC82" i="1"/>
  <c r="AI82" i="1" s="1"/>
  <c r="BY82" i="1" s="1"/>
  <c r="AN889" i="1"/>
  <c r="AV889" i="1" s="1"/>
  <c r="AG188" i="1"/>
  <c r="AT247" i="1"/>
  <c r="AV247" i="1" s="1"/>
  <c r="BT872" i="1"/>
  <c r="BV872" i="1" s="1"/>
  <c r="AC17" i="1"/>
  <c r="AG873" i="1"/>
  <c r="AI873" i="1" s="1"/>
  <c r="BY873" i="1" s="1"/>
  <c r="AG972" i="1"/>
  <c r="AN204" i="1"/>
  <c r="AP407" i="1"/>
  <c r="AE299" i="1"/>
  <c r="AG836" i="1"/>
  <c r="AI836" i="1" s="1"/>
  <c r="AP738" i="1"/>
  <c r="AV738" i="1" s="1"/>
  <c r="BE815" i="1"/>
  <c r="AC861" i="1"/>
  <c r="AI861" i="1" s="1"/>
  <c r="AT450" i="1"/>
  <c r="AV450" i="1" s="1"/>
  <c r="BN871" i="1"/>
  <c r="BV871" i="1" s="1"/>
  <c r="AN482" i="1"/>
  <c r="AV482" i="1" s="1"/>
  <c r="AN754" i="1"/>
  <c r="AV754" i="1" s="1"/>
  <c r="AT812" i="1"/>
  <c r="AV812" i="1" s="1"/>
  <c r="BY812" i="1" s="1"/>
  <c r="BT216" i="1"/>
  <c r="BV216" i="1" s="1"/>
  <c r="BY216" i="1" s="1"/>
  <c r="AP735" i="1"/>
  <c r="BT385" i="1"/>
  <c r="AR428" i="1"/>
  <c r="AV428" i="1" s="1"/>
  <c r="BY428" i="1" s="1"/>
  <c r="AP552" i="1"/>
  <c r="AV552" i="1" s="1"/>
  <c r="BC996" i="1"/>
  <c r="BI996" i="1" s="1"/>
  <c r="AG312" i="1"/>
  <c r="AI312" i="1" s="1"/>
  <c r="AA668" i="1"/>
  <c r="AC801" i="1"/>
  <c r="AI801" i="1" s="1"/>
  <c r="BT197" i="1"/>
  <c r="AT186" i="1"/>
  <c r="AV186" i="1" s="1"/>
  <c r="BY186" i="1" s="1"/>
  <c r="BT710" i="1"/>
  <c r="BV710" i="1" s="1"/>
  <c r="BA98" i="1"/>
  <c r="BE714" i="1"/>
  <c r="BI714" i="1" s="1"/>
  <c r="BA895" i="1"/>
  <c r="BI895" i="1" s="1"/>
  <c r="BP741" i="1"/>
  <c r="BV741" i="1" s="1"/>
  <c r="BN164" i="1"/>
  <c r="BV164" i="1" s="1"/>
  <c r="AA497" i="1"/>
  <c r="AI497" i="1" s="1"/>
  <c r="AR819" i="1"/>
  <c r="AV819" i="1" s="1"/>
  <c r="BY819" i="1" s="1"/>
  <c r="BP430" i="1"/>
  <c r="BV430" i="1" s="1"/>
  <c r="AE646" i="1"/>
  <c r="AI646" i="1" s="1"/>
  <c r="AC585" i="1"/>
  <c r="AI585" i="1" s="1"/>
  <c r="BY585" i="1" s="1"/>
  <c r="AA910" i="1"/>
  <c r="AI910" i="1" s="1"/>
  <c r="AR204" i="1"/>
  <c r="AP991" i="1"/>
  <c r="AP546" i="1"/>
  <c r="BP757" i="1"/>
  <c r="BV757" i="1" s="1"/>
  <c r="BG145" i="1"/>
  <c r="AE401" i="1"/>
  <c r="AI401" i="1" s="1"/>
  <c r="BE932" i="1"/>
  <c r="AC706" i="1"/>
  <c r="AG225" i="1"/>
  <c r="AC990" i="1"/>
  <c r="AI990" i="1" s="1"/>
  <c r="AG431" i="1"/>
  <c r="AN407" i="1"/>
  <c r="AC642" i="1"/>
  <c r="BT84" i="1"/>
  <c r="BV84" i="1" s="1"/>
  <c r="AA478" i="1"/>
  <c r="AI478" i="1" s="1"/>
  <c r="BY478" i="1" s="1"/>
  <c r="BG679" i="1"/>
  <c r="BI679" i="1" s="1"/>
  <c r="AG398" i="1"/>
  <c r="AI398" i="1" s="1"/>
  <c r="BY398" i="1" s="1"/>
  <c r="BE865" i="1"/>
  <c r="AT107" i="1"/>
  <c r="AV107" i="1" s="1"/>
  <c r="BP914" i="1"/>
  <c r="AE188" i="1"/>
  <c r="AA972" i="1"/>
  <c r="AG668" i="1"/>
  <c r="BR385" i="1"/>
  <c r="BC815" i="1"/>
  <c r="BI815" i="1" s="1"/>
  <c r="BP963" i="1"/>
  <c r="BV963" i="1" s="1"/>
  <c r="BY963" i="1" s="1"/>
  <c r="BP576" i="1"/>
  <c r="AA389" i="1"/>
  <c r="AI389" i="1" s="1"/>
  <c r="BY389" i="1" s="1"/>
  <c r="AT735" i="1"/>
  <c r="AV735" i="1" s="1"/>
  <c r="AG889" i="1"/>
  <c r="AI889" i="1" s="1"/>
  <c r="BY889" i="1" s="1"/>
  <c r="BN197" i="1"/>
  <c r="BV197" i="1" s="1"/>
  <c r="BC98" i="1"/>
  <c r="AC747" i="1"/>
  <c r="AI747" i="1" s="1"/>
  <c r="AP204" i="1"/>
  <c r="AN991" i="1"/>
  <c r="AT546" i="1"/>
  <c r="BA59" i="1"/>
  <c r="BC145" i="1"/>
  <c r="AR45" i="1"/>
  <c r="AV45" i="1" s="1"/>
  <c r="BG932" i="1"/>
  <c r="AG706" i="1"/>
  <c r="AC225" i="1"/>
  <c r="AC299" i="1"/>
  <c r="AA431" i="1"/>
  <c r="AR407" i="1"/>
  <c r="BT639" i="1"/>
  <c r="BV639" i="1" s="1"/>
  <c r="AA931" i="1"/>
  <c r="AI931" i="1" s="1"/>
  <c r="BR725" i="1"/>
  <c r="AT100" i="1"/>
  <c r="AV100" i="1" s="1"/>
  <c r="BT532" i="1"/>
  <c r="BV532" i="1" s="1"/>
  <c r="BY532" i="1" s="1"/>
  <c r="BG754" i="1"/>
  <c r="BI754" i="1" s="1"/>
  <c r="AG686" i="1"/>
  <c r="BC865" i="1"/>
  <c r="AE180" i="1"/>
  <c r="AG299" i="1"/>
  <c r="BP725" i="1"/>
  <c r="BV725" i="1" s="1"/>
  <c r="BI583" i="1"/>
  <c r="AV132" i="1"/>
  <c r="BV480" i="1"/>
  <c r="BY480" i="1" s="1"/>
  <c r="AV717" i="1"/>
  <c r="BV345" i="1"/>
  <c r="BI908" i="1"/>
  <c r="BI436" i="1"/>
  <c r="AV753" i="1"/>
  <c r="BI980" i="1"/>
  <c r="AV279" i="1"/>
  <c r="AV473" i="1"/>
  <c r="AV575" i="1"/>
  <c r="AV63" i="1"/>
  <c r="BI360" i="1"/>
  <c r="BV939" i="1"/>
  <c r="BI650" i="1"/>
  <c r="AI214" i="1"/>
  <c r="AV607" i="1"/>
  <c r="BI256" i="1"/>
  <c r="AI238" i="1"/>
  <c r="AI237" i="1"/>
  <c r="BY237" i="1" s="1"/>
  <c r="BX17" i="1"/>
  <c r="BX33" i="1"/>
  <c r="BX49" i="1"/>
  <c r="BX261" i="1"/>
  <c r="BX342" i="1"/>
  <c r="BX775" i="1"/>
  <c r="BX517" i="1"/>
  <c r="BX5" i="1"/>
  <c r="BX97" i="1"/>
  <c r="BX401" i="1"/>
  <c r="BX202" i="1"/>
  <c r="BX262" i="1"/>
  <c r="BX346" i="1"/>
  <c r="BX422" i="1"/>
  <c r="BX438" i="1"/>
  <c r="BX518" i="1"/>
  <c r="BX726" i="1"/>
  <c r="BX187" i="1"/>
  <c r="BX667" i="1"/>
  <c r="BX555" i="1"/>
  <c r="BX449" i="1"/>
  <c r="BX209" i="1"/>
  <c r="BX225" i="1"/>
  <c r="BX289" i="1"/>
  <c r="BX305" i="1"/>
  <c r="BX385" i="1"/>
  <c r="BX230" i="1"/>
  <c r="BX421" i="1"/>
  <c r="BX877" i="1"/>
  <c r="BX893" i="1"/>
  <c r="BX113" i="1"/>
  <c r="I40" i="51"/>
  <c r="R51" i="80"/>
  <c r="E40" i="51"/>
  <c r="E49" i="51"/>
  <c r="D41" i="51"/>
  <c r="Q41" i="51"/>
  <c r="V52" i="80"/>
  <c r="G52" i="80"/>
  <c r="J42" i="51"/>
  <c r="S59" i="80"/>
  <c r="P42" i="51"/>
  <c r="P50" i="80"/>
  <c r="E55" i="80"/>
  <c r="O59" i="80"/>
  <c r="D49" i="80"/>
  <c r="N51" i="80"/>
  <c r="I39" i="51"/>
  <c r="O37" i="51"/>
  <c r="F58" i="80"/>
  <c r="G40" i="51"/>
  <c r="P49" i="51"/>
  <c r="G49" i="80"/>
  <c r="F51" i="80"/>
  <c r="V58" i="80"/>
  <c r="G49" i="51"/>
  <c r="T41" i="51"/>
  <c r="J39" i="51"/>
  <c r="T49" i="51"/>
  <c r="L50" i="80"/>
  <c r="N40" i="51"/>
  <c r="N52" i="80"/>
  <c r="Q49" i="51"/>
  <c r="T49" i="80"/>
  <c r="D49" i="51"/>
  <c r="U59" i="80"/>
  <c r="J53" i="80"/>
  <c r="S40" i="51"/>
  <c r="J51" i="80"/>
  <c r="N50" i="80"/>
  <c r="K50" i="80"/>
  <c r="E48" i="51"/>
  <c r="O55" i="80"/>
  <c r="O47" i="51"/>
  <c r="V49" i="51"/>
  <c r="V49" i="80"/>
  <c r="L42" i="51"/>
  <c r="N55" i="80"/>
  <c r="I42" i="51"/>
  <c r="T51" i="80"/>
  <c r="F52" i="80"/>
  <c r="G50" i="80"/>
  <c r="F39" i="51"/>
  <c r="W42" i="51"/>
  <c r="E59" i="80"/>
  <c r="D51" i="80"/>
  <c r="N49" i="51"/>
  <c r="Q51" i="80"/>
  <c r="V40" i="51"/>
  <c r="K39" i="51"/>
  <c r="O42" i="51"/>
  <c r="K41" i="51"/>
  <c r="K52" i="80"/>
  <c r="F45" i="51"/>
  <c r="S39" i="51"/>
  <c r="D48" i="51"/>
  <c r="S42" i="51"/>
  <c r="S41" i="51"/>
  <c r="P39" i="51"/>
  <c r="O43" i="51"/>
  <c r="U48" i="51"/>
  <c r="S57" i="80"/>
  <c r="P59" i="80"/>
  <c r="F41" i="51"/>
  <c r="E47" i="80"/>
  <c r="G59" i="80"/>
  <c r="L49" i="80"/>
  <c r="J49" i="80"/>
  <c r="O39" i="51"/>
  <c r="J43" i="51"/>
  <c r="N42" i="51"/>
  <c r="Q59" i="80"/>
  <c r="T39" i="51"/>
  <c r="D59" i="80"/>
  <c r="P49" i="80"/>
  <c r="V45" i="51"/>
  <c r="T40" i="51"/>
  <c r="I51" i="80"/>
  <c r="O50" i="80"/>
  <c r="Q42" i="51"/>
  <c r="S51" i="80"/>
  <c r="B9" i="77"/>
  <c r="C9" i="77"/>
  <c r="I57" i="80"/>
  <c r="AV67" i="1"/>
  <c r="AV527" i="1"/>
  <c r="BY527" i="1" s="1"/>
  <c r="AV694" i="1"/>
  <c r="BY60" i="1"/>
  <c r="BY86" i="1"/>
  <c r="BY535" i="1"/>
  <c r="BY469" i="1"/>
  <c r="BY757" i="1"/>
  <c r="BY257" i="1"/>
  <c r="AE951" i="1"/>
  <c r="AG951" i="1"/>
  <c r="R52" i="80"/>
  <c r="N53" i="80"/>
  <c r="O47" i="80"/>
  <c r="BY607" i="1"/>
  <c r="BY639" i="1"/>
  <c r="BY150" i="1"/>
  <c r="W41" i="51"/>
  <c r="V39" i="51"/>
  <c r="N45" i="51"/>
  <c r="K40" i="51"/>
  <c r="J41" i="51"/>
  <c r="BG30" i="1"/>
  <c r="AT561" i="1"/>
  <c r="AV561" i="1" s="1"/>
  <c r="BA874" i="1"/>
  <c r="BG253" i="1"/>
  <c r="BI253" i="1" s="1"/>
  <c r="BT892" i="1"/>
  <c r="BV892" i="1" s="1"/>
  <c r="BY892" i="1" s="1"/>
  <c r="AP519" i="1"/>
  <c r="AV519" i="1" s="1"/>
  <c r="E58" i="80"/>
  <c r="AN736" i="1"/>
  <c r="AV736" i="1" s="1"/>
  <c r="AP736" i="1"/>
  <c r="AC825" i="1"/>
  <c r="AI825" i="1" s="1"/>
  <c r="BY825" i="1" s="1"/>
  <c r="AC57" i="1"/>
  <c r="E18" i="61" s="1"/>
  <c r="BI337" i="1"/>
  <c r="BI499" i="1"/>
  <c r="BY499" i="1" s="1"/>
  <c r="BV505" i="1"/>
  <c r="BY505" i="1" s="1"/>
  <c r="AI439" i="1"/>
  <c r="BI521" i="1"/>
  <c r="BY521" i="1" s="1"/>
  <c r="BI522" i="1"/>
  <c r="AI721" i="1"/>
  <c r="AI950" i="1"/>
  <c r="BY950" i="1" s="1"/>
  <c r="AI71" i="1"/>
  <c r="BV753" i="1"/>
  <c r="BY753" i="1" s="1"/>
  <c r="BI410" i="1"/>
  <c r="BY410" i="1" s="1"/>
  <c r="AV416" i="1"/>
  <c r="AI187" i="1"/>
  <c r="BY187" i="1" s="1"/>
  <c r="BX747" i="1"/>
  <c r="BX102" i="1"/>
  <c r="BX28" i="1"/>
  <c r="BX396" i="1"/>
  <c r="BX360" i="1"/>
  <c r="BX380" i="1"/>
  <c r="AG306" i="1"/>
  <c r="AI306" i="1" s="1"/>
  <c r="AN743" i="1"/>
  <c r="BR982" i="1"/>
  <c r="BV982" i="1" s="1"/>
  <c r="BI68" i="1"/>
  <c r="AV158" i="1"/>
  <c r="AV975" i="1"/>
  <c r="BI396" i="1"/>
  <c r="BV946" i="1"/>
  <c r="BI576" i="1"/>
  <c r="BI146" i="1"/>
  <c r="BV747" i="1"/>
  <c r="AV58" i="1"/>
  <c r="BI544" i="1"/>
  <c r="BY544" i="1" s="1"/>
  <c r="AV525" i="1"/>
  <c r="AV451" i="1"/>
  <c r="BI361" i="1"/>
  <c r="BY361" i="1" s="1"/>
  <c r="BV139" i="1"/>
  <c r="BY139" i="1" s="1"/>
  <c r="AV221" i="1"/>
  <c r="BV591" i="1"/>
  <c r="AI402" i="1"/>
  <c r="BI498" i="1"/>
  <c r="BI402" i="1"/>
  <c r="AI828" i="1"/>
  <c r="AI742" i="1"/>
  <c r="AV283" i="1"/>
  <c r="BY283" i="1" s="1"/>
  <c r="BX53" i="1"/>
  <c r="BX999" i="1"/>
  <c r="BX779" i="1"/>
  <c r="AC587" i="1"/>
  <c r="AI587" i="1" s="1"/>
  <c r="BY587" i="1" s="1"/>
  <c r="AA929" i="1"/>
  <c r="AI929" i="1" s="1"/>
  <c r="BA843" i="1"/>
  <c r="BI843" i="1" s="1"/>
  <c r="BY843" i="1" s="1"/>
  <c r="AE657" i="1"/>
  <c r="AI657" i="1" s="1"/>
  <c r="BR325" i="1"/>
  <c r="BV325" i="1" s="1"/>
  <c r="BA249" i="1"/>
  <c r="BX453" i="1"/>
  <c r="BX894" i="1"/>
  <c r="G51" i="80"/>
  <c r="G41" i="51"/>
  <c r="AI34" i="1"/>
  <c r="W40" i="51"/>
  <c r="U47" i="51"/>
  <c r="Q55" i="80"/>
  <c r="AG276" i="1"/>
  <c r="AC276" i="1"/>
  <c r="AI778" i="1"/>
  <c r="BI715" i="1"/>
  <c r="BY715" i="1" s="1"/>
  <c r="V18" i="61"/>
  <c r="P55" i="80"/>
  <c r="U45" i="51"/>
  <c r="AN38" i="1"/>
  <c r="AT38" i="1"/>
  <c r="BI777" i="1"/>
  <c r="BY777" i="1" s="1"/>
  <c r="Q49" i="80"/>
  <c r="O53" i="80"/>
  <c r="T55" i="80"/>
  <c r="S18" i="61"/>
  <c r="S45" i="51"/>
  <c r="V57" i="80"/>
  <c r="BA910" i="1"/>
  <c r="BI910" i="1" s="1"/>
  <c r="AT320" i="1"/>
  <c r="AV320" i="1" s="1"/>
  <c r="BR799" i="1"/>
  <c r="BV799" i="1" s="1"/>
  <c r="BY799" i="1" s="1"/>
  <c r="BR666" i="1"/>
  <c r="AT759" i="1"/>
  <c r="AV759" i="1" s="1"/>
  <c r="BG36" i="1"/>
  <c r="BC674" i="1"/>
  <c r="BI674" i="1" s="1"/>
  <c r="AA925" i="1"/>
  <c r="AC562" i="1"/>
  <c r="AI562" i="1" s="1"/>
  <c r="AA464" i="1"/>
  <c r="AE161" i="1"/>
  <c r="AC259" i="1"/>
  <c r="AI259" i="1" s="1"/>
  <c r="BY259" i="1" s="1"/>
  <c r="BP666" i="1"/>
  <c r="AE468" i="1"/>
  <c r="BE36" i="1"/>
  <c r="AP659" i="1"/>
  <c r="AV659" i="1" s="1"/>
  <c r="AA276" i="1"/>
  <c r="AC612" i="1"/>
  <c r="AI612" i="1" s="1"/>
  <c r="BY612" i="1" s="1"/>
  <c r="AE230" i="1"/>
  <c r="AI230" i="1" s="1"/>
  <c r="AA468" i="1"/>
  <c r="AC64" i="1"/>
  <c r="AI64" i="1" s="1"/>
  <c r="BY64" i="1" s="1"/>
  <c r="BR513" i="1"/>
  <c r="BV513" i="1" s="1"/>
  <c r="L57" i="80"/>
  <c r="E37" i="51"/>
  <c r="L52" i="80"/>
  <c r="I49" i="80"/>
  <c r="S47" i="51"/>
  <c r="BT374" i="1"/>
  <c r="BV374" i="1" s="1"/>
  <c r="BY374" i="1" s="1"/>
  <c r="AT170" i="1"/>
  <c r="AV170" i="1" s="1"/>
  <c r="BY170" i="1" s="1"/>
  <c r="AN562" i="1"/>
  <c r="AV562" i="1" s="1"/>
  <c r="AE253" i="1"/>
  <c r="AI253" i="1" s="1"/>
  <c r="AG464" i="1"/>
  <c r="AP399" i="1"/>
  <c r="AV399" i="1" s="1"/>
  <c r="BE465" i="1"/>
  <c r="BI465" i="1" s="1"/>
  <c r="BY465" i="1" s="1"/>
  <c r="AR357" i="1"/>
  <c r="AV357" i="1" s="1"/>
  <c r="BE513" i="1"/>
  <c r="BI513" i="1" s="1"/>
  <c r="BC375" i="1"/>
  <c r="BI375" i="1" s="1"/>
  <c r="AG586" i="1"/>
  <c r="AI586" i="1" s="1"/>
  <c r="AE925" i="1"/>
  <c r="AC161" i="1"/>
  <c r="AG685" i="1"/>
  <c r="AI685" i="1" s="1"/>
  <c r="AA536" i="1"/>
  <c r="AI536" i="1" s="1"/>
  <c r="BT69" i="1"/>
  <c r="BV69" i="1" s="1"/>
  <c r="AG21" i="1"/>
  <c r="AG77" i="1"/>
  <c r="AI77" i="1" s="1"/>
  <c r="BX585" i="1"/>
  <c r="BX633" i="1"/>
  <c r="BX649" i="1"/>
  <c r="AG834" i="1"/>
  <c r="AC834" i="1"/>
  <c r="AR207" i="1"/>
  <c r="AV207" i="1" s="1"/>
  <c r="BX574" i="1"/>
  <c r="BX606" i="1"/>
  <c r="BX734" i="1"/>
  <c r="BX553" i="1"/>
  <c r="BX683" i="1"/>
  <c r="CC20" i="1"/>
  <c r="CC12" i="1"/>
  <c r="M41" i="51"/>
  <c r="M51" i="80"/>
  <c r="W45" i="51"/>
  <c r="N43" i="51"/>
  <c r="K53" i="80"/>
  <c r="P53" i="80"/>
  <c r="P43" i="51"/>
  <c r="AR368" i="1"/>
  <c r="AP368" i="1"/>
  <c r="AR685" i="1"/>
  <c r="AP685" i="1"/>
  <c r="AN685" i="1"/>
  <c r="AR866" i="1"/>
  <c r="AP866" i="1"/>
  <c r="AN866" i="1"/>
  <c r="AN127" i="1"/>
  <c r="AT127" i="1"/>
  <c r="AN868" i="1"/>
  <c r="AP868" i="1"/>
  <c r="BR135" i="1"/>
  <c r="BT135" i="1"/>
  <c r="BN135" i="1"/>
  <c r="BP135" i="1"/>
  <c r="BT965" i="1"/>
  <c r="BN965" i="1"/>
  <c r="BE211" i="1"/>
  <c r="BG211" i="1"/>
  <c r="BN668" i="1"/>
  <c r="BP668" i="1"/>
  <c r="BR668" i="1"/>
  <c r="AG52" i="1"/>
  <c r="AC52" i="1"/>
  <c r="AA52" i="1"/>
  <c r="AG608" i="1"/>
  <c r="AC608" i="1"/>
  <c r="AE608" i="1"/>
  <c r="AA413" i="1"/>
  <c r="AC413" i="1"/>
  <c r="AC701" i="1"/>
  <c r="AG701" i="1"/>
  <c r="AA701" i="1"/>
  <c r="AE701" i="1"/>
  <c r="AA596" i="1"/>
  <c r="AG596" i="1"/>
  <c r="AC596" i="1"/>
  <c r="BT71" i="1"/>
  <c r="BN71" i="1"/>
  <c r="BR71" i="1"/>
  <c r="BC568" i="1"/>
  <c r="BG568" i="1"/>
  <c r="BE568" i="1"/>
  <c r="AT217" i="1"/>
  <c r="AR217" i="1"/>
  <c r="AP217" i="1"/>
  <c r="BR975" i="1"/>
  <c r="BN975" i="1"/>
  <c r="BR601" i="1"/>
  <c r="BN601" i="1"/>
  <c r="AA104" i="1"/>
  <c r="AE104" i="1"/>
  <c r="AN550" i="1"/>
  <c r="AT550" i="1"/>
  <c r="BC131" i="1"/>
  <c r="BE131" i="1"/>
  <c r="AA486" i="1"/>
  <c r="AC486" i="1"/>
  <c r="AN497" i="1"/>
  <c r="AR497" i="1"/>
  <c r="AR728" i="1"/>
  <c r="AP728" i="1"/>
  <c r="BC975" i="1"/>
  <c r="BE975" i="1"/>
  <c r="AE168" i="1"/>
  <c r="AC168" i="1"/>
  <c r="BR409" i="1"/>
  <c r="BP409" i="1"/>
  <c r="BT644" i="1"/>
  <c r="BR644" i="1"/>
  <c r="BP644" i="1"/>
  <c r="BN644" i="1"/>
  <c r="AP723" i="1"/>
  <c r="AN723" i="1"/>
  <c r="AT723" i="1"/>
  <c r="AR723" i="1"/>
  <c r="AP72" i="1"/>
  <c r="AT72" i="1"/>
  <c r="AR72" i="1"/>
  <c r="AT971" i="1"/>
  <c r="AP971" i="1"/>
  <c r="AR971" i="1"/>
  <c r="BC369" i="1"/>
  <c r="BE369" i="1"/>
  <c r="BA369" i="1"/>
  <c r="BP531" i="1"/>
  <c r="BN531" i="1"/>
  <c r="BR531" i="1"/>
  <c r="BG489" i="1"/>
  <c r="BA489" i="1"/>
  <c r="BE489" i="1"/>
  <c r="BA923" i="1"/>
  <c r="BE923" i="1"/>
  <c r="BR439" i="1"/>
  <c r="BT439" i="1"/>
  <c r="BP439" i="1"/>
  <c r="AR925" i="1"/>
  <c r="AN925" i="1"/>
  <c r="AT925" i="1"/>
  <c r="AP925" i="1"/>
  <c r="BA945" i="1"/>
  <c r="BE945" i="1"/>
  <c r="BC945" i="1"/>
  <c r="BA776" i="1"/>
  <c r="BE776" i="1"/>
  <c r="BG454" i="1"/>
  <c r="BC454" i="1"/>
  <c r="BG586" i="1"/>
  <c r="BC586" i="1"/>
  <c r="BA586" i="1"/>
  <c r="AC813" i="1"/>
  <c r="AE813" i="1"/>
  <c r="AA813" i="1"/>
  <c r="AE862" i="1"/>
  <c r="AC862" i="1"/>
  <c r="AG862" i="1"/>
  <c r="AA729" i="1"/>
  <c r="AG729" i="1"/>
  <c r="AA991" i="1"/>
  <c r="AC991" i="1"/>
  <c r="AE991" i="1"/>
  <c r="AA651" i="1"/>
  <c r="AE651" i="1"/>
  <c r="AC651" i="1"/>
  <c r="AC606" i="1"/>
  <c r="AE606" i="1"/>
  <c r="AE138" i="1"/>
  <c r="AG138" i="1"/>
  <c r="AC138" i="1"/>
  <c r="AE145" i="1"/>
  <c r="AC145" i="1"/>
  <c r="AA145" i="1"/>
  <c r="AG998" i="1"/>
  <c r="AA998" i="1"/>
  <c r="AE998" i="1"/>
  <c r="AA968" i="1"/>
  <c r="AE968" i="1"/>
  <c r="AC968" i="1"/>
  <c r="AE147" i="1"/>
  <c r="AC147" i="1"/>
  <c r="AA147" i="1"/>
  <c r="AC349" i="1"/>
  <c r="AA349" i="1"/>
  <c r="AE349" i="1"/>
  <c r="AG349" i="1"/>
  <c r="AC633" i="1"/>
  <c r="AG633" i="1"/>
  <c r="AA633" i="1"/>
  <c r="AE35" i="1"/>
  <c r="AA35" i="1"/>
  <c r="AC35" i="1"/>
  <c r="AG201" i="1"/>
  <c r="AC201" i="1"/>
  <c r="AE201" i="1"/>
  <c r="AG662" i="1"/>
  <c r="AC662" i="1"/>
  <c r="AE662" i="1"/>
  <c r="BR340" i="1"/>
  <c r="BN340" i="1"/>
  <c r="BP340" i="1"/>
  <c r="BE307" i="1"/>
  <c r="BC307" i="1"/>
  <c r="BG307" i="1"/>
  <c r="BR207" i="1"/>
  <c r="BN207" i="1"/>
  <c r="BP207" i="1"/>
  <c r="BN101" i="1"/>
  <c r="BT101" i="1"/>
  <c r="BR101" i="1"/>
  <c r="BP101" i="1"/>
  <c r="AP747" i="1"/>
  <c r="AT747" i="1"/>
  <c r="AR747" i="1"/>
  <c r="AP918" i="1"/>
  <c r="AN918" i="1"/>
  <c r="AT731" i="1"/>
  <c r="AN731" i="1"/>
  <c r="AR731" i="1"/>
  <c r="AC182" i="1"/>
  <c r="AA182" i="1"/>
  <c r="AE182" i="1"/>
  <c r="AA309" i="1"/>
  <c r="AC309" i="1"/>
  <c r="AE309" i="1"/>
  <c r="AE80" i="1"/>
  <c r="AG80" i="1"/>
  <c r="AA80" i="1"/>
  <c r="AC80" i="1"/>
  <c r="BP704" i="1"/>
  <c r="BN704" i="1"/>
  <c r="BT704" i="1"/>
  <c r="BT490" i="1"/>
  <c r="BN490" i="1"/>
  <c r="AP640" i="1"/>
  <c r="AN640" i="1"/>
  <c r="AR640" i="1"/>
  <c r="AT800" i="1"/>
  <c r="AN800" i="1"/>
  <c r="AP800" i="1"/>
  <c r="AR800" i="1"/>
  <c r="AC741" i="1"/>
  <c r="AA741" i="1"/>
  <c r="AA598" i="1"/>
  <c r="AE598" i="1"/>
  <c r="AG598" i="1"/>
  <c r="BR949" i="1"/>
  <c r="BP949" i="1"/>
  <c r="BP665" i="1"/>
  <c r="BN665" i="1"/>
  <c r="BT665" i="1"/>
  <c r="BP78" i="1"/>
  <c r="BN78" i="1"/>
  <c r="BT78" i="1"/>
  <c r="BR78" i="1"/>
  <c r="AP871" i="1"/>
  <c r="AR871" i="1"/>
  <c r="AN871" i="1"/>
  <c r="AE866" i="1"/>
  <c r="AC866" i="1"/>
  <c r="AG866" i="1"/>
  <c r="AA694" i="1"/>
  <c r="AG694" i="1"/>
  <c r="BT598" i="1"/>
  <c r="BP598" i="1"/>
  <c r="BN598" i="1"/>
  <c r="BE415" i="1"/>
  <c r="BG415" i="1"/>
  <c r="BC415" i="1"/>
  <c r="BA415" i="1"/>
  <c r="BN146" i="1"/>
  <c r="BT146" i="1"/>
  <c r="BP146" i="1"/>
  <c r="AT536" i="1"/>
  <c r="AP536" i="1"/>
  <c r="BE157" i="1"/>
  <c r="BC157" i="1"/>
  <c r="AR493" i="1"/>
  <c r="AN493" i="1"/>
  <c r="AP493" i="1"/>
  <c r="AT493" i="1"/>
  <c r="AN164" i="1"/>
  <c r="AT164" i="1"/>
  <c r="AR164" i="1"/>
  <c r="AP164" i="1"/>
  <c r="BG721" i="1"/>
  <c r="BA721" i="1"/>
  <c r="AR461" i="1"/>
  <c r="AP461" i="1"/>
  <c r="AP292" i="1"/>
  <c r="AN292" i="1"/>
  <c r="AN255" i="1"/>
  <c r="AT255" i="1"/>
  <c r="AR255" i="1"/>
  <c r="AA222" i="1"/>
  <c r="AE222" i="1"/>
  <c r="AC222" i="1"/>
  <c r="AG907" i="1"/>
  <c r="AC907" i="1"/>
  <c r="AE907" i="1"/>
  <c r="AA360" i="1"/>
  <c r="AC360" i="1"/>
  <c r="AG360" i="1"/>
  <c r="AC616" i="1"/>
  <c r="AE616" i="1"/>
  <c r="AA616" i="1"/>
  <c r="AC719" i="1"/>
  <c r="AE719" i="1"/>
  <c r="AG882" i="1"/>
  <c r="AC882" i="1"/>
  <c r="AA882" i="1"/>
  <c r="AE45" i="1"/>
  <c r="AG45" i="1"/>
  <c r="AA45" i="1"/>
  <c r="BR203" i="1"/>
  <c r="BT203" i="1"/>
  <c r="BP842" i="1"/>
  <c r="BN842" i="1"/>
  <c r="BR842" i="1"/>
  <c r="BT842" i="1"/>
  <c r="AN359" i="1"/>
  <c r="AT359" i="1"/>
  <c r="AP920" i="1"/>
  <c r="AR920" i="1"/>
  <c r="AN920" i="1"/>
  <c r="AT920" i="1"/>
  <c r="AP438" i="1"/>
  <c r="AT438" i="1"/>
  <c r="AT895" i="1"/>
  <c r="AR895" i="1"/>
  <c r="AN895" i="1"/>
  <c r="AR976" i="1"/>
  <c r="AN976" i="1"/>
  <c r="AT976" i="1"/>
  <c r="AP976" i="1"/>
  <c r="BR334" i="1"/>
  <c r="BT334" i="1"/>
  <c r="AP59" i="1"/>
  <c r="AT59" i="1"/>
  <c r="AR726" i="1"/>
  <c r="AN726" i="1"/>
  <c r="AP726" i="1"/>
  <c r="AN822" i="1"/>
  <c r="AR822" i="1"/>
  <c r="AA219" i="1"/>
  <c r="AE219" i="1"/>
  <c r="AC219" i="1"/>
  <c r="BE907" i="1"/>
  <c r="BA907" i="1"/>
  <c r="AP737" i="1"/>
  <c r="AT737" i="1"/>
  <c r="AA798" i="1"/>
  <c r="AE798" i="1"/>
  <c r="AG798" i="1"/>
  <c r="BC770" i="1"/>
  <c r="BG770" i="1"/>
  <c r="AG628" i="1"/>
  <c r="AA628" i="1"/>
  <c r="AE628" i="1"/>
  <c r="AC628" i="1"/>
  <c r="AG858" i="1"/>
  <c r="AA858" i="1"/>
  <c r="AC601" i="1"/>
  <c r="AA601" i="1"/>
  <c r="AG601" i="1"/>
  <c r="AE601" i="1"/>
  <c r="BA985" i="1"/>
  <c r="BG985" i="1"/>
  <c r="AR665" i="1"/>
  <c r="AT665" i="1"/>
  <c r="AP665" i="1"/>
  <c r="BR22" i="1"/>
  <c r="BP22" i="1"/>
  <c r="BT22" i="1"/>
  <c r="BR52" i="1"/>
  <c r="BT52" i="1"/>
  <c r="BN52" i="1"/>
  <c r="BP52" i="1"/>
  <c r="AC691" i="1"/>
  <c r="AG691" i="1"/>
  <c r="AE691" i="1"/>
  <c r="AA691" i="1"/>
  <c r="AA792" i="1"/>
  <c r="AC792" i="1"/>
  <c r="AG775" i="1"/>
  <c r="AC775" i="1"/>
  <c r="AE775" i="1"/>
  <c r="AA775" i="1"/>
  <c r="AA507" i="1"/>
  <c r="AE507" i="1"/>
  <c r="AC507" i="1"/>
  <c r="BA448" i="1"/>
  <c r="BC448" i="1"/>
  <c r="BP572" i="1"/>
  <c r="BN572" i="1"/>
  <c r="BT572" i="1"/>
  <c r="BR572" i="1"/>
  <c r="AA459" i="1"/>
  <c r="AG459" i="1"/>
  <c r="AC459" i="1"/>
  <c r="AP696" i="1"/>
  <c r="AN696" i="1"/>
  <c r="AT696" i="1"/>
  <c r="AE575" i="1"/>
  <c r="AG575" i="1"/>
  <c r="AA575" i="1"/>
  <c r="AA244" i="1"/>
  <c r="AE244" i="1"/>
  <c r="AG244" i="1"/>
  <c r="BE162" i="1"/>
  <c r="BA162" i="1"/>
  <c r="BC162" i="1"/>
  <c r="BP998" i="1"/>
  <c r="BN998" i="1"/>
  <c r="BR998" i="1"/>
  <c r="BT998" i="1"/>
  <c r="BE250" i="1"/>
  <c r="BG250" i="1"/>
  <c r="BC250" i="1"/>
  <c r="BA250" i="1"/>
  <c r="AN393" i="1"/>
  <c r="AP393" i="1"/>
  <c r="AR393" i="1"/>
  <c r="AR268" i="1"/>
  <c r="AT268" i="1"/>
  <c r="AP268" i="1"/>
  <c r="AE194" i="1"/>
  <c r="AC194" i="1"/>
  <c r="AG194" i="1"/>
  <c r="AA258" i="1"/>
  <c r="AC258" i="1"/>
  <c r="BP244" i="1"/>
  <c r="BT244" i="1"/>
  <c r="BN244" i="1"/>
  <c r="BR244" i="1"/>
  <c r="BR647" i="1"/>
  <c r="BN647" i="1"/>
  <c r="BP647" i="1"/>
  <c r="AT310" i="1"/>
  <c r="AR310" i="1"/>
  <c r="AN310" i="1"/>
  <c r="AR375" i="1"/>
  <c r="AN375" i="1"/>
  <c r="AP375" i="1"/>
  <c r="AT375" i="1"/>
  <c r="AG140" i="1"/>
  <c r="AA140" i="1"/>
  <c r="AC140" i="1"/>
  <c r="AA131" i="1"/>
  <c r="AG131" i="1"/>
  <c r="AC131" i="1"/>
  <c r="BA348" i="1"/>
  <c r="BC348" i="1"/>
  <c r="BE348" i="1"/>
  <c r="BP506" i="1"/>
  <c r="BT506" i="1"/>
  <c r="AT541" i="1"/>
  <c r="AP541" i="1"/>
  <c r="AN541" i="1"/>
  <c r="BP781" i="1"/>
  <c r="BT781" i="1"/>
  <c r="BN781" i="1"/>
  <c r="AA130" i="1"/>
  <c r="AG130" i="1"/>
  <c r="AE130" i="1"/>
  <c r="BE939" i="1"/>
  <c r="BC939" i="1"/>
  <c r="BA939" i="1"/>
  <c r="BC949" i="1"/>
  <c r="BA949" i="1"/>
  <c r="BE949" i="1"/>
  <c r="AP446" i="1"/>
  <c r="AR446" i="1"/>
  <c r="AN446" i="1"/>
  <c r="AP883" i="1"/>
  <c r="AN883" i="1"/>
  <c r="AR883" i="1"/>
  <c r="BC801" i="1"/>
  <c r="BG801" i="1"/>
  <c r="AT486" i="1"/>
  <c r="AP486" i="1"/>
  <c r="AP390" i="1"/>
  <c r="AR390" i="1"/>
  <c r="AN390" i="1"/>
  <c r="AT390" i="1"/>
  <c r="AN169" i="1"/>
  <c r="AP169" i="1"/>
  <c r="AR169" i="1"/>
  <c r="AR44" i="1"/>
  <c r="AP44" i="1"/>
  <c r="J18" i="61" s="1"/>
  <c r="AN44" i="1"/>
  <c r="AT44" i="1"/>
  <c r="L66" i="80" s="1"/>
  <c r="BA836" i="1"/>
  <c r="BC836" i="1"/>
  <c r="BG836" i="1"/>
  <c r="AA915" i="1"/>
  <c r="AE915" i="1"/>
  <c r="AC915" i="1"/>
  <c r="AC367" i="1"/>
  <c r="AG367" i="1"/>
  <c r="AE367" i="1"/>
  <c r="AE599" i="1"/>
  <c r="AA599" i="1"/>
  <c r="AC599" i="1"/>
  <c r="AG599" i="1"/>
  <c r="BA371" i="1"/>
  <c r="BE371" i="1"/>
  <c r="BC371" i="1"/>
  <c r="AP956" i="1"/>
  <c r="AR956" i="1"/>
  <c r="AT956" i="1"/>
  <c r="AP341" i="1"/>
  <c r="AN341" i="1"/>
  <c r="AR341" i="1"/>
  <c r="AT341" i="1"/>
  <c r="BN416" i="1"/>
  <c r="BP416" i="1"/>
  <c r="BT416" i="1"/>
  <c r="BR416" i="1"/>
  <c r="AG516" i="1"/>
  <c r="AA516" i="1"/>
  <c r="AC516" i="1"/>
  <c r="AE516" i="1"/>
  <c r="AG956" i="1"/>
  <c r="AC956" i="1"/>
  <c r="AA956" i="1"/>
  <c r="AC245" i="1"/>
  <c r="AA245" i="1"/>
  <c r="AE245" i="1"/>
  <c r="AG245" i="1"/>
  <c r="AR898" i="1"/>
  <c r="AP898" i="1"/>
  <c r="AN898" i="1"/>
  <c r="BN278" i="1"/>
  <c r="BR278" i="1"/>
  <c r="BP278" i="1"/>
  <c r="BR489" i="1"/>
  <c r="BT489" i="1"/>
  <c r="BP489" i="1"/>
  <c r="AN151" i="1"/>
  <c r="AT151" i="1"/>
  <c r="AR151" i="1"/>
  <c r="AR311" i="1"/>
  <c r="AN311" i="1"/>
  <c r="AT311" i="1"/>
  <c r="AP311" i="1"/>
  <c r="AN580" i="1"/>
  <c r="AP580" i="1"/>
  <c r="AR580" i="1"/>
  <c r="AT580" i="1"/>
  <c r="AC652" i="1"/>
  <c r="AE652" i="1"/>
  <c r="AA652" i="1"/>
  <c r="AC923" i="1"/>
  <c r="AG923" i="1"/>
  <c r="AE923" i="1"/>
  <c r="AA870" i="1"/>
  <c r="AC870" i="1"/>
  <c r="AG870" i="1"/>
  <c r="AE870" i="1"/>
  <c r="AC362" i="1"/>
  <c r="AA362" i="1"/>
  <c r="AA285" i="1"/>
  <c r="AE285" i="1"/>
  <c r="AG285" i="1"/>
  <c r="BP494" i="1"/>
  <c r="BT494" i="1"/>
  <c r="BR494" i="1"/>
  <c r="BN494" i="1"/>
  <c r="BC352" i="1"/>
  <c r="BG352" i="1"/>
  <c r="BE352" i="1"/>
  <c r="AR251" i="1"/>
  <c r="AT251" i="1"/>
  <c r="AP251" i="1"/>
  <c r="AP385" i="1"/>
  <c r="AN385" i="1"/>
  <c r="AR385" i="1"/>
  <c r="AP926" i="1"/>
  <c r="AR926" i="1"/>
  <c r="AN926" i="1"/>
  <c r="BP306" i="1"/>
  <c r="BR306" i="1"/>
  <c r="BN306" i="1"/>
  <c r="AA887" i="1"/>
  <c r="AE887" i="1"/>
  <c r="AC887" i="1"/>
  <c r="AG887" i="1"/>
  <c r="AC965" i="1"/>
  <c r="AE965" i="1"/>
  <c r="AA965" i="1"/>
  <c r="AG965" i="1"/>
  <c r="AE264" i="1"/>
  <c r="AG264" i="1"/>
  <c r="AT944" i="1"/>
  <c r="AR944" i="1"/>
  <c r="AP944" i="1"/>
  <c r="AN944" i="1"/>
  <c r="AP206" i="1"/>
  <c r="AT206" i="1"/>
  <c r="AN206" i="1"/>
  <c r="AP347" i="1"/>
  <c r="AR347" i="1"/>
  <c r="AN347" i="1"/>
  <c r="AT347" i="1"/>
  <c r="BE357" i="1"/>
  <c r="BC357" i="1"/>
  <c r="BA357" i="1"/>
  <c r="BG357" i="1"/>
  <c r="BP580" i="1"/>
  <c r="BN580" i="1"/>
  <c r="BR580" i="1"/>
  <c r="BT580" i="1"/>
  <c r="BR733" i="1"/>
  <c r="BP733" i="1"/>
  <c r="BT733" i="1"/>
  <c r="AC874" i="1"/>
  <c r="AG874" i="1"/>
  <c r="AE874" i="1"/>
  <c r="AA396" i="1"/>
  <c r="AG396" i="1"/>
  <c r="AE396" i="1"/>
  <c r="AN21" i="1"/>
  <c r="AT21" i="1"/>
  <c r="BP438" i="1"/>
  <c r="BT438" i="1"/>
  <c r="BR438" i="1"/>
  <c r="BN438" i="1"/>
  <c r="AE495" i="1"/>
  <c r="AC495" i="1"/>
  <c r="AG495" i="1"/>
  <c r="AN354" i="1"/>
  <c r="AR354" i="1"/>
  <c r="AP354" i="1"/>
  <c r="BP740" i="1"/>
  <c r="BN740" i="1"/>
  <c r="BT740" i="1"/>
  <c r="BR740" i="1"/>
  <c r="BE911" i="1"/>
  <c r="BC911" i="1"/>
  <c r="BG911" i="1"/>
  <c r="BN893" i="1"/>
  <c r="BR893" i="1"/>
  <c r="BT893" i="1"/>
  <c r="BP893" i="1"/>
  <c r="AN56" i="1"/>
  <c r="AR56" i="1"/>
  <c r="AP56" i="1"/>
  <c r="AT56" i="1"/>
  <c r="AA239" i="1"/>
  <c r="AC239" i="1"/>
  <c r="AG239" i="1"/>
  <c r="AG560" i="1"/>
  <c r="AA560" i="1"/>
  <c r="AC560" i="1"/>
  <c r="AA619" i="1"/>
  <c r="AC619" i="1"/>
  <c r="AG619" i="1"/>
  <c r="AE440" i="1"/>
  <c r="AG440" i="1"/>
  <c r="AC440" i="1"/>
  <c r="AC788" i="1"/>
  <c r="AG788" i="1"/>
  <c r="AE788" i="1"/>
  <c r="AG524" i="1"/>
  <c r="AA524" i="1"/>
  <c r="AE524" i="1"/>
  <c r="AG617" i="1"/>
  <c r="AC617" i="1"/>
  <c r="AA617" i="1"/>
  <c r="BA130" i="1"/>
  <c r="BG130" i="1"/>
  <c r="BC130" i="1"/>
  <c r="BP688" i="1"/>
  <c r="BR688" i="1"/>
  <c r="BN688" i="1"/>
  <c r="BT688" i="1"/>
  <c r="AR886" i="1"/>
  <c r="AP886" i="1"/>
  <c r="AT886" i="1"/>
  <c r="AG962" i="1"/>
  <c r="AC962" i="1"/>
  <c r="AA962" i="1"/>
  <c r="AA522" i="1"/>
  <c r="AE522" i="1"/>
  <c r="AG249" i="1"/>
  <c r="AA249" i="1"/>
  <c r="AC249" i="1"/>
  <c r="AN498" i="1"/>
  <c r="AT498" i="1"/>
  <c r="AR498" i="1"/>
  <c r="AA551" i="1"/>
  <c r="AE551" i="1"/>
  <c r="AC551" i="1"/>
  <c r="AG551" i="1"/>
  <c r="AA171" i="1"/>
  <c r="AG171" i="1"/>
  <c r="AE171" i="1"/>
  <c r="AA683" i="1"/>
  <c r="AE683" i="1"/>
  <c r="AC683" i="1"/>
  <c r="BG554" i="1"/>
  <c r="BC554" i="1"/>
  <c r="BE554" i="1"/>
  <c r="AE453" i="1"/>
  <c r="AG453" i="1"/>
  <c r="AC453" i="1"/>
  <c r="BT755" i="1"/>
  <c r="BR755" i="1"/>
  <c r="BN755" i="1"/>
  <c r="AT553" i="1"/>
  <c r="AR553" i="1"/>
  <c r="AN553" i="1"/>
  <c r="AG525" i="1"/>
  <c r="AA525" i="1"/>
  <c r="AC525" i="1"/>
  <c r="AE525" i="1"/>
  <c r="AR933" i="1"/>
  <c r="AN933" i="1"/>
  <c r="AA489" i="1"/>
  <c r="AC489" i="1"/>
  <c r="AE489" i="1"/>
  <c r="AG489" i="1"/>
  <c r="BN94" i="1"/>
  <c r="BP94" i="1"/>
  <c r="BR94" i="1"/>
  <c r="AA142" i="1"/>
  <c r="AE142" i="1"/>
  <c r="AG142" i="1"/>
  <c r="AC142" i="1"/>
  <c r="AC534" i="1"/>
  <c r="AG534" i="1"/>
  <c r="AE534" i="1"/>
  <c r="AA534" i="1"/>
  <c r="AE13" i="1"/>
  <c r="AA13" i="1"/>
  <c r="AG13" i="1"/>
  <c r="AC13" i="1"/>
  <c r="AA7" i="1"/>
  <c r="AE7" i="1"/>
  <c r="AC7" i="1"/>
  <c r="Q39" i="51"/>
  <c r="T50" i="80"/>
  <c r="K43" i="51"/>
  <c r="P45" i="51"/>
  <c r="O57" i="80"/>
  <c r="AR832" i="1"/>
  <c r="BA806" i="1"/>
  <c r="BI806" i="1" s="1"/>
  <c r="AT623" i="1"/>
  <c r="BN273" i="1"/>
  <c r="BE419" i="1"/>
  <c r="BE391" i="1"/>
  <c r="AN623" i="1"/>
  <c r="AT832" i="1"/>
  <c r="BC161" i="1"/>
  <c r="BG984" i="1"/>
  <c r="BC550" i="1"/>
  <c r="BC107" i="1"/>
  <c r="BI107" i="1" s="1"/>
  <c r="BE550" i="1"/>
  <c r="BR427" i="1"/>
  <c r="BV427" i="1" s="1"/>
  <c r="BA546" i="1"/>
  <c r="BP147" i="1"/>
  <c r="BR19" i="1"/>
  <c r="BG365" i="1"/>
  <c r="BA464" i="1"/>
  <c r="BR835" i="1"/>
  <c r="BP298" i="1"/>
  <c r="AN987" i="1"/>
  <c r="BA308" i="1"/>
  <c r="BR869" i="1"/>
  <c r="BE558" i="1"/>
  <c r="BA827" i="1"/>
  <c r="AR775" i="1"/>
  <c r="BC827" i="1"/>
  <c r="BA796" i="1"/>
  <c r="BG471" i="1"/>
  <c r="BI471" i="1" s="1"/>
  <c r="AT775" i="1"/>
  <c r="BG50" i="1"/>
  <c r="BG622" i="1"/>
  <c r="BA685" i="1"/>
  <c r="BE771" i="1"/>
  <c r="BE993" i="1"/>
  <c r="BN287" i="1"/>
  <c r="BR847" i="1"/>
  <c r="BE798" i="1"/>
  <c r="BC900" i="1"/>
  <c r="BC802" i="1"/>
  <c r="BC332" i="1"/>
  <c r="AC815" i="1"/>
  <c r="AI815" i="1" s="1"/>
  <c r="BY815" i="1" s="1"/>
  <c r="AG781" i="1"/>
  <c r="AC583" i="1"/>
  <c r="AC506" i="1"/>
  <c r="AC58" i="1"/>
  <c r="BC517" i="1"/>
  <c r="BC969" i="1"/>
  <c r="AP127" i="1"/>
  <c r="AP359" i="1"/>
  <c r="AA719" i="1"/>
  <c r="AR292" i="1"/>
  <c r="BA157" i="1"/>
  <c r="AE694" i="1"/>
  <c r="BN949" i="1"/>
  <c r="AR318" i="1"/>
  <c r="BN88" i="1"/>
  <c r="BE586" i="1"/>
  <c r="AG991" i="1"/>
  <c r="AC128" i="1"/>
  <c r="AR567" i="1"/>
  <c r="BA138" i="1"/>
  <c r="AC629" i="1"/>
  <c r="BG149" i="1"/>
  <c r="AT893" i="1"/>
  <c r="AT885" i="1"/>
  <c r="BE262" i="1"/>
  <c r="BR461" i="1"/>
  <c r="AN810" i="1"/>
  <c r="BN148" i="1"/>
  <c r="AP929" i="1"/>
  <c r="AT582" i="1"/>
  <c r="BC935" i="1"/>
  <c r="BE787" i="1"/>
  <c r="BP166" i="1"/>
  <c r="AG699" i="1"/>
  <c r="BP693" i="1"/>
  <c r="AT721" i="1"/>
  <c r="AR352" i="1"/>
  <c r="BE292" i="1"/>
  <c r="AN294" i="1"/>
  <c r="BG975" i="1"/>
  <c r="BI975" i="1" s="1"/>
  <c r="AT497" i="1"/>
  <c r="BG131" i="1"/>
  <c r="AG104" i="1"/>
  <c r="BT975" i="1"/>
  <c r="AE596" i="1"/>
  <c r="BG949" i="1"/>
  <c r="AP310" i="1"/>
  <c r="BE448" i="1"/>
  <c r="BC721" i="1"/>
  <c r="AT461" i="1"/>
  <c r="AG222" i="1"/>
  <c r="BA43" i="1"/>
  <c r="AN747" i="1"/>
  <c r="AG145" i="1"/>
  <c r="AR918" i="1"/>
  <c r="AE360" i="1"/>
  <c r="AC598" i="1"/>
  <c r="AE633" i="1"/>
  <c r="BR88" i="1"/>
  <c r="AG413" i="1"/>
  <c r="AP255" i="1"/>
  <c r="BR665" i="1"/>
  <c r="AG35" i="1"/>
  <c r="BA454" i="1"/>
  <c r="BC211" i="1"/>
  <c r="AT153" i="1"/>
  <c r="AE858" i="1"/>
  <c r="AT883" i="1"/>
  <c r="AA194" i="1"/>
  <c r="AT926" i="1"/>
  <c r="AG652" i="1"/>
  <c r="AN956" i="1"/>
  <c r="BG939" i="1"/>
  <c r="AN268" i="1"/>
  <c r="BP203" i="1"/>
  <c r="BN439" i="1"/>
  <c r="AA495" i="1"/>
  <c r="BP755" i="1"/>
  <c r="AE617" i="1"/>
  <c r="AG362" i="1"/>
  <c r="AA264" i="1"/>
  <c r="O45" i="51"/>
  <c r="Q45" i="51"/>
  <c r="V59" i="80"/>
  <c r="E17" i="61"/>
  <c r="O40" i="51"/>
  <c r="I41" i="51"/>
  <c r="F49" i="80"/>
  <c r="BT555" i="1"/>
  <c r="BN524" i="1"/>
  <c r="AT881" i="1"/>
  <c r="I50" i="80"/>
  <c r="BC391" i="1"/>
  <c r="AR5" i="1"/>
  <c r="K58" i="80" s="1"/>
  <c r="AP881" i="1"/>
  <c r="BR524" i="1"/>
  <c r="BP555" i="1"/>
  <c r="AP15" i="1"/>
  <c r="BT869" i="1"/>
  <c r="BC546" i="1"/>
  <c r="BN19" i="1"/>
  <c r="BG846" i="1"/>
  <c r="BT147" i="1"/>
  <c r="BA161" i="1"/>
  <c r="BA984" i="1"/>
  <c r="BC501" i="1"/>
  <c r="BE546" i="1"/>
  <c r="BP19" i="1"/>
  <c r="T37" i="51" s="1"/>
  <c r="BA365" i="1"/>
  <c r="BC464" i="1"/>
  <c r="BT835" i="1"/>
  <c r="BT298" i="1"/>
  <c r="AP987" i="1"/>
  <c r="BE308" i="1"/>
  <c r="BC558" i="1"/>
  <c r="BT563" i="1"/>
  <c r="BE846" i="1"/>
  <c r="BE796" i="1"/>
  <c r="BG569" i="1"/>
  <c r="BG880" i="1"/>
  <c r="AN775" i="1"/>
  <c r="BA50" i="1"/>
  <c r="BC622" i="1"/>
  <c r="BG685" i="1"/>
  <c r="BC771" i="1"/>
  <c r="BA993" i="1"/>
  <c r="BP287" i="1"/>
  <c r="BP847" i="1"/>
  <c r="BV847" i="1" s="1"/>
  <c r="BA798" i="1"/>
  <c r="BE900" i="1"/>
  <c r="BE802" i="1"/>
  <c r="BG332" i="1"/>
  <c r="BI332" i="1" s="1"/>
  <c r="AG78" i="1"/>
  <c r="G37" i="51" s="1"/>
  <c r="AC781" i="1"/>
  <c r="AA583" i="1"/>
  <c r="AA783" i="1"/>
  <c r="AE58" i="1"/>
  <c r="F48" i="80" s="1"/>
  <c r="AR13" i="1"/>
  <c r="K47" i="51" s="1"/>
  <c r="BC846" i="1"/>
  <c r="BE517" i="1"/>
  <c r="BE969" i="1"/>
  <c r="AR127" i="1"/>
  <c r="AR359" i="1"/>
  <c r="AG719" i="1"/>
  <c r="AT292" i="1"/>
  <c r="BG157" i="1"/>
  <c r="AC694" i="1"/>
  <c r="BT949" i="1"/>
  <c r="BR490" i="1"/>
  <c r="AN15" i="1"/>
  <c r="AN567" i="1"/>
  <c r="BG138" i="1"/>
  <c r="AG629" i="1"/>
  <c r="BA149" i="1"/>
  <c r="BI149" i="1" s="1"/>
  <c r="AP893" i="1"/>
  <c r="AR885" i="1"/>
  <c r="BG262" i="1"/>
  <c r="BI262" i="1" s="1"/>
  <c r="BP461" i="1"/>
  <c r="BV461" i="1" s="1"/>
  <c r="AP810" i="1"/>
  <c r="BR148" i="1"/>
  <c r="AN929" i="1"/>
  <c r="AV929" i="1" s="1"/>
  <c r="AR582" i="1"/>
  <c r="BA935" i="1"/>
  <c r="AA168" i="1"/>
  <c r="BC787" i="1"/>
  <c r="AN491" i="1"/>
  <c r="AE699" i="1"/>
  <c r="BN693" i="1"/>
  <c r="BV693" i="1" s="1"/>
  <c r="BY693" i="1" s="1"/>
  <c r="AT514" i="1"/>
  <c r="AP352" i="1"/>
  <c r="BC292" i="1"/>
  <c r="AN677" i="1"/>
  <c r="AN728" i="1"/>
  <c r="AE486" i="1"/>
  <c r="AP550" i="1"/>
  <c r="BP601" i="1"/>
  <c r="AN217" i="1"/>
  <c r="BT306" i="1"/>
  <c r="AG258" i="1"/>
  <c r="AG507" i="1"/>
  <c r="AG606" i="1"/>
  <c r="BG945" i="1"/>
  <c r="AR191" i="1"/>
  <c r="AE741" i="1"/>
  <c r="BT207" i="1"/>
  <c r="AA606" i="1"/>
  <c r="AN461" i="1"/>
  <c r="AG616" i="1"/>
  <c r="AA608" i="1"/>
  <c r="BR116" i="1"/>
  <c r="BR704" i="1"/>
  <c r="AG968" i="1"/>
  <c r="BE721" i="1"/>
  <c r="AG309" i="1"/>
  <c r="AG147" i="1"/>
  <c r="AT866" i="1"/>
  <c r="BE278" i="1"/>
  <c r="AC798" i="1"/>
  <c r="BE801" i="1"/>
  <c r="BG776" i="1"/>
  <c r="AC130" i="1"/>
  <c r="AC244" i="1"/>
  <c r="BA352" i="1"/>
  <c r="AP151" i="1"/>
  <c r="AG915" i="1"/>
  <c r="AE131" i="1"/>
  <c r="AC575" i="1"/>
  <c r="AR486" i="1"/>
  <c r="AE956" i="1"/>
  <c r="AR536" i="1"/>
  <c r="AC524" i="1"/>
  <c r="AC396" i="1"/>
  <c r="AA453" i="1"/>
  <c r="AP553" i="1"/>
  <c r="AA874" i="1"/>
  <c r="AG683" i="1"/>
  <c r="AN251" i="1"/>
  <c r="AT169" i="1"/>
  <c r="AE362" i="1"/>
  <c r="BR555" i="1"/>
  <c r="BT524" i="1"/>
  <c r="AR881" i="1"/>
  <c r="U55" i="80"/>
  <c r="AN5" i="1"/>
  <c r="AP5" i="1"/>
  <c r="BG419" i="1"/>
  <c r="BT273" i="1"/>
  <c r="AT15" i="1"/>
  <c r="BG464" i="1"/>
  <c r="BG501" i="1"/>
  <c r="BN563" i="1"/>
  <c r="BA880" i="1"/>
  <c r="BE50" i="1"/>
  <c r="BC569" i="1"/>
  <c r="BC993" i="1"/>
  <c r="AA58" i="1"/>
  <c r="AA78" i="1"/>
  <c r="AE781" i="1"/>
  <c r="AE506" i="1"/>
  <c r="AG783" i="1"/>
  <c r="BA550" i="1"/>
  <c r="AP13" i="1"/>
  <c r="J57" i="80" s="1"/>
  <c r="BR965" i="1"/>
  <c r="AR153" i="1"/>
  <c r="AR438" i="1"/>
  <c r="BR18" i="1"/>
  <c r="BT116" i="1"/>
  <c r="AP191" i="1"/>
  <c r="BT77" i="1"/>
  <c r="BE43" i="1"/>
  <c r="AP318" i="1"/>
  <c r="BP490" i="1"/>
  <c r="AA862" i="1"/>
  <c r="AA128" i="1"/>
  <c r="AG168" i="1"/>
  <c r="BN166" i="1"/>
  <c r="AR491" i="1"/>
  <c r="AC699" i="1"/>
  <c r="AP721" i="1"/>
  <c r="AN514" i="1"/>
  <c r="AN352" i="1"/>
  <c r="AP294" i="1"/>
  <c r="AP677" i="1"/>
  <c r="AT728" i="1"/>
  <c r="AG486" i="1"/>
  <c r="AR550" i="1"/>
  <c r="BT601" i="1"/>
  <c r="BA568" i="1"/>
  <c r="AT385" i="1"/>
  <c r="BG448" i="1"/>
  <c r="AT393" i="1"/>
  <c r="AG741" i="1"/>
  <c r="BN203" i="1"/>
  <c r="BR146" i="1"/>
  <c r="AT640" i="1"/>
  <c r="BT340" i="1"/>
  <c r="AE729" i="1"/>
  <c r="AE413" i="1"/>
  <c r="AN536" i="1"/>
  <c r="AG182" i="1"/>
  <c r="AA138" i="1"/>
  <c r="AG7" i="1"/>
  <c r="AC45" i="1"/>
  <c r="BR77" i="1"/>
  <c r="AT918" i="1"/>
  <c r="AC998" i="1"/>
  <c r="AR256" i="1"/>
  <c r="AG200" i="1"/>
  <c r="BG371" i="1"/>
  <c r="BG348" i="1"/>
  <c r="AR696" i="1"/>
  <c r="AC285" i="1"/>
  <c r="BN489" i="1"/>
  <c r="BA801" i="1"/>
  <c r="BT647" i="1"/>
  <c r="AE459" i="1"/>
  <c r="AC171" i="1"/>
  <c r="AA440" i="1"/>
  <c r="AE962" i="1"/>
  <c r="AG792" i="1"/>
  <c r="AV653" i="1"/>
  <c r="BY653" i="1" s="1"/>
  <c r="AN740" i="1"/>
  <c r="AR740" i="1"/>
  <c r="AP912" i="1"/>
  <c r="AN912" i="1"/>
  <c r="AT966" i="1"/>
  <c r="AP966" i="1"/>
  <c r="AT433" i="1"/>
  <c r="AR433" i="1"/>
  <c r="BT305" i="1"/>
  <c r="BR305" i="1"/>
  <c r="BT852" i="1"/>
  <c r="BR852" i="1"/>
  <c r="BE689" i="1"/>
  <c r="BA689" i="1"/>
  <c r="BT464" i="1"/>
  <c r="BP464" i="1"/>
  <c r="AP957" i="1"/>
  <c r="AT957" i="1"/>
  <c r="BC453" i="1"/>
  <c r="BG453" i="1"/>
  <c r="BA27" i="1"/>
  <c r="BG27" i="1"/>
  <c r="AN609" i="1"/>
  <c r="AP609" i="1"/>
  <c r="BR828" i="1"/>
  <c r="BP828" i="1"/>
  <c r="BT828" i="1"/>
  <c r="BP492" i="1"/>
  <c r="BN492" i="1"/>
  <c r="BR492" i="1"/>
  <c r="BN320" i="1"/>
  <c r="BR320" i="1"/>
  <c r="BC826" i="1"/>
  <c r="BA826" i="1"/>
  <c r="BE826" i="1"/>
  <c r="BT600" i="1"/>
  <c r="BR600" i="1"/>
  <c r="BN600" i="1"/>
  <c r="BP600" i="1"/>
  <c r="BP650" i="1"/>
  <c r="BN650" i="1"/>
  <c r="BT862" i="1"/>
  <c r="BR862" i="1"/>
  <c r="BG142" i="1"/>
  <c r="BA142" i="1"/>
  <c r="BP927" i="1"/>
  <c r="BN927" i="1"/>
  <c r="AN31" i="1"/>
  <c r="AT31" i="1"/>
  <c r="L65" i="80" s="1"/>
  <c r="AV286" i="1"/>
  <c r="BG373" i="1"/>
  <c r="BE373" i="1"/>
  <c r="BA373" i="1"/>
  <c r="BP43" i="1"/>
  <c r="BN43" i="1"/>
  <c r="AN324" i="1"/>
  <c r="AP324" i="1"/>
  <c r="AR324" i="1"/>
  <c r="BP882" i="1"/>
  <c r="BR882" i="1"/>
  <c r="BN882" i="1"/>
  <c r="BT882" i="1"/>
  <c r="AN440" i="1"/>
  <c r="AT440" i="1"/>
  <c r="AR440" i="1"/>
  <c r="BR679" i="1"/>
  <c r="BN679" i="1"/>
  <c r="BA12" i="1"/>
  <c r="N47" i="80" s="1"/>
  <c r="BG12" i="1"/>
  <c r="BP238" i="1"/>
  <c r="BN238" i="1"/>
  <c r="BT238" i="1"/>
  <c r="AA844" i="1"/>
  <c r="AG844" i="1"/>
  <c r="AC844" i="1"/>
  <c r="AE716" i="1"/>
  <c r="AA716" i="1"/>
  <c r="AG716" i="1"/>
  <c r="AG958" i="1"/>
  <c r="AE958" i="1"/>
  <c r="AC958" i="1"/>
  <c r="AA958" i="1"/>
  <c r="AE297" i="1"/>
  <c r="AG297" i="1"/>
  <c r="AG791" i="1"/>
  <c r="AA791" i="1"/>
  <c r="AA42" i="1"/>
  <c r="AG42" i="1"/>
  <c r="G18" i="61" s="1"/>
  <c r="AA339" i="1"/>
  <c r="AE339" i="1"/>
  <c r="AC909" i="1"/>
  <c r="AA909" i="1"/>
  <c r="AE909" i="1"/>
  <c r="AA124" i="1"/>
  <c r="AE124" i="1"/>
  <c r="BC538" i="1"/>
  <c r="BG538" i="1"/>
  <c r="BA538" i="1"/>
  <c r="BN767" i="1"/>
  <c r="BR767" i="1"/>
  <c r="BR902" i="1"/>
  <c r="BT902" i="1"/>
  <c r="BN970" i="1"/>
  <c r="BR970" i="1"/>
  <c r="AT488" i="1"/>
  <c r="AN488" i="1"/>
  <c r="AR307" i="1"/>
  <c r="AN307" i="1"/>
  <c r="AP307" i="1"/>
  <c r="AT802" i="1"/>
  <c r="AN802" i="1"/>
  <c r="AN502" i="1"/>
  <c r="AR502" i="1"/>
  <c r="AP502" i="1"/>
  <c r="AR70" i="1"/>
  <c r="AN70" i="1"/>
  <c r="AR317" i="1"/>
  <c r="AP317" i="1"/>
  <c r="BC272" i="1"/>
  <c r="BE272" i="1"/>
  <c r="BA272" i="1"/>
  <c r="BG561" i="1"/>
  <c r="BE561" i="1"/>
  <c r="BC561" i="1"/>
  <c r="AN437" i="1"/>
  <c r="AR437" i="1"/>
  <c r="AT437" i="1"/>
  <c r="BE899" i="1"/>
  <c r="BG899" i="1"/>
  <c r="BA899" i="1"/>
  <c r="AE408" i="1"/>
  <c r="AG408" i="1"/>
  <c r="AA364" i="1"/>
  <c r="AC364" i="1"/>
  <c r="AE364" i="1"/>
  <c r="AG364" i="1"/>
  <c r="BA312" i="1"/>
  <c r="BC312" i="1"/>
  <c r="BE312" i="1"/>
  <c r="BC929" i="1"/>
  <c r="BA929" i="1"/>
  <c r="AG786" i="1"/>
  <c r="AA786" i="1"/>
  <c r="AC786" i="1"/>
  <c r="AI421" i="1"/>
  <c r="BY421" i="1" s="1"/>
  <c r="AG568" i="1"/>
  <c r="AE568" i="1"/>
  <c r="AA687" i="1"/>
  <c r="AE687" i="1"/>
  <c r="AE381" i="1"/>
  <c r="AA381" i="1"/>
  <c r="AC381" i="1"/>
  <c r="AT371" i="1"/>
  <c r="AR371" i="1"/>
  <c r="AN371" i="1"/>
  <c r="B17" i="60" a="1"/>
  <c r="B17" i="60" s="1"/>
  <c r="O17" i="60" s="1"/>
  <c r="G5" i="1"/>
  <c r="AE648" i="1"/>
  <c r="AI648" i="1" s="1"/>
  <c r="BY648" i="1" s="1"/>
  <c r="AE563" i="1"/>
  <c r="AI563" i="1" s="1"/>
  <c r="AG717" i="1"/>
  <c r="AI717" i="1" s="1"/>
  <c r="AE914" i="1"/>
  <c r="AC914" i="1"/>
  <c r="AC395" i="1"/>
  <c r="AA395" i="1"/>
  <c r="BR813" i="1"/>
  <c r="BP813" i="1"/>
  <c r="BV659" i="1"/>
  <c r="AA666" i="1"/>
  <c r="AC666" i="1"/>
  <c r="BC177" i="1"/>
  <c r="BE177" i="1"/>
  <c r="AC29" i="1"/>
  <c r="AE29" i="1"/>
  <c r="F53" i="80" s="1"/>
  <c r="BR551" i="1"/>
  <c r="BP551" i="1"/>
  <c r="AN99" i="1"/>
  <c r="AP99" i="1"/>
  <c r="BP229" i="1"/>
  <c r="BT229" i="1"/>
  <c r="BC861" i="1"/>
  <c r="BA861" i="1"/>
  <c r="AA189" i="1"/>
  <c r="AG189" i="1"/>
  <c r="AT765" i="1"/>
  <c r="AN765" i="1"/>
  <c r="AC851" i="1"/>
  <c r="AG851" i="1"/>
  <c r="AA851" i="1"/>
  <c r="AC985" i="1"/>
  <c r="AA985" i="1"/>
  <c r="AE448" i="1"/>
  <c r="AA448" i="1"/>
  <c r="AC448" i="1"/>
  <c r="AG477" i="1"/>
  <c r="AE477" i="1"/>
  <c r="AA771" i="1"/>
  <c r="AE771" i="1"/>
  <c r="BT486" i="1"/>
  <c r="BR486" i="1"/>
  <c r="BX791" i="1"/>
  <c r="BX846" i="1"/>
  <c r="AR77" i="1"/>
  <c r="K37" i="51" s="1"/>
  <c r="AN77" i="1"/>
  <c r="AV573" i="1"/>
  <c r="BE731" i="1"/>
  <c r="BC731" i="1"/>
  <c r="BA731" i="1"/>
  <c r="BV246" i="1"/>
  <c r="BY246" i="1" s="1"/>
  <c r="BN104" i="1"/>
  <c r="BT104" i="1"/>
  <c r="BP625" i="1"/>
  <c r="BR625" i="1"/>
  <c r="BT625" i="1"/>
  <c r="N18" i="61"/>
  <c r="BX486" i="1"/>
  <c r="BX786" i="1"/>
  <c r="BX947" i="1"/>
  <c r="BX527" i="1"/>
  <c r="BX973" i="1"/>
  <c r="BX226" i="1"/>
  <c r="BX454" i="1"/>
  <c r="BX710" i="1"/>
  <c r="BX758" i="1"/>
  <c r="BX866" i="1"/>
  <c r="BX311" i="1"/>
  <c r="BX171" i="1"/>
  <c r="BX487" i="1"/>
  <c r="BX643" i="1"/>
  <c r="BX662" i="1"/>
  <c r="BX601" i="1"/>
  <c r="BX761" i="1"/>
  <c r="BX593" i="1"/>
  <c r="BX400" i="1"/>
  <c r="BX512" i="1"/>
  <c r="BX172" i="1"/>
  <c r="BX386" i="1"/>
  <c r="BX47" i="1"/>
  <c r="BX307" i="1"/>
  <c r="BX787" i="1"/>
  <c r="D44" i="51"/>
  <c r="C36" i="51"/>
  <c r="C39" i="77"/>
  <c r="B39" i="77"/>
  <c r="C107" i="61"/>
  <c r="C74" i="77"/>
  <c r="C19" i="77"/>
  <c r="BY896" i="1"/>
  <c r="BY226" i="1"/>
  <c r="AI37" i="1"/>
  <c r="F47" i="80"/>
  <c r="F37" i="51"/>
  <c r="M52" i="80"/>
  <c r="BE780" i="1"/>
  <c r="BI780" i="1" s="1"/>
  <c r="BY780" i="1" s="1"/>
  <c r="AG108" i="1"/>
  <c r="AI108" i="1" s="1"/>
  <c r="BY108" i="1" s="1"/>
  <c r="AA57" i="1"/>
  <c r="AN615" i="1"/>
  <c r="AV615" i="1" s="1"/>
  <c r="BY615" i="1" s="1"/>
  <c r="AT256" i="1"/>
  <c r="BP798" i="1"/>
  <c r="BV798" i="1" s="1"/>
  <c r="BT813" i="1"/>
  <c r="BV813" i="1" s="1"/>
  <c r="H36" i="51"/>
  <c r="U49" i="51"/>
  <c r="BG575" i="1"/>
  <c r="BI575" i="1" s="1"/>
  <c r="BA774" i="1"/>
  <c r="BI774" i="1" s="1"/>
  <c r="BT531" i="1"/>
  <c r="AT126" i="1"/>
  <c r="AV126" i="1" s="1"/>
  <c r="BY126" i="1" s="1"/>
  <c r="BG278" i="1"/>
  <c r="BA278" i="1"/>
  <c r="BX99" i="1"/>
  <c r="BE985" i="1"/>
  <c r="BC985" i="1"/>
  <c r="AC415" i="1"/>
  <c r="AA415" i="1"/>
  <c r="AC934" i="1"/>
  <c r="AE934" i="1"/>
  <c r="AG493" i="1"/>
  <c r="AA493" i="1"/>
  <c r="AA948" i="1"/>
  <c r="AG948" i="1"/>
  <c r="AE948" i="1"/>
  <c r="AC948" i="1"/>
  <c r="H44" i="77"/>
  <c r="G44" i="77"/>
  <c r="P4" i="77"/>
  <c r="I4" i="77"/>
  <c r="H15" i="80"/>
  <c r="H54" i="51"/>
  <c r="H15" i="51"/>
  <c r="H64" i="80"/>
  <c r="AI315" i="1"/>
  <c r="V47" i="51"/>
  <c r="AG914" i="1"/>
  <c r="AI914" i="1" s="1"/>
  <c r="BA211" i="1"/>
  <c r="AE249" i="1"/>
  <c r="AG397" i="1"/>
  <c r="AI397" i="1" s="1"/>
  <c r="J4" i="77"/>
  <c r="M39" i="77"/>
  <c r="BX90" i="1"/>
  <c r="BX322" i="1"/>
  <c r="BX402" i="1"/>
  <c r="BX502" i="1"/>
  <c r="BX538" i="1"/>
  <c r="BX638" i="1"/>
  <c r="BX810" i="1"/>
  <c r="BX926" i="1"/>
  <c r="BX942" i="1"/>
  <c r="BX962" i="1"/>
  <c r="BX394" i="1"/>
  <c r="BX686" i="1"/>
  <c r="BX379" i="1"/>
  <c r="BX895" i="1"/>
  <c r="BX978" i="1"/>
  <c r="BX83" i="1"/>
  <c r="BX299" i="1"/>
  <c r="BX539" i="1"/>
  <c r="BX739" i="1"/>
  <c r="BX807" i="1"/>
  <c r="BX219" i="1"/>
  <c r="BX255" i="1"/>
  <c r="BX207" i="1"/>
  <c r="BX815" i="1"/>
  <c r="BX63" i="1"/>
  <c r="BX351" i="1"/>
  <c r="BX423" i="1"/>
  <c r="BX847" i="1"/>
  <c r="BX198" i="1"/>
  <c r="BX617" i="1"/>
  <c r="BX241" i="1"/>
  <c r="BX151" i="1"/>
  <c r="BX933" i="1"/>
  <c r="BX280" i="1"/>
  <c r="BX580" i="1"/>
  <c r="BX688" i="1"/>
  <c r="BX416" i="1"/>
  <c r="BX816" i="1"/>
  <c r="BX804" i="1"/>
  <c r="BX624" i="1"/>
  <c r="BX748" i="1"/>
  <c r="BX852" i="1"/>
  <c r="BX516" i="1"/>
  <c r="BX268" i="1"/>
  <c r="BX140" i="1"/>
  <c r="BX968" i="1"/>
  <c r="BX10" i="1"/>
  <c r="BX294" i="1"/>
  <c r="BX522" i="1"/>
  <c r="BX558" i="1"/>
  <c r="BX694" i="1"/>
  <c r="BX946" i="1"/>
  <c r="BX903" i="1"/>
  <c r="BX491" i="1"/>
  <c r="BI473" i="1"/>
  <c r="AV155" i="1"/>
  <c r="BY155" i="1" s="1"/>
  <c r="AV596" i="1"/>
  <c r="W16" i="61"/>
  <c r="C105" i="80"/>
  <c r="BX842" i="1"/>
  <c r="BX89" i="1"/>
  <c r="BX181" i="1"/>
  <c r="BX46" i="1"/>
  <c r="BX170" i="1"/>
  <c r="BX562" i="1"/>
  <c r="BX994" i="1"/>
  <c r="BX583" i="1"/>
  <c r="BX15" i="1"/>
  <c r="BX367" i="1"/>
  <c r="BX795" i="1"/>
  <c r="BX271" i="1"/>
  <c r="BX463" i="1"/>
  <c r="BX107" i="1"/>
  <c r="BX115" i="1"/>
  <c r="BX861" i="1"/>
  <c r="P37" i="80"/>
  <c r="CC300" i="1"/>
  <c r="R43" i="51"/>
  <c r="W52" i="80"/>
  <c r="AV616" i="1"/>
  <c r="BV107" i="1"/>
  <c r="BV789" i="1"/>
  <c r="BY789" i="1" s="1"/>
  <c r="AV269" i="1"/>
  <c r="AV175" i="1"/>
  <c r="BI321" i="1"/>
  <c r="BI962" i="1"/>
  <c r="AV993" i="1"/>
  <c r="BV451" i="1"/>
  <c r="BV720" i="1"/>
  <c r="BV937" i="1"/>
  <c r="BY937" i="1" s="1"/>
  <c r="BI740" i="1"/>
  <c r="BI367" i="1"/>
  <c r="AV618" i="1"/>
  <c r="BY618" i="1" s="1"/>
  <c r="AV880" i="1"/>
  <c r="AV143" i="1"/>
  <c r="AV807" i="1"/>
  <c r="BY807" i="1" s="1"/>
  <c r="CC23" i="1"/>
  <c r="CC121" i="1"/>
  <c r="BY559" i="1"/>
  <c r="AV623" i="1"/>
  <c r="BI717" i="1"/>
  <c r="AV625" i="1"/>
  <c r="AV872" i="1"/>
  <c r="BY872" i="1" s="1"/>
  <c r="BV553" i="1"/>
  <c r="BI613" i="1"/>
  <c r="BY613" i="1" s="1"/>
  <c r="AV231" i="1"/>
  <c r="BY231" i="1" s="1"/>
  <c r="BI427" i="1"/>
  <c r="BY427" i="1" s="1"/>
  <c r="AV404" i="1"/>
  <c r="BY404" i="1" s="1"/>
  <c r="AV919" i="1"/>
  <c r="AV549" i="1"/>
  <c r="AV877" i="1"/>
  <c r="BY877" i="1" s="1"/>
  <c r="BI720" i="1"/>
  <c r="BV606" i="1"/>
  <c r="BI651" i="1"/>
  <c r="BI946" i="1"/>
  <c r="AV813" i="1"/>
  <c r="BV756" i="1"/>
  <c r="BY756" i="1" s="1"/>
  <c r="BV414" i="1"/>
  <c r="BY414" i="1" s="1"/>
  <c r="AV661" i="1"/>
  <c r="BV960" i="1"/>
  <c r="BY960" i="1" s="1"/>
  <c r="AV291" i="1"/>
  <c r="BY291" i="1" s="1"/>
  <c r="BI239" i="1"/>
  <c r="BV274" i="1"/>
  <c r="BY274" i="1" s="1"/>
  <c r="BV547" i="1"/>
  <c r="BY547" i="1" s="1"/>
  <c r="AV603" i="1"/>
  <c r="BY603" i="1" s="1"/>
  <c r="BV174" i="1"/>
  <c r="BI623" i="1"/>
  <c r="BI158" i="1"/>
  <c r="BY158" i="1" s="1"/>
  <c r="AV945" i="1"/>
  <c r="AV260" i="1"/>
  <c r="BI733" i="1"/>
  <c r="BI778" i="1"/>
  <c r="BY778" i="1" s="1"/>
  <c r="BI235" i="1"/>
  <c r="BY235" i="1" s="1"/>
  <c r="BV888" i="1"/>
  <c r="BY888" i="1" s="1"/>
  <c r="BV628" i="1"/>
  <c r="BI866" i="1"/>
  <c r="BI840" i="1"/>
  <c r="BV971" i="1"/>
  <c r="BV776" i="1"/>
  <c r="BI850" i="1"/>
  <c r="BY850" i="1" s="1"/>
  <c r="BI325" i="1"/>
  <c r="BV209" i="1"/>
  <c r="BY209" i="1" s="1"/>
  <c r="BI838" i="1"/>
  <c r="BY838" i="1" s="1"/>
  <c r="AI336" i="1"/>
  <c r="BY336" i="1" s="1"/>
  <c r="AI949" i="1"/>
  <c r="AI529" i="1"/>
  <c r="BY529" i="1" s="1"/>
  <c r="AI682" i="1"/>
  <c r="BY682" i="1" s="1"/>
  <c r="AV986" i="1"/>
  <c r="BV900" i="1"/>
  <c r="BV658" i="1"/>
  <c r="BY658" i="1" s="1"/>
  <c r="BI276" i="1"/>
  <c r="BV958" i="1"/>
  <c r="AV709" i="1"/>
  <c r="AV492" i="1"/>
  <c r="BI957" i="1"/>
  <c r="BV914" i="1"/>
  <c r="AV627" i="1"/>
  <c r="BV911" i="1"/>
  <c r="AV102" i="1"/>
  <c r="BY102" i="1" s="1"/>
  <c r="W54" i="51"/>
  <c r="G69" i="77"/>
  <c r="BX43" i="1"/>
  <c r="BX319" i="1"/>
  <c r="BX101" i="1"/>
  <c r="BX25" i="1"/>
  <c r="BX168" i="1"/>
  <c r="BX100" i="1"/>
  <c r="BX238" i="1"/>
  <c r="BX137" i="1"/>
  <c r="BX631" i="1"/>
  <c r="P56" i="80"/>
  <c r="AV739" i="1"/>
  <c r="BY739" i="1" s="1"/>
  <c r="BI413" i="1"/>
  <c r="BX214" i="1"/>
  <c r="BX737" i="1"/>
  <c r="BX127" i="1"/>
  <c r="BX57" i="1"/>
  <c r="BX373" i="1"/>
  <c r="BX936" i="1"/>
  <c r="BX840" i="1"/>
  <c r="BX676" i="1"/>
  <c r="BX596" i="1"/>
  <c r="BX723" i="1"/>
  <c r="BX691" i="1"/>
  <c r="BX466" i="1"/>
  <c r="BX295" i="1"/>
  <c r="BX974" i="1"/>
  <c r="BX937" i="1"/>
  <c r="BX835" i="1"/>
  <c r="A37" i="15"/>
  <c r="BX213" i="1"/>
  <c r="BX94" i="1"/>
  <c r="BX150" i="1"/>
  <c r="BX166" i="1"/>
  <c r="BX266" i="1"/>
  <c r="BX326" i="1"/>
  <c r="BX410" i="1"/>
  <c r="BX426" i="1"/>
  <c r="BX658" i="1"/>
  <c r="BX234" i="1"/>
  <c r="BX143" i="1"/>
  <c r="BX523" i="1"/>
  <c r="BX630" i="1"/>
  <c r="BX359" i="1"/>
  <c r="BX543" i="1"/>
  <c r="CC225" i="1"/>
  <c r="CC378" i="1"/>
  <c r="CC124" i="1"/>
  <c r="CC323" i="1"/>
  <c r="CC363" i="1"/>
  <c r="L48" i="51"/>
  <c r="L58" i="80"/>
  <c r="L17" i="61"/>
  <c r="L56" i="51"/>
  <c r="L38" i="51"/>
  <c r="AV23" i="1"/>
  <c r="BY23" i="1" s="1"/>
  <c r="P37" i="51"/>
  <c r="BI15" i="1"/>
  <c r="P57" i="51"/>
  <c r="P67" i="80"/>
  <c r="P47" i="80"/>
  <c r="CC321" i="1"/>
  <c r="BI54" i="1"/>
  <c r="O69" i="80"/>
  <c r="CC395" i="1"/>
  <c r="CC298" i="1"/>
  <c r="CC232" i="1"/>
  <c r="CC269" i="1"/>
  <c r="F18" i="61"/>
  <c r="BV968" i="1"/>
  <c r="AN90" i="1"/>
  <c r="AV90" i="1" s="1"/>
  <c r="BY90" i="1" s="1"/>
  <c r="BC224" i="1"/>
  <c r="BI224" i="1" s="1"/>
  <c r="BY224" i="1" s="1"/>
  <c r="BI922" i="1"/>
  <c r="BY922" i="1" s="1"/>
  <c r="BI408" i="1"/>
  <c r="AV441" i="1"/>
  <c r="BY441" i="1" s="1"/>
  <c r="AI678" i="1"/>
  <c r="BY678" i="1" s="1"/>
  <c r="BI208" i="1"/>
  <c r="BY208" i="1" s="1"/>
  <c r="BI737" i="1"/>
  <c r="BV584" i="1"/>
  <c r="BY584" i="1" s="1"/>
  <c r="AV467" i="1"/>
  <c r="BY467" i="1" s="1"/>
  <c r="AV252" i="1"/>
  <c r="BY252" i="1" s="1"/>
  <c r="AV305" i="1"/>
  <c r="AV942" i="1"/>
  <c r="BY942" i="1" s="1"/>
  <c r="BV348" i="1"/>
  <c r="AV304" i="1"/>
  <c r="BY304" i="1" s="1"/>
  <c r="BI874" i="1"/>
  <c r="AV69" i="1"/>
  <c r="BI831" i="1"/>
  <c r="BY831" i="1" s="1"/>
  <c r="BI906" i="1"/>
  <c r="BI319" i="1"/>
  <c r="BY319" i="1" s="1"/>
  <c r="K48" i="51"/>
  <c r="N49" i="80"/>
  <c r="BA525" i="1"/>
  <c r="BI525" i="1" s="1"/>
  <c r="BT590" i="1"/>
  <c r="BV590" i="1" s="1"/>
  <c r="BY590" i="1" s="1"/>
  <c r="AN472" i="1"/>
  <c r="AV472" i="1" s="1"/>
  <c r="AA200" i="1"/>
  <c r="AE200" i="1"/>
  <c r="AN197" i="1"/>
  <c r="AT197" i="1"/>
  <c r="AT458" i="1"/>
  <c r="AN458" i="1"/>
  <c r="AP458" i="1"/>
  <c r="BN508" i="1"/>
  <c r="BT508" i="1"/>
  <c r="AP743" i="1"/>
  <c r="AR743" i="1"/>
  <c r="BP308" i="1"/>
  <c r="BR308" i="1"/>
  <c r="AA442" i="1"/>
  <c r="AC442" i="1"/>
  <c r="AE631" i="1"/>
  <c r="AG631" i="1"/>
  <c r="C11" i="60"/>
  <c r="BX1005" i="1"/>
  <c r="BX882" i="1"/>
  <c r="BX898" i="1"/>
  <c r="BX215" i="1"/>
  <c r="AN729" i="1"/>
  <c r="AT729" i="1"/>
  <c r="AP476" i="1"/>
  <c r="AT476" i="1"/>
  <c r="AA67" i="1"/>
  <c r="AC67" i="1"/>
  <c r="BG311" i="1"/>
  <c r="BE311" i="1"/>
  <c r="BA311" i="1"/>
  <c r="AE627" i="1"/>
  <c r="AG627" i="1"/>
  <c r="BG207" i="1"/>
  <c r="BC207" i="1"/>
  <c r="BX547" i="1"/>
  <c r="BX721" i="1"/>
  <c r="BX96" i="1"/>
  <c r="BX347" i="1"/>
  <c r="BX699" i="1"/>
  <c r="BX152" i="1"/>
  <c r="BX432" i="1"/>
  <c r="BX76" i="1"/>
  <c r="BX204" i="1"/>
  <c r="BX284" i="1"/>
  <c r="BX656" i="1"/>
  <c r="BX611" i="1"/>
  <c r="BX455" i="1"/>
  <c r="BX86" i="1"/>
  <c r="BX958" i="1"/>
  <c r="R46" i="80"/>
  <c r="R54" i="51"/>
  <c r="R36" i="51"/>
  <c r="BX165" i="1"/>
  <c r="BX349" i="1"/>
  <c r="BX369" i="1"/>
  <c r="BX405" i="1"/>
  <c r="BX78" i="1"/>
  <c r="BX310" i="1"/>
  <c r="BX622" i="1"/>
  <c r="BX814" i="1"/>
  <c r="BX830" i="1"/>
  <c r="BX507" i="1"/>
  <c r="BX867" i="1"/>
  <c r="BX459" i="1"/>
  <c r="BX651" i="1"/>
  <c r="BX443" i="1"/>
  <c r="BX111" i="1"/>
  <c r="BX703" i="1"/>
  <c r="BX963" i="1"/>
  <c r="BX984" i="1"/>
  <c r="BX856" i="1"/>
  <c r="BX468" i="1"/>
  <c r="BX192" i="1"/>
  <c r="BX943" i="1"/>
  <c r="BX718" i="1"/>
  <c r="BX702" i="1"/>
  <c r="BX659" i="1"/>
  <c r="BX75" i="1"/>
  <c r="BX6" i="1"/>
  <c r="BX995" i="1"/>
  <c r="BX915" i="1"/>
  <c r="BX657" i="1"/>
  <c r="BV700" i="1"/>
  <c r="BX194" i="1"/>
  <c r="BX675" i="1"/>
  <c r="BX879" i="1"/>
  <c r="BX363" i="1"/>
  <c r="BX415" i="1"/>
  <c r="BX475" i="1"/>
  <c r="BX58" i="1"/>
  <c r="BX826" i="1"/>
  <c r="BX930" i="1"/>
  <c r="BX123" i="1"/>
  <c r="BX251" i="1"/>
  <c r="BX283" i="1"/>
  <c r="BX315" i="1"/>
  <c r="BX431" i="1"/>
  <c r="BX495" i="1"/>
  <c r="BX563" i="1"/>
  <c r="BX715" i="1"/>
  <c r="BX755" i="1"/>
  <c r="BX235" i="1"/>
  <c r="BX343" i="1"/>
  <c r="BX395" i="1"/>
  <c r="BX503" i="1"/>
  <c r="BX707" i="1"/>
  <c r="BX883" i="1"/>
  <c r="BX931" i="1"/>
  <c r="BX839" i="1"/>
  <c r="BX587" i="1"/>
  <c r="BX722" i="1"/>
  <c r="BX38" i="1"/>
  <c r="BX182" i="1"/>
  <c r="BX834" i="1"/>
  <c r="BX953" i="1"/>
  <c r="BX139" i="1"/>
  <c r="BX727" i="1"/>
  <c r="BX983" i="1"/>
  <c r="G40" i="80"/>
  <c r="BI897" i="1"/>
  <c r="BY897" i="1" s="1"/>
  <c r="BV431" i="1"/>
  <c r="N4" i="77"/>
  <c r="BX906" i="1"/>
  <c r="BX154" i="1"/>
  <c r="BX246" i="1"/>
  <c r="BX330" i="1"/>
  <c r="BX11" i="1"/>
  <c r="BX203" i="1"/>
  <c r="BX851" i="1"/>
  <c r="BX887" i="1"/>
  <c r="BX919" i="1"/>
  <c r="BX417" i="1"/>
  <c r="BX433" i="1"/>
  <c r="BX497" i="1"/>
  <c r="BX697" i="1"/>
  <c r="BX713" i="1"/>
  <c r="BX753" i="1"/>
  <c r="BX801" i="1"/>
  <c r="BX993" i="1"/>
  <c r="BX378" i="1"/>
  <c r="BX998" i="1"/>
  <c r="BX916" i="1"/>
  <c r="BX836" i="1"/>
  <c r="BX800" i="1"/>
  <c r="BX668" i="1"/>
  <c r="BX508" i="1"/>
  <c r="BX264" i="1"/>
  <c r="BX673" i="1"/>
  <c r="I46" i="51"/>
  <c r="CC6" i="1"/>
  <c r="CC59" i="1"/>
  <c r="CC334" i="1"/>
  <c r="CC306" i="1"/>
  <c r="CC164" i="1"/>
  <c r="CC147" i="1"/>
  <c r="CC127" i="1"/>
  <c r="CC199" i="1"/>
  <c r="CC27" i="1"/>
  <c r="BY803" i="1"/>
  <c r="CC102" i="1"/>
  <c r="CC340" i="1"/>
  <c r="CC307" i="1"/>
  <c r="CC238" i="1"/>
  <c r="CC299" i="1"/>
  <c r="CC15" i="1"/>
  <c r="CC410" i="1"/>
  <c r="CC496" i="1"/>
  <c r="Q53" i="80"/>
  <c r="Q43" i="51"/>
  <c r="CC495" i="1"/>
  <c r="CC309" i="1"/>
  <c r="J50" i="80"/>
  <c r="AP501" i="1"/>
  <c r="AV501" i="1" s="1"/>
  <c r="AE673" i="1"/>
  <c r="AA673" i="1"/>
  <c r="BE249" i="1"/>
  <c r="BC249" i="1"/>
  <c r="BA992" i="1"/>
  <c r="BE992" i="1"/>
  <c r="AN744" i="1"/>
  <c r="AP744" i="1"/>
  <c r="BX986" i="1"/>
  <c r="BX223" i="1"/>
  <c r="BX871" i="1"/>
  <c r="A32" i="15"/>
  <c r="A40" i="15"/>
  <c r="A38" i="15"/>
  <c r="A41" i="15"/>
  <c r="A36" i="15"/>
  <c r="A34" i="15"/>
  <c r="A33" i="15"/>
  <c r="A35" i="15"/>
  <c r="D24" i="77"/>
  <c r="J24" i="77"/>
  <c r="O24" i="77"/>
  <c r="M24" i="77"/>
  <c r="BX442" i="1"/>
  <c r="BX81" i="1"/>
  <c r="BX921" i="1"/>
  <c r="BY745" i="1"/>
  <c r="I47" i="51"/>
  <c r="N39" i="51"/>
  <c r="BX823" i="1"/>
  <c r="BX95" i="1"/>
  <c r="BX331" i="1"/>
  <c r="BX951" i="1"/>
  <c r="BX742" i="1"/>
  <c r="BX579" i="1"/>
  <c r="BY847" i="1"/>
  <c r="L51" i="80"/>
  <c r="BV822" i="1"/>
  <c r="BV788" i="1"/>
  <c r="BV558" i="1"/>
  <c r="BV314" i="1"/>
  <c r="AE328" i="1"/>
  <c r="AA328" i="1"/>
  <c r="AC328" i="1"/>
  <c r="BA1003" i="1"/>
  <c r="BC1003" i="1"/>
  <c r="BP758" i="1"/>
  <c r="BN758" i="1"/>
  <c r="BT758" i="1"/>
  <c r="BX91" i="1"/>
  <c r="BX303" i="1"/>
  <c r="BX681" i="1"/>
  <c r="Q59" i="77"/>
  <c r="G59" i="77"/>
  <c r="L19" i="77"/>
  <c r="P19" i="77"/>
  <c r="BX161" i="1"/>
  <c r="BX14" i="1"/>
  <c r="BX30" i="1"/>
  <c r="BX362" i="1"/>
  <c r="BX910" i="1"/>
  <c r="BX35" i="1"/>
  <c r="BX239" i="1"/>
  <c r="BX427" i="1"/>
  <c r="BX911" i="1"/>
  <c r="BX31" i="1"/>
  <c r="BX603" i="1"/>
  <c r="BX549" i="1"/>
  <c r="BX561" i="1"/>
  <c r="BX745" i="1"/>
  <c r="BX389" i="1"/>
  <c r="BX896" i="1"/>
  <c r="BX588" i="1"/>
  <c r="BX996" i="1"/>
  <c r="BX464" i="1"/>
  <c r="BX336" i="1"/>
  <c r="BX476" i="1"/>
  <c r="BX216" i="1"/>
  <c r="BX824" i="1"/>
  <c r="BX756" i="1"/>
  <c r="BX612" i="1"/>
  <c r="BX500" i="1"/>
  <c r="BX320" i="1"/>
  <c r="BX27" i="1"/>
  <c r="BX1001" i="1"/>
  <c r="BX529" i="1"/>
  <c r="AA627" i="1"/>
  <c r="AG645" i="1"/>
  <c r="AI645" i="1" s="1"/>
  <c r="BY645" i="1" s="1"/>
  <c r="AG484" i="1"/>
  <c r="AI484" i="1" s="1"/>
  <c r="BY484" i="1" s="1"/>
  <c r="BV1003" i="1"/>
  <c r="T74" i="77"/>
  <c r="G39" i="77"/>
  <c r="R19" i="77"/>
  <c r="R64" i="80"/>
  <c r="BX129" i="1"/>
  <c r="BX21" i="1"/>
  <c r="BX277" i="1"/>
  <c r="BX118" i="1"/>
  <c r="BX134" i="1"/>
  <c r="BX298" i="1"/>
  <c r="BX314" i="1"/>
  <c r="BX582" i="1"/>
  <c r="BX646" i="1"/>
  <c r="BX818" i="1"/>
  <c r="BX862" i="1"/>
  <c r="BX990" i="1"/>
  <c r="BX59" i="1"/>
  <c r="BX781" i="1"/>
  <c r="BX829" i="1"/>
  <c r="BX406" i="1"/>
  <c r="BX595" i="1"/>
  <c r="BX531" i="1"/>
  <c r="BX627" i="1"/>
  <c r="BX880" i="1"/>
  <c r="BX796" i="1"/>
  <c r="BX540" i="1"/>
  <c r="BX444" i="1"/>
  <c r="BX941" i="1"/>
  <c r="BX731" i="1"/>
  <c r="BX641" i="1"/>
  <c r="BX571" i="1"/>
  <c r="BX287" i="1"/>
  <c r="BX138" i="1"/>
  <c r="BX41" i="1"/>
  <c r="E60" i="80"/>
  <c r="N35" i="80"/>
  <c r="BX54" i="1"/>
  <c r="BX189" i="1"/>
  <c r="BX26" i="1"/>
  <c r="BX70" i="1"/>
  <c r="BX122" i="1"/>
  <c r="BX278" i="1"/>
  <c r="BX374" i="1"/>
  <c r="BX470" i="1"/>
  <c r="BX550" i="1"/>
  <c r="BX566" i="1"/>
  <c r="BX614" i="1"/>
  <c r="BX874" i="1"/>
  <c r="BX67" i="1"/>
  <c r="BX135" i="1"/>
  <c r="BX411" i="1"/>
  <c r="BX783" i="1"/>
  <c r="BX19" i="1"/>
  <c r="BX191" i="1"/>
  <c r="BX267" i="1"/>
  <c r="BX155" i="1"/>
  <c r="BX635" i="1"/>
  <c r="BX513" i="1"/>
  <c r="BX545" i="1"/>
  <c r="BX609" i="1"/>
  <c r="BX625" i="1"/>
  <c r="BX689" i="1"/>
  <c r="BX857" i="1"/>
  <c r="BX873" i="1"/>
  <c r="BX889" i="1"/>
  <c r="BX909" i="1"/>
  <c r="BX925" i="1"/>
  <c r="BX989" i="1"/>
  <c r="BX479" i="1"/>
  <c r="N54" i="80"/>
  <c r="O44" i="51"/>
  <c r="CC88" i="1"/>
  <c r="CC84" i="1"/>
  <c r="CC74" i="1"/>
  <c r="CC160" i="1"/>
  <c r="CC490" i="1"/>
  <c r="CC54" i="1"/>
  <c r="CC44" i="1"/>
  <c r="CC343" i="1"/>
  <c r="CC412" i="1"/>
  <c r="CC25" i="1"/>
  <c r="CC148" i="1"/>
  <c r="CC45" i="1"/>
  <c r="CC154" i="1"/>
  <c r="CC304" i="1"/>
  <c r="CC230" i="1"/>
  <c r="CC364" i="1"/>
  <c r="CC143" i="1"/>
  <c r="CC342" i="1"/>
  <c r="CC95" i="1"/>
  <c r="CC97" i="1"/>
  <c r="CC132" i="1"/>
  <c r="CC320" i="1"/>
  <c r="CC362" i="1"/>
  <c r="CC381" i="1"/>
  <c r="CC155" i="1"/>
  <c r="CC301" i="1"/>
  <c r="CC302" i="1"/>
  <c r="CC208" i="1"/>
  <c r="CC92" i="1"/>
  <c r="CC65" i="1"/>
  <c r="CC210" i="1"/>
  <c r="CC181" i="1"/>
  <c r="T18" i="61"/>
  <c r="T66" i="80"/>
  <c r="T56" i="51"/>
  <c r="BV42" i="1"/>
  <c r="T38" i="51"/>
  <c r="CC215" i="1"/>
  <c r="CC46" i="1"/>
  <c r="CC81" i="1"/>
  <c r="CC379" i="1"/>
  <c r="CC190" i="1"/>
  <c r="CC114" i="1"/>
  <c r="CC57" i="1"/>
  <c r="CC93" i="1"/>
  <c r="CC104" i="1"/>
  <c r="CC78" i="1"/>
  <c r="CC492" i="1"/>
  <c r="CC328" i="1"/>
  <c r="CC31" i="1"/>
  <c r="CC467" i="1"/>
  <c r="CC330" i="1"/>
  <c r="CC478" i="1"/>
  <c r="CC425" i="1"/>
  <c r="CC151" i="1"/>
  <c r="CC183" i="1"/>
  <c r="CC38" i="1"/>
  <c r="CC454" i="1"/>
  <c r="CC376" i="1"/>
  <c r="CC384" i="1"/>
  <c r="CC498" i="1"/>
  <c r="CC405" i="1"/>
  <c r="CC136" i="1"/>
  <c r="CC452" i="1"/>
  <c r="CC315" i="1"/>
  <c r="CC141" i="1"/>
  <c r="CC339" i="1"/>
  <c r="CC271" i="1"/>
  <c r="CC286" i="1"/>
  <c r="CC436" i="1"/>
  <c r="CC203" i="1"/>
  <c r="CC317" i="1"/>
  <c r="CC461" i="1"/>
  <c r="CC476" i="1"/>
  <c r="CC242" i="1"/>
  <c r="CC474" i="1"/>
  <c r="CC53" i="1"/>
  <c r="CC226" i="1"/>
  <c r="CC432" i="1"/>
  <c r="CC169" i="1"/>
  <c r="CC134" i="1"/>
  <c r="CC152" i="1"/>
  <c r="CC289" i="1"/>
  <c r="CC418" i="1"/>
  <c r="CC146" i="1"/>
  <c r="CC107" i="1"/>
  <c r="CC398" i="1"/>
  <c r="CC119" i="1"/>
  <c r="CC40" i="1"/>
  <c r="CC116" i="1"/>
  <c r="W50" i="80"/>
  <c r="CC374" i="1"/>
  <c r="CC202" i="1"/>
  <c r="CC113" i="1"/>
  <c r="CC415" i="1"/>
  <c r="CC407" i="1"/>
  <c r="CC80" i="1"/>
  <c r="CC223" i="1"/>
  <c r="CC287" i="1"/>
  <c r="CC18" i="1"/>
  <c r="CC409" i="1"/>
  <c r="CC372" i="1"/>
  <c r="CC352" i="1"/>
  <c r="CC56" i="1"/>
  <c r="CC392" i="1"/>
  <c r="CC439" i="1"/>
  <c r="BY14" i="1"/>
  <c r="BI508" i="1"/>
  <c r="BV384" i="1"/>
  <c r="BI813" i="1"/>
  <c r="BV691" i="1"/>
  <c r="BI958" i="1"/>
  <c r="BV941" i="1"/>
  <c r="BV743" i="1"/>
  <c r="BV899" i="1"/>
  <c r="BV493" i="1"/>
  <c r="BX490" i="1"/>
  <c r="BX598" i="1"/>
  <c r="BX79" i="1"/>
  <c r="BX335" i="1"/>
  <c r="BX180" i="1"/>
  <c r="BX720" i="1"/>
  <c r="BX20" i="1"/>
  <c r="BX272" i="1"/>
  <c r="BX636" i="1"/>
  <c r="BX812" i="1"/>
  <c r="BX288" i="1"/>
  <c r="BX724" i="1"/>
  <c r="BX200" i="1"/>
  <c r="BX136" i="1"/>
  <c r="BX788" i="1"/>
  <c r="BX72" i="1"/>
  <c r="BX160" i="1"/>
  <c r="BX8" i="1"/>
  <c r="BX864" i="1"/>
  <c r="BX644" i="1"/>
  <c r="BX752" i="1"/>
  <c r="BX252" i="1"/>
  <c r="BX316" i="1"/>
  <c r="BX84" i="1"/>
  <c r="BX740" i="1"/>
  <c r="BX608" i="1"/>
  <c r="BX556" i="1"/>
  <c r="BX528" i="1"/>
  <c r="BX708" i="1"/>
  <c r="BX60" i="1"/>
  <c r="BX764" i="1"/>
  <c r="BX592" i="1"/>
  <c r="BX780" i="1"/>
  <c r="BX572" i="1"/>
  <c r="BX248" i="1"/>
  <c r="BX576" i="1"/>
  <c r="BX176" i="1"/>
  <c r="BX732" i="1"/>
  <c r="BX460" i="1"/>
  <c r="BX224" i="1"/>
  <c r="BX104" i="1"/>
  <c r="BX256" i="1"/>
  <c r="BX68" i="1"/>
  <c r="BX952" i="1"/>
  <c r="BX904" i="1"/>
  <c r="BX964" i="1"/>
  <c r="BX640" i="1"/>
  <c r="BX304" i="1"/>
  <c r="BX132" i="1"/>
  <c r="BX872" i="1"/>
  <c r="BX120" i="1"/>
  <c r="BX992" i="1"/>
  <c r="BX524" i="1"/>
  <c r="BX560" i="1"/>
  <c r="BX548" i="1"/>
  <c r="BX412" i="1"/>
  <c r="BX436" i="1"/>
  <c r="BX976" i="1"/>
  <c r="BX368" i="1"/>
  <c r="BX944" i="1"/>
  <c r="BX920" i="1"/>
  <c r="BX960" i="1"/>
  <c r="BX980" i="1"/>
  <c r="BX532" i="1"/>
  <c r="BX384" i="1"/>
  <c r="BX892" i="1"/>
  <c r="BX876" i="1"/>
  <c r="BX808" i="1"/>
  <c r="BX776" i="1"/>
  <c r="BX744" i="1"/>
  <c r="BX680" i="1"/>
  <c r="BX664" i="1"/>
  <c r="BX632" i="1"/>
  <c r="BX568" i="1"/>
  <c r="BX520" i="1"/>
  <c r="BX424" i="1"/>
  <c r="BX392" i="1"/>
  <c r="BX356" i="1"/>
  <c r="BX292" i="1"/>
  <c r="BX276" i="1"/>
  <c r="BX164" i="1"/>
  <c r="BX144" i="1"/>
  <c r="BX128" i="1"/>
  <c r="BX48" i="1"/>
  <c r="BX32" i="1"/>
  <c r="BX1003" i="1"/>
  <c r="BX987" i="1"/>
  <c r="BX977" i="1"/>
  <c r="BX971" i="1"/>
  <c r="BX961" i="1"/>
  <c r="BX955" i="1"/>
  <c r="BX939" i="1"/>
  <c r="BX934" i="1"/>
  <c r="BX929" i="1"/>
  <c r="BX918" i="1"/>
  <c r="BX907" i="1"/>
  <c r="BX902" i="1"/>
  <c r="BX891" i="1"/>
  <c r="BX886" i="1"/>
  <c r="BX875" i="1"/>
  <c r="BX870" i="1"/>
  <c r="BX865" i="1"/>
  <c r="BX859" i="1"/>
  <c r="BX854" i="1"/>
  <c r="BX843" i="1"/>
  <c r="BX838" i="1"/>
  <c r="BX833" i="1"/>
  <c r="BX827" i="1"/>
  <c r="BX822" i="1"/>
  <c r="BX811" i="1"/>
  <c r="BX799" i="1"/>
  <c r="BX794" i="1"/>
  <c r="BX789" i="1"/>
  <c r="BX778" i="1"/>
  <c r="BX767" i="1"/>
  <c r="BX762" i="1"/>
  <c r="BX757" i="1"/>
  <c r="BX751" i="1"/>
  <c r="BX746" i="1"/>
  <c r="BX741" i="1"/>
  <c r="BX735" i="1"/>
  <c r="BX730" i="1"/>
  <c r="BX719" i="1"/>
  <c r="BX714" i="1"/>
  <c r="BX709" i="1"/>
  <c r="BX698" i="1"/>
  <c r="BX693" i="1"/>
  <c r="BX682" i="1"/>
  <c r="BX677" i="1"/>
  <c r="BX671" i="1"/>
  <c r="BX666" i="1"/>
  <c r="BX661" i="1"/>
  <c r="BX655" i="1"/>
  <c r="BX639" i="1"/>
  <c r="BX634" i="1"/>
  <c r="BX629" i="1"/>
  <c r="BX623" i="1"/>
  <c r="BX618" i="1"/>
  <c r="BX607" i="1"/>
  <c r="BX591" i="1"/>
  <c r="BX586" i="1"/>
  <c r="BX575" i="1"/>
  <c r="BX570" i="1"/>
  <c r="BX554" i="1"/>
  <c r="BX37" i="1"/>
  <c r="BX501" i="1"/>
  <c r="BX108" i="1"/>
  <c r="M36" i="51"/>
  <c r="X15" i="51"/>
  <c r="BX774" i="1"/>
  <c r="BX177" i="1"/>
  <c r="BX678" i="1"/>
  <c r="BX914" i="1"/>
  <c r="BX51" i="1"/>
  <c r="BX511" i="1"/>
  <c r="BX935" i="1"/>
  <c r="BX399" i="1"/>
  <c r="BX534" i="1"/>
  <c r="BX899" i="1"/>
  <c r="BX660" i="1"/>
  <c r="BX348" i="1"/>
  <c r="BX1000" i="1"/>
  <c r="BX521" i="1"/>
  <c r="BX515" i="1"/>
  <c r="BX510" i="1"/>
  <c r="BX505" i="1"/>
  <c r="BX499" i="1"/>
  <c r="BX494" i="1"/>
  <c r="BX483" i="1"/>
  <c r="BX478" i="1"/>
  <c r="BX467" i="1"/>
  <c r="BX457" i="1"/>
  <c r="BX451" i="1"/>
  <c r="BX446" i="1"/>
  <c r="BX441" i="1"/>
  <c r="BX435" i="1"/>
  <c r="BX425" i="1"/>
  <c r="BX419" i="1"/>
  <c r="BX414" i="1"/>
  <c r="BX387" i="1"/>
  <c r="BX382" i="1"/>
  <c r="BX377" i="1"/>
  <c r="BX371" i="1"/>
  <c r="BX361" i="1"/>
  <c r="BX350" i="1"/>
  <c r="BX345" i="1"/>
  <c r="BX339" i="1"/>
  <c r="BX334" i="1"/>
  <c r="BX323" i="1"/>
  <c r="BX313" i="1"/>
  <c r="BX297" i="1"/>
  <c r="BX291" i="1"/>
  <c r="BX281" i="1"/>
  <c r="BX275" i="1"/>
  <c r="BX270" i="1"/>
  <c r="BX259" i="1"/>
  <c r="BX254" i="1"/>
  <c r="BX249" i="1"/>
  <c r="BX243" i="1"/>
  <c r="BX227" i="1"/>
  <c r="BX222" i="1"/>
  <c r="BX211" i="1"/>
  <c r="BX206" i="1"/>
  <c r="BX195" i="1"/>
  <c r="BX185" i="1"/>
  <c r="BX179" i="1"/>
  <c r="BX174" i="1"/>
  <c r="BX169" i="1"/>
  <c r="BX163" i="1"/>
  <c r="BX158" i="1"/>
  <c r="BX153" i="1"/>
  <c r="BX147" i="1"/>
  <c r="BX142" i="1"/>
  <c r="BX131" i="1"/>
  <c r="BX119" i="1"/>
  <c r="BX114" i="1"/>
  <c r="BX109" i="1"/>
  <c r="BX103" i="1"/>
  <c r="BX98" i="1"/>
  <c r="BX82" i="1"/>
  <c r="BX77" i="1"/>
  <c r="BX71" i="1"/>
  <c r="BX66" i="1"/>
  <c r="BX61" i="1"/>
  <c r="BX55" i="1"/>
  <c r="BX50" i="1"/>
  <c r="BX45" i="1"/>
  <c r="BX39" i="1"/>
  <c r="BX34" i="1"/>
  <c r="BX29" i="1"/>
  <c r="BX23" i="1"/>
  <c r="BX18" i="1"/>
  <c r="BX7" i="1"/>
  <c r="BX1002" i="1"/>
  <c r="BX997" i="1"/>
  <c r="BX991" i="1"/>
  <c r="BX975" i="1"/>
  <c r="BX970" i="1"/>
  <c r="BX965" i="1"/>
  <c r="BX959" i="1"/>
  <c r="BX954" i="1"/>
  <c r="BX938" i="1"/>
  <c r="BX927" i="1"/>
  <c r="BX917" i="1"/>
  <c r="BX901" i="1"/>
  <c r="BX869" i="1"/>
  <c r="BX863" i="1"/>
  <c r="K35" i="80"/>
  <c r="U42" i="80"/>
  <c r="O42" i="80"/>
  <c r="H42" i="80"/>
  <c r="L34" i="80"/>
  <c r="P60" i="80"/>
  <c r="S56" i="80"/>
  <c r="H40" i="80"/>
  <c r="P41" i="80"/>
  <c r="D39" i="80"/>
  <c r="BX831" i="1"/>
  <c r="BX825" i="1"/>
  <c r="BX819" i="1"/>
  <c r="BX809" i="1"/>
  <c r="BX803" i="1"/>
  <c r="BX793" i="1"/>
  <c r="BX782" i="1"/>
  <c r="BX777" i="1"/>
  <c r="BX771" i="1"/>
  <c r="BX759" i="1"/>
  <c r="BX749" i="1"/>
  <c r="BX743" i="1"/>
  <c r="BX738" i="1"/>
  <c r="BX711" i="1"/>
  <c r="BX706" i="1"/>
  <c r="BX695" i="1"/>
  <c r="BX690" i="1"/>
  <c r="BX679" i="1"/>
  <c r="BX674" i="1"/>
  <c r="BX663" i="1"/>
  <c r="BX642" i="1"/>
  <c r="BX637" i="1"/>
  <c r="BX626" i="1"/>
  <c r="BX615" i="1"/>
  <c r="BX610" i="1"/>
  <c r="BX599" i="1"/>
  <c r="BX589" i="1"/>
  <c r="BX578" i="1"/>
  <c r="BX573" i="1"/>
  <c r="BX567" i="1"/>
  <c r="BX551" i="1"/>
  <c r="BX546" i="1"/>
  <c r="BX535" i="1"/>
  <c r="BX530" i="1"/>
  <c r="BX519" i="1"/>
  <c r="BX514" i="1"/>
  <c r="BX509" i="1"/>
  <c r="BX493" i="1"/>
  <c r="BX482" i="1"/>
  <c r="BX477" i="1"/>
  <c r="BX471" i="1"/>
  <c r="BX450" i="1"/>
  <c r="BX439" i="1"/>
  <c r="BX429" i="1"/>
  <c r="BX418" i="1"/>
  <c r="BX413" i="1"/>
  <c r="BX407" i="1"/>
  <c r="BX391" i="1"/>
  <c r="BX381" i="1"/>
  <c r="BX375" i="1"/>
  <c r="BX370" i="1"/>
  <c r="BX354" i="1"/>
  <c r="BX338" i="1"/>
  <c r="BX327" i="1"/>
  <c r="BX317" i="1"/>
  <c r="BX306" i="1"/>
  <c r="BX301" i="1"/>
  <c r="BX290" i="1"/>
  <c r="BX279" i="1"/>
  <c r="BX274" i="1"/>
  <c r="BX263" i="1"/>
  <c r="BX258" i="1"/>
  <c r="BX253" i="1"/>
  <c r="BX247" i="1"/>
  <c r="BX242" i="1"/>
  <c r="BX237" i="1"/>
  <c r="BX221" i="1"/>
  <c r="BX210" i="1"/>
  <c r="BX205" i="1"/>
  <c r="BX199" i="1"/>
  <c r="BX183" i="1"/>
  <c r="BX173" i="1"/>
  <c r="BX167" i="1"/>
  <c r="BX162" i="1"/>
  <c r="BX157" i="1"/>
  <c r="BX141" i="1"/>
  <c r="BX465" i="1"/>
  <c r="BX337" i="1"/>
  <c r="BX282" i="1"/>
  <c r="BX149" i="1"/>
  <c r="BX133" i="1"/>
  <c r="D40" i="80"/>
  <c r="E37" i="80"/>
  <c r="U35" i="80"/>
  <c r="CC327" i="1"/>
  <c r="CC349" i="1"/>
  <c r="CC427" i="1"/>
  <c r="CC383" i="1"/>
  <c r="CC9" i="1"/>
  <c r="CC194" i="1"/>
  <c r="CC207" i="1"/>
  <c r="CC358" i="1"/>
  <c r="CC184" i="1"/>
  <c r="CC355" i="1"/>
  <c r="CC28" i="1"/>
  <c r="CC35" i="1"/>
  <c r="CC437" i="1"/>
  <c r="CC16" i="1"/>
  <c r="CC243" i="1"/>
  <c r="CC396" i="1"/>
  <c r="CC19" i="1"/>
  <c r="CC482" i="1"/>
  <c r="CC158" i="1"/>
  <c r="CC361" i="1"/>
  <c r="CC33" i="1"/>
  <c r="CC234" i="1"/>
  <c r="CC37" i="1"/>
  <c r="CC417" i="1"/>
  <c r="CC411" i="1"/>
  <c r="CC66" i="1"/>
  <c r="CC275" i="1"/>
  <c r="CC497" i="1"/>
  <c r="CC244" i="1"/>
  <c r="CC345" i="1"/>
  <c r="CC268" i="1"/>
  <c r="CC76" i="1"/>
  <c r="CC414" i="1"/>
  <c r="CC400" i="1"/>
  <c r="CC263" i="1"/>
  <c r="CC272" i="1"/>
  <c r="CC236" i="1"/>
  <c r="CC466" i="1"/>
  <c r="CC193" i="1"/>
  <c r="CC8" i="1"/>
  <c r="CC241" i="1"/>
  <c r="CC186" i="1"/>
  <c r="CC465" i="1"/>
  <c r="CC394" i="1"/>
  <c r="CC55" i="1"/>
  <c r="CC17" i="1"/>
  <c r="CC292" i="1"/>
  <c r="CC235" i="1"/>
  <c r="CC448" i="1"/>
  <c r="CC157" i="1"/>
  <c r="CC260" i="1"/>
  <c r="CC64" i="1"/>
  <c r="CC118" i="1"/>
  <c r="CC94" i="1"/>
  <c r="CC47" i="1"/>
  <c r="CC145" i="1"/>
  <c r="CC377" i="1"/>
  <c r="CC294" i="1"/>
  <c r="CC108" i="1"/>
  <c r="CC125" i="1"/>
  <c r="CC435" i="1"/>
  <c r="CC228" i="1"/>
  <c r="CC449" i="1"/>
  <c r="CC453" i="1"/>
  <c r="CC313" i="1"/>
  <c r="CC71" i="1"/>
  <c r="CC168" i="1"/>
  <c r="CC338" i="1"/>
  <c r="CC91" i="1"/>
  <c r="CC120" i="1"/>
  <c r="CC205" i="1"/>
  <c r="CC333" i="1"/>
  <c r="CC468" i="1"/>
  <c r="CC422" i="1"/>
  <c r="CC447" i="1"/>
  <c r="CC39" i="1"/>
  <c r="CC252" i="1"/>
  <c r="CC173" i="1"/>
  <c r="CC101" i="1"/>
  <c r="CC297" i="1"/>
  <c r="CC219" i="1"/>
  <c r="CC421" i="1"/>
  <c r="CC314" i="1"/>
  <c r="CC222" i="1"/>
  <c r="CC430" i="1"/>
  <c r="CC170" i="1"/>
  <c r="CC258" i="1"/>
  <c r="CC144" i="1"/>
  <c r="CC7" i="1"/>
  <c r="CC457" i="1"/>
  <c r="CC413" i="1"/>
  <c r="CC239" i="1"/>
  <c r="CC237" i="1"/>
  <c r="CC43" i="1"/>
  <c r="CC185" i="1"/>
  <c r="CC196" i="1"/>
  <c r="CC227" i="1"/>
  <c r="CC14" i="1"/>
  <c r="CC481" i="1"/>
  <c r="CC188" i="1"/>
  <c r="CC165" i="1"/>
  <c r="CC79" i="1"/>
  <c r="CC401" i="1"/>
  <c r="CC350" i="1"/>
  <c r="CC357" i="1"/>
  <c r="CC177" i="1"/>
  <c r="CC29" i="1"/>
  <c r="CC49" i="1"/>
  <c r="CC353" i="1"/>
  <c r="CC198" i="1"/>
  <c r="CC99" i="1"/>
  <c r="CC26" i="1"/>
  <c r="CC270" i="1"/>
  <c r="CC308" i="1"/>
  <c r="CC85" i="1"/>
  <c r="CC131" i="1"/>
  <c r="CC103" i="1"/>
  <c r="CC303" i="1"/>
  <c r="CC479" i="1"/>
  <c r="CC254" i="1"/>
  <c r="CC142" i="1"/>
  <c r="CC87" i="1"/>
  <c r="CC140" i="1"/>
  <c r="CC195" i="1"/>
  <c r="CC500" i="1"/>
  <c r="CC150" i="1"/>
  <c r="CC284" i="1"/>
  <c r="CC41" i="1"/>
  <c r="CC464" i="1"/>
  <c r="CC408" i="1"/>
  <c r="CC488" i="1"/>
  <c r="CC166" i="1"/>
  <c r="CC21" i="1"/>
  <c r="CC441" i="1"/>
  <c r="CC98" i="1"/>
  <c r="CC296" i="1"/>
  <c r="CC375" i="1"/>
  <c r="CC316" i="1"/>
  <c r="CC444" i="1"/>
  <c r="CC200" i="1"/>
  <c r="CC212" i="1"/>
  <c r="CC368" i="1"/>
  <c r="CC110" i="1"/>
  <c r="BY85" i="1"/>
  <c r="BY93" i="1"/>
  <c r="L53" i="80"/>
  <c r="L43" i="51"/>
  <c r="AV39" i="1"/>
  <c r="L55" i="51"/>
  <c r="BI175" i="1"/>
  <c r="J48" i="80"/>
  <c r="J38" i="51"/>
  <c r="AV9" i="1"/>
  <c r="J66" i="80"/>
  <c r="J56" i="51"/>
  <c r="BV40" i="1"/>
  <c r="P65" i="80"/>
  <c r="P48" i="80"/>
  <c r="BI83" i="1"/>
  <c r="P38" i="51"/>
  <c r="P55" i="51"/>
  <c r="AC282" i="1"/>
  <c r="AG282" i="1"/>
  <c r="BA571" i="1"/>
  <c r="BG571" i="1"/>
  <c r="BR934" i="1"/>
  <c r="BN934" i="1"/>
  <c r="BP934" i="1"/>
  <c r="AN214" i="1"/>
  <c r="AR214" i="1"/>
  <c r="AP214" i="1"/>
  <c r="AE412" i="1"/>
  <c r="AC412" i="1"/>
  <c r="AE174" i="1"/>
  <c r="AG174" i="1"/>
  <c r="AC379" i="1"/>
  <c r="AA379" i="1"/>
  <c r="AG379" i="1"/>
  <c r="BC22" i="1"/>
  <c r="BA22" i="1"/>
  <c r="BN716" i="1"/>
  <c r="BR716" i="1"/>
  <c r="BA443" i="1"/>
  <c r="BC443" i="1"/>
  <c r="AC959" i="1"/>
  <c r="AA959" i="1"/>
  <c r="AG959" i="1"/>
  <c r="AC695" i="1"/>
  <c r="AE695" i="1"/>
  <c r="BT333" i="1"/>
  <c r="BN333" i="1"/>
  <c r="BA830" i="1"/>
  <c r="BE830" i="1"/>
  <c r="BR247" i="1"/>
  <c r="BP247" i="1"/>
  <c r="R53" i="80"/>
  <c r="AT123" i="1"/>
  <c r="AR123" i="1"/>
  <c r="AC204" i="1"/>
  <c r="AA204" i="1"/>
  <c r="AE731" i="1"/>
  <c r="AA731" i="1"/>
  <c r="AG765" i="1"/>
  <c r="AA765" i="1"/>
  <c r="AC765" i="1"/>
  <c r="AA154" i="1"/>
  <c r="AE154" i="1"/>
  <c r="AR737" i="1"/>
  <c r="AN737" i="1"/>
  <c r="BE770" i="1"/>
  <c r="BA770" i="1"/>
  <c r="AA94" i="1"/>
  <c r="AE94" i="1"/>
  <c r="AE165" i="1"/>
  <c r="AA165" i="1"/>
  <c r="AG284" i="1"/>
  <c r="AA284" i="1"/>
  <c r="AE680" i="1"/>
  <c r="AA680" i="1"/>
  <c r="AT101" i="1"/>
  <c r="AN101" i="1"/>
  <c r="AP101" i="1"/>
  <c r="AR101" i="1"/>
  <c r="BG905" i="1"/>
  <c r="BC905" i="1"/>
  <c r="BA905" i="1"/>
  <c r="AR817" i="1"/>
  <c r="AT817" i="1"/>
  <c r="AP817" i="1"/>
  <c r="AA734" i="1"/>
  <c r="AC734" i="1"/>
  <c r="AE734" i="1"/>
  <c r="AC423" i="1"/>
  <c r="AG423" i="1"/>
  <c r="AA423" i="1"/>
  <c r="AE423" i="1"/>
  <c r="AA436" i="1"/>
  <c r="AC436" i="1"/>
  <c r="AG436" i="1"/>
  <c r="AE436" i="1"/>
  <c r="BC710" i="1"/>
  <c r="BG710" i="1"/>
  <c r="BE710" i="1"/>
  <c r="AG181" i="1"/>
  <c r="AC181" i="1"/>
  <c r="M42" i="51"/>
  <c r="O51" i="80"/>
  <c r="O41" i="51"/>
  <c r="AG479" i="1"/>
  <c r="AE479" i="1"/>
  <c r="AG806" i="1"/>
  <c r="AE806" i="1"/>
  <c r="BX201" i="1"/>
  <c r="BX318" i="1"/>
  <c r="V4" i="1"/>
  <c r="S39" i="77" s="1"/>
  <c r="A29" i="15"/>
  <c r="BX458" i="1"/>
  <c r="BX798" i="1"/>
  <c r="BX858" i="1"/>
  <c r="BX837" i="1"/>
  <c r="BX388" i="1"/>
  <c r="BX220" i="1"/>
  <c r="BX404" i="1"/>
  <c r="BX40" i="1"/>
  <c r="BX692" i="1"/>
  <c r="BX116" i="1"/>
  <c r="BX376" i="1"/>
  <c r="BX492" i="1"/>
  <c r="BX300" i="1"/>
  <c r="BX928" i="1"/>
  <c r="BX1004" i="1"/>
  <c r="BX988" i="1"/>
  <c r="BX972" i="1"/>
  <c r="BX956" i="1"/>
  <c r="BX908" i="1"/>
  <c r="BX860" i="1"/>
  <c r="BX844" i="1"/>
  <c r="BX792" i="1"/>
  <c r="BX760" i="1"/>
  <c r="BX728" i="1"/>
  <c r="BX712" i="1"/>
  <c r="BX696" i="1"/>
  <c r="BX648" i="1"/>
  <c r="BX616" i="1"/>
  <c r="BX600" i="1"/>
  <c r="BX584" i="1"/>
  <c r="BX552" i="1"/>
  <c r="BX472" i="1"/>
  <c r="BX456" i="1"/>
  <c r="BX440" i="1"/>
  <c r="BX372" i="1"/>
  <c r="BX340" i="1"/>
  <c r="BX324" i="1"/>
  <c r="BX308" i="1"/>
  <c r="BX260" i="1"/>
  <c r="BX244" i="1"/>
  <c r="BX196" i="1"/>
  <c r="BX112" i="1"/>
  <c r="BX80" i="1"/>
  <c r="BX64" i="1"/>
  <c r="BX16" i="1"/>
  <c r="U4" i="77"/>
  <c r="D14" i="77"/>
  <c r="U14" i="77"/>
  <c r="BX125" i="1"/>
  <c r="BX233" i="1"/>
  <c r="BX62" i="1"/>
  <c r="BX146" i="1"/>
  <c r="BX190" i="1"/>
  <c r="BX390" i="1"/>
  <c r="BX430" i="1"/>
  <c r="BX802" i="1"/>
  <c r="BX890" i="1"/>
  <c r="BX733" i="1"/>
  <c r="BX820" i="1"/>
  <c r="BX461" i="1"/>
  <c r="W36" i="51"/>
  <c r="W15" i="80"/>
  <c r="M64" i="80"/>
  <c r="M15" i="80"/>
  <c r="X64" i="80"/>
  <c r="C43" i="80"/>
  <c r="H4" i="77"/>
  <c r="O4" i="77"/>
  <c r="D4" i="77"/>
  <c r="K4" i="77"/>
  <c r="BX13" i="1"/>
  <c r="BX357" i="1"/>
  <c r="BX302" i="1"/>
  <c r="BX358" i="1"/>
  <c r="BX650" i="1"/>
  <c r="BX355" i="1"/>
  <c r="BX923" i="1"/>
  <c r="BX473" i="1"/>
  <c r="BX525" i="1"/>
  <c r="BX621" i="1"/>
  <c r="BX87" i="1"/>
  <c r="BX403" i="1"/>
  <c r="BX559" i="1"/>
  <c r="BX647" i="1"/>
  <c r="BX687" i="1"/>
  <c r="BX979" i="1"/>
  <c r="E4" i="77"/>
  <c r="O64" i="77"/>
  <c r="G64" i="77"/>
  <c r="R39" i="77"/>
  <c r="Q39" i="77"/>
  <c r="W39" i="77"/>
  <c r="I39" i="77"/>
  <c r="BX93" i="1"/>
  <c r="BX265" i="1"/>
  <c r="BX397" i="1"/>
  <c r="BX670" i="1"/>
  <c r="BX193" i="1"/>
  <c r="BX217" i="1"/>
  <c r="BX269" i="1"/>
  <c r="BX333" i="1"/>
  <c r="BX178" i="1"/>
  <c r="BX654" i="1"/>
  <c r="BX878" i="1"/>
  <c r="BX966" i="1"/>
  <c r="BX445" i="1"/>
  <c r="BX701" i="1"/>
  <c r="BX817" i="1"/>
  <c r="BX841" i="1"/>
  <c r="BX949" i="1"/>
  <c r="BX982" i="1"/>
  <c r="BX581" i="1"/>
  <c r="BX773" i="1"/>
  <c r="F24" i="77"/>
  <c r="H19" i="77"/>
  <c r="BX9" i="1"/>
  <c r="BX321" i="1"/>
  <c r="BX366" i="1"/>
  <c r="BX594" i="1"/>
  <c r="BX750" i="1"/>
  <c r="BX950" i="1"/>
  <c r="BX231" i="1"/>
  <c r="BX481" i="1"/>
  <c r="BX725" i="1"/>
  <c r="BX821" i="1"/>
  <c r="BX881" i="1"/>
  <c r="BX897" i="1"/>
  <c r="BX969" i="1"/>
  <c r="P29" i="77"/>
  <c r="BX121" i="1"/>
  <c r="BX393" i="1"/>
  <c r="BX409" i="1"/>
  <c r="BX22" i="1"/>
  <c r="BX754" i="1"/>
  <c r="BX922" i="1"/>
  <c r="BX462" i="1"/>
  <c r="BX537" i="1"/>
  <c r="BX565" i="1"/>
  <c r="BX729" i="1"/>
  <c r="BX765" i="1"/>
  <c r="BX853" i="1"/>
  <c r="BX885" i="1"/>
  <c r="BX985" i="1"/>
  <c r="BX905" i="1"/>
  <c r="BX365" i="1"/>
  <c r="BX130" i="1"/>
  <c r="BX398" i="1"/>
  <c r="BX434" i="1"/>
  <c r="BX542" i="1"/>
  <c r="BX286" i="1"/>
  <c r="BX489" i="1"/>
  <c r="BX541" i="1"/>
  <c r="BX605" i="1"/>
  <c r="BX645" i="1"/>
  <c r="BX705" i="1"/>
  <c r="BX717" i="1"/>
  <c r="BX526" i="1"/>
  <c r="P44" i="51"/>
  <c r="Q50" i="51"/>
  <c r="S50" i="51"/>
  <c r="G54" i="80"/>
  <c r="L54" i="80"/>
  <c r="Q54" i="80"/>
  <c r="L60" i="80"/>
  <c r="W56" i="80"/>
  <c r="O39" i="80"/>
  <c r="S38" i="80"/>
  <c r="T35" i="80"/>
  <c r="G39" i="80"/>
  <c r="U39" i="80"/>
  <c r="P40" i="80"/>
  <c r="J33" i="80"/>
  <c r="S34" i="80"/>
  <c r="M41" i="80"/>
  <c r="I38" i="80"/>
  <c r="E35" i="80"/>
  <c r="U36" i="80"/>
  <c r="Q33" i="80"/>
  <c r="BX175" i="1"/>
  <c r="BX498" i="1"/>
  <c r="BX766" i="1"/>
  <c r="BX557" i="1"/>
  <c r="BX945" i="1"/>
  <c r="BX981" i="1"/>
  <c r="BX602" i="1"/>
  <c r="BX685" i="1"/>
  <c r="BX285" i="1"/>
  <c r="BX888" i="1"/>
  <c r="BX228" i="1"/>
  <c r="BX240" i="1"/>
  <c r="BX948" i="1"/>
  <c r="BX672" i="1"/>
  <c r="BX88" i="1"/>
  <c r="BX484" i="1"/>
  <c r="BX480" i="1"/>
  <c r="K44" i="51"/>
  <c r="F46" i="51"/>
  <c r="F44" i="51"/>
  <c r="E56" i="80"/>
  <c r="R56" i="80"/>
  <c r="S42" i="80"/>
  <c r="V36" i="80"/>
  <c r="G42" i="80"/>
  <c r="G38" i="80"/>
  <c r="D35" i="80"/>
  <c r="Q39" i="80"/>
  <c r="G37" i="80"/>
  <c r="T33" i="80"/>
  <c r="R40" i="80"/>
  <c r="N37" i="80"/>
  <c r="J34" i="80"/>
  <c r="E36" i="80"/>
  <c r="E33" i="80"/>
  <c r="BX577" i="1"/>
  <c r="BX597" i="1"/>
  <c r="BX613" i="1"/>
  <c r="BX653" i="1"/>
  <c r="BX669" i="1"/>
  <c r="BX805" i="1"/>
  <c r="BX913" i="1"/>
  <c r="BX849" i="1"/>
  <c r="BX156" i="1"/>
  <c r="BX329" i="1"/>
  <c r="BX420" i="1"/>
  <c r="BX328" i="1"/>
  <c r="BX44" i="1"/>
  <c r="BX408" i="1"/>
  <c r="BX236" i="1"/>
  <c r="BX704" i="1"/>
  <c r="BX212" i="1"/>
  <c r="BX52" i="1"/>
  <c r="BX452" i="1"/>
  <c r="BX628" i="1"/>
  <c r="BX488" i="1"/>
  <c r="BX716" i="1"/>
  <c r="BX700" i="1"/>
  <c r="BX428" i="1"/>
  <c r="BX344" i="1"/>
  <c r="BX148" i="1"/>
  <c r="BX36" i="1"/>
  <c r="BX957" i="1"/>
  <c r="T46" i="51"/>
  <c r="J50" i="51"/>
  <c r="W46" i="51"/>
  <c r="J60" i="80"/>
  <c r="S60" i="80"/>
  <c r="B16" i="51" a="1"/>
  <c r="B16" i="51" s="1"/>
  <c r="C16" i="51" s="1"/>
  <c r="N41" i="80"/>
  <c r="R33" i="80"/>
  <c r="G41" i="80"/>
  <c r="L35" i="80"/>
  <c r="Q42" i="80"/>
  <c r="P38" i="80"/>
  <c r="H36" i="80"/>
  <c r="D33" i="80"/>
  <c r="T39" i="80"/>
  <c r="S36" i="80"/>
  <c r="O33" i="80"/>
  <c r="CC192" i="1"/>
  <c r="CC204" i="1"/>
  <c r="CC391" i="1"/>
  <c r="CC280" i="1"/>
  <c r="CC402" i="1"/>
  <c r="CC485" i="1"/>
  <c r="CC344" i="1"/>
  <c r="CC443" i="1"/>
  <c r="CC69" i="1"/>
  <c r="CC149" i="1"/>
  <c r="CC50" i="1"/>
  <c r="CC440" i="1"/>
  <c r="CC240" i="1"/>
  <c r="CC337" i="1"/>
  <c r="CC178" i="1"/>
  <c r="CC438" i="1"/>
  <c r="CC128" i="1"/>
  <c r="CC24" i="1"/>
  <c r="CC365" i="1"/>
  <c r="CC73" i="1"/>
  <c r="CC77" i="1"/>
  <c r="CC139" i="1"/>
  <c r="CC277" i="1"/>
  <c r="CC491" i="1"/>
  <c r="CC58" i="1"/>
  <c r="CC366" i="1"/>
  <c r="CC274" i="1"/>
  <c r="CC486" i="1"/>
  <c r="CC262" i="1"/>
  <c r="CC48" i="1"/>
  <c r="CC311" i="1"/>
  <c r="CC122" i="1"/>
  <c r="CC72" i="1"/>
  <c r="CC332" i="1"/>
  <c r="CC248" i="1"/>
  <c r="CC156" i="1"/>
  <c r="CC172" i="1"/>
  <c r="CC281" i="1"/>
  <c r="CC431" i="1"/>
  <c r="CC504" i="1"/>
  <c r="CC247" i="1"/>
  <c r="CC13" i="1"/>
  <c r="CC428" i="1"/>
  <c r="CC63" i="1"/>
  <c r="CC32" i="1"/>
  <c r="CC135" i="1"/>
  <c r="CC221" i="1"/>
  <c r="CC34" i="1"/>
  <c r="CC126" i="1"/>
  <c r="CC499" i="1"/>
  <c r="CC259" i="1"/>
  <c r="CC433" i="1"/>
  <c r="CC371" i="1"/>
  <c r="CC493" i="1"/>
  <c r="CC406" i="1"/>
  <c r="CC273" i="1"/>
  <c r="CC86" i="1"/>
  <c r="CC22" i="1"/>
  <c r="CC429" i="1"/>
  <c r="CC423" i="1"/>
  <c r="CC494" i="1"/>
  <c r="CC386" i="1"/>
  <c r="CC445" i="1"/>
  <c r="CC115" i="1"/>
  <c r="CC62" i="1"/>
  <c r="CC176" i="1"/>
  <c r="CC341" i="1"/>
  <c r="CC137" i="1"/>
  <c r="CC256" i="1"/>
  <c r="CC179" i="1"/>
  <c r="CC249" i="1"/>
  <c r="CC129" i="1"/>
  <c r="CC171" i="1"/>
  <c r="CC475" i="1"/>
  <c r="CC356" i="1"/>
  <c r="CC305" i="1"/>
  <c r="CC285" i="1"/>
  <c r="CC267" i="1"/>
  <c r="CC245" i="1"/>
  <c r="CC61" i="1"/>
  <c r="CC463" i="1"/>
  <c r="CC503" i="1"/>
  <c r="CC336" i="1"/>
  <c r="CC348" i="1"/>
  <c r="CC191" i="1"/>
  <c r="CC359" i="1"/>
  <c r="CC446" i="1"/>
  <c r="CC282" i="1"/>
  <c r="CC11" i="1"/>
  <c r="CC380" i="1"/>
  <c r="CC89" i="1"/>
  <c r="CC60" i="1"/>
  <c r="CC174" i="1"/>
  <c r="CC224" i="1"/>
  <c r="CC217" i="1"/>
  <c r="CC382" i="1"/>
  <c r="CC68" i="1"/>
  <c r="CC111" i="1"/>
  <c r="CC52" i="1"/>
  <c r="CC161" i="1"/>
  <c r="CC180" i="1"/>
  <c r="CC335" i="1"/>
  <c r="CC231" i="1"/>
  <c r="CC133" i="1"/>
  <c r="CC489" i="1"/>
  <c r="CC216" i="1"/>
  <c r="CC265" i="1"/>
  <c r="CC105" i="1"/>
  <c r="CC385" i="1"/>
  <c r="CC469" i="1"/>
  <c r="CC206" i="1"/>
  <c r="CC214" i="1"/>
  <c r="CC288" i="1"/>
  <c r="CC106" i="1"/>
  <c r="CC389" i="1"/>
  <c r="CC403" i="1"/>
  <c r="CC229" i="1"/>
  <c r="CC420" i="1"/>
  <c r="CC90" i="1"/>
  <c r="CC163" i="1"/>
  <c r="CC218" i="1"/>
  <c r="CC370" i="1"/>
  <c r="CC442" i="1"/>
  <c r="CC211" i="1"/>
  <c r="CC70" i="1"/>
  <c r="CC290" i="1"/>
  <c r="CC450" i="1"/>
  <c r="CC30" i="1"/>
  <c r="CC480" i="1"/>
  <c r="CC291" i="1"/>
  <c r="CC434" i="1"/>
  <c r="CC487" i="1"/>
  <c r="CC472" i="1"/>
  <c r="CC419" i="1"/>
  <c r="CC462" i="1"/>
  <c r="CC189" i="1"/>
  <c r="CC367" i="1"/>
  <c r="CC473" i="1"/>
  <c r="CC182" i="1"/>
  <c r="CC484" i="1"/>
  <c r="CC459" i="1"/>
  <c r="CC455" i="1"/>
  <c r="CC67" i="1"/>
  <c r="CC261" i="1"/>
  <c r="CC460" i="1"/>
  <c r="CC322" i="1"/>
  <c r="CC253" i="1"/>
  <c r="CC477" i="1"/>
  <c r="CC295" i="1"/>
  <c r="CC502" i="1"/>
  <c r="CC100" i="1"/>
  <c r="CC246" i="1"/>
  <c r="CC42" i="1"/>
  <c r="CC112" i="1"/>
  <c r="CC325" i="1"/>
  <c r="CC167" i="1"/>
  <c r="CC318" i="1"/>
  <c r="CC387" i="1"/>
  <c r="CC130" i="1"/>
  <c r="CC388" i="1"/>
  <c r="CC470" i="1"/>
  <c r="CC117" i="1"/>
  <c r="CC162" i="1"/>
  <c r="CC187" i="1"/>
  <c r="CC82" i="1"/>
  <c r="CC319" i="1"/>
  <c r="CC264" i="1"/>
  <c r="CC416" i="1"/>
  <c r="CC354" i="1"/>
  <c r="CC293" i="1"/>
  <c r="CC326" i="1"/>
  <c r="CC201" i="1"/>
  <c r="CC96" i="1"/>
  <c r="CC251" i="1"/>
  <c r="CC346" i="1"/>
  <c r="CC209" i="1"/>
  <c r="CC390" i="1"/>
  <c r="CC109" i="1"/>
  <c r="CC399" i="1"/>
  <c r="CC279" i="1"/>
  <c r="CC138" i="1"/>
  <c r="CC51" i="1"/>
  <c r="CC451" i="1"/>
  <c r="CC123" i="1"/>
  <c r="CC404" i="1"/>
  <c r="CC329" i="1"/>
  <c r="CC266" i="1"/>
  <c r="CC220" i="1"/>
  <c r="CC483" i="1"/>
  <c r="CC283" i="1"/>
  <c r="CC324" i="1"/>
  <c r="CC347" i="1"/>
  <c r="CC471" i="1"/>
  <c r="CC278" i="1"/>
  <c r="CC276" i="1"/>
  <c r="CC197" i="1"/>
  <c r="CC456" i="1"/>
  <c r="CC10" i="1"/>
  <c r="CC397" i="1"/>
  <c r="CC393" i="1"/>
  <c r="CC426" i="1"/>
  <c r="CC458" i="1"/>
  <c r="CC501" i="1"/>
  <c r="CC250" i="1"/>
  <c r="CC369" i="1"/>
  <c r="CC257" i="1"/>
  <c r="CC424" i="1"/>
  <c r="CC36" i="1"/>
  <c r="CC159" i="1"/>
  <c r="CC233" i="1"/>
  <c r="CC331" i="1"/>
  <c r="CC213" i="1"/>
  <c r="CC255" i="1"/>
  <c r="CC351" i="1"/>
  <c r="CC75" i="1"/>
  <c r="CC153" i="1"/>
  <c r="CC373" i="1"/>
  <c r="CC312" i="1"/>
  <c r="CC310" i="1"/>
  <c r="CC360" i="1"/>
  <c r="CC175" i="1"/>
  <c r="BY24" i="1"/>
  <c r="P78" i="80"/>
  <c r="P63" i="51"/>
  <c r="P66" i="51"/>
  <c r="P73" i="80"/>
  <c r="W54" i="77"/>
  <c r="Q54" i="77"/>
  <c r="R54" i="77"/>
  <c r="J54" i="77"/>
  <c r="T54" i="77"/>
  <c r="G54" i="77"/>
  <c r="Q49" i="77"/>
  <c r="M49" i="77"/>
  <c r="R49" i="77"/>
  <c r="K49" i="77"/>
  <c r="R79" i="77"/>
  <c r="I79" i="77"/>
  <c r="U34" i="77"/>
  <c r="BX124" i="1"/>
  <c r="BX940" i="1"/>
  <c r="BX188" i="1"/>
  <c r="BX784" i="1"/>
  <c r="BX828" i="1"/>
  <c r="BX536" i="1"/>
  <c r="C10" i="51"/>
  <c r="L4" i="77"/>
  <c r="R4" i="77"/>
  <c r="I24" i="77"/>
  <c r="D19" i="77"/>
  <c r="L34" i="77"/>
  <c r="L39" i="77"/>
  <c r="O44" i="77"/>
  <c r="R16" i="61"/>
  <c r="X46" i="80"/>
  <c r="W46" i="80"/>
  <c r="T4" i="77"/>
  <c r="N24" i="77"/>
  <c r="T24" i="77"/>
  <c r="N79" i="77"/>
  <c r="BX332" i="1"/>
  <c r="BX932" i="1"/>
  <c r="BX768" i="1"/>
  <c r="Q69" i="77"/>
  <c r="BX619" i="1"/>
  <c r="BX504" i="1"/>
  <c r="BX912" i="1"/>
  <c r="BX848" i="1"/>
  <c r="BX652" i="1"/>
  <c r="BX620" i="1"/>
  <c r="BX184" i="1"/>
  <c r="BX208" i="1"/>
  <c r="BX924" i="1"/>
  <c r="BX785" i="1"/>
  <c r="BX564" i="1"/>
  <c r="BX772" i="1"/>
  <c r="BX868" i="1"/>
  <c r="BX736" i="1"/>
  <c r="BX496" i="1"/>
  <c r="BX448" i="1"/>
  <c r="BX312" i="1"/>
  <c r="B19" i="61" a="1"/>
  <c r="B19" i="61" s="1"/>
  <c r="B20" i="61" s="1" a="1"/>
  <c r="B20" i="61" s="1"/>
  <c r="E50" i="51"/>
  <c r="Q46" i="51"/>
  <c r="M50" i="51"/>
  <c r="E46" i="51"/>
  <c r="J44" i="51"/>
  <c r="V44" i="51"/>
  <c r="G44" i="51"/>
  <c r="J46" i="51"/>
  <c r="P46" i="51"/>
  <c r="S46" i="51"/>
  <c r="G46" i="51"/>
  <c r="K46" i="51"/>
  <c r="J54" i="80"/>
  <c r="K54" i="80"/>
  <c r="M56" i="80"/>
  <c r="N60" i="80"/>
  <c r="I60" i="80"/>
  <c r="T54" i="80"/>
  <c r="V56" i="80"/>
  <c r="W60" i="80"/>
  <c r="U60" i="80"/>
  <c r="U54" i="80"/>
  <c r="C17" i="61"/>
  <c r="D50" i="51"/>
  <c r="I50" i="51"/>
  <c r="R44" i="51"/>
  <c r="M46" i="51"/>
  <c r="G50" i="51"/>
  <c r="N44" i="51"/>
  <c r="W50" i="51"/>
  <c r="H50" i="51"/>
  <c r="N50" i="51"/>
  <c r="Q44" i="51"/>
  <c r="U44" i="51"/>
  <c r="O50" i="51"/>
  <c r="M44" i="51"/>
  <c r="R54" i="80"/>
  <c r="S54" i="80"/>
  <c r="Q56" i="80"/>
  <c r="R60" i="80"/>
  <c r="D54" i="80"/>
  <c r="F56" i="80"/>
  <c r="G60" i="80"/>
  <c r="L56" i="80"/>
  <c r="E54" i="80"/>
  <c r="G56" i="80"/>
  <c r="H60" i="80"/>
  <c r="D46" i="51"/>
  <c r="L50" i="51"/>
  <c r="U50" i="51"/>
  <c r="T50" i="51"/>
  <c r="H44" i="51"/>
  <c r="O46" i="51"/>
  <c r="E44" i="51"/>
  <c r="I44" i="51"/>
  <c r="N46" i="51"/>
  <c r="R50" i="51"/>
  <c r="V46" i="51"/>
  <c r="U46" i="51"/>
  <c r="T44" i="51"/>
  <c r="V54" i="80"/>
  <c r="W54" i="80"/>
  <c r="U56" i="80"/>
  <c r="H56" i="80"/>
  <c r="H54" i="80"/>
  <c r="J56" i="80"/>
  <c r="O60" i="80"/>
  <c r="T56" i="80"/>
  <c r="I54" i="80"/>
  <c r="O56" i="80"/>
  <c r="T60" i="80"/>
  <c r="D60" i="80"/>
  <c r="K56" i="80"/>
  <c r="M54" i="80"/>
  <c r="M60" i="80"/>
  <c r="D56" i="80"/>
  <c r="K60" i="80"/>
  <c r="N56" i="80"/>
  <c r="P54" i="80"/>
  <c r="Q60" i="80"/>
  <c r="V60" i="80"/>
  <c r="F60" i="80"/>
  <c r="I56" i="80"/>
  <c r="O54" i="80"/>
  <c r="F54" i="80"/>
  <c r="W44" i="51"/>
  <c r="K50" i="51"/>
  <c r="L46" i="51"/>
  <c r="V50" i="51"/>
  <c r="R46" i="51"/>
  <c r="P50" i="51"/>
  <c r="L44" i="51"/>
  <c r="H46" i="51"/>
  <c r="F50" i="51"/>
  <c r="S44" i="51"/>
  <c r="E42" i="80"/>
  <c r="O38" i="80"/>
  <c r="N42" i="80"/>
  <c r="H41" i="80"/>
  <c r="S39" i="80"/>
  <c r="N38" i="80"/>
  <c r="F36" i="80"/>
  <c r="J42" i="80"/>
  <c r="J39" i="80"/>
  <c r="V33" i="80"/>
  <c r="W41" i="80"/>
  <c r="W40" i="80"/>
  <c r="W39" i="80"/>
  <c r="W38" i="80"/>
  <c r="W37" i="80"/>
  <c r="U34" i="80"/>
  <c r="T41" i="80"/>
  <c r="E39" i="80"/>
  <c r="F33" i="80"/>
  <c r="K42" i="80"/>
  <c r="K41" i="80"/>
  <c r="K40" i="80"/>
  <c r="K39" i="80"/>
  <c r="K38" i="80"/>
  <c r="N36" i="80"/>
  <c r="S37" i="80"/>
  <c r="T36" i="80"/>
  <c r="D36" i="80"/>
  <c r="J35" i="80"/>
  <c r="O34" i="80"/>
  <c r="P33" i="80"/>
  <c r="T42" i="80"/>
  <c r="D42" i="80"/>
  <c r="I41" i="80"/>
  <c r="N40" i="80"/>
  <c r="P39" i="80"/>
  <c r="U38" i="80"/>
  <c r="E38" i="80"/>
  <c r="J37" i="80"/>
  <c r="O36" i="80"/>
  <c r="Q35" i="80"/>
  <c r="V34" i="80"/>
  <c r="F34" i="80"/>
  <c r="K33" i="80"/>
  <c r="L37" i="80"/>
  <c r="Q36" i="80"/>
  <c r="W35" i="80"/>
  <c r="G35" i="80"/>
  <c r="H34" i="80"/>
  <c r="M33" i="80"/>
  <c r="D41" i="80"/>
  <c r="Q37" i="80"/>
  <c r="I42" i="80"/>
  <c r="S40" i="80"/>
  <c r="N39" i="80"/>
  <c r="H38" i="80"/>
  <c r="P35" i="80"/>
  <c r="O41" i="80"/>
  <c r="T38" i="80"/>
  <c r="W42" i="80"/>
  <c r="R41" i="80"/>
  <c r="Q40" i="80"/>
  <c r="R39" i="80"/>
  <c r="R38" i="80"/>
  <c r="I37" i="80"/>
  <c r="E34" i="80"/>
  <c r="J41" i="80"/>
  <c r="J38" i="80"/>
  <c r="R42" i="80"/>
  <c r="F42" i="80"/>
  <c r="F41" i="80"/>
  <c r="E40" i="80"/>
  <c r="F39" i="80"/>
  <c r="F38" i="80"/>
  <c r="H35" i="80"/>
  <c r="O37" i="80"/>
  <c r="P36" i="80"/>
  <c r="V35" i="80"/>
  <c r="F35" i="80"/>
  <c r="K34" i="80"/>
  <c r="L33" i="80"/>
  <c r="P42" i="80"/>
  <c r="U41" i="80"/>
  <c r="E41" i="80"/>
  <c r="J40" i="80"/>
  <c r="L39" i="80"/>
  <c r="Q38" i="80"/>
  <c r="V37" i="80"/>
  <c r="F37" i="80"/>
  <c r="K36" i="80"/>
  <c r="M35" i="80"/>
  <c r="R34" i="80"/>
  <c r="W33" i="80"/>
  <c r="G33" i="80"/>
  <c r="H37" i="80"/>
  <c r="M36" i="80"/>
  <c r="S35" i="80"/>
  <c r="T34" i="80"/>
  <c r="D34" i="80"/>
  <c r="I33" i="80"/>
  <c r="B16" i="80" a="1"/>
  <c r="B16" i="80" s="1"/>
  <c r="I40" i="80"/>
  <c r="M34" i="80"/>
  <c r="S41" i="80"/>
  <c r="M40" i="80"/>
  <c r="I39" i="80"/>
  <c r="M37" i="80"/>
  <c r="I34" i="80"/>
  <c r="T40" i="80"/>
  <c r="D38" i="80"/>
  <c r="M42" i="80"/>
  <c r="L41" i="80"/>
  <c r="L40" i="80"/>
  <c r="M39" i="80"/>
  <c r="L38" i="80"/>
  <c r="R36" i="80"/>
  <c r="N33" i="80"/>
  <c r="O40" i="80"/>
  <c r="J36" i="80"/>
  <c r="V42" i="80"/>
  <c r="V41" i="80"/>
  <c r="U40" i="80"/>
  <c r="V39" i="80"/>
  <c r="V38" i="80"/>
  <c r="U37" i="80"/>
  <c r="Q34" i="80"/>
  <c r="K37" i="80"/>
  <c r="L36" i="80"/>
  <c r="R35" i="80"/>
  <c r="W34" i="80"/>
  <c r="G34" i="80"/>
  <c r="H33" i="80"/>
  <c r="L42" i="80"/>
  <c r="Q41" i="80"/>
  <c r="V40" i="80"/>
  <c r="F40" i="80"/>
  <c r="H39" i="80"/>
  <c r="M38" i="80"/>
  <c r="R37" i="80"/>
  <c r="W36" i="80"/>
  <c r="G36" i="80"/>
  <c r="I35" i="80"/>
  <c r="N34" i="80"/>
  <c r="S33" i="80"/>
  <c r="T37" i="80"/>
  <c r="D37" i="80"/>
  <c r="I36" i="80"/>
  <c r="O35" i="80"/>
  <c r="P34" i="80"/>
  <c r="U33" i="80"/>
  <c r="C2" i="80"/>
  <c r="C2" i="60"/>
  <c r="C2" i="61"/>
  <c r="C2" i="51"/>
  <c r="C79" i="77"/>
  <c r="S44" i="77"/>
  <c r="R16" i="60"/>
  <c r="J44" i="77"/>
  <c r="Q44" i="77"/>
  <c r="J64" i="77"/>
  <c r="L79" i="77"/>
  <c r="C54" i="51"/>
  <c r="C44" i="77"/>
  <c r="B14" i="77"/>
  <c r="B44" i="77"/>
  <c r="C14" i="77"/>
  <c r="S24" i="77"/>
  <c r="T79" i="77"/>
  <c r="T64" i="77"/>
  <c r="R15" i="51"/>
  <c r="M16" i="60"/>
  <c r="C95" i="51"/>
  <c r="X16" i="60"/>
  <c r="X36" i="51"/>
  <c r="C33" i="51"/>
  <c r="G19" i="77"/>
  <c r="O19" i="77"/>
  <c r="K44" i="77"/>
  <c r="G49" i="77"/>
  <c r="O49" i="77"/>
  <c r="K54" i="77"/>
  <c r="K64" i="77"/>
  <c r="O79" i="77"/>
  <c r="C51" i="51"/>
  <c r="C61" i="80"/>
  <c r="M46" i="80"/>
  <c r="W64" i="80"/>
  <c r="R15" i="80"/>
  <c r="W34" i="77"/>
  <c r="F54" i="77"/>
  <c r="B64" i="77"/>
  <c r="C54" i="77"/>
  <c r="C34" i="77"/>
  <c r="B19" i="77"/>
  <c r="T49" i="77"/>
  <c r="M54" i="51"/>
  <c r="M16" i="61"/>
  <c r="H16" i="61"/>
  <c r="H16" i="60"/>
  <c r="X54" i="51"/>
  <c r="C107" i="60"/>
  <c r="W16" i="60"/>
  <c r="G4" i="77"/>
  <c r="M4" i="77"/>
  <c r="B4" i="77"/>
  <c r="N44" i="77"/>
  <c r="J49" i="77"/>
  <c r="M54" i="77"/>
  <c r="G79" i="77"/>
  <c r="X15" i="80"/>
  <c r="Q64" i="77"/>
  <c r="R59" i="77"/>
  <c r="F59" i="77"/>
  <c r="W59" i="77"/>
  <c r="N59" i="77"/>
  <c r="J59" i="77"/>
  <c r="D59" i="77"/>
  <c r="O59" i="77"/>
  <c r="K59" i="77"/>
  <c r="E59" i="77"/>
  <c r="H9" i="77"/>
  <c r="F9" i="77"/>
  <c r="W9" i="77"/>
  <c r="M9" i="77"/>
  <c r="I9" i="77"/>
  <c r="E9" i="77"/>
  <c r="U9" i="77"/>
  <c r="O9" i="77"/>
  <c r="N9" i="77"/>
  <c r="J9" i="77"/>
  <c r="W29" i="77"/>
  <c r="F29" i="77"/>
  <c r="N29" i="77"/>
  <c r="I29" i="77"/>
  <c r="E29" i="77"/>
  <c r="H29" i="77"/>
  <c r="U29" i="77"/>
  <c r="Q29" i="77"/>
  <c r="M29" i="77"/>
  <c r="J29" i="77"/>
  <c r="R69" i="77"/>
  <c r="W69" i="77"/>
  <c r="N69" i="77"/>
  <c r="J69" i="77"/>
  <c r="D69" i="77"/>
  <c r="H69" i="77"/>
  <c r="O69" i="77"/>
  <c r="K69" i="77"/>
  <c r="E69" i="77"/>
  <c r="H74" i="77"/>
  <c r="U74" i="77"/>
  <c r="P74" i="77"/>
  <c r="L74" i="77"/>
  <c r="E74" i="77"/>
  <c r="F74" i="77"/>
  <c r="R74" i="77"/>
  <c r="M74" i="77"/>
  <c r="I74" i="77"/>
  <c r="D74" i="77"/>
  <c r="F34" i="77"/>
  <c r="N34" i="77"/>
  <c r="R34" i="77"/>
  <c r="O34" i="77"/>
  <c r="I34" i="77"/>
  <c r="D34" i="77"/>
  <c r="H34" i="77"/>
  <c r="M34" i="77"/>
  <c r="J34" i="77"/>
  <c r="H14" i="77"/>
  <c r="F14" i="77"/>
  <c r="W14" i="77"/>
  <c r="R14" i="77"/>
  <c r="M14" i="77"/>
  <c r="I14" i="77"/>
  <c r="E14" i="77"/>
  <c r="T14" i="77"/>
  <c r="Q14" i="77"/>
  <c r="N14" i="77"/>
  <c r="J14" i="77"/>
  <c r="K9" i="77"/>
  <c r="G14" i="77"/>
  <c r="O14" i="77"/>
  <c r="G29" i="77"/>
  <c r="O29" i="77"/>
  <c r="K34" i="77"/>
  <c r="I59" i="77"/>
  <c r="P59" i="77"/>
  <c r="N64" i="77"/>
  <c r="I69" i="77"/>
  <c r="P69" i="77"/>
  <c r="N74" i="77"/>
  <c r="H39" i="77"/>
  <c r="N39" i="77"/>
  <c r="J39" i="77"/>
  <c r="D39" i="77"/>
  <c r="F39" i="77"/>
  <c r="U39" i="77"/>
  <c r="O39" i="77"/>
  <c r="K39" i="77"/>
  <c r="E39" i="77"/>
  <c r="F19" i="77"/>
  <c r="T19" i="77"/>
  <c r="M19" i="77"/>
  <c r="I19" i="77"/>
  <c r="E19" i="77"/>
  <c r="W19" i="77"/>
  <c r="U19" i="77"/>
  <c r="Q19" i="77"/>
  <c r="N19" i="77"/>
  <c r="J19" i="77"/>
  <c r="T29" i="77"/>
  <c r="T59" i="77"/>
  <c r="T39" i="77"/>
  <c r="D9" i="77"/>
  <c r="P9" i="77"/>
  <c r="L14" i="77"/>
  <c r="L29" i="77"/>
  <c r="E34" i="77"/>
  <c r="Q34" i="77"/>
  <c r="M59" i="77"/>
  <c r="L69" i="77"/>
  <c r="G74" i="77"/>
  <c r="O74" i="77"/>
  <c r="T9" i="77"/>
  <c r="F64" i="77"/>
  <c r="H64" i="77"/>
  <c r="U64" i="77"/>
  <c r="P64" i="77"/>
  <c r="L64" i="77"/>
  <c r="D64" i="77"/>
  <c r="W64" i="77"/>
  <c r="R64" i="77"/>
  <c r="M64" i="77"/>
  <c r="I64" i="77"/>
  <c r="E64" i="77"/>
  <c r="H79" i="77"/>
  <c r="U79" i="77"/>
  <c r="F79" i="77"/>
  <c r="P79" i="77"/>
  <c r="J79" i="77"/>
  <c r="D79" i="77"/>
  <c r="W79" i="77"/>
  <c r="Q79" i="77"/>
  <c r="M79" i="77"/>
  <c r="K79" i="77"/>
  <c r="E79" i="77"/>
  <c r="W24" i="77"/>
  <c r="R24" i="77"/>
  <c r="K24" i="77"/>
  <c r="G24" i="77"/>
  <c r="H24" i="77"/>
  <c r="P24" i="77"/>
  <c r="Q24" i="77"/>
  <c r="L24" i="77"/>
  <c r="E24" i="77"/>
  <c r="W4" i="77"/>
  <c r="Q4" i="77"/>
  <c r="F4" i="77"/>
  <c r="T34" i="77"/>
  <c r="T69" i="77"/>
  <c r="G9" i="77"/>
  <c r="Q9" i="77"/>
  <c r="K14" i="77"/>
  <c r="K29" i="77"/>
  <c r="G34" i="77"/>
  <c r="P34" i="77"/>
  <c r="L59" i="77"/>
  <c r="M69" i="77"/>
  <c r="J74" i="77"/>
  <c r="Q74" i="77"/>
  <c r="R9" i="77"/>
  <c r="R29" i="77"/>
  <c r="U59" i="77"/>
  <c r="W74" i="77"/>
  <c r="F69" i="77"/>
  <c r="H59" i="77"/>
  <c r="H54" i="77"/>
  <c r="U54" i="77"/>
  <c r="O54" i="77"/>
  <c r="L54" i="77"/>
  <c r="D54" i="77"/>
  <c r="N54" i="77"/>
  <c r="P54" i="77"/>
  <c r="I54" i="77"/>
  <c r="E54" i="77"/>
  <c r="H49" i="77"/>
  <c r="F49" i="77"/>
  <c r="W49" i="77"/>
  <c r="P49" i="77"/>
  <c r="L49" i="77"/>
  <c r="D49" i="77"/>
  <c r="U49" i="77"/>
  <c r="N49" i="77"/>
  <c r="I49" i="77"/>
  <c r="E49" i="77"/>
  <c r="U44" i="77"/>
  <c r="F44" i="77"/>
  <c r="R44" i="77"/>
  <c r="P44" i="77"/>
  <c r="L44" i="77"/>
  <c r="D44" i="77"/>
  <c r="W44" i="77"/>
  <c r="M44" i="77"/>
  <c r="I44" i="77"/>
  <c r="E44" i="77"/>
  <c r="BY472" i="1" l="1"/>
  <c r="BY725" i="1"/>
  <c r="BI393" i="1"/>
  <c r="BY432" i="1"/>
  <c r="BY215" i="1"/>
  <c r="BY763" i="1"/>
  <c r="BY537" i="1"/>
  <c r="BY281" i="1"/>
  <c r="AI696" i="1"/>
  <c r="AI549" i="1"/>
  <c r="AI605" i="1"/>
  <c r="AI110" i="1"/>
  <c r="BY110" i="1" s="1"/>
  <c r="AI975" i="1"/>
  <c r="BV118" i="1"/>
  <c r="BY118" i="1" s="1"/>
  <c r="AI236" i="1"/>
  <c r="BY236" i="1" s="1"/>
  <c r="AI947" i="1"/>
  <c r="AI895" i="1"/>
  <c r="AV171" i="1"/>
  <c r="BI487" i="1"/>
  <c r="BI285" i="1"/>
  <c r="AV456" i="1"/>
  <c r="AI543" i="1"/>
  <c r="AV273" i="1"/>
  <c r="BV689" i="1"/>
  <c r="AV858" i="1"/>
  <c r="AI501" i="1"/>
  <c r="AI359" i="1"/>
  <c r="AV901" i="1"/>
  <c r="AV134" i="1"/>
  <c r="BY134" i="1" s="1"/>
  <c r="AV733" i="1"/>
  <c r="AV1000" i="1"/>
  <c r="BY1000" i="1" s="1"/>
  <c r="BV119" i="1"/>
  <c r="BY119" i="1" s="1"/>
  <c r="AV548" i="1"/>
  <c r="AV145" i="1"/>
  <c r="AV229" i="1"/>
  <c r="BI987" i="1"/>
  <c r="AI399" i="1"/>
  <c r="AV262" i="1"/>
  <c r="AI148" i="1"/>
  <c r="AV330" i="1"/>
  <c r="E42" i="51"/>
  <c r="E52" i="80"/>
  <c r="AI723" i="1"/>
  <c r="AI99" i="1"/>
  <c r="AI332" i="1"/>
  <c r="BY332" i="1" s="1"/>
  <c r="AI162" i="1"/>
  <c r="AI767" i="1"/>
  <c r="AI196" i="1"/>
  <c r="BY196" i="1" s="1"/>
  <c r="AI726" i="1"/>
  <c r="AV430" i="1"/>
  <c r="AI386" i="1"/>
  <c r="AI260" i="1"/>
  <c r="BI621" i="1"/>
  <c r="BI416" i="1"/>
  <c r="BI664" i="1"/>
  <c r="BV557" i="1"/>
  <c r="BV91" i="1"/>
  <c r="BY91" i="1" s="1"/>
  <c r="BV232" i="1"/>
  <c r="AI435" i="1"/>
  <c r="BY435" i="1" s="1"/>
  <c r="U17" i="61"/>
  <c r="U58" i="80"/>
  <c r="AI604" i="1"/>
  <c r="BY604" i="1" s="1"/>
  <c r="AI269" i="1"/>
  <c r="BY269" i="1" s="1"/>
  <c r="BI117" i="1"/>
  <c r="BV127" i="1"/>
  <c r="AV742" i="1"/>
  <c r="BI457" i="1"/>
  <c r="AI660" i="1"/>
  <c r="BY660" i="1" s="1"/>
  <c r="BV433" i="1"/>
  <c r="BI884" i="1"/>
  <c r="BY884" i="1" s="1"/>
  <c r="BV875" i="1"/>
  <c r="BV925" i="1"/>
  <c r="BI53" i="1"/>
  <c r="BY53" i="1" s="1"/>
  <c r="AV538" i="1"/>
  <c r="BI580" i="1"/>
  <c r="BI442" i="1"/>
  <c r="BY260" i="1"/>
  <c r="BY549" i="1"/>
  <c r="BY399" i="1"/>
  <c r="AV592" i="1"/>
  <c r="BY592" i="1" s="1"/>
  <c r="T47" i="51"/>
  <c r="BY543" i="1"/>
  <c r="BY144" i="1"/>
  <c r="AI697" i="1"/>
  <c r="BY697" i="1" s="1"/>
  <c r="BY1001" i="1"/>
  <c r="BY901" i="1"/>
  <c r="BY805" i="1"/>
  <c r="BY378" i="1"/>
  <c r="AI566" i="1"/>
  <c r="AI137" i="1"/>
  <c r="BY137" i="1" s="1"/>
  <c r="AV608" i="1"/>
  <c r="AI143" i="1"/>
  <c r="BY143" i="1" s="1"/>
  <c r="AI321" i="1"/>
  <c r="AV300" i="1"/>
  <c r="AI43" i="1"/>
  <c r="H58" i="80" s="1"/>
  <c r="AI447" i="1"/>
  <c r="AI538" i="1"/>
  <c r="AV818" i="1"/>
  <c r="AI69" i="1"/>
  <c r="BI665" i="1"/>
  <c r="BV275" i="1"/>
  <c r="AV349" i="1"/>
  <c r="BI591" i="1"/>
  <c r="BY591" i="1" s="1"/>
  <c r="AV494" i="1"/>
  <c r="AI116" i="1"/>
  <c r="AI206" i="1"/>
  <c r="AI20" i="1"/>
  <c r="BY20" i="1" s="1"/>
  <c r="BI279" i="1"/>
  <c r="AI573" i="1"/>
  <c r="AI476" i="1"/>
  <c r="AI514" i="1"/>
  <c r="AI391" i="1"/>
  <c r="AI526" i="1"/>
  <c r="AV574" i="1"/>
  <c r="AI955" i="1"/>
  <c r="BY955" i="1" s="1"/>
  <c r="AV104" i="1"/>
  <c r="AI378" i="1"/>
  <c r="AI830" i="1"/>
  <c r="BV418" i="1"/>
  <c r="AV452" i="1"/>
  <c r="BY452" i="1" s="1"/>
  <c r="BI552" i="1"/>
  <c r="BI81" i="1"/>
  <c r="AI973" i="1"/>
  <c r="BY973" i="1" s="1"/>
  <c r="BV129" i="1"/>
  <c r="BY129" i="1" s="1"/>
  <c r="BI977" i="1"/>
  <c r="BY977" i="1" s="1"/>
  <c r="BV396" i="1"/>
  <c r="AV51" i="1"/>
  <c r="BI20" i="1"/>
  <c r="N57" i="51"/>
  <c r="BV189" i="1"/>
  <c r="AV964" i="1"/>
  <c r="BY964" i="1" s="1"/>
  <c r="AV366" i="1"/>
  <c r="AV828" i="1"/>
  <c r="BV930" i="1"/>
  <c r="AI926" i="1"/>
  <c r="BI451" i="1"/>
  <c r="BV719" i="1"/>
  <c r="BV784" i="1"/>
  <c r="AI1004" i="1"/>
  <c r="BY1004" i="1" s="1"/>
  <c r="BV932" i="1"/>
  <c r="AV913" i="1"/>
  <c r="BY913" i="1" s="1"/>
  <c r="BI183" i="1"/>
  <c r="BV947" i="1"/>
  <c r="BI709" i="1"/>
  <c r="BV980" i="1"/>
  <c r="BI986" i="1"/>
  <c r="AV250" i="1"/>
  <c r="Q59" i="51"/>
  <c r="Q69" i="80"/>
  <c r="AV769" i="1"/>
  <c r="BV664" i="1"/>
  <c r="BI261" i="1"/>
  <c r="BI70" i="1"/>
  <c r="Q67" i="80"/>
  <c r="BY709" i="1"/>
  <c r="BY321" i="1"/>
  <c r="BY149" i="1"/>
  <c r="BY742" i="1"/>
  <c r="BY279" i="1"/>
  <c r="BY401" i="1"/>
  <c r="BY646" i="1"/>
  <c r="BY552" i="1"/>
  <c r="BY418" i="1"/>
  <c r="BY370" i="1"/>
  <c r="BY280" i="1"/>
  <c r="BY818" i="1"/>
  <c r="BY577" i="1"/>
  <c r="BY275" i="1"/>
  <c r="BY447" i="1"/>
  <c r="BY456" i="1"/>
  <c r="BY293" i="1"/>
  <c r="BY566" i="1"/>
  <c r="BY621" i="1"/>
  <c r="BY841" i="1"/>
  <c r="BY167" i="1"/>
  <c r="AI9" i="1"/>
  <c r="BV829" i="1"/>
  <c r="BY829" i="1" s="1"/>
  <c r="AI759" i="1"/>
  <c r="BY759" i="1" s="1"/>
  <c r="AI735" i="1"/>
  <c r="AI393" i="1"/>
  <c r="BV605" i="1"/>
  <c r="AI471" i="1"/>
  <c r="AV261" i="1"/>
  <c r="BY261" i="1" s="1"/>
  <c r="AI661" i="1"/>
  <c r="BY661" i="1" s="1"/>
  <c r="BV548" i="1"/>
  <c r="BI821" i="1"/>
  <c r="BY821" i="1" s="1"/>
  <c r="AV457" i="1"/>
  <c r="BY457" i="1" s="1"/>
  <c r="BV909" i="1"/>
  <c r="BV154" i="1"/>
  <c r="AI117" i="1"/>
  <c r="BY117" i="1" s="1"/>
  <c r="AV162" i="1"/>
  <c r="AI714" i="1"/>
  <c r="BY714" i="1" s="1"/>
  <c r="AV771" i="1"/>
  <c r="BV864" i="1"/>
  <c r="BY864" i="1" s="1"/>
  <c r="BV640" i="1"/>
  <c r="AI790" i="1"/>
  <c r="BY790" i="1" s="1"/>
  <c r="AI857" i="1"/>
  <c r="BY857" i="1" s="1"/>
  <c r="AI107" i="1"/>
  <c r="AV637" i="1"/>
  <c r="BI164" i="1"/>
  <c r="AV915" i="1"/>
  <c r="AI519" i="1"/>
  <c r="BY519" i="1" s="1"/>
  <c r="AI718" i="1"/>
  <c r="BY718" i="1" s="1"/>
  <c r="AV823" i="1"/>
  <c r="BY823" i="1" s="1"/>
  <c r="AI141" i="1"/>
  <c r="BY141" i="1" s="1"/>
  <c r="BV133" i="1"/>
  <c r="BY133" i="1" s="1"/>
  <c r="AI996" i="1"/>
  <c r="BY996" i="1" s="1"/>
  <c r="AI675" i="1"/>
  <c r="BY675" i="1" s="1"/>
  <c r="AI213" i="1"/>
  <c r="BY213" i="1" s="1"/>
  <c r="AI337" i="1"/>
  <c r="AI254" i="1"/>
  <c r="BY254" i="1" s="1"/>
  <c r="BI214" i="1"/>
  <c r="AI558" i="1"/>
  <c r="AV271" i="1"/>
  <c r="AI451" i="1"/>
  <c r="BY451" i="1" s="1"/>
  <c r="BV450" i="1"/>
  <c r="AV611" i="1"/>
  <c r="BY611" i="1" s="1"/>
  <c r="AI841" i="1"/>
  <c r="BI909" i="1"/>
  <c r="BI46" i="1"/>
  <c r="BY46" i="1" s="1"/>
  <c r="BV919" i="1"/>
  <c r="BY919" i="1" s="1"/>
  <c r="BV809" i="1"/>
  <c r="BY809" i="1" s="1"/>
  <c r="AI669" i="1"/>
  <c r="BY669" i="1" s="1"/>
  <c r="AV369" i="1"/>
  <c r="BV657" i="1"/>
  <c r="BY657" i="1" s="1"/>
  <c r="BV762" i="1"/>
  <c r="BY762" i="1" s="1"/>
  <c r="AI943" i="1"/>
  <c r="BY943" i="1" s="1"/>
  <c r="AI500" i="1"/>
  <c r="AI333" i="1"/>
  <c r="E51" i="80"/>
  <c r="E41" i="51"/>
  <c r="BI345" i="1"/>
  <c r="BI661" i="1"/>
  <c r="BV619" i="1"/>
  <c r="BV509" i="1"/>
  <c r="AI475" i="1"/>
  <c r="BV74" i="1"/>
  <c r="AV773" i="1"/>
  <c r="AV149" i="1"/>
  <c r="BI617" i="1"/>
  <c r="BV397" i="1"/>
  <c r="BY397" i="1" s="1"/>
  <c r="BV136" i="1"/>
  <c r="AV643" i="1"/>
  <c r="BY643" i="1" s="1"/>
  <c r="BV138" i="1"/>
  <c r="BV251" i="1"/>
  <c r="BV262" i="1"/>
  <c r="AV228" i="1"/>
  <c r="BY228" i="1" s="1"/>
  <c r="BV633" i="1"/>
  <c r="AV37" i="1"/>
  <c r="BY37" i="1" s="1"/>
  <c r="BV863" i="1"/>
  <c r="BI73" i="1"/>
  <c r="BY73" i="1" s="1"/>
  <c r="BI839" i="1"/>
  <c r="AV18" i="1"/>
  <c r="BY986" i="1"/>
  <c r="BY573" i="1"/>
  <c r="BY262" i="1"/>
  <c r="BY230" i="1"/>
  <c r="BY980" i="1"/>
  <c r="BY345" i="1"/>
  <c r="BY735" i="1"/>
  <c r="BY430" i="1"/>
  <c r="BY450" i="1"/>
  <c r="BY81" i="1"/>
  <c r="BY557" i="1"/>
  <c r="BY649" i="1"/>
  <c r="BY784" i="1"/>
  <c r="BY51" i="1"/>
  <c r="D52" i="80"/>
  <c r="AI33" i="1"/>
  <c r="BY33" i="1" s="1"/>
  <c r="D42" i="51"/>
  <c r="V48" i="51"/>
  <c r="V17" i="61"/>
  <c r="AI700" i="1"/>
  <c r="BY700" i="1" s="1"/>
  <c r="BV63" i="1"/>
  <c r="BV629" i="1"/>
  <c r="BY727" i="1"/>
  <c r="BI551" i="1"/>
  <c r="S14" i="77"/>
  <c r="S69" i="77"/>
  <c r="S54" i="77"/>
  <c r="S19" i="77"/>
  <c r="S64" i="77"/>
  <c r="S29" i="77"/>
  <c r="S34" i="77"/>
  <c r="S79" i="77"/>
  <c r="S9" i="77"/>
  <c r="S59" i="77"/>
  <c r="S49" i="77"/>
  <c r="S74" i="77"/>
  <c r="AI851" i="1"/>
  <c r="BY851" i="1" s="1"/>
  <c r="AI395" i="1"/>
  <c r="AI862" i="1"/>
  <c r="BI550" i="1"/>
  <c r="AV5" i="1"/>
  <c r="M17" i="61" s="1"/>
  <c r="BI787" i="1"/>
  <c r="BY787" i="1" s="1"/>
  <c r="BI365" i="1"/>
  <c r="BY365" i="1" s="1"/>
  <c r="BI984" i="1"/>
  <c r="BY984" i="1" s="1"/>
  <c r="BI391" i="1"/>
  <c r="BY391" i="1" s="1"/>
  <c r="AV747" i="1"/>
  <c r="BY747" i="1" s="1"/>
  <c r="BY510" i="1"/>
  <c r="BY766" i="1"/>
  <c r="AI320" i="1"/>
  <c r="BY400" i="1"/>
  <c r="BY637" i="1"/>
  <c r="BY366" i="1"/>
  <c r="BY833" i="1"/>
  <c r="BY848" i="1"/>
  <c r="BY634" i="1"/>
  <c r="BY533" i="1"/>
  <c r="AI503" i="1"/>
  <c r="AV951" i="1"/>
  <c r="AI482" i="1"/>
  <c r="BY482" i="1" s="1"/>
  <c r="BV296" i="1"/>
  <c r="BY296" i="1" s="1"/>
  <c r="Q58" i="51"/>
  <c r="BI77" i="1"/>
  <c r="R58" i="51" s="1"/>
  <c r="Q68" i="80"/>
  <c r="BV775" i="1"/>
  <c r="AI300" i="1"/>
  <c r="BY300" i="1" s="1"/>
  <c r="BV495" i="1"/>
  <c r="AI974" i="1"/>
  <c r="BY974" i="1" s="1"/>
  <c r="AV518" i="1"/>
  <c r="BY518" i="1" s="1"/>
  <c r="AV201" i="1"/>
  <c r="AI166" i="1"/>
  <c r="BI540" i="1"/>
  <c r="BY540" i="1" s="1"/>
  <c r="BI127" i="1"/>
  <c r="AI318" i="1"/>
  <c r="BV905" i="1"/>
  <c r="BV623" i="1"/>
  <c r="BY420" i="1"/>
  <c r="AV384" i="1"/>
  <c r="BY384" i="1" s="1"/>
  <c r="BV676" i="1"/>
  <c r="BI315" i="1"/>
  <c r="AI572" i="1"/>
  <c r="AI894" i="1"/>
  <c r="BY894" i="1" s="1"/>
  <c r="AI650" i="1"/>
  <c r="BY761" i="1"/>
  <c r="BY954" i="1"/>
  <c r="BY854" i="1"/>
  <c r="BV26" i="1"/>
  <c r="BY26" i="1" s="1"/>
  <c r="AI176" i="1"/>
  <c r="AI939" i="1"/>
  <c r="AI406" i="1"/>
  <c r="BV221" i="1"/>
  <c r="BY221" i="1" s="1"/>
  <c r="BV570" i="1"/>
  <c r="BY570" i="1" s="1"/>
  <c r="BV730" i="1"/>
  <c r="BY730" i="1" s="1"/>
  <c r="AI769" i="1"/>
  <c r="BY769" i="1" s="1"/>
  <c r="P76" i="80"/>
  <c r="AI668" i="1"/>
  <c r="T57" i="80"/>
  <c r="BY406" i="1"/>
  <c r="BY556" i="1"/>
  <c r="BY315" i="1"/>
  <c r="BI569" i="1"/>
  <c r="BY569" i="1" s="1"/>
  <c r="BV733" i="1"/>
  <c r="AV971" i="1"/>
  <c r="L48" i="80"/>
  <c r="BI932" i="1"/>
  <c r="BY932" i="1" s="1"/>
  <c r="AV546" i="1"/>
  <c r="BY754" i="1"/>
  <c r="AI494" i="1"/>
  <c r="AI212" i="1"/>
  <c r="BY212" i="1" s="1"/>
  <c r="AI473" i="1"/>
  <c r="BY473" i="1" s="1"/>
  <c r="BI610" i="1"/>
  <c r="BY610" i="1" s="1"/>
  <c r="AI63" i="1"/>
  <c r="BV13" i="1"/>
  <c r="AV422" i="1"/>
  <c r="BY422" i="1" s="1"/>
  <c r="BY48" i="1"/>
  <c r="AI353" i="1"/>
  <c r="BY353" i="1" s="1"/>
  <c r="BY125" i="1"/>
  <c r="BY602" i="1"/>
  <c r="BY702" i="1"/>
  <c r="BV17" i="1"/>
  <c r="AI924" i="1"/>
  <c r="BY924" i="1" s="1"/>
  <c r="BI902" i="1"/>
  <c r="AV583" i="1"/>
  <c r="AV95" i="1"/>
  <c r="BY95" i="1" s="1"/>
  <c r="AI595" i="1"/>
  <c r="BY595" i="1" s="1"/>
  <c r="AV232" i="1"/>
  <c r="BY232" i="1" s="1"/>
  <c r="AI488" i="1"/>
  <c r="AI930" i="1"/>
  <c r="BY930" i="1" s="1"/>
  <c r="BV276" i="1"/>
  <c r="AV994" i="1"/>
  <c r="AI983" i="1"/>
  <c r="BY983" i="1" s="1"/>
  <c r="AI263" i="1"/>
  <c r="BY263" i="1" s="1"/>
  <c r="AI713" i="1"/>
  <c r="BY676" i="1"/>
  <c r="AV98" i="1"/>
  <c r="AI654" i="1"/>
  <c r="BY654" i="1" s="1"/>
  <c r="AI880" i="1"/>
  <c r="AI600" i="1"/>
  <c r="AI388" i="1"/>
  <c r="BY388" i="1" s="1"/>
  <c r="AI248" i="1"/>
  <c r="BY248" i="1" s="1"/>
  <c r="AI840" i="1"/>
  <c r="BY840" i="1" s="1"/>
  <c r="AI576" i="1"/>
  <c r="AI19" i="1"/>
  <c r="AV908" i="1"/>
  <c r="BY908" i="1" s="1"/>
  <c r="AV506" i="1"/>
  <c r="BI394" i="1"/>
  <c r="BY394" i="1" s="1"/>
  <c r="S53" i="80"/>
  <c r="P67" i="51"/>
  <c r="P62" i="51"/>
  <c r="P61" i="51"/>
  <c r="K17" i="61"/>
  <c r="BI211" i="1"/>
  <c r="BY211" i="1" s="1"/>
  <c r="G48" i="80"/>
  <c r="BY659" i="1"/>
  <c r="AV251" i="1"/>
  <c r="BY251" i="1" s="1"/>
  <c r="AI453" i="1"/>
  <c r="AI608" i="1"/>
  <c r="BY608" i="1" s="1"/>
  <c r="AV217" i="1"/>
  <c r="BY217" i="1" s="1"/>
  <c r="AI194" i="1"/>
  <c r="BY194" i="1" s="1"/>
  <c r="BV755" i="1"/>
  <c r="BY755" i="1" s="1"/>
  <c r="AV886" i="1"/>
  <c r="BY886" i="1" s="1"/>
  <c r="X40" i="80"/>
  <c r="P68" i="51"/>
  <c r="V66" i="51"/>
  <c r="AV318" i="1"/>
  <c r="BY318" i="1" s="1"/>
  <c r="AV677" i="1"/>
  <c r="BY677" i="1" s="1"/>
  <c r="BV298" i="1"/>
  <c r="BY298" i="1" s="1"/>
  <c r="BI161" i="1"/>
  <c r="BV439" i="1"/>
  <c r="BY439" i="1" s="1"/>
  <c r="BI454" i="1"/>
  <c r="B18" i="60" a="1"/>
  <c r="B18" i="60" s="1"/>
  <c r="C18" i="60" s="1"/>
  <c r="A6" i="81" s="1"/>
  <c r="BV531" i="1"/>
  <c r="BY531" i="1" s="1"/>
  <c r="AV256" i="1"/>
  <c r="BY256" i="1" s="1"/>
  <c r="BV104" i="1"/>
  <c r="AI339" i="1"/>
  <c r="BY339" i="1" s="1"/>
  <c r="BI27" i="1"/>
  <c r="BV305" i="1"/>
  <c r="AV966" i="1"/>
  <c r="BY966" i="1" s="1"/>
  <c r="AV740" i="1"/>
  <c r="BY740" i="1" s="1"/>
  <c r="AI440" i="1"/>
  <c r="BI801" i="1"/>
  <c r="BY801" i="1" s="1"/>
  <c r="AI699" i="1"/>
  <c r="BY699" i="1" s="1"/>
  <c r="AI128" i="1"/>
  <c r="BY128" i="1" s="1"/>
  <c r="BI501" i="1"/>
  <c r="BI419" i="1"/>
  <c r="BY419" i="1" s="1"/>
  <c r="AV461" i="1"/>
  <c r="BI292" i="1"/>
  <c r="AI583" i="1"/>
  <c r="BY583" i="1" s="1"/>
  <c r="BI558" i="1"/>
  <c r="BY558" i="1" s="1"/>
  <c r="BV826" i="1"/>
  <c r="AI132" i="1"/>
  <c r="AI724" i="1"/>
  <c r="BY724" i="1" s="1"/>
  <c r="AI941" i="1"/>
  <c r="BY941" i="1" s="1"/>
  <c r="BY574" i="1"/>
  <c r="BY793" i="1"/>
  <c r="BY109" i="1"/>
  <c r="AI276" i="1"/>
  <c r="BY276" i="1" s="1"/>
  <c r="H49" i="51"/>
  <c r="BY931" i="1"/>
  <c r="BI148" i="1"/>
  <c r="AV84" i="1"/>
  <c r="BY84" i="1" s="1"/>
  <c r="AV670" i="1"/>
  <c r="BY670" i="1" s="1"/>
  <c r="BY344" i="1"/>
  <c r="BY6" i="1"/>
  <c r="BY863" i="1"/>
  <c r="BY487" i="1"/>
  <c r="AI377" i="1"/>
  <c r="BY377" i="1" s="1"/>
  <c r="AI674" i="1"/>
  <c r="BY674" i="1" s="1"/>
  <c r="AI936" i="1"/>
  <c r="BY936" i="1" s="1"/>
  <c r="BV395" i="1"/>
  <c r="BY395" i="1" s="1"/>
  <c r="AV982" i="1"/>
  <c r="V67" i="80"/>
  <c r="V57" i="51"/>
  <c r="AI546" i="1"/>
  <c r="AI993" i="1"/>
  <c r="AI906" i="1"/>
  <c r="BY906" i="1" s="1"/>
  <c r="AI832" i="1"/>
  <c r="BV912" i="1"/>
  <c r="AV774" i="1"/>
  <c r="BY774" i="1" s="1"/>
  <c r="AI36" i="1"/>
  <c r="BI100" i="1"/>
  <c r="BY100" i="1" s="1"/>
  <c r="AV337" i="1"/>
  <c r="BY337" i="1" s="1"/>
  <c r="BI176" i="1"/>
  <c r="BY176" i="1" s="1"/>
  <c r="BV122" i="1"/>
  <c r="BY122" i="1" s="1"/>
  <c r="AI114" i="1"/>
  <c r="BY114" i="1" s="1"/>
  <c r="BI355" i="1"/>
  <c r="BY355" i="1" s="1"/>
  <c r="BY938" i="1"/>
  <c r="BY626" i="1"/>
  <c r="BY417" i="1"/>
  <c r="BY839" i="1"/>
  <c r="BY193" i="1"/>
  <c r="BY994" i="1"/>
  <c r="BY475" i="1"/>
  <c r="BY630" i="1"/>
  <c r="BY837" i="1"/>
  <c r="BY376" i="1"/>
  <c r="BY132" i="1"/>
  <c r="AI44" i="1"/>
  <c r="AV845" i="1"/>
  <c r="BY845" i="1" s="1"/>
  <c r="BY500" i="1"/>
  <c r="BY183" i="1"/>
  <c r="BY952" i="1"/>
  <c r="BY152" i="1"/>
  <c r="BY363" i="1"/>
  <c r="BY411" i="1"/>
  <c r="BY635" i="1"/>
  <c r="BY460" i="1"/>
  <c r="BY564" i="1"/>
  <c r="BY28" i="1"/>
  <c r="BY713" i="1"/>
  <c r="BY205" i="1"/>
  <c r="AV446" i="1"/>
  <c r="BV781" i="1"/>
  <c r="T48" i="80"/>
  <c r="BV598" i="1"/>
  <c r="AV871" i="1"/>
  <c r="BY871" i="1" s="1"/>
  <c r="F47" i="51"/>
  <c r="AI813" i="1"/>
  <c r="BY813" i="1" s="1"/>
  <c r="BI369" i="1"/>
  <c r="BY369" i="1" s="1"/>
  <c r="AI52" i="1"/>
  <c r="H17" i="60" s="1"/>
  <c r="AV368" i="1"/>
  <c r="BY368" i="1" s="1"/>
  <c r="BY253" i="1"/>
  <c r="BI865" i="1"/>
  <c r="BY865" i="1" s="1"/>
  <c r="AI188" i="1"/>
  <c r="BY188" i="1" s="1"/>
  <c r="AI642" i="1"/>
  <c r="BY642" i="1" s="1"/>
  <c r="BI145" i="1"/>
  <c r="AI11" i="1"/>
  <c r="BY11" i="1" s="1"/>
  <c r="BV655" i="1"/>
  <c r="BY655" i="1" s="1"/>
  <c r="V65" i="80"/>
  <c r="AI785" i="1"/>
  <c r="BY785" i="1" s="1"/>
  <c r="AI492" i="1"/>
  <c r="AI744" i="1"/>
  <c r="BV453" i="1"/>
  <c r="BI990" i="1"/>
  <c r="BY990" i="1" s="1"/>
  <c r="AV798" i="1"/>
  <c r="AV946" i="1"/>
  <c r="BY946" i="1" s="1"/>
  <c r="AV509" i="1"/>
  <c r="BY509" i="1" s="1"/>
  <c r="AI454" i="1"/>
  <c r="AI462" i="1"/>
  <c r="AI47" i="1"/>
  <c r="BY47" i="1" s="1"/>
  <c r="AV503" i="1"/>
  <c r="AV405" i="1"/>
  <c r="BY405" i="1" s="1"/>
  <c r="BI589" i="1"/>
  <c r="BY589" i="1" s="1"/>
  <c r="BV576" i="1"/>
  <c r="BY576" i="1" s="1"/>
  <c r="BV503" i="1"/>
  <c r="BV988" i="1"/>
  <c r="BY988" i="1" s="1"/>
  <c r="BY112" i="1"/>
  <c r="BY520" i="1"/>
  <c r="BI853" i="1"/>
  <c r="AI853" i="1"/>
  <c r="BV331" i="1"/>
  <c r="BY331" i="1" s="1"/>
  <c r="BY530" i="1"/>
  <c r="BY271" i="1"/>
  <c r="AV522" i="1"/>
  <c r="AI773" i="1"/>
  <c r="BY773" i="1" s="1"/>
  <c r="AI641" i="1"/>
  <c r="BY641" i="1" s="1"/>
  <c r="AV910" i="1"/>
  <c r="BY910" i="1" s="1"/>
  <c r="BV202" i="1"/>
  <c r="AV409" i="1"/>
  <c r="BI948" i="1"/>
  <c r="AV824" i="1"/>
  <c r="BY824" i="1" s="1"/>
  <c r="AV156" i="1"/>
  <c r="BY156" i="1" s="1"/>
  <c r="BY875" i="1"/>
  <c r="BY202" i="1"/>
  <c r="BY136" i="1"/>
  <c r="BY386" i="1"/>
  <c r="BY266" i="1"/>
  <c r="BY190" i="1"/>
  <c r="BY1002" i="1"/>
  <c r="BY466" i="1"/>
  <c r="BY811" i="1"/>
  <c r="BY859" i="1"/>
  <c r="BY330" i="1"/>
  <c r="BY891" i="1"/>
  <c r="BY794" i="1"/>
  <c r="BY233" i="1"/>
  <c r="BY223" i="1"/>
  <c r="N47" i="51"/>
  <c r="BY971" i="1"/>
  <c r="AI249" i="1"/>
  <c r="F57" i="80"/>
  <c r="AV268" i="1"/>
  <c r="BY268" i="1" s="1"/>
  <c r="BI131" i="1"/>
  <c r="BI130" i="1"/>
  <c r="AI161" i="1"/>
  <c r="BY161" i="1" s="1"/>
  <c r="AI225" i="1"/>
  <c r="BY225" i="1" s="1"/>
  <c r="AI972" i="1"/>
  <c r="BY972" i="1" s="1"/>
  <c r="BI98" i="1"/>
  <c r="BY98" i="1" s="1"/>
  <c r="AV204" i="1"/>
  <c r="AI967" i="1"/>
  <c r="BY967" i="1" s="1"/>
  <c r="AI632" i="1"/>
  <c r="BY632" i="1" s="1"/>
  <c r="BV562" i="1"/>
  <c r="AV622" i="1"/>
  <c r="BI220" i="1"/>
  <c r="BY220" i="1" s="1"/>
  <c r="AI443" i="1"/>
  <c r="AV55" i="1"/>
  <c r="BY55" i="1" s="1"/>
  <c r="AI180" i="1"/>
  <c r="BY180" i="1" s="1"/>
  <c r="BV286" i="1"/>
  <c r="BY286" i="1" s="1"/>
  <c r="BI59" i="1"/>
  <c r="N69" i="80"/>
  <c r="N59" i="51"/>
  <c r="BV39" i="1"/>
  <c r="BY39" i="1" s="1"/>
  <c r="V53" i="80"/>
  <c r="V43" i="51"/>
  <c r="W59" i="80"/>
  <c r="W49" i="51"/>
  <c r="BV489" i="1"/>
  <c r="AI138" i="1"/>
  <c r="AV352" i="1"/>
  <c r="AI168" i="1"/>
  <c r="BY168" i="1" s="1"/>
  <c r="N59" i="80"/>
  <c r="AI431" i="1"/>
  <c r="BY431" i="1" s="1"/>
  <c r="AV407" i="1"/>
  <c r="BY407" i="1" s="1"/>
  <c r="AI706" i="1"/>
  <c r="BY706" i="1" s="1"/>
  <c r="BV385" i="1"/>
  <c r="AI594" i="1"/>
  <c r="BY594" i="1" s="1"/>
  <c r="BV177" i="1"/>
  <c r="T65" i="80"/>
  <c r="T55" i="51"/>
  <c r="BV436" i="1"/>
  <c r="BI982" i="1"/>
  <c r="BY982" i="1" s="1"/>
  <c r="BV80" i="1"/>
  <c r="AV325" i="1"/>
  <c r="BY325" i="1" s="1"/>
  <c r="BI314" i="1"/>
  <c r="BY314" i="1" s="1"/>
  <c r="AI686" i="1"/>
  <c r="BY686" i="1" s="1"/>
  <c r="AI664" i="1"/>
  <c r="BY664" i="1" s="1"/>
  <c r="BY63" i="1"/>
  <c r="T43" i="51"/>
  <c r="H17" i="61"/>
  <c r="H48" i="51"/>
  <c r="BY738" i="1"/>
  <c r="F43" i="51"/>
  <c r="BY107" i="1"/>
  <c r="BI568" i="1"/>
  <c r="AI299" i="1"/>
  <c r="BY299" i="1" s="1"/>
  <c r="AV991" i="1"/>
  <c r="E39" i="51"/>
  <c r="E49" i="80"/>
  <c r="AI17" i="1"/>
  <c r="AI446" i="1"/>
  <c r="BI512" i="1"/>
  <c r="BY512" i="1" s="1"/>
  <c r="AV288" i="1"/>
  <c r="BY288" i="1" s="1"/>
  <c r="AI740" i="1"/>
  <c r="BV959" i="1"/>
  <c r="AI736" i="1"/>
  <c r="BY736" i="1" s="1"/>
  <c r="BI526" i="1"/>
  <c r="BY526" i="1" s="1"/>
  <c r="AI772" i="1"/>
  <c r="BY772" i="1" s="1"/>
  <c r="AV471" i="1"/>
  <c r="BY471" i="1" s="1"/>
  <c r="AV917" i="1"/>
  <c r="BY917" i="1" s="1"/>
  <c r="AV804" i="1"/>
  <c r="BY804" i="1" s="1"/>
  <c r="AV705" i="1"/>
  <c r="BY705" i="1" s="1"/>
  <c r="AI241" i="1"/>
  <c r="BY241" i="1" s="1"/>
  <c r="BI541" i="1"/>
  <c r="AI796" i="1"/>
  <c r="AI101" i="1"/>
  <c r="BV474" i="1"/>
  <c r="BY474" i="1" s="1"/>
  <c r="BY462" i="1"/>
  <c r="AV644" i="1"/>
  <c r="V55" i="51"/>
  <c r="S4" i="77"/>
  <c r="C17" i="60"/>
  <c r="A5" i="81" s="1"/>
  <c r="P65" i="51"/>
  <c r="BY305" i="1"/>
  <c r="BY733" i="1"/>
  <c r="AI477" i="1"/>
  <c r="BY477" i="1" s="1"/>
  <c r="AI381" i="1"/>
  <c r="BY381" i="1" s="1"/>
  <c r="AI408" i="1"/>
  <c r="BY408" i="1" s="1"/>
  <c r="BV166" i="1"/>
  <c r="BY166" i="1" s="1"/>
  <c r="BV835" i="1"/>
  <c r="BY835" i="1" s="1"/>
  <c r="BV147" i="1"/>
  <c r="BV869" i="1"/>
  <c r="BY869" i="1" s="1"/>
  <c r="BI36" i="1"/>
  <c r="BY36" i="1" s="1"/>
  <c r="Q40" i="51"/>
  <c r="Q50" i="80"/>
  <c r="BI30" i="1"/>
  <c r="BI278" i="1"/>
  <c r="Q47" i="51"/>
  <c r="BV666" i="1"/>
  <c r="AI534" i="1"/>
  <c r="BY534" i="1" s="1"/>
  <c r="BI554" i="1"/>
  <c r="BY554" i="1" s="1"/>
  <c r="AI788" i="1"/>
  <c r="AI560" i="1"/>
  <c r="BY560" i="1" s="1"/>
  <c r="AI239" i="1"/>
  <c r="BY239" i="1" s="1"/>
  <c r="BV893" i="1"/>
  <c r="AV944" i="1"/>
  <c r="BY944" i="1" s="1"/>
  <c r="AI923" i="1"/>
  <c r="BV278" i="1"/>
  <c r="BV244" i="1"/>
  <c r="BV998" i="1"/>
  <c r="AI691" i="1"/>
  <c r="BY691" i="1" s="1"/>
  <c r="V48" i="80"/>
  <c r="AV665" i="1"/>
  <c r="AI628" i="1"/>
  <c r="BY628" i="1" s="1"/>
  <c r="BV842" i="1"/>
  <c r="BY842" i="1" s="1"/>
  <c r="AV164" i="1"/>
  <c r="BY164" i="1" s="1"/>
  <c r="BI415" i="1"/>
  <c r="AV731" i="1"/>
  <c r="AI201" i="1"/>
  <c r="BY201" i="1" s="1"/>
  <c r="AI701" i="1"/>
  <c r="BY701" i="1" s="1"/>
  <c r="BY402" i="1"/>
  <c r="R68" i="80"/>
  <c r="BY68" i="1"/>
  <c r="R18" i="61"/>
  <c r="AI951" i="1"/>
  <c r="BY951" i="1" s="1"/>
  <c r="X56" i="80"/>
  <c r="P74" i="80"/>
  <c r="P79" i="80"/>
  <c r="AV744" i="1"/>
  <c r="BY744" i="1" s="1"/>
  <c r="BV486" i="1"/>
  <c r="AI189" i="1"/>
  <c r="BY189" i="1" s="1"/>
  <c r="BI177" i="1"/>
  <c r="AI568" i="1"/>
  <c r="BY568" i="1" s="1"/>
  <c r="BI561" i="1"/>
  <c r="BY561" i="1" s="1"/>
  <c r="AI124" i="1"/>
  <c r="BY124" i="1" s="1"/>
  <c r="BV862" i="1"/>
  <c r="BY862" i="1" s="1"/>
  <c r="AV536" i="1"/>
  <c r="BY536" i="1" s="1"/>
  <c r="BV116" i="1"/>
  <c r="BY116" i="1" s="1"/>
  <c r="AI874" i="1"/>
  <c r="BY874" i="1" s="1"/>
  <c r="BI352" i="1"/>
  <c r="BY352" i="1" s="1"/>
  <c r="BY461" i="1"/>
  <c r="AV810" i="1"/>
  <c r="BY810" i="1" s="1"/>
  <c r="AV893" i="1"/>
  <c r="BI157" i="1"/>
  <c r="BY157" i="1" s="1"/>
  <c r="BI827" i="1"/>
  <c r="BY827" i="1" s="1"/>
  <c r="AI522" i="1"/>
  <c r="BY522" i="1" s="1"/>
  <c r="BI911" i="1"/>
  <c r="BY911" i="1" s="1"/>
  <c r="AV206" i="1"/>
  <c r="BY206" i="1" s="1"/>
  <c r="AV898" i="1"/>
  <c r="BY898" i="1" s="1"/>
  <c r="K18" i="61"/>
  <c r="AV486" i="1"/>
  <c r="BI907" i="1"/>
  <c r="BV334" i="1"/>
  <c r="BY334" i="1" s="1"/>
  <c r="BV409" i="1"/>
  <c r="BV668" i="1"/>
  <c r="BY668" i="1" s="1"/>
  <c r="AV685" i="1"/>
  <c r="AI834" i="1"/>
  <c r="BY834" i="1" s="1"/>
  <c r="H41" i="51"/>
  <c r="X41" i="51" s="1"/>
  <c r="H51" i="80"/>
  <c r="X51" i="80" s="1"/>
  <c r="BY34" i="1"/>
  <c r="BY914" i="1"/>
  <c r="AI948" i="1"/>
  <c r="AI934" i="1"/>
  <c r="BV625" i="1"/>
  <c r="BY625" i="1" s="1"/>
  <c r="AV765" i="1"/>
  <c r="BI861" i="1"/>
  <c r="BY861" i="1" s="1"/>
  <c r="BI929" i="1"/>
  <c r="BI312" i="1"/>
  <c r="BY312" i="1" s="1"/>
  <c r="AI364" i="1"/>
  <c r="BY364" i="1" s="1"/>
  <c r="AV437" i="1"/>
  <c r="BY437" i="1" s="1"/>
  <c r="BI272" i="1"/>
  <c r="BY272" i="1" s="1"/>
  <c r="AI716" i="1"/>
  <c r="AI844" i="1"/>
  <c r="BY844" i="1" s="1"/>
  <c r="BV882" i="1"/>
  <c r="BI373" i="1"/>
  <c r="BY373" i="1" s="1"/>
  <c r="BI142" i="1"/>
  <c r="BV650" i="1"/>
  <c r="BY650" i="1" s="1"/>
  <c r="BV492" i="1"/>
  <c r="I47" i="80"/>
  <c r="AI619" i="1"/>
  <c r="BY619" i="1" s="1"/>
  <c r="AV354" i="1"/>
  <c r="BY354" i="1" s="1"/>
  <c r="AI464" i="1"/>
  <c r="P71" i="80"/>
  <c r="BI453" i="1"/>
  <c r="BY453" i="1" s="1"/>
  <c r="AV728" i="1"/>
  <c r="BY728" i="1" s="1"/>
  <c r="BI798" i="1"/>
  <c r="BI771" i="1"/>
  <c r="AV775" i="1"/>
  <c r="AI264" i="1"/>
  <c r="BY264" i="1" s="1"/>
  <c r="AV541" i="1"/>
  <c r="AV822" i="1"/>
  <c r="BY822" i="1" s="1"/>
  <c r="AV868" i="1"/>
  <c r="BY868" i="1" s="1"/>
  <c r="G55" i="80"/>
  <c r="AI21" i="1"/>
  <c r="G45" i="51"/>
  <c r="BY513" i="1"/>
  <c r="BY562" i="1"/>
  <c r="AI783" i="1"/>
  <c r="BY783" i="1" s="1"/>
  <c r="BY788" i="1"/>
  <c r="AI468" i="1"/>
  <c r="BY468" i="1" s="1"/>
  <c r="AI925" i="1"/>
  <c r="AV38" i="1"/>
  <c r="BY38" i="1" s="1"/>
  <c r="AI771" i="1"/>
  <c r="AI448" i="1"/>
  <c r="AV99" i="1"/>
  <c r="BY99" i="1" s="1"/>
  <c r="E43" i="51"/>
  <c r="E65" i="80"/>
  <c r="E53" i="80"/>
  <c r="E55" i="51"/>
  <c r="AI666" i="1"/>
  <c r="P17" i="60"/>
  <c r="T17" i="60"/>
  <c r="U17" i="60"/>
  <c r="F17" i="60"/>
  <c r="L17" i="60"/>
  <c r="S17" i="60"/>
  <c r="K17" i="60"/>
  <c r="J17" i="60"/>
  <c r="G17" i="60"/>
  <c r="E17" i="60"/>
  <c r="Q17" i="60"/>
  <c r="I17" i="60"/>
  <c r="N17" i="60"/>
  <c r="V18" i="60"/>
  <c r="D17" i="60"/>
  <c r="AI687" i="1"/>
  <c r="BY687" i="1" s="1"/>
  <c r="AV70" i="1"/>
  <c r="M58" i="51" s="1"/>
  <c r="I58" i="51"/>
  <c r="I68" i="80"/>
  <c r="AV502" i="1"/>
  <c r="BY502" i="1" s="1"/>
  <c r="AV307" i="1"/>
  <c r="AI909" i="1"/>
  <c r="BY909" i="1" s="1"/>
  <c r="BI12" i="1"/>
  <c r="N55" i="51"/>
  <c r="BA1" i="1"/>
  <c r="N65" i="80"/>
  <c r="AV324" i="1"/>
  <c r="BY324" i="1" s="1"/>
  <c r="I53" i="80"/>
  <c r="AV31" i="1"/>
  <c r="M65" i="80" s="1"/>
  <c r="I43" i="51"/>
  <c r="BV203" i="1"/>
  <c r="BY203" i="1" s="1"/>
  <c r="BV77" i="1"/>
  <c r="V47" i="80"/>
  <c r="D37" i="51"/>
  <c r="D47" i="80"/>
  <c r="AI78" i="1"/>
  <c r="D68" i="80"/>
  <c r="D58" i="51"/>
  <c r="P57" i="80"/>
  <c r="P47" i="51"/>
  <c r="J17" i="61"/>
  <c r="J58" i="80"/>
  <c r="J48" i="51"/>
  <c r="J55" i="51"/>
  <c r="J65" i="80"/>
  <c r="AP1" i="1"/>
  <c r="BI935" i="1"/>
  <c r="BY935" i="1" s="1"/>
  <c r="AV567" i="1"/>
  <c r="BY567" i="1" s="1"/>
  <c r="N37" i="51"/>
  <c r="AI495" i="1"/>
  <c r="BY495" i="1" s="1"/>
  <c r="AI629" i="1"/>
  <c r="BY629" i="1" s="1"/>
  <c r="BV949" i="1"/>
  <c r="AI719" i="1"/>
  <c r="BY719" i="1" s="1"/>
  <c r="BI517" i="1"/>
  <c r="BY517" i="1" s="1"/>
  <c r="BI900" i="1"/>
  <c r="BY900" i="1" s="1"/>
  <c r="Q66" i="80"/>
  <c r="Q56" i="51"/>
  <c r="AV832" i="1"/>
  <c r="BV273" i="1"/>
  <c r="BY273" i="1" s="1"/>
  <c r="F38" i="51"/>
  <c r="F56" i="51"/>
  <c r="F66" i="80"/>
  <c r="AE1" i="1"/>
  <c r="AI13" i="1"/>
  <c r="D67" i="80"/>
  <c r="D57" i="51"/>
  <c r="BV94" i="1"/>
  <c r="AI489" i="1"/>
  <c r="AI171" i="1"/>
  <c r="BY171" i="1" s="1"/>
  <c r="AI551" i="1"/>
  <c r="BV688" i="1"/>
  <c r="BY688" i="1" s="1"/>
  <c r="J59" i="51"/>
  <c r="J69" i="80"/>
  <c r="BV740" i="1"/>
  <c r="BV438" i="1"/>
  <c r="L55" i="80"/>
  <c r="L45" i="51"/>
  <c r="AI396" i="1"/>
  <c r="BY396" i="1" s="1"/>
  <c r="BI357" i="1"/>
  <c r="BY357" i="1" s="1"/>
  <c r="AV347" i="1"/>
  <c r="BY347" i="1" s="1"/>
  <c r="BV306" i="1"/>
  <c r="BY306" i="1" s="1"/>
  <c r="AV311" i="1"/>
  <c r="AV151" i="1"/>
  <c r="BY151" i="1" s="1"/>
  <c r="AI245" i="1"/>
  <c r="BY245" i="1" s="1"/>
  <c r="BV416" i="1"/>
  <c r="BY416" i="1" s="1"/>
  <c r="AI915" i="1"/>
  <c r="BY915" i="1" s="1"/>
  <c r="AV390" i="1"/>
  <c r="BY390" i="1" s="1"/>
  <c r="AV883" i="1"/>
  <c r="BY883" i="1" s="1"/>
  <c r="BI939" i="1"/>
  <c r="BY939" i="1" s="1"/>
  <c r="BV506" i="1"/>
  <c r="BI348" i="1"/>
  <c r="BY348" i="1" s="1"/>
  <c r="BI250" i="1"/>
  <c r="BY250" i="1" s="1"/>
  <c r="BI448" i="1"/>
  <c r="AI775" i="1"/>
  <c r="V59" i="51"/>
  <c r="V69" i="80"/>
  <c r="U48" i="80"/>
  <c r="U38" i="51"/>
  <c r="U66" i="80"/>
  <c r="U56" i="51"/>
  <c r="AI601" i="1"/>
  <c r="AI798" i="1"/>
  <c r="AV438" i="1"/>
  <c r="BY438" i="1" s="1"/>
  <c r="AV255" i="1"/>
  <c r="BY255" i="1" s="1"/>
  <c r="AI866" i="1"/>
  <c r="T68" i="80"/>
  <c r="T58" i="51"/>
  <c r="AI598" i="1"/>
  <c r="BY598" i="1" s="1"/>
  <c r="AV640" i="1"/>
  <c r="BY640" i="1" s="1"/>
  <c r="AI80" i="1"/>
  <c r="AV918" i="1"/>
  <c r="BY918" i="1" s="1"/>
  <c r="BV101" i="1"/>
  <c r="BI307" i="1"/>
  <c r="BV340" i="1"/>
  <c r="BY340" i="1" s="1"/>
  <c r="AI349" i="1"/>
  <c r="BY349" i="1" s="1"/>
  <c r="AI991" i="1"/>
  <c r="BY991" i="1" s="1"/>
  <c r="AV497" i="1"/>
  <c r="BY497" i="1" s="1"/>
  <c r="AI104" i="1"/>
  <c r="BY104" i="1" s="1"/>
  <c r="BV71" i="1"/>
  <c r="S58" i="51"/>
  <c r="S68" i="80"/>
  <c r="AI596" i="1"/>
  <c r="G59" i="51"/>
  <c r="G69" i="80"/>
  <c r="AV866" i="1"/>
  <c r="G47" i="80"/>
  <c r="L18" i="61"/>
  <c r="F51" i="51"/>
  <c r="P75" i="80"/>
  <c r="P60" i="51"/>
  <c r="P70" i="80"/>
  <c r="BY501" i="1"/>
  <c r="N57" i="80"/>
  <c r="BY717" i="1"/>
  <c r="BI731" i="1"/>
  <c r="AV77" i="1"/>
  <c r="BY77" i="1" s="1"/>
  <c r="BV229" i="1"/>
  <c r="BY229" i="1" s="1"/>
  <c r="BV551" i="1"/>
  <c r="AV371" i="1"/>
  <c r="AI786" i="1"/>
  <c r="BY786" i="1" s="1"/>
  <c r="K58" i="51"/>
  <c r="K68" i="80"/>
  <c r="AV802" i="1"/>
  <c r="BV970" i="1"/>
  <c r="BY970" i="1" s="1"/>
  <c r="BV767" i="1"/>
  <c r="BY767" i="1" s="1"/>
  <c r="AI42" i="1"/>
  <c r="AI297" i="1"/>
  <c r="BY297" i="1" s="1"/>
  <c r="BV238" i="1"/>
  <c r="BY238" i="1" s="1"/>
  <c r="BV679" i="1"/>
  <c r="BY679" i="1" s="1"/>
  <c r="AV440" i="1"/>
  <c r="S17" i="61"/>
  <c r="S58" i="80"/>
  <c r="S48" i="51"/>
  <c r="BV43" i="1"/>
  <c r="S66" i="80"/>
  <c r="S56" i="51"/>
  <c r="BV927" i="1"/>
  <c r="BY927" i="1" s="1"/>
  <c r="BV320" i="1"/>
  <c r="BY320" i="1" s="1"/>
  <c r="BV828" i="1"/>
  <c r="BY828" i="1" s="1"/>
  <c r="AV609" i="1"/>
  <c r="BY609" i="1" s="1"/>
  <c r="BV464" i="1"/>
  <c r="BV852" i="1"/>
  <c r="BY852" i="1" s="1"/>
  <c r="AV433" i="1"/>
  <c r="BY433" i="1" s="1"/>
  <c r="AV912" i="1"/>
  <c r="BY912" i="1" s="1"/>
  <c r="AV514" i="1"/>
  <c r="BY514" i="1" s="1"/>
  <c r="AV191" i="1"/>
  <c r="BY191" i="1" s="1"/>
  <c r="AI58" i="1"/>
  <c r="BY58" i="1" s="1"/>
  <c r="BI880" i="1"/>
  <c r="BY880" i="1" s="1"/>
  <c r="L47" i="80"/>
  <c r="L37" i="51"/>
  <c r="L67" i="80"/>
  <c r="AT1" i="1"/>
  <c r="L57" i="51"/>
  <c r="I48" i="51"/>
  <c r="I17" i="61"/>
  <c r="I58" i="80"/>
  <c r="AN1" i="1"/>
  <c r="I65" i="80"/>
  <c r="I55" i="51"/>
  <c r="AI606" i="1"/>
  <c r="BY606" i="1" s="1"/>
  <c r="AV491" i="1"/>
  <c r="BY491" i="1" s="1"/>
  <c r="AV15" i="1"/>
  <c r="I57" i="51"/>
  <c r="I67" i="80"/>
  <c r="I37" i="51"/>
  <c r="K57" i="51"/>
  <c r="K67" i="80"/>
  <c r="K57" i="80"/>
  <c r="AI781" i="1"/>
  <c r="BI993" i="1"/>
  <c r="BI50" i="1"/>
  <c r="BY50" i="1" s="1"/>
  <c r="BI846" i="1"/>
  <c r="BY846" i="1" s="1"/>
  <c r="J37" i="51"/>
  <c r="J47" i="80"/>
  <c r="K65" i="80"/>
  <c r="K55" i="51"/>
  <c r="AR1" i="1"/>
  <c r="AV881" i="1"/>
  <c r="BY881" i="1" s="1"/>
  <c r="AV956" i="1"/>
  <c r="N48" i="51"/>
  <c r="N17" i="61"/>
  <c r="N58" i="80"/>
  <c r="BI43" i="1"/>
  <c r="AV721" i="1"/>
  <c r="BV148" i="1"/>
  <c r="AV885" i="1"/>
  <c r="BY885" i="1" s="1"/>
  <c r="BI138" i="1"/>
  <c r="BY138" i="1" s="1"/>
  <c r="BI308" i="1"/>
  <c r="BI464" i="1"/>
  <c r="BI546" i="1"/>
  <c r="BY546" i="1" s="1"/>
  <c r="K47" i="80"/>
  <c r="AA1" i="1"/>
  <c r="D66" i="80"/>
  <c r="D56" i="51"/>
  <c r="AI7" i="1"/>
  <c r="F57" i="51"/>
  <c r="F67" i="80"/>
  <c r="AI142" i="1"/>
  <c r="AV933" i="1"/>
  <c r="BY933" i="1" s="1"/>
  <c r="AI525" i="1"/>
  <c r="BY525" i="1" s="1"/>
  <c r="AI683" i="1"/>
  <c r="BY683" i="1" s="1"/>
  <c r="AI962" i="1"/>
  <c r="K69" i="80"/>
  <c r="K59" i="51"/>
  <c r="I45" i="51"/>
  <c r="I55" i="80"/>
  <c r="AV21" i="1"/>
  <c r="BV580" i="1"/>
  <c r="AI965" i="1"/>
  <c r="AI285" i="1"/>
  <c r="BY285" i="1" s="1"/>
  <c r="AV580" i="1"/>
  <c r="AI599" i="1"/>
  <c r="BY599" i="1" s="1"/>
  <c r="AI367" i="1"/>
  <c r="BY367" i="1" s="1"/>
  <c r="AV44" i="1"/>
  <c r="I56" i="51"/>
  <c r="I18" i="61"/>
  <c r="I66" i="80"/>
  <c r="I38" i="51"/>
  <c r="AI130" i="1"/>
  <c r="BY130" i="1" s="1"/>
  <c r="AI140" i="1"/>
  <c r="BY140" i="1" s="1"/>
  <c r="AV375" i="1"/>
  <c r="BY375" i="1" s="1"/>
  <c r="BI162" i="1"/>
  <c r="BY162" i="1" s="1"/>
  <c r="AI244" i="1"/>
  <c r="BY244" i="1" s="1"/>
  <c r="BV572" i="1"/>
  <c r="BY572" i="1" s="1"/>
  <c r="AI792" i="1"/>
  <c r="BY792" i="1" s="1"/>
  <c r="U69" i="80"/>
  <c r="U59" i="51"/>
  <c r="AV59" i="1"/>
  <c r="L49" i="51"/>
  <c r="AV895" i="1"/>
  <c r="BY895" i="1" s="1"/>
  <c r="AI882" i="1"/>
  <c r="BY882" i="1" s="1"/>
  <c r="AI907" i="1"/>
  <c r="AI222" i="1"/>
  <c r="BY222" i="1" s="1"/>
  <c r="AV292" i="1"/>
  <c r="BI721" i="1"/>
  <c r="AV493" i="1"/>
  <c r="BV146" i="1"/>
  <c r="BY146" i="1" s="1"/>
  <c r="AI741" i="1"/>
  <c r="BY741" i="1" s="1"/>
  <c r="AV800" i="1"/>
  <c r="BY800" i="1" s="1"/>
  <c r="BV704" i="1"/>
  <c r="BY704" i="1" s="1"/>
  <c r="AI309" i="1"/>
  <c r="BY309" i="1" s="1"/>
  <c r="AI35" i="1"/>
  <c r="BY35" i="1" s="1"/>
  <c r="D53" i="80"/>
  <c r="D55" i="51"/>
  <c r="D43" i="51"/>
  <c r="D65" i="80"/>
  <c r="AI998" i="1"/>
  <c r="BY998" i="1" s="1"/>
  <c r="AI651" i="1"/>
  <c r="BY651" i="1" s="1"/>
  <c r="BI586" i="1"/>
  <c r="BY586" i="1" s="1"/>
  <c r="AV925" i="1"/>
  <c r="BY925" i="1" s="1"/>
  <c r="BI489" i="1"/>
  <c r="AV72" i="1"/>
  <c r="BY72" i="1" s="1"/>
  <c r="L58" i="51"/>
  <c r="L68" i="80"/>
  <c r="AV723" i="1"/>
  <c r="BY723" i="1" s="1"/>
  <c r="BV601" i="1"/>
  <c r="V68" i="80"/>
  <c r="V58" i="51"/>
  <c r="BV135" i="1"/>
  <c r="BY135" i="1" s="1"/>
  <c r="L59" i="80"/>
  <c r="V37" i="51"/>
  <c r="BY596" i="1"/>
  <c r="AI985" i="1"/>
  <c r="BI899" i="1"/>
  <c r="BY899" i="1" s="1"/>
  <c r="AV317" i="1"/>
  <c r="BY317" i="1" s="1"/>
  <c r="AV488" i="1"/>
  <c r="BY488" i="1" s="1"/>
  <c r="BV902" i="1"/>
  <c r="BY902" i="1" s="1"/>
  <c r="BI538" i="1"/>
  <c r="BY538" i="1" s="1"/>
  <c r="AI791" i="1"/>
  <c r="BY791" i="1" s="1"/>
  <c r="AI958" i="1"/>
  <c r="BY958" i="1" s="1"/>
  <c r="T48" i="51"/>
  <c r="T51" i="51" s="1"/>
  <c r="T17" i="61"/>
  <c r="T58" i="80"/>
  <c r="BV600" i="1"/>
  <c r="BY600" i="1" s="1"/>
  <c r="BI826" i="1"/>
  <c r="AV957" i="1"/>
  <c r="BY957" i="1" s="1"/>
  <c r="BI689" i="1"/>
  <c r="BY689" i="1" s="1"/>
  <c r="BV563" i="1"/>
  <c r="BY563" i="1" s="1"/>
  <c r="AI29" i="1"/>
  <c r="BY929" i="1"/>
  <c r="F69" i="80"/>
  <c r="F59" i="51"/>
  <c r="G68" i="80"/>
  <c r="G58" i="51"/>
  <c r="BV19" i="1"/>
  <c r="S47" i="80"/>
  <c r="S37" i="51"/>
  <c r="S57" i="51"/>
  <c r="BN1" i="1"/>
  <c r="S67" i="80"/>
  <c r="BV524" i="1"/>
  <c r="G53" i="80"/>
  <c r="G43" i="51"/>
  <c r="G55" i="51"/>
  <c r="G65" i="80"/>
  <c r="AV294" i="1"/>
  <c r="BY294" i="1" s="1"/>
  <c r="BV88" i="1"/>
  <c r="BY88" i="1" s="1"/>
  <c r="AI506" i="1"/>
  <c r="BI685" i="1"/>
  <c r="BY685" i="1" s="1"/>
  <c r="AV987" i="1"/>
  <c r="BY987" i="1" s="1"/>
  <c r="I48" i="80"/>
  <c r="E57" i="51"/>
  <c r="E67" i="80"/>
  <c r="AI617" i="1"/>
  <c r="BY617" i="1" s="1"/>
  <c r="AI524" i="1"/>
  <c r="AV56" i="1"/>
  <c r="I59" i="51"/>
  <c r="I69" i="80"/>
  <c r="AI362" i="1"/>
  <c r="BY362" i="1" s="1"/>
  <c r="AI956" i="1"/>
  <c r="BI371" i="1"/>
  <c r="AV169" i="1"/>
  <c r="BY169" i="1" s="1"/>
  <c r="BI949" i="1"/>
  <c r="AI258" i="1"/>
  <c r="BY258" i="1" s="1"/>
  <c r="AI575" i="1"/>
  <c r="BY575" i="1" s="1"/>
  <c r="AV696" i="1"/>
  <c r="BY696" i="1" s="1"/>
  <c r="AI459" i="1"/>
  <c r="BY459" i="1" s="1"/>
  <c r="T69" i="80"/>
  <c r="T59" i="51"/>
  <c r="V38" i="51"/>
  <c r="BV22" i="1"/>
  <c r="W56" i="51" s="1"/>
  <c r="V56" i="51"/>
  <c r="V66" i="80"/>
  <c r="BT1" i="1"/>
  <c r="AI858" i="1"/>
  <c r="BY858" i="1" s="1"/>
  <c r="J59" i="80"/>
  <c r="J49" i="51"/>
  <c r="AI45" i="1"/>
  <c r="BY45" i="1" s="1"/>
  <c r="AI616" i="1"/>
  <c r="BY616" i="1" s="1"/>
  <c r="AI694" i="1"/>
  <c r="BY694" i="1" s="1"/>
  <c r="BV665" i="1"/>
  <c r="BV490" i="1"/>
  <c r="BY490" i="1" s="1"/>
  <c r="F68" i="80"/>
  <c r="F58" i="51"/>
  <c r="BV207" i="1"/>
  <c r="AI147" i="1"/>
  <c r="BY147" i="1" s="1"/>
  <c r="AI729" i="1"/>
  <c r="BI945" i="1"/>
  <c r="BY945" i="1" s="1"/>
  <c r="J58" i="51"/>
  <c r="J68" i="80"/>
  <c r="AI486" i="1"/>
  <c r="BY486" i="1" s="1"/>
  <c r="AV550" i="1"/>
  <c r="BY550" i="1" s="1"/>
  <c r="AI413" i="1"/>
  <c r="BY413" i="1" s="1"/>
  <c r="BV965" i="1"/>
  <c r="BC1" i="1"/>
  <c r="BY962" i="1"/>
  <c r="F55" i="51"/>
  <c r="F65" i="80"/>
  <c r="Q47" i="80"/>
  <c r="Q37" i="51"/>
  <c r="Q55" i="51"/>
  <c r="Q65" i="80"/>
  <c r="BG1" i="1"/>
  <c r="BY27" i="1"/>
  <c r="BY440" i="1"/>
  <c r="G38" i="51"/>
  <c r="G56" i="51"/>
  <c r="G66" i="80"/>
  <c r="AG1" i="1"/>
  <c r="P58" i="80"/>
  <c r="P61" i="80" s="1"/>
  <c r="P48" i="51"/>
  <c r="P17" i="61"/>
  <c r="P66" i="80"/>
  <c r="BE1" i="1"/>
  <c r="P56" i="51"/>
  <c r="BV18" i="1"/>
  <c r="U49" i="80"/>
  <c r="U39" i="51"/>
  <c r="U57" i="51"/>
  <c r="U67" i="80"/>
  <c r="BR1" i="1"/>
  <c r="J47" i="51"/>
  <c r="J57" i="51"/>
  <c r="J67" i="80"/>
  <c r="AV13" i="1"/>
  <c r="T57" i="51"/>
  <c r="T47" i="80"/>
  <c r="BP1" i="1"/>
  <c r="T67" i="80"/>
  <c r="BV555" i="1"/>
  <c r="BY555" i="1" s="1"/>
  <c r="AV153" i="1"/>
  <c r="BY153" i="1" s="1"/>
  <c r="AV582" i="1"/>
  <c r="BY582" i="1" s="1"/>
  <c r="BI969" i="1"/>
  <c r="BY969" i="1" s="1"/>
  <c r="BI802" i="1"/>
  <c r="BV287" i="1"/>
  <c r="BY287" i="1" s="1"/>
  <c r="BI622" i="1"/>
  <c r="BY622" i="1" s="1"/>
  <c r="BI796" i="1"/>
  <c r="BY796" i="1" s="1"/>
  <c r="U37" i="51"/>
  <c r="U47" i="80"/>
  <c r="E38" i="51"/>
  <c r="E48" i="80"/>
  <c r="E66" i="80"/>
  <c r="E56" i="51"/>
  <c r="AC1" i="1"/>
  <c r="G57" i="80"/>
  <c r="G47" i="51"/>
  <c r="G57" i="51"/>
  <c r="G67" i="80"/>
  <c r="AV553" i="1"/>
  <c r="BY553" i="1" s="1"/>
  <c r="AV498" i="1"/>
  <c r="BY498" i="1" s="1"/>
  <c r="L69" i="80"/>
  <c r="L59" i="51"/>
  <c r="AI887" i="1"/>
  <c r="BY887" i="1" s="1"/>
  <c r="AV926" i="1"/>
  <c r="BY926" i="1" s="1"/>
  <c r="AV385" i="1"/>
  <c r="BY385" i="1" s="1"/>
  <c r="BV494" i="1"/>
  <c r="BY494" i="1" s="1"/>
  <c r="AI870" i="1"/>
  <c r="BY870" i="1" s="1"/>
  <c r="AI652" i="1"/>
  <c r="BY652" i="1" s="1"/>
  <c r="AI516" i="1"/>
  <c r="BY516" i="1" s="1"/>
  <c r="AV341" i="1"/>
  <c r="BY341" i="1" s="1"/>
  <c r="BI836" i="1"/>
  <c r="BY836" i="1" s="1"/>
  <c r="K48" i="80"/>
  <c r="K66" i="80"/>
  <c r="K38" i="51"/>
  <c r="K56" i="51"/>
  <c r="AI131" i="1"/>
  <c r="BY131" i="1" s="1"/>
  <c r="AV310" i="1"/>
  <c r="BY310" i="1" s="1"/>
  <c r="BV647" i="1"/>
  <c r="BY647" i="1" s="1"/>
  <c r="AV393" i="1"/>
  <c r="BY393" i="1" s="1"/>
  <c r="AI507" i="1"/>
  <c r="BY507" i="1" s="1"/>
  <c r="BV52" i="1"/>
  <c r="S38" i="51"/>
  <c r="S48" i="80"/>
  <c r="S59" i="51"/>
  <c r="S69" i="80"/>
  <c r="BY907" i="1"/>
  <c r="AI219" i="1"/>
  <c r="BY219" i="1" s="1"/>
  <c r="AV726" i="1"/>
  <c r="BY726" i="1" s="1"/>
  <c r="AV976" i="1"/>
  <c r="BY976" i="1" s="1"/>
  <c r="AV920" i="1"/>
  <c r="BY920" i="1" s="1"/>
  <c r="AV359" i="1"/>
  <c r="BY359" i="1" s="1"/>
  <c r="AI360" i="1"/>
  <c r="BY360" i="1" s="1"/>
  <c r="BV78" i="1"/>
  <c r="E58" i="51"/>
  <c r="E68" i="80"/>
  <c r="AI182" i="1"/>
  <c r="BY182" i="1" s="1"/>
  <c r="AI662" i="1"/>
  <c r="BY662" i="1" s="1"/>
  <c r="AI633" i="1"/>
  <c r="BY633" i="1" s="1"/>
  <c r="AI968" i="1"/>
  <c r="BY968" i="1" s="1"/>
  <c r="AI145" i="1"/>
  <c r="BY145" i="1" s="1"/>
  <c r="BI776" i="1"/>
  <c r="BY776" i="1" s="1"/>
  <c r="BI923" i="1"/>
  <c r="BY923" i="1" s="1"/>
  <c r="BV644" i="1"/>
  <c r="BY644" i="1" s="1"/>
  <c r="BV975" i="1"/>
  <c r="BY975" i="1" s="1"/>
  <c r="U68" i="80"/>
  <c r="U58" i="51"/>
  <c r="AV127" i="1"/>
  <c r="BY127" i="1" s="1"/>
  <c r="Q57" i="80"/>
  <c r="Q61" i="80" s="1"/>
  <c r="AI627" i="1"/>
  <c r="BY627" i="1" s="1"/>
  <c r="BI985" i="1"/>
  <c r="BY985" i="1" s="1"/>
  <c r="AI493" i="1"/>
  <c r="AI415" i="1"/>
  <c r="D48" i="80"/>
  <c r="D38" i="51"/>
  <c r="D18" i="61"/>
  <c r="AI57" i="1"/>
  <c r="BY720" i="1"/>
  <c r="BY623" i="1"/>
  <c r="AI200" i="1"/>
  <c r="BY200" i="1" s="1"/>
  <c r="AI673" i="1"/>
  <c r="BY673" i="1" s="1"/>
  <c r="BI311" i="1"/>
  <c r="BY311" i="1" s="1"/>
  <c r="AV729" i="1"/>
  <c r="AV197" i="1"/>
  <c r="BY197" i="1" s="1"/>
  <c r="AI67" i="1"/>
  <c r="D69" i="80"/>
  <c r="D59" i="51"/>
  <c r="BY69" i="1"/>
  <c r="BY54" i="1"/>
  <c r="R59" i="51"/>
  <c r="R17" i="60"/>
  <c r="R69" i="80"/>
  <c r="BI207" i="1"/>
  <c r="BY207" i="1" s="1"/>
  <c r="AV476" i="1"/>
  <c r="BY476" i="1" s="1"/>
  <c r="AI442" i="1"/>
  <c r="BY442" i="1" s="1"/>
  <c r="AV743" i="1"/>
  <c r="BY743" i="1" s="1"/>
  <c r="AV458" i="1"/>
  <c r="BY458" i="1" s="1"/>
  <c r="D47" i="51"/>
  <c r="M48" i="51"/>
  <c r="M58" i="80"/>
  <c r="BY5" i="1"/>
  <c r="BI1003" i="1"/>
  <c r="BY1003" i="1" s="1"/>
  <c r="E47" i="51"/>
  <c r="E59" i="51"/>
  <c r="E57" i="80"/>
  <c r="E61" i="80" s="1"/>
  <c r="E69" i="80"/>
  <c r="AI631" i="1"/>
  <c r="BY631" i="1" s="1"/>
  <c r="BV308" i="1"/>
  <c r="BV508" i="1"/>
  <c r="BY508" i="1" s="1"/>
  <c r="D57" i="80"/>
  <c r="R37" i="51"/>
  <c r="R47" i="80"/>
  <c r="BY15" i="1"/>
  <c r="R67" i="80"/>
  <c r="R57" i="51"/>
  <c r="AI328" i="1"/>
  <c r="BY328" i="1" s="1"/>
  <c r="BI249" i="1"/>
  <c r="BY249" i="1" s="1"/>
  <c r="AI154" i="1"/>
  <c r="BY154" i="1" s="1"/>
  <c r="BI830" i="1"/>
  <c r="BY830" i="1" s="1"/>
  <c r="B17" i="51" a="1"/>
  <c r="B17" i="51" s="1"/>
  <c r="U17" i="51" s="1"/>
  <c r="AI806" i="1"/>
  <c r="BY806" i="1" s="1"/>
  <c r="BV758" i="1"/>
  <c r="BY758" i="1" s="1"/>
  <c r="BI992" i="1"/>
  <c r="BY992" i="1" s="1"/>
  <c r="AV123" i="1"/>
  <c r="BY123" i="1" s="1"/>
  <c r="AI695" i="1"/>
  <c r="BY695" i="1" s="1"/>
  <c r="BI571" i="1"/>
  <c r="BY571" i="1" s="1"/>
  <c r="V81" i="80"/>
  <c r="AI479" i="1"/>
  <c r="BY479" i="1" s="1"/>
  <c r="AV817" i="1"/>
  <c r="BY817" i="1" s="1"/>
  <c r="AI94" i="1"/>
  <c r="AI765" i="1"/>
  <c r="AI204" i="1"/>
  <c r="BY204" i="1" s="1"/>
  <c r="BV934" i="1"/>
  <c r="BY934" i="1" s="1"/>
  <c r="B19" i="60" a="1"/>
  <c r="B19" i="60" s="1"/>
  <c r="E19" i="60" s="1"/>
  <c r="BV716" i="1"/>
  <c r="W66" i="80"/>
  <c r="BY42" i="1"/>
  <c r="X42" i="80"/>
  <c r="BI710" i="1"/>
  <c r="BY710" i="1" s="1"/>
  <c r="AI734" i="1"/>
  <c r="BY734" i="1" s="1"/>
  <c r="BI905" i="1"/>
  <c r="J76" i="80"/>
  <c r="J73" i="80"/>
  <c r="J66" i="51"/>
  <c r="J78" i="80"/>
  <c r="J63" i="51"/>
  <c r="J67" i="51"/>
  <c r="J70" i="80"/>
  <c r="J81" i="80"/>
  <c r="J72" i="80"/>
  <c r="J79" i="80"/>
  <c r="J64" i="51"/>
  <c r="J75" i="80"/>
  <c r="J68" i="51"/>
  <c r="J77" i="80"/>
  <c r="J74" i="80"/>
  <c r="J80" i="80"/>
  <c r="J65" i="51"/>
  <c r="J61" i="51"/>
  <c r="J69" i="51"/>
  <c r="J71" i="80"/>
  <c r="J60" i="51"/>
  <c r="J82" i="80"/>
  <c r="J85" i="80"/>
  <c r="J73" i="51"/>
  <c r="J86" i="80"/>
  <c r="J75" i="51"/>
  <c r="J87" i="80"/>
  <c r="J78" i="51"/>
  <c r="J90" i="80"/>
  <c r="J74" i="51"/>
  <c r="J88" i="80"/>
  <c r="J70" i="51"/>
  <c r="J83" i="80"/>
  <c r="J84" i="80"/>
  <c r="J89" i="80"/>
  <c r="J77" i="51"/>
  <c r="J62" i="51"/>
  <c r="J71" i="51"/>
  <c r="J72" i="51"/>
  <c r="J76" i="51"/>
  <c r="J83" i="51"/>
  <c r="J84" i="51"/>
  <c r="J93" i="80"/>
  <c r="J94" i="80"/>
  <c r="J82" i="51"/>
  <c r="J85" i="51"/>
  <c r="J98" i="80"/>
  <c r="J79" i="51"/>
  <c r="J80" i="51"/>
  <c r="J92" i="80"/>
  <c r="J81" i="51"/>
  <c r="J86" i="51"/>
  <c r="J87" i="51"/>
  <c r="J91" i="80"/>
  <c r="J95" i="80"/>
  <c r="J96" i="80"/>
  <c r="J97" i="80"/>
  <c r="J99" i="80"/>
  <c r="J90" i="51"/>
  <c r="J104" i="80"/>
  <c r="J101" i="80"/>
  <c r="J103" i="80"/>
  <c r="J92" i="51"/>
  <c r="J100" i="80"/>
  <c r="J89" i="51"/>
  <c r="J102" i="80"/>
  <c r="J93" i="51"/>
  <c r="J88" i="51"/>
  <c r="J91" i="51"/>
  <c r="J94" i="51"/>
  <c r="AI731" i="1"/>
  <c r="AI379" i="1"/>
  <c r="BY379" i="1" s="1"/>
  <c r="AI412" i="1"/>
  <c r="BY412" i="1" s="1"/>
  <c r="AV214" i="1"/>
  <c r="BY214" i="1" s="1"/>
  <c r="Q75" i="80"/>
  <c r="Q65" i="51"/>
  <c r="Q70" i="80"/>
  <c r="Q61" i="51"/>
  <c r="Q72" i="80"/>
  <c r="Q69" i="51"/>
  <c r="Q66" i="51"/>
  <c r="Q71" i="80"/>
  <c r="Q79" i="80"/>
  <c r="Q60" i="51"/>
  <c r="Q81" i="80"/>
  <c r="Q76" i="80"/>
  <c r="Q67" i="51"/>
  <c r="Q74" i="80"/>
  <c r="Q63" i="51"/>
  <c r="Q77" i="80"/>
  <c r="Q62" i="51"/>
  <c r="Q78" i="80"/>
  <c r="Q64" i="51"/>
  <c r="Q73" i="80"/>
  <c r="Q80" i="80"/>
  <c r="Q68" i="51"/>
  <c r="Q70" i="51"/>
  <c r="Q71" i="51"/>
  <c r="Q77" i="51"/>
  <c r="Q78" i="51"/>
  <c r="Q83" i="80"/>
  <c r="Q74" i="51"/>
  <c r="Q82" i="80"/>
  <c r="Q86" i="80"/>
  <c r="Q75" i="51"/>
  <c r="Q87" i="80"/>
  <c r="Q76" i="51"/>
  <c r="Q84" i="80"/>
  <c r="Q72" i="51"/>
  <c r="Q85" i="80"/>
  <c r="Q73" i="51"/>
  <c r="Q88" i="80"/>
  <c r="Q89" i="80"/>
  <c r="Q79" i="51"/>
  <c r="Q82" i="51"/>
  <c r="Q83" i="51"/>
  <c r="Q92" i="80"/>
  <c r="Q81" i="51"/>
  <c r="Q94" i="80"/>
  <c r="Q96" i="80"/>
  <c r="Q85" i="51"/>
  <c r="Q87" i="51"/>
  <c r="Q90" i="80"/>
  <c r="Q91" i="80"/>
  <c r="Q80" i="51"/>
  <c r="Q93" i="80"/>
  <c r="Q84" i="51"/>
  <c r="Q99" i="80"/>
  <c r="Q100" i="80"/>
  <c r="Q95" i="80"/>
  <c r="Q97" i="80"/>
  <c r="Q98" i="80"/>
  <c r="Q86" i="51"/>
  <c r="Q89" i="51"/>
  <c r="Q91" i="51"/>
  <c r="Q92" i="51"/>
  <c r="Q101" i="80"/>
  <c r="Q90" i="51"/>
  <c r="Q102" i="80"/>
  <c r="Q103" i="80"/>
  <c r="Q104" i="80"/>
  <c r="Q94" i="51"/>
  <c r="Q93" i="51"/>
  <c r="Q88" i="51"/>
  <c r="V64" i="51"/>
  <c r="V63" i="51"/>
  <c r="V80" i="80"/>
  <c r="V73" i="80"/>
  <c r="V68" i="51"/>
  <c r="V61" i="51"/>
  <c r="M66" i="80"/>
  <c r="M56" i="51"/>
  <c r="BY9" i="1"/>
  <c r="P72" i="80"/>
  <c r="P80" i="80"/>
  <c r="D16" i="51"/>
  <c r="V16" i="51"/>
  <c r="G16" i="51"/>
  <c r="I16" i="51"/>
  <c r="P16" i="51"/>
  <c r="J16" i="51"/>
  <c r="L16" i="51"/>
  <c r="U16" i="51"/>
  <c r="Q16" i="51"/>
  <c r="O16" i="51"/>
  <c r="T16" i="51"/>
  <c r="K16" i="51"/>
  <c r="N16" i="51"/>
  <c r="F16" i="51"/>
  <c r="E16" i="51"/>
  <c r="R16" i="51"/>
  <c r="S16" i="51"/>
  <c r="X50" i="51"/>
  <c r="E74" i="80"/>
  <c r="E61" i="51"/>
  <c r="E69" i="51"/>
  <c r="E76" i="80"/>
  <c r="E68" i="51"/>
  <c r="E77" i="80"/>
  <c r="E71" i="80"/>
  <c r="E72" i="80"/>
  <c r="E65" i="51"/>
  <c r="E70" i="80"/>
  <c r="E63" i="51"/>
  <c r="E62" i="51"/>
  <c r="E78" i="80"/>
  <c r="AI181" i="1"/>
  <c r="BY181" i="1" s="1"/>
  <c r="E60" i="51"/>
  <c r="E81" i="80"/>
  <c r="E80" i="80"/>
  <c r="E79" i="80"/>
  <c r="E67" i="51"/>
  <c r="E82" i="80"/>
  <c r="E83" i="80"/>
  <c r="E73" i="51"/>
  <c r="E74" i="51"/>
  <c r="E89" i="80"/>
  <c r="E73" i="80"/>
  <c r="E75" i="80"/>
  <c r="E70" i="51"/>
  <c r="E72" i="51"/>
  <c r="E88" i="80"/>
  <c r="E76" i="51"/>
  <c r="E77" i="51"/>
  <c r="E66" i="51"/>
  <c r="E64" i="51"/>
  <c r="E84" i="80"/>
  <c r="E75" i="51"/>
  <c r="E87" i="80"/>
  <c r="E71" i="51"/>
  <c r="E85" i="80"/>
  <c r="E86" i="80"/>
  <c r="E84" i="51"/>
  <c r="E97" i="80"/>
  <c r="E90" i="80"/>
  <c r="E92" i="80"/>
  <c r="E93" i="80"/>
  <c r="E82" i="51"/>
  <c r="E95" i="80"/>
  <c r="E98" i="80"/>
  <c r="E91" i="80"/>
  <c r="E83" i="51"/>
  <c r="E96" i="80"/>
  <c r="E78" i="51"/>
  <c r="E79" i="51"/>
  <c r="E80" i="51"/>
  <c r="E81" i="51"/>
  <c r="E94" i="80"/>
  <c r="E85" i="51"/>
  <c r="E99" i="80"/>
  <c r="E87" i="51"/>
  <c r="E100" i="80"/>
  <c r="E88" i="51"/>
  <c r="E89" i="51"/>
  <c r="E102" i="80"/>
  <c r="E91" i="51"/>
  <c r="E92" i="51"/>
  <c r="E86" i="51"/>
  <c r="E90" i="51"/>
  <c r="E104" i="80"/>
  <c r="E101" i="80"/>
  <c r="E103" i="80"/>
  <c r="E94" i="51"/>
  <c r="E93" i="51"/>
  <c r="AI436" i="1"/>
  <c r="BY436" i="1" s="1"/>
  <c r="I73" i="80"/>
  <c r="I79" i="80"/>
  <c r="I61" i="51"/>
  <c r="I74" i="80"/>
  <c r="I80" i="80"/>
  <c r="I76" i="80"/>
  <c r="I78" i="80"/>
  <c r="I70" i="80"/>
  <c r="AV101" i="1"/>
  <c r="I71" i="80"/>
  <c r="I77" i="80"/>
  <c r="I65" i="51"/>
  <c r="I72" i="80"/>
  <c r="I64" i="51"/>
  <c r="I66" i="51"/>
  <c r="I68" i="51"/>
  <c r="I63" i="51"/>
  <c r="I67" i="51"/>
  <c r="I60" i="51"/>
  <c r="I75" i="80"/>
  <c r="I69" i="51"/>
  <c r="I62" i="51"/>
  <c r="I81" i="80"/>
  <c r="I87" i="80"/>
  <c r="I89" i="80"/>
  <c r="I77" i="51"/>
  <c r="I78" i="51"/>
  <c r="I83" i="80"/>
  <c r="I85" i="80"/>
  <c r="I75" i="51"/>
  <c r="I82" i="80"/>
  <c r="I71" i="51"/>
  <c r="I72" i="51"/>
  <c r="I73" i="51"/>
  <c r="I86" i="80"/>
  <c r="I70" i="51"/>
  <c r="I84" i="80"/>
  <c r="I74" i="51"/>
  <c r="I88" i="80"/>
  <c r="I76" i="51"/>
  <c r="I91" i="80"/>
  <c r="I79" i="51"/>
  <c r="I80" i="51"/>
  <c r="I95" i="80"/>
  <c r="I84" i="51"/>
  <c r="I96" i="80"/>
  <c r="I85" i="51"/>
  <c r="I92" i="80"/>
  <c r="I97" i="80"/>
  <c r="I90" i="80"/>
  <c r="I93" i="80"/>
  <c r="I88" i="51"/>
  <c r="I81" i="51"/>
  <c r="I94" i="80"/>
  <c r="I82" i="51"/>
  <c r="I83" i="51"/>
  <c r="I98" i="80"/>
  <c r="I86" i="51"/>
  <c r="I99" i="80"/>
  <c r="I87" i="51"/>
  <c r="I104" i="80"/>
  <c r="I103" i="80"/>
  <c r="I92" i="51"/>
  <c r="I102" i="80"/>
  <c r="I94" i="51"/>
  <c r="I93" i="51"/>
  <c r="I100" i="80"/>
  <c r="I101" i="80"/>
  <c r="I90" i="51"/>
  <c r="I89" i="51"/>
  <c r="I91" i="51"/>
  <c r="AI284" i="1"/>
  <c r="BY284" i="1" s="1"/>
  <c r="F64" i="51"/>
  <c r="F81" i="80"/>
  <c r="F72" i="80"/>
  <c r="F78" i="80"/>
  <c r="F75" i="80"/>
  <c r="F65" i="51"/>
  <c r="F74" i="80"/>
  <c r="F73" i="80"/>
  <c r="F67" i="51"/>
  <c r="F66" i="51"/>
  <c r="F60" i="51"/>
  <c r="F79" i="80"/>
  <c r="F71" i="80"/>
  <c r="F61" i="51"/>
  <c r="F68" i="51"/>
  <c r="F76" i="80"/>
  <c r="F63" i="51"/>
  <c r="F80" i="80"/>
  <c r="F70" i="80"/>
  <c r="F77" i="80"/>
  <c r="F69" i="51"/>
  <c r="F62" i="51"/>
  <c r="F70" i="51"/>
  <c r="F89" i="80"/>
  <c r="F82" i="80"/>
  <c r="F84" i="80"/>
  <c r="F72" i="51"/>
  <c r="F73" i="51"/>
  <c r="F74" i="51"/>
  <c r="F87" i="80"/>
  <c r="F77" i="51"/>
  <c r="F71" i="51"/>
  <c r="F86" i="80"/>
  <c r="F75" i="51"/>
  <c r="F83" i="80"/>
  <c r="F85" i="80"/>
  <c r="F88" i="80"/>
  <c r="F76" i="51"/>
  <c r="F80" i="51"/>
  <c r="F92" i="80"/>
  <c r="F81" i="51"/>
  <c r="F82" i="51"/>
  <c r="F95" i="80"/>
  <c r="F78" i="51"/>
  <c r="F91" i="80"/>
  <c r="F83" i="51"/>
  <c r="F85" i="51"/>
  <c r="F86" i="51"/>
  <c r="F90" i="80"/>
  <c r="F79" i="51"/>
  <c r="F94" i="80"/>
  <c r="F96" i="80"/>
  <c r="F100" i="80"/>
  <c r="F93" i="80"/>
  <c r="F84" i="51"/>
  <c r="F97" i="80"/>
  <c r="F98" i="80"/>
  <c r="F87" i="51"/>
  <c r="F89" i="51"/>
  <c r="F102" i="80"/>
  <c r="F94" i="51"/>
  <c r="F90" i="51"/>
  <c r="F91" i="51"/>
  <c r="F99" i="80"/>
  <c r="F88" i="51"/>
  <c r="F101" i="80"/>
  <c r="F103" i="80"/>
  <c r="F92" i="51"/>
  <c r="F104" i="80"/>
  <c r="F93" i="51"/>
  <c r="AV737" i="1"/>
  <c r="BY737" i="1" s="1"/>
  <c r="O73" i="80"/>
  <c r="O68" i="51"/>
  <c r="O71" i="80"/>
  <c r="O78" i="80"/>
  <c r="O67" i="51"/>
  <c r="O74" i="80"/>
  <c r="O63" i="51"/>
  <c r="O75" i="80"/>
  <c r="O80" i="80"/>
  <c r="O60" i="51"/>
  <c r="O72" i="80"/>
  <c r="O64" i="51"/>
  <c r="O65" i="51"/>
  <c r="O76" i="80"/>
  <c r="O79" i="80"/>
  <c r="O77" i="80"/>
  <c r="O69" i="51"/>
  <c r="O70" i="80"/>
  <c r="O66" i="51"/>
  <c r="O61" i="51"/>
  <c r="O81" i="80"/>
  <c r="O62" i="51"/>
  <c r="O82" i="80"/>
  <c r="O71" i="51"/>
  <c r="O84" i="80"/>
  <c r="O88" i="80"/>
  <c r="O90" i="80"/>
  <c r="O85" i="80"/>
  <c r="O73" i="51"/>
  <c r="O86" i="80"/>
  <c r="O75" i="51"/>
  <c r="O89" i="80"/>
  <c r="O78" i="51"/>
  <c r="O87" i="80"/>
  <c r="O76" i="51"/>
  <c r="O70" i="51"/>
  <c r="O83" i="80"/>
  <c r="O72" i="51"/>
  <c r="O74" i="51"/>
  <c r="O77" i="51"/>
  <c r="O91" i="80"/>
  <c r="O79" i="51"/>
  <c r="O93" i="80"/>
  <c r="O81" i="51"/>
  <c r="O94" i="80"/>
  <c r="O83" i="51"/>
  <c r="O84" i="51"/>
  <c r="O96" i="80"/>
  <c r="O98" i="80"/>
  <c r="O86" i="51"/>
  <c r="O82" i="51"/>
  <c r="O97" i="80"/>
  <c r="O85" i="51"/>
  <c r="O99" i="80"/>
  <c r="O80" i="51"/>
  <c r="O92" i="80"/>
  <c r="O95" i="80"/>
  <c r="O87" i="51"/>
  <c r="O100" i="80"/>
  <c r="O88" i="51"/>
  <c r="O89" i="51"/>
  <c r="O90" i="51"/>
  <c r="O93" i="51"/>
  <c r="O104" i="80"/>
  <c r="O103" i="80"/>
  <c r="O92" i="51"/>
  <c r="O94" i="51"/>
  <c r="O101" i="80"/>
  <c r="O102" i="80"/>
  <c r="O91" i="51"/>
  <c r="BI22" i="1"/>
  <c r="R19" i="61" s="1"/>
  <c r="N38" i="51"/>
  <c r="N51" i="51" s="1"/>
  <c r="N56" i="51"/>
  <c r="N48" i="80"/>
  <c r="N66" i="80"/>
  <c r="V65" i="51"/>
  <c r="V72" i="80"/>
  <c r="V74" i="80"/>
  <c r="V69" i="51"/>
  <c r="V79" i="80"/>
  <c r="V70" i="80"/>
  <c r="P77" i="80"/>
  <c r="L79" i="80"/>
  <c r="L76" i="80"/>
  <c r="L66" i="51"/>
  <c r="L70" i="80"/>
  <c r="L68" i="51"/>
  <c r="L72" i="80"/>
  <c r="L81" i="80"/>
  <c r="L64" i="51"/>
  <c r="L74" i="80"/>
  <c r="L61" i="51"/>
  <c r="L67" i="51"/>
  <c r="L69" i="51"/>
  <c r="L60" i="51"/>
  <c r="L78" i="80"/>
  <c r="L62" i="51"/>
  <c r="L77" i="80"/>
  <c r="L75" i="80"/>
  <c r="L63" i="51"/>
  <c r="L80" i="80"/>
  <c r="L85" i="80"/>
  <c r="L86" i="80"/>
  <c r="L88" i="80"/>
  <c r="L76" i="51"/>
  <c r="L65" i="51"/>
  <c r="L82" i="80"/>
  <c r="L73" i="51"/>
  <c r="L74" i="51"/>
  <c r="L89" i="80"/>
  <c r="L71" i="80"/>
  <c r="L70" i="51"/>
  <c r="L71" i="51"/>
  <c r="L77" i="51"/>
  <c r="L73" i="80"/>
  <c r="L83" i="80"/>
  <c r="L84" i="80"/>
  <c r="L72" i="51"/>
  <c r="L75" i="51"/>
  <c r="L87" i="80"/>
  <c r="L94" i="80"/>
  <c r="L98" i="80"/>
  <c r="L90" i="80"/>
  <c r="L81" i="51"/>
  <c r="L97" i="80"/>
  <c r="L87" i="51"/>
  <c r="L78" i="51"/>
  <c r="L91" i="80"/>
  <c r="L80" i="51"/>
  <c r="L92" i="80"/>
  <c r="L93" i="80"/>
  <c r="L82" i="51"/>
  <c r="L95" i="80"/>
  <c r="L84" i="51"/>
  <c r="L85" i="51"/>
  <c r="L79" i="51"/>
  <c r="L83" i="51"/>
  <c r="L96" i="80"/>
  <c r="L100" i="80"/>
  <c r="L88" i="51"/>
  <c r="L89" i="51"/>
  <c r="L104" i="80"/>
  <c r="L86" i="51"/>
  <c r="L99" i="80"/>
  <c r="L91" i="51"/>
  <c r="L103" i="80"/>
  <c r="L101" i="80"/>
  <c r="L90" i="51"/>
  <c r="L102" i="80"/>
  <c r="L92" i="51"/>
  <c r="L94" i="51"/>
  <c r="L93" i="51"/>
  <c r="D73" i="80"/>
  <c r="D72" i="80"/>
  <c r="D79" i="80"/>
  <c r="D77" i="80"/>
  <c r="D71" i="80"/>
  <c r="D62" i="51"/>
  <c r="D80" i="80"/>
  <c r="D70" i="80"/>
  <c r="D75" i="80"/>
  <c r="D74" i="80"/>
  <c r="D76" i="80"/>
  <c r="D78" i="80"/>
  <c r="D60" i="51"/>
  <c r="D69" i="51"/>
  <c r="D67" i="51"/>
  <c r="D65" i="51"/>
  <c r="D66" i="51"/>
  <c r="D83" i="80"/>
  <c r="D84" i="80"/>
  <c r="D72" i="51"/>
  <c r="D74" i="51"/>
  <c r="D75" i="51"/>
  <c r="D89" i="80"/>
  <c r="D63" i="51"/>
  <c r="D70" i="51"/>
  <c r="D71" i="51"/>
  <c r="D87" i="80"/>
  <c r="D68" i="51"/>
  <c r="D64" i="51"/>
  <c r="D86" i="80"/>
  <c r="D76" i="51"/>
  <c r="D61" i="51"/>
  <c r="D81" i="80"/>
  <c r="D82" i="80"/>
  <c r="D85" i="80"/>
  <c r="D73" i="51"/>
  <c r="D88" i="80"/>
  <c r="D77" i="51"/>
  <c r="D78" i="51"/>
  <c r="D90" i="80"/>
  <c r="D79" i="51"/>
  <c r="D82" i="51"/>
  <c r="D98" i="80"/>
  <c r="D80" i="51"/>
  <c r="D81" i="51"/>
  <c r="D83" i="51"/>
  <c r="D96" i="80"/>
  <c r="D86" i="51"/>
  <c r="D99" i="80"/>
  <c r="D91" i="80"/>
  <c r="D92" i="80"/>
  <c r="D94" i="80"/>
  <c r="D95" i="80"/>
  <c r="D97" i="80"/>
  <c r="D87" i="51"/>
  <c r="D100" i="80"/>
  <c r="D93" i="80"/>
  <c r="D84" i="51"/>
  <c r="D85" i="51"/>
  <c r="D89" i="51"/>
  <c r="D93" i="51"/>
  <c r="D104" i="80"/>
  <c r="D92" i="51"/>
  <c r="D88" i="51"/>
  <c r="D101" i="80"/>
  <c r="D90" i="51"/>
  <c r="D102" i="80"/>
  <c r="D91" i="51"/>
  <c r="D103" i="80"/>
  <c r="D94" i="51"/>
  <c r="T79" i="80"/>
  <c r="T73" i="80"/>
  <c r="T65" i="51"/>
  <c r="T77" i="80"/>
  <c r="T74" i="80"/>
  <c r="T64" i="51"/>
  <c r="T67" i="51"/>
  <c r="T61" i="51"/>
  <c r="T80" i="80"/>
  <c r="T78" i="80"/>
  <c r="T72" i="80"/>
  <c r="T81" i="80"/>
  <c r="T75" i="80"/>
  <c r="T69" i="51"/>
  <c r="T62" i="51"/>
  <c r="T66" i="51"/>
  <c r="T71" i="80"/>
  <c r="T60" i="51"/>
  <c r="T68" i="51"/>
  <c r="BV247" i="1"/>
  <c r="T76" i="80"/>
  <c r="T63" i="51"/>
  <c r="T70" i="80"/>
  <c r="T70" i="51"/>
  <c r="T85" i="80"/>
  <c r="T71" i="51"/>
  <c r="T72" i="51"/>
  <c r="T86" i="80"/>
  <c r="T88" i="80"/>
  <c r="T77" i="51"/>
  <c r="T82" i="80"/>
  <c r="T83" i="80"/>
  <c r="T73" i="51"/>
  <c r="T74" i="51"/>
  <c r="T87" i="80"/>
  <c r="T76" i="51"/>
  <c r="T84" i="80"/>
  <c r="T75" i="51"/>
  <c r="T89" i="80"/>
  <c r="T93" i="80"/>
  <c r="T94" i="80"/>
  <c r="T84" i="51"/>
  <c r="T86" i="51"/>
  <c r="T78" i="51"/>
  <c r="T82" i="51"/>
  <c r="T97" i="80"/>
  <c r="T99" i="80"/>
  <c r="T79" i="51"/>
  <c r="T80" i="51"/>
  <c r="T81" i="51"/>
  <c r="T95" i="80"/>
  <c r="T83" i="51"/>
  <c r="T96" i="80"/>
  <c r="T90" i="80"/>
  <c r="T91" i="80"/>
  <c r="T92" i="80"/>
  <c r="T85" i="51"/>
  <c r="T98" i="80"/>
  <c r="T87" i="51"/>
  <c r="T90" i="51"/>
  <c r="T102" i="80"/>
  <c r="T103" i="80"/>
  <c r="T101" i="80"/>
  <c r="T89" i="51"/>
  <c r="T104" i="80"/>
  <c r="T88" i="51"/>
  <c r="T91" i="51"/>
  <c r="T94" i="51"/>
  <c r="T100" i="80"/>
  <c r="T92" i="51"/>
  <c r="T93" i="51"/>
  <c r="S74" i="80"/>
  <c r="S80" i="80"/>
  <c r="S77" i="80"/>
  <c r="S70" i="80"/>
  <c r="S66" i="51"/>
  <c r="S65" i="51"/>
  <c r="S81" i="80"/>
  <c r="BV333" i="1"/>
  <c r="BY333" i="1" s="1"/>
  <c r="S60" i="51"/>
  <c r="S71" i="80"/>
  <c r="S73" i="80"/>
  <c r="S62" i="51"/>
  <c r="S68" i="51"/>
  <c r="S78" i="80"/>
  <c r="S61" i="51"/>
  <c r="S88" i="80"/>
  <c r="S78" i="51"/>
  <c r="S64" i="51"/>
  <c r="S75" i="80"/>
  <c r="S63" i="51"/>
  <c r="S76" i="80"/>
  <c r="S84" i="80"/>
  <c r="S86" i="80"/>
  <c r="S76" i="51"/>
  <c r="S89" i="80"/>
  <c r="S67" i="51"/>
  <c r="S79" i="80"/>
  <c r="S82" i="80"/>
  <c r="S70" i="51"/>
  <c r="S83" i="80"/>
  <c r="S72" i="51"/>
  <c r="S85" i="80"/>
  <c r="S73" i="51"/>
  <c r="S74" i="51"/>
  <c r="S77" i="51"/>
  <c r="S69" i="51"/>
  <c r="S72" i="80"/>
  <c r="S71" i="51"/>
  <c r="S75" i="51"/>
  <c r="S87" i="80"/>
  <c r="S92" i="80"/>
  <c r="S81" i="51"/>
  <c r="S97" i="80"/>
  <c r="S85" i="51"/>
  <c r="S79" i="51"/>
  <c r="S93" i="80"/>
  <c r="S94" i="80"/>
  <c r="S95" i="80"/>
  <c r="S99" i="80"/>
  <c r="S87" i="51"/>
  <c r="S84" i="51"/>
  <c r="S98" i="80"/>
  <c r="S86" i="51"/>
  <c r="S100" i="80"/>
  <c r="S90" i="80"/>
  <c r="S91" i="80"/>
  <c r="S80" i="51"/>
  <c r="S82" i="51"/>
  <c r="S83" i="51"/>
  <c r="S96" i="80"/>
  <c r="S101" i="80"/>
  <c r="S90" i="51"/>
  <c r="S91" i="51"/>
  <c r="S92" i="51"/>
  <c r="S94" i="51"/>
  <c r="S104" i="80"/>
  <c r="S89" i="51"/>
  <c r="S102" i="80"/>
  <c r="S103" i="80"/>
  <c r="S93" i="51"/>
  <c r="S88" i="51"/>
  <c r="N80" i="80"/>
  <c r="N81" i="80"/>
  <c r="N79" i="80"/>
  <c r="N69" i="51"/>
  <c r="N75" i="80"/>
  <c r="BI443" i="1"/>
  <c r="N68" i="51"/>
  <c r="N73" i="80"/>
  <c r="N67" i="51"/>
  <c r="N63" i="51"/>
  <c r="N71" i="80"/>
  <c r="N74" i="80"/>
  <c r="N77" i="80"/>
  <c r="N72" i="80"/>
  <c r="N65" i="51"/>
  <c r="N76" i="80"/>
  <c r="N78" i="80"/>
  <c r="N70" i="80"/>
  <c r="N60" i="51"/>
  <c r="N66" i="51"/>
  <c r="N62" i="51"/>
  <c r="N64" i="51"/>
  <c r="N61" i="51"/>
  <c r="N70" i="51"/>
  <c r="N71" i="51"/>
  <c r="N73" i="51"/>
  <c r="N74" i="51"/>
  <c r="N87" i="80"/>
  <c r="N90" i="80"/>
  <c r="N83" i="80"/>
  <c r="N84" i="80"/>
  <c r="N85" i="80"/>
  <c r="N88" i="80"/>
  <c r="N72" i="51"/>
  <c r="N82" i="80"/>
  <c r="N86" i="80"/>
  <c r="N75" i="51"/>
  <c r="N76" i="51"/>
  <c r="N89" i="80"/>
  <c r="N77" i="51"/>
  <c r="N78" i="51"/>
  <c r="N91" i="80"/>
  <c r="N80" i="51"/>
  <c r="N95" i="80"/>
  <c r="N96" i="80"/>
  <c r="N79" i="51"/>
  <c r="N93" i="80"/>
  <c r="N82" i="51"/>
  <c r="N84" i="51"/>
  <c r="N85" i="51"/>
  <c r="N98" i="80"/>
  <c r="N81" i="51"/>
  <c r="N94" i="80"/>
  <c r="N83" i="51"/>
  <c r="N97" i="80"/>
  <c r="N99" i="80"/>
  <c r="N92" i="80"/>
  <c r="N86" i="51"/>
  <c r="N88" i="51"/>
  <c r="N101" i="80"/>
  <c r="N100" i="80"/>
  <c r="N90" i="51"/>
  <c r="N103" i="80"/>
  <c r="N94" i="51"/>
  <c r="N87" i="51"/>
  <c r="N91" i="51"/>
  <c r="N89" i="51"/>
  <c r="N102" i="80"/>
  <c r="N104" i="80"/>
  <c r="N92" i="51"/>
  <c r="N93" i="51"/>
  <c r="O48" i="80"/>
  <c r="O61" i="80" s="1"/>
  <c r="O66" i="80"/>
  <c r="O38" i="51"/>
  <c r="O51" i="51" s="1"/>
  <c r="O56" i="51"/>
  <c r="G67" i="51"/>
  <c r="G74" i="80"/>
  <c r="G68" i="51"/>
  <c r="G73" i="80"/>
  <c r="G80" i="80"/>
  <c r="G62" i="51"/>
  <c r="G60" i="51"/>
  <c r="G63" i="51"/>
  <c r="G70" i="80"/>
  <c r="G61" i="51"/>
  <c r="G75" i="80"/>
  <c r="G64" i="51"/>
  <c r="G76" i="80"/>
  <c r="G65" i="51"/>
  <c r="G71" i="80"/>
  <c r="G77" i="80"/>
  <c r="G81" i="80"/>
  <c r="G69" i="51"/>
  <c r="G66" i="51"/>
  <c r="G79" i="80"/>
  <c r="G72" i="80"/>
  <c r="G78" i="80"/>
  <c r="G71" i="51"/>
  <c r="G84" i="80"/>
  <c r="G72" i="51"/>
  <c r="G85" i="80"/>
  <c r="G75" i="51"/>
  <c r="G77" i="51"/>
  <c r="G82" i="80"/>
  <c r="G83" i="80"/>
  <c r="G76" i="51"/>
  <c r="G78" i="51"/>
  <c r="G90" i="80"/>
  <c r="G70" i="51"/>
  <c r="G74" i="51"/>
  <c r="G88" i="80"/>
  <c r="G89" i="80"/>
  <c r="G73" i="51"/>
  <c r="G86" i="80"/>
  <c r="G87" i="80"/>
  <c r="G80" i="51"/>
  <c r="G92" i="80"/>
  <c r="G81" i="51"/>
  <c r="G85" i="51"/>
  <c r="G91" i="80"/>
  <c r="G79" i="51"/>
  <c r="G95" i="80"/>
  <c r="G83" i="51"/>
  <c r="G84" i="51"/>
  <c r="G96" i="80"/>
  <c r="G97" i="80"/>
  <c r="G100" i="80"/>
  <c r="G93" i="80"/>
  <c r="G98" i="80"/>
  <c r="G87" i="51"/>
  <c r="G88" i="51"/>
  <c r="G94" i="80"/>
  <c r="G82" i="51"/>
  <c r="G86" i="51"/>
  <c r="G99" i="80"/>
  <c r="G91" i="51"/>
  <c r="G94" i="51"/>
  <c r="G93" i="51"/>
  <c r="G101" i="80"/>
  <c r="G89" i="51"/>
  <c r="G102" i="80"/>
  <c r="G104" i="80"/>
  <c r="G92" i="51"/>
  <c r="G90" i="51"/>
  <c r="G103" i="80"/>
  <c r="V60" i="51"/>
  <c r="V17" i="60"/>
  <c r="BY40" i="1"/>
  <c r="V76" i="80"/>
  <c r="M55" i="51"/>
  <c r="X33" i="80"/>
  <c r="X36" i="80"/>
  <c r="X41" i="80"/>
  <c r="Q18" i="60"/>
  <c r="K18" i="60"/>
  <c r="G18" i="60"/>
  <c r="O18" i="60"/>
  <c r="E18" i="60"/>
  <c r="W18" i="60"/>
  <c r="P64" i="51"/>
  <c r="P72" i="51"/>
  <c r="P86" i="80"/>
  <c r="P75" i="51"/>
  <c r="P76" i="51"/>
  <c r="P81" i="80"/>
  <c r="P71" i="51"/>
  <c r="P73" i="51"/>
  <c r="P87" i="80"/>
  <c r="P89" i="80"/>
  <c r="P78" i="51"/>
  <c r="P84" i="80"/>
  <c r="P85" i="80"/>
  <c r="P88" i="80"/>
  <c r="P77" i="51"/>
  <c r="P82" i="80"/>
  <c r="P70" i="51"/>
  <c r="P83" i="80"/>
  <c r="P74" i="51"/>
  <c r="P82" i="51"/>
  <c r="P95" i="80"/>
  <c r="P96" i="80"/>
  <c r="P97" i="80"/>
  <c r="P98" i="80"/>
  <c r="P91" i="80"/>
  <c r="P79" i="51"/>
  <c r="P80" i="51"/>
  <c r="P92" i="80"/>
  <c r="P87" i="51"/>
  <c r="P100" i="80"/>
  <c r="P81" i="51"/>
  <c r="P83" i="51"/>
  <c r="P85" i="51"/>
  <c r="P86" i="51"/>
  <c r="P90" i="80"/>
  <c r="P93" i="80"/>
  <c r="P94" i="80"/>
  <c r="P84" i="51"/>
  <c r="P99" i="80"/>
  <c r="P101" i="80"/>
  <c r="P90" i="51"/>
  <c r="P102" i="80"/>
  <c r="P88" i="51"/>
  <c r="P104" i="80"/>
  <c r="P93" i="51"/>
  <c r="P89" i="51"/>
  <c r="P94" i="51"/>
  <c r="P91" i="51"/>
  <c r="P103" i="80"/>
  <c r="P92" i="51"/>
  <c r="AI423" i="1"/>
  <c r="BY423" i="1" s="1"/>
  <c r="K61" i="51"/>
  <c r="K72" i="80"/>
  <c r="K80" i="80"/>
  <c r="K62" i="51"/>
  <c r="K68" i="51"/>
  <c r="K78" i="80"/>
  <c r="K71" i="80"/>
  <c r="K81" i="80"/>
  <c r="K67" i="51"/>
  <c r="K74" i="80"/>
  <c r="K63" i="51"/>
  <c r="K69" i="51"/>
  <c r="K66" i="51"/>
  <c r="K77" i="80"/>
  <c r="K60" i="51"/>
  <c r="K64" i="51"/>
  <c r="K73" i="80"/>
  <c r="K70" i="80"/>
  <c r="K79" i="80"/>
  <c r="K76" i="80"/>
  <c r="K65" i="51"/>
  <c r="K75" i="80"/>
  <c r="K83" i="80"/>
  <c r="K74" i="51"/>
  <c r="K86" i="80"/>
  <c r="K87" i="80"/>
  <c r="K90" i="80"/>
  <c r="K70" i="51"/>
  <c r="K84" i="80"/>
  <c r="K75" i="51"/>
  <c r="K76" i="51"/>
  <c r="K72" i="51"/>
  <c r="K85" i="80"/>
  <c r="K73" i="51"/>
  <c r="K88" i="80"/>
  <c r="K82" i="80"/>
  <c r="K71" i="51"/>
  <c r="K89" i="80"/>
  <c r="K77" i="51"/>
  <c r="K94" i="80"/>
  <c r="K83" i="51"/>
  <c r="K96" i="80"/>
  <c r="K98" i="80"/>
  <c r="K95" i="80"/>
  <c r="K84" i="51"/>
  <c r="K86" i="51"/>
  <c r="K99" i="80"/>
  <c r="K78" i="51"/>
  <c r="K97" i="80"/>
  <c r="K85" i="51"/>
  <c r="K91" i="80"/>
  <c r="K79" i="51"/>
  <c r="K80" i="51"/>
  <c r="K92" i="80"/>
  <c r="K81" i="51"/>
  <c r="K93" i="80"/>
  <c r="K82" i="51"/>
  <c r="K89" i="51"/>
  <c r="K102" i="80"/>
  <c r="K91" i="51"/>
  <c r="K88" i="51"/>
  <c r="K90" i="51"/>
  <c r="K92" i="51"/>
  <c r="K93" i="51"/>
  <c r="K87" i="51"/>
  <c r="K100" i="80"/>
  <c r="K101" i="80"/>
  <c r="K104" i="80"/>
  <c r="K103" i="80"/>
  <c r="K94" i="51"/>
  <c r="AI680" i="1"/>
  <c r="BY680" i="1" s="1"/>
  <c r="AI165" i="1"/>
  <c r="BY165" i="1" s="1"/>
  <c r="BI770" i="1"/>
  <c r="BY770" i="1" s="1"/>
  <c r="U66" i="51"/>
  <c r="U76" i="80"/>
  <c r="U75" i="80"/>
  <c r="U73" i="80"/>
  <c r="U67" i="51"/>
  <c r="U78" i="80"/>
  <c r="U62" i="51"/>
  <c r="U79" i="80"/>
  <c r="U64" i="51"/>
  <c r="U61" i="51"/>
  <c r="U68" i="51"/>
  <c r="U71" i="80"/>
  <c r="U80" i="80"/>
  <c r="U72" i="80"/>
  <c r="U65" i="51"/>
  <c r="U70" i="80"/>
  <c r="U63" i="51"/>
  <c r="U74" i="80"/>
  <c r="U69" i="51"/>
  <c r="U60" i="51"/>
  <c r="U82" i="80"/>
  <c r="U83" i="80"/>
  <c r="U84" i="80"/>
  <c r="U73" i="51"/>
  <c r="U88" i="80"/>
  <c r="U76" i="51"/>
  <c r="U70" i="51"/>
  <c r="U72" i="51"/>
  <c r="U86" i="80"/>
  <c r="U77" i="51"/>
  <c r="U78" i="51"/>
  <c r="U81" i="80"/>
  <c r="U71" i="51"/>
  <c r="U85" i="80"/>
  <c r="U74" i="51"/>
  <c r="U75" i="51"/>
  <c r="U89" i="80"/>
  <c r="U77" i="80"/>
  <c r="U87" i="80"/>
  <c r="U90" i="80"/>
  <c r="U91" i="80"/>
  <c r="U92" i="80"/>
  <c r="U81" i="51"/>
  <c r="U93" i="80"/>
  <c r="U83" i="51"/>
  <c r="U85" i="51"/>
  <c r="U86" i="51"/>
  <c r="U80" i="51"/>
  <c r="U79" i="51"/>
  <c r="U94" i="80"/>
  <c r="U82" i="51"/>
  <c r="U95" i="80"/>
  <c r="U98" i="80"/>
  <c r="U84" i="51"/>
  <c r="U96" i="80"/>
  <c r="U97" i="80"/>
  <c r="U87" i="51"/>
  <c r="U100" i="80"/>
  <c r="U88" i="51"/>
  <c r="U103" i="80"/>
  <c r="U92" i="51"/>
  <c r="U93" i="51"/>
  <c r="U94" i="51"/>
  <c r="U91" i="51"/>
  <c r="U99" i="80"/>
  <c r="U101" i="80"/>
  <c r="U89" i="51"/>
  <c r="U90" i="51"/>
  <c r="U102" i="80"/>
  <c r="U104" i="80"/>
  <c r="V72" i="51"/>
  <c r="V76" i="51"/>
  <c r="V77" i="51"/>
  <c r="V82" i="80"/>
  <c r="V71" i="51"/>
  <c r="V85" i="80"/>
  <c r="V75" i="51"/>
  <c r="V87" i="80"/>
  <c r="V90" i="80"/>
  <c r="V83" i="80"/>
  <c r="V84" i="80"/>
  <c r="V88" i="80"/>
  <c r="V89" i="80"/>
  <c r="V70" i="51"/>
  <c r="V73" i="51"/>
  <c r="V74" i="51"/>
  <c r="V86" i="80"/>
  <c r="V93" i="80"/>
  <c r="V94" i="80"/>
  <c r="V97" i="80"/>
  <c r="V91" i="80"/>
  <c r="V80" i="51"/>
  <c r="V92" i="80"/>
  <c r="V82" i="51"/>
  <c r="V84" i="51"/>
  <c r="V96" i="80"/>
  <c r="V98" i="80"/>
  <c r="V86" i="51"/>
  <c r="V99" i="80"/>
  <c r="V87" i="51"/>
  <c r="V88" i="51"/>
  <c r="V78" i="51"/>
  <c r="V79" i="51"/>
  <c r="V81" i="51"/>
  <c r="V95" i="80"/>
  <c r="V83" i="51"/>
  <c r="V85" i="51"/>
  <c r="V101" i="80"/>
  <c r="V102" i="80"/>
  <c r="V104" i="80"/>
  <c r="V91" i="51"/>
  <c r="V103" i="80"/>
  <c r="V92" i="51"/>
  <c r="V94" i="51"/>
  <c r="V93" i="51"/>
  <c r="V100" i="80"/>
  <c r="V89" i="51"/>
  <c r="V90" i="51"/>
  <c r="AI959" i="1"/>
  <c r="BY959" i="1" s="1"/>
  <c r="AI174" i="1"/>
  <c r="BY174" i="1" s="1"/>
  <c r="AI282" i="1"/>
  <c r="BY282" i="1" s="1"/>
  <c r="BY83" i="1"/>
  <c r="R65" i="80"/>
  <c r="V77" i="80"/>
  <c r="V71" i="80"/>
  <c r="V78" i="80"/>
  <c r="V67" i="51"/>
  <c r="V62" i="51"/>
  <c r="V75" i="80"/>
  <c r="P69" i="51"/>
  <c r="BY175" i="1"/>
  <c r="B18" i="51" a="1"/>
  <c r="B18" i="51" s="1"/>
  <c r="X46" i="51"/>
  <c r="F61" i="80"/>
  <c r="X54" i="80"/>
  <c r="V61" i="80"/>
  <c r="Q51" i="51"/>
  <c r="C19" i="61"/>
  <c r="B21" i="61" a="1"/>
  <c r="B21" i="61" s="1"/>
  <c r="T19" i="61"/>
  <c r="J19" i="61"/>
  <c r="L19" i="61"/>
  <c r="O19" i="61"/>
  <c r="F19" i="61"/>
  <c r="U19" i="61"/>
  <c r="V19" i="61"/>
  <c r="D19" i="61"/>
  <c r="K19" i="61"/>
  <c r="Q19" i="61"/>
  <c r="G19" i="61"/>
  <c r="N19" i="61"/>
  <c r="E19" i="61"/>
  <c r="M19" i="61"/>
  <c r="S19" i="61"/>
  <c r="I19" i="61"/>
  <c r="P19" i="61"/>
  <c r="H19" i="61"/>
  <c r="X34" i="80"/>
  <c r="X44" i="51"/>
  <c r="X60" i="80"/>
  <c r="P51" i="51"/>
  <c r="X38" i="80"/>
  <c r="X39" i="80"/>
  <c r="C16" i="80"/>
  <c r="B17" i="80" a="1"/>
  <c r="B17" i="80" s="1"/>
  <c r="B18" i="80" s="1" a="1"/>
  <c r="B18" i="80" s="1"/>
  <c r="B19" i="80" s="1" a="1"/>
  <c r="B19" i="80" s="1"/>
  <c r="G16" i="80"/>
  <c r="P16" i="80"/>
  <c r="I16" i="80"/>
  <c r="T16" i="80"/>
  <c r="K16" i="80"/>
  <c r="N16" i="80"/>
  <c r="F16" i="80"/>
  <c r="S16" i="80"/>
  <c r="M16" i="80"/>
  <c r="Q16" i="80"/>
  <c r="U16" i="80"/>
  <c r="J16" i="80"/>
  <c r="V16" i="80"/>
  <c r="D16" i="80"/>
  <c r="O16" i="80"/>
  <c r="L16" i="80"/>
  <c r="E16" i="80"/>
  <c r="R16" i="80"/>
  <c r="H16" i="80"/>
  <c r="X37" i="80"/>
  <c r="X35" i="80"/>
  <c r="U51" i="51"/>
  <c r="K51" i="51"/>
  <c r="C20" i="61"/>
  <c r="F20" i="61"/>
  <c r="L20" i="61"/>
  <c r="S20" i="61"/>
  <c r="P20" i="61"/>
  <c r="K20" i="61"/>
  <c r="D20" i="61"/>
  <c r="Q20" i="61"/>
  <c r="J20" i="61"/>
  <c r="R20" i="61"/>
  <c r="G20" i="61"/>
  <c r="V20" i="61"/>
  <c r="U20" i="61"/>
  <c r="N20" i="61"/>
  <c r="E20" i="61"/>
  <c r="O20" i="61"/>
  <c r="I20" i="61"/>
  <c r="T20" i="61"/>
  <c r="W20" i="61"/>
  <c r="M20" i="61"/>
  <c r="R18" i="60" l="1"/>
  <c r="P18" i="60"/>
  <c r="BY716" i="1"/>
  <c r="M17" i="60"/>
  <c r="K61" i="80"/>
  <c r="BY949" i="1"/>
  <c r="BY142" i="1"/>
  <c r="BY775" i="1"/>
  <c r="BY832" i="1"/>
  <c r="BY492" i="1"/>
  <c r="R39" i="51"/>
  <c r="R49" i="80"/>
  <c r="BY548" i="1"/>
  <c r="BY493" i="1"/>
  <c r="BY781" i="1"/>
  <c r="BY866" i="1"/>
  <c r="BY278" i="1"/>
  <c r="H52" i="80"/>
  <c r="X52" i="80" s="1"/>
  <c r="H42" i="51"/>
  <c r="X42" i="51" s="1"/>
  <c r="M39" i="51"/>
  <c r="M49" i="80"/>
  <c r="W18" i="61"/>
  <c r="BY74" i="1"/>
  <c r="BY947" i="1"/>
  <c r="R55" i="80"/>
  <c r="R45" i="51"/>
  <c r="BY605" i="1"/>
  <c r="BY308" i="1"/>
  <c r="W16" i="51"/>
  <c r="BY52" i="1"/>
  <c r="BY409" i="1"/>
  <c r="G51" i="51"/>
  <c r="I61" i="80"/>
  <c r="E51" i="51"/>
  <c r="BY94" i="1"/>
  <c r="V51" i="51"/>
  <c r="BY798" i="1"/>
  <c r="BY177" i="1"/>
  <c r="BY446" i="1"/>
  <c r="BY853" i="1"/>
  <c r="BY993" i="1"/>
  <c r="D18" i="60"/>
  <c r="L18" i="60"/>
  <c r="BY731" i="1"/>
  <c r="BY729" i="1"/>
  <c r="BY826" i="1"/>
  <c r="W19" i="61"/>
  <c r="M48" i="80"/>
  <c r="M18" i="60"/>
  <c r="F18" i="60"/>
  <c r="S18" i="60"/>
  <c r="V19" i="60"/>
  <c r="U18" i="60"/>
  <c r="H16" i="51"/>
  <c r="M16" i="51"/>
  <c r="BY765" i="1"/>
  <c r="BY415" i="1"/>
  <c r="R47" i="51"/>
  <c r="T61" i="80"/>
  <c r="BY524" i="1"/>
  <c r="BY541" i="1"/>
  <c r="BY948" i="1"/>
  <c r="BY503" i="1"/>
  <c r="H20" i="61"/>
  <c r="W16" i="80"/>
  <c r="R55" i="51"/>
  <c r="H18" i="60"/>
  <c r="J18" i="60"/>
  <c r="T18" i="60"/>
  <c r="I18" i="60"/>
  <c r="N18" i="60"/>
  <c r="M38" i="51"/>
  <c r="G61" i="80"/>
  <c r="BY665" i="1"/>
  <c r="BY292" i="1"/>
  <c r="BY80" i="1"/>
  <c r="BY454" i="1"/>
  <c r="R57" i="80"/>
  <c r="BY956" i="1"/>
  <c r="BY148" i="1"/>
  <c r="BY893" i="1"/>
  <c r="W57" i="80"/>
  <c r="W47" i="51"/>
  <c r="U61" i="80"/>
  <c r="J51" i="51"/>
  <c r="S51" i="51"/>
  <c r="J61" i="80"/>
  <c r="L51" i="51"/>
  <c r="H49" i="80"/>
  <c r="BY17" i="1"/>
  <c r="H39" i="51"/>
  <c r="BY666" i="1"/>
  <c r="R49" i="51"/>
  <c r="R59" i="80"/>
  <c r="W53" i="80"/>
  <c r="W43" i="51"/>
  <c r="W65" i="80"/>
  <c r="W55" i="51"/>
  <c r="D61" i="80"/>
  <c r="N61" i="80"/>
  <c r="I51" i="51"/>
  <c r="D51" i="51"/>
  <c r="BY30" i="1"/>
  <c r="R50" i="80"/>
  <c r="X50" i="80" s="1"/>
  <c r="R40" i="51"/>
  <c r="X40" i="51" s="1"/>
  <c r="BY771" i="1"/>
  <c r="BY721" i="1"/>
  <c r="AV1" i="1"/>
  <c r="H45" i="51"/>
  <c r="H55" i="80"/>
  <c r="S61" i="80"/>
  <c r="L61" i="80"/>
  <c r="W74" i="80"/>
  <c r="W96" i="80"/>
  <c r="W69" i="80"/>
  <c r="W59" i="51"/>
  <c r="W48" i="80"/>
  <c r="BY580" i="1"/>
  <c r="BY21" i="1"/>
  <c r="M45" i="51"/>
  <c r="M55" i="80"/>
  <c r="BY7" i="1"/>
  <c r="H56" i="51"/>
  <c r="AI1" i="1"/>
  <c r="H66" i="80"/>
  <c r="BY601" i="1"/>
  <c r="M17" i="51"/>
  <c r="BY29" i="1"/>
  <c r="H43" i="51"/>
  <c r="H53" i="80"/>
  <c r="H65" i="80"/>
  <c r="H55" i="51"/>
  <c r="BY44" i="1"/>
  <c r="M18" i="61"/>
  <c r="R17" i="61"/>
  <c r="R58" i="80"/>
  <c r="R48" i="51"/>
  <c r="BY43" i="1"/>
  <c r="BY802" i="1"/>
  <c r="BY371" i="1"/>
  <c r="BY489" i="1"/>
  <c r="H57" i="51"/>
  <c r="BY13" i="1"/>
  <c r="H67" i="80"/>
  <c r="BY78" i="1"/>
  <c r="H68" i="80"/>
  <c r="H58" i="51"/>
  <c r="H37" i="51"/>
  <c r="H47" i="80"/>
  <c r="BY31" i="1"/>
  <c r="M53" i="80"/>
  <c r="M43" i="51"/>
  <c r="BY307" i="1"/>
  <c r="BY70" i="1"/>
  <c r="M68" i="80"/>
  <c r="W17" i="60"/>
  <c r="M57" i="80"/>
  <c r="M57" i="51"/>
  <c r="M47" i="51"/>
  <c r="M67" i="80"/>
  <c r="W38" i="51"/>
  <c r="BY56" i="1"/>
  <c r="M69" i="80"/>
  <c r="M59" i="51"/>
  <c r="BY965" i="1"/>
  <c r="BY464" i="1"/>
  <c r="M47" i="80"/>
  <c r="M37" i="51"/>
  <c r="W48" i="51"/>
  <c r="W58" i="80"/>
  <c r="X58" i="80" s="1"/>
  <c r="W17" i="61"/>
  <c r="W68" i="80"/>
  <c r="W58" i="51"/>
  <c r="BY71" i="1"/>
  <c r="BY448" i="1"/>
  <c r="BY18" i="1"/>
  <c r="W67" i="80"/>
  <c r="BV1" i="1"/>
  <c r="W49" i="80"/>
  <c r="X49" i="80" s="1"/>
  <c r="W39" i="51"/>
  <c r="X39" i="51" s="1"/>
  <c r="W57" i="51"/>
  <c r="W37" i="51"/>
  <c r="BY19" i="1"/>
  <c r="W47" i="80"/>
  <c r="M59" i="80"/>
  <c r="X59" i="80" s="1"/>
  <c r="M49" i="51"/>
  <c r="X49" i="51" s="1"/>
  <c r="BY59" i="1"/>
  <c r="BY506" i="1"/>
  <c r="BY551" i="1"/>
  <c r="BI1" i="1"/>
  <c r="BY12" i="1"/>
  <c r="X55" i="51"/>
  <c r="W72" i="51"/>
  <c r="BY57" i="1"/>
  <c r="H38" i="51"/>
  <c r="H18" i="61"/>
  <c r="X18" i="61" s="1"/>
  <c r="H48" i="80"/>
  <c r="R69" i="51"/>
  <c r="R82" i="51"/>
  <c r="W101" i="80"/>
  <c r="W70" i="80"/>
  <c r="X65" i="80"/>
  <c r="Q17" i="51"/>
  <c r="R102" i="80"/>
  <c r="W87" i="51"/>
  <c r="W94" i="80"/>
  <c r="W88" i="80"/>
  <c r="W86" i="80"/>
  <c r="R89" i="80"/>
  <c r="W99" i="80"/>
  <c r="W92" i="80"/>
  <c r="W78" i="80"/>
  <c r="W77" i="51"/>
  <c r="X16" i="51"/>
  <c r="J95" i="51"/>
  <c r="R67" i="51"/>
  <c r="X17" i="60"/>
  <c r="BY67" i="1"/>
  <c r="H69" i="80"/>
  <c r="X69" i="80" s="1"/>
  <c r="H59" i="51"/>
  <c r="X59" i="51" s="1"/>
  <c r="H47" i="51"/>
  <c r="H57" i="80"/>
  <c r="R17" i="51"/>
  <c r="S17" i="51"/>
  <c r="I17" i="51"/>
  <c r="W94" i="51"/>
  <c r="W91" i="80"/>
  <c r="W61" i="51"/>
  <c r="G19" i="60"/>
  <c r="C19" i="60"/>
  <c r="A7" i="81" s="1"/>
  <c r="F19" i="60"/>
  <c r="H17" i="51"/>
  <c r="F17" i="51"/>
  <c r="D17" i="51"/>
  <c r="K17" i="51"/>
  <c r="O17" i="51"/>
  <c r="C17" i="51"/>
  <c r="R83" i="51"/>
  <c r="R95" i="80"/>
  <c r="R88" i="80"/>
  <c r="R75" i="51"/>
  <c r="W102" i="80"/>
  <c r="W103" i="80"/>
  <c r="W90" i="51"/>
  <c r="W84" i="51"/>
  <c r="W95" i="80"/>
  <c r="W80" i="51"/>
  <c r="W98" i="80"/>
  <c r="W76" i="51"/>
  <c r="W76" i="80"/>
  <c r="W74" i="51"/>
  <c r="W82" i="80"/>
  <c r="W78" i="51"/>
  <c r="W83" i="80"/>
  <c r="W68" i="51"/>
  <c r="W71" i="51"/>
  <c r="V20" i="60"/>
  <c r="E17" i="51"/>
  <c r="T17" i="51"/>
  <c r="J17" i="51"/>
  <c r="V17" i="51"/>
  <c r="G17" i="51"/>
  <c r="M19" i="60"/>
  <c r="W17" i="51"/>
  <c r="N17" i="51"/>
  <c r="L17" i="51"/>
  <c r="P17" i="51"/>
  <c r="R91" i="51"/>
  <c r="R93" i="80"/>
  <c r="R73" i="80"/>
  <c r="R71" i="51"/>
  <c r="R68" i="51"/>
  <c r="W93" i="51"/>
  <c r="W89" i="51"/>
  <c r="W91" i="51"/>
  <c r="W88" i="51"/>
  <c r="W79" i="51"/>
  <c r="W82" i="51"/>
  <c r="W97" i="80"/>
  <c r="W83" i="51"/>
  <c r="W71" i="80"/>
  <c r="W75" i="80"/>
  <c r="W85" i="80"/>
  <c r="W66" i="51"/>
  <c r="W87" i="80"/>
  <c r="W73" i="80"/>
  <c r="W90" i="80"/>
  <c r="W77" i="80"/>
  <c r="R92" i="51"/>
  <c r="R91" i="80"/>
  <c r="W92" i="51"/>
  <c r="W86" i="51"/>
  <c r="W104" i="80"/>
  <c r="W85" i="51"/>
  <c r="W100" i="80"/>
  <c r="W81" i="51"/>
  <c r="W93" i="80"/>
  <c r="W89" i="80"/>
  <c r="W63" i="51"/>
  <c r="W75" i="51"/>
  <c r="W80" i="80"/>
  <c r="W73" i="51"/>
  <c r="W67" i="51"/>
  <c r="W84" i="80"/>
  <c r="W69" i="51"/>
  <c r="P95" i="51"/>
  <c r="P105" i="80"/>
  <c r="BY905" i="1"/>
  <c r="R62" i="51"/>
  <c r="R87" i="80"/>
  <c r="R61" i="51"/>
  <c r="R72" i="51"/>
  <c r="R76" i="51"/>
  <c r="R65" i="51"/>
  <c r="R80" i="80"/>
  <c r="R86" i="80"/>
  <c r="R96" i="80"/>
  <c r="R80" i="51"/>
  <c r="R84" i="51"/>
  <c r="R85" i="51"/>
  <c r="R98" i="80"/>
  <c r="R101" i="80"/>
  <c r="R100" i="80"/>
  <c r="R103" i="80"/>
  <c r="R81" i="80"/>
  <c r="R83" i="80"/>
  <c r="R82" i="80"/>
  <c r="R85" i="80"/>
  <c r="R60" i="51"/>
  <c r="R75" i="80"/>
  <c r="R70" i="51"/>
  <c r="R77" i="51"/>
  <c r="R97" i="80"/>
  <c r="R92" i="80"/>
  <c r="R90" i="80"/>
  <c r="R86" i="51"/>
  <c r="R87" i="51"/>
  <c r="R89" i="51"/>
  <c r="R88" i="51"/>
  <c r="R93" i="51"/>
  <c r="R79" i="80"/>
  <c r="R73" i="51"/>
  <c r="R63" i="51"/>
  <c r="R76" i="80"/>
  <c r="R74" i="51"/>
  <c r="R72" i="80"/>
  <c r="R84" i="80"/>
  <c r="R64" i="51"/>
  <c r="R94" i="80"/>
  <c r="R78" i="51"/>
  <c r="R81" i="51"/>
  <c r="R79" i="51"/>
  <c r="R99" i="80"/>
  <c r="R104" i="80"/>
  <c r="R94" i="51"/>
  <c r="R90" i="51"/>
  <c r="I19" i="60"/>
  <c r="L19" i="60"/>
  <c r="H19" i="60"/>
  <c r="T19" i="60"/>
  <c r="D19" i="60"/>
  <c r="B20" i="60" a="1"/>
  <c r="B20" i="60" s="1"/>
  <c r="C20" i="60" s="1"/>
  <c r="A8" i="81" s="1"/>
  <c r="P19" i="60"/>
  <c r="S19" i="60"/>
  <c r="J19" i="60"/>
  <c r="K19" i="60"/>
  <c r="R19" i="60"/>
  <c r="U19" i="60"/>
  <c r="O19" i="60"/>
  <c r="N19" i="60"/>
  <c r="Q19" i="60"/>
  <c r="W19" i="60"/>
  <c r="O95" i="51"/>
  <c r="L95" i="51"/>
  <c r="E95" i="51"/>
  <c r="O105" i="80"/>
  <c r="D105" i="80"/>
  <c r="K95" i="51"/>
  <c r="G105" i="80"/>
  <c r="T95" i="51"/>
  <c r="R66" i="80"/>
  <c r="X66" i="80" s="1"/>
  <c r="BY22" i="1"/>
  <c r="R48" i="80"/>
  <c r="R61" i="80" s="1"/>
  <c r="R56" i="51"/>
  <c r="R38" i="51"/>
  <c r="E105" i="80"/>
  <c r="Q105" i="80"/>
  <c r="H69" i="51"/>
  <c r="H65" i="51"/>
  <c r="H60" i="51"/>
  <c r="H80" i="80"/>
  <c r="H93" i="51"/>
  <c r="H100" i="80"/>
  <c r="H101" i="80"/>
  <c r="H98" i="80"/>
  <c r="H78" i="51"/>
  <c r="H83" i="51"/>
  <c r="H84" i="51"/>
  <c r="H79" i="51"/>
  <c r="H72" i="51"/>
  <c r="H81" i="80"/>
  <c r="H71" i="80"/>
  <c r="H75" i="51"/>
  <c r="H79" i="80"/>
  <c r="H74" i="51"/>
  <c r="K105" i="80"/>
  <c r="BY101" i="1"/>
  <c r="M82" i="80"/>
  <c r="M62" i="51"/>
  <c r="M80" i="80"/>
  <c r="M75" i="80"/>
  <c r="M72" i="51"/>
  <c r="M85" i="80"/>
  <c r="M76" i="51"/>
  <c r="M78" i="51"/>
  <c r="M60" i="51"/>
  <c r="M69" i="51"/>
  <c r="M84" i="80"/>
  <c r="M89" i="80"/>
  <c r="M66" i="51"/>
  <c r="M71" i="51"/>
  <c r="M73" i="51"/>
  <c r="M86" i="80"/>
  <c r="M87" i="80"/>
  <c r="M77" i="51"/>
  <c r="M65" i="51"/>
  <c r="M68" i="51"/>
  <c r="M64" i="51"/>
  <c r="M78" i="80"/>
  <c r="M83" i="80"/>
  <c r="M74" i="51"/>
  <c r="M75" i="51"/>
  <c r="M88" i="80"/>
  <c r="M90" i="80"/>
  <c r="M91" i="80"/>
  <c r="M82" i="51"/>
  <c r="M85" i="51"/>
  <c r="M79" i="51"/>
  <c r="M98" i="80"/>
  <c r="M87" i="51"/>
  <c r="M83" i="51"/>
  <c r="M84" i="51"/>
  <c r="M97" i="80"/>
  <c r="M80" i="51"/>
  <c r="M92" i="80"/>
  <c r="M81" i="51"/>
  <c r="M93" i="80"/>
  <c r="M94" i="80"/>
  <c r="M95" i="80"/>
  <c r="M96" i="80"/>
  <c r="M86" i="51"/>
  <c r="M100" i="80"/>
  <c r="M102" i="80"/>
  <c r="M91" i="51"/>
  <c r="M88" i="51"/>
  <c r="M103" i="80"/>
  <c r="M89" i="51"/>
  <c r="M90" i="51"/>
  <c r="M104" i="80"/>
  <c r="M92" i="51"/>
  <c r="M94" i="51"/>
  <c r="M93" i="51"/>
  <c r="M99" i="80"/>
  <c r="M101" i="80"/>
  <c r="M79" i="80"/>
  <c r="M70" i="80"/>
  <c r="M70" i="51"/>
  <c r="M74" i="80"/>
  <c r="M63" i="51"/>
  <c r="M73" i="80"/>
  <c r="M76" i="80"/>
  <c r="M71" i="80"/>
  <c r="M77" i="80"/>
  <c r="M67" i="51"/>
  <c r="M72" i="80"/>
  <c r="M81" i="80"/>
  <c r="M61" i="51"/>
  <c r="Q95" i="51"/>
  <c r="J105" i="80"/>
  <c r="H68" i="51"/>
  <c r="H61" i="51"/>
  <c r="H77" i="80"/>
  <c r="H94" i="51"/>
  <c r="H92" i="51"/>
  <c r="H103" i="80"/>
  <c r="H97" i="80"/>
  <c r="H96" i="80"/>
  <c r="H99" i="80"/>
  <c r="H95" i="80"/>
  <c r="X95" i="80" s="1"/>
  <c r="H93" i="80"/>
  <c r="H87" i="80"/>
  <c r="H84" i="80"/>
  <c r="H66" i="51"/>
  <c r="H67" i="51"/>
  <c r="H89" i="80"/>
  <c r="X89" i="80" s="1"/>
  <c r="H74" i="80"/>
  <c r="U95" i="51"/>
  <c r="U105" i="80"/>
  <c r="V95" i="51"/>
  <c r="G95" i="51"/>
  <c r="N105" i="80"/>
  <c r="BY443" i="1"/>
  <c r="R71" i="80"/>
  <c r="R74" i="80"/>
  <c r="R78" i="80"/>
  <c r="R66" i="51"/>
  <c r="R77" i="80"/>
  <c r="S95" i="51"/>
  <c r="BY247" i="1"/>
  <c r="W70" i="51"/>
  <c r="W81" i="80"/>
  <c r="W72" i="80"/>
  <c r="W65" i="51"/>
  <c r="W79" i="80"/>
  <c r="W60" i="51"/>
  <c r="W62" i="51"/>
  <c r="L105" i="80"/>
  <c r="V105" i="80"/>
  <c r="N95" i="51"/>
  <c r="I105" i="80"/>
  <c r="H70" i="51"/>
  <c r="H64" i="51"/>
  <c r="H70" i="80"/>
  <c r="H104" i="80"/>
  <c r="H91" i="51"/>
  <c r="H90" i="51"/>
  <c r="X90" i="51" s="1"/>
  <c r="H82" i="51"/>
  <c r="H92" i="80"/>
  <c r="H86" i="51"/>
  <c r="H94" i="80"/>
  <c r="H81" i="51"/>
  <c r="H73" i="51"/>
  <c r="H71" i="51"/>
  <c r="X71" i="51" s="1"/>
  <c r="H76" i="51"/>
  <c r="H76" i="80"/>
  <c r="H82" i="80"/>
  <c r="X82" i="80" s="1"/>
  <c r="H88" i="80"/>
  <c r="X88" i="80" s="1"/>
  <c r="H72" i="80"/>
  <c r="X18" i="60"/>
  <c r="S105" i="80"/>
  <c r="T105" i="80"/>
  <c r="D95" i="51"/>
  <c r="F105" i="80"/>
  <c r="F95" i="51"/>
  <c r="I95" i="51"/>
  <c r="W64" i="51"/>
  <c r="H75" i="80"/>
  <c r="X75" i="80" s="1"/>
  <c r="H78" i="80"/>
  <c r="H62" i="51"/>
  <c r="H88" i="51"/>
  <c r="H102" i="80"/>
  <c r="H89" i="51"/>
  <c r="H87" i="51"/>
  <c r="H91" i="80"/>
  <c r="H85" i="51"/>
  <c r="H90" i="80"/>
  <c r="H80" i="51"/>
  <c r="H85" i="80"/>
  <c r="H63" i="51"/>
  <c r="H83" i="80"/>
  <c r="H77" i="51"/>
  <c r="H73" i="80"/>
  <c r="H86" i="80"/>
  <c r="X86" i="80" s="1"/>
  <c r="R70" i="80"/>
  <c r="C19" i="80"/>
  <c r="P19" i="80"/>
  <c r="U19" i="80"/>
  <c r="I19" i="80"/>
  <c r="D19" i="80"/>
  <c r="F19" i="80"/>
  <c r="E19" i="80"/>
  <c r="L19" i="80"/>
  <c r="R19" i="80"/>
  <c r="M19" i="80"/>
  <c r="T19" i="80"/>
  <c r="V19" i="80"/>
  <c r="S19" i="80"/>
  <c r="H19" i="80"/>
  <c r="K19" i="80"/>
  <c r="J19" i="80"/>
  <c r="O19" i="80"/>
  <c r="G19" i="80"/>
  <c r="Q19" i="80"/>
  <c r="N19" i="80"/>
  <c r="W19" i="80"/>
  <c r="B20" i="80" a="1"/>
  <c r="B20" i="80" s="1"/>
  <c r="B21" i="80" s="1" a="1"/>
  <c r="B21" i="80" s="1"/>
  <c r="X17" i="51"/>
  <c r="C18" i="51"/>
  <c r="G18" i="51"/>
  <c r="I18" i="51"/>
  <c r="P18" i="51"/>
  <c r="V18" i="51"/>
  <c r="H18" i="51"/>
  <c r="R18" i="51"/>
  <c r="K18" i="51"/>
  <c r="N18" i="51"/>
  <c r="S18" i="51"/>
  <c r="W18" i="51"/>
  <c r="T18" i="51"/>
  <c r="Q18" i="51"/>
  <c r="U18" i="51"/>
  <c r="F18" i="51"/>
  <c r="E18" i="51"/>
  <c r="L18" i="51"/>
  <c r="D18" i="51"/>
  <c r="J18" i="51"/>
  <c r="O18" i="51"/>
  <c r="M18" i="51"/>
  <c r="C18" i="80"/>
  <c r="I18" i="80"/>
  <c r="V18" i="80"/>
  <c r="P18" i="80"/>
  <c r="D18" i="80"/>
  <c r="L18" i="80"/>
  <c r="H18" i="80"/>
  <c r="T18" i="80"/>
  <c r="N18" i="80"/>
  <c r="G18" i="80"/>
  <c r="F18" i="80"/>
  <c r="S18" i="80"/>
  <c r="U18" i="80"/>
  <c r="Q18" i="80"/>
  <c r="J18" i="80"/>
  <c r="K18" i="80"/>
  <c r="O18" i="80"/>
  <c r="E18" i="80"/>
  <c r="M18" i="80"/>
  <c r="W18" i="80"/>
  <c r="R18" i="80"/>
  <c r="C21" i="61"/>
  <c r="U21" i="61"/>
  <c r="J21" i="61"/>
  <c r="Q21" i="61"/>
  <c r="K21" i="61"/>
  <c r="R21" i="61"/>
  <c r="P21" i="61"/>
  <c r="O21" i="61"/>
  <c r="L21" i="61"/>
  <c r="W21" i="61"/>
  <c r="V21" i="61"/>
  <c r="E21" i="61"/>
  <c r="I21" i="61"/>
  <c r="D21" i="61"/>
  <c r="N21" i="61"/>
  <c r="F21" i="61"/>
  <c r="T21" i="61"/>
  <c r="G21" i="61"/>
  <c r="S21" i="61"/>
  <c r="M21" i="61"/>
  <c r="H21" i="61"/>
  <c r="X16" i="80"/>
  <c r="C17" i="80"/>
  <c r="G17" i="80"/>
  <c r="I17" i="80"/>
  <c r="P17" i="80"/>
  <c r="D17" i="80"/>
  <c r="V17" i="80"/>
  <c r="W17" i="80"/>
  <c r="H17" i="80"/>
  <c r="J17" i="80"/>
  <c r="F17" i="80"/>
  <c r="E17" i="80"/>
  <c r="R17" i="80"/>
  <c r="K17" i="80"/>
  <c r="S17" i="80"/>
  <c r="U17" i="80"/>
  <c r="T17" i="80"/>
  <c r="Q17" i="80"/>
  <c r="O17" i="80"/>
  <c r="N17" i="80"/>
  <c r="L17" i="80"/>
  <c r="M17" i="80"/>
  <c r="X19" i="61"/>
  <c r="B19" i="51" a="1"/>
  <c r="B19" i="51" s="1"/>
  <c r="X20" i="61"/>
  <c r="B22" i="61" a="1"/>
  <c r="B22" i="61" s="1"/>
  <c r="X91" i="51" l="1"/>
  <c r="X90" i="80"/>
  <c r="X73" i="51"/>
  <c r="X19" i="60"/>
  <c r="X57" i="51"/>
  <c r="X55" i="80"/>
  <c r="X61" i="51"/>
  <c r="X101" i="80"/>
  <c r="X48" i="51"/>
  <c r="B21" i="60" a="1"/>
  <c r="B21" i="60" s="1"/>
  <c r="P21" i="60" s="1"/>
  <c r="X45" i="51"/>
  <c r="X48" i="80"/>
  <c r="X96" i="80"/>
  <c r="M61" i="80"/>
  <c r="X17" i="61"/>
  <c r="X81" i="51"/>
  <c r="BY1" i="1"/>
  <c r="W51" i="51"/>
  <c r="M51" i="51"/>
  <c r="X43" i="51"/>
  <c r="X67" i="80"/>
  <c r="X47" i="80"/>
  <c r="W61" i="80"/>
  <c r="X37" i="51"/>
  <c r="X68" i="80"/>
  <c r="X58" i="51"/>
  <c r="X53" i="80"/>
  <c r="X85" i="51"/>
  <c r="X102" i="80"/>
  <c r="X19" i="80"/>
  <c r="X92" i="80"/>
  <c r="X77" i="51"/>
  <c r="X89" i="51"/>
  <c r="U20" i="60"/>
  <c r="E20" i="60"/>
  <c r="X57" i="80"/>
  <c r="H61" i="80"/>
  <c r="L20" i="60"/>
  <c r="X47" i="51"/>
  <c r="H51" i="51"/>
  <c r="K20" i="60"/>
  <c r="H20" i="60"/>
  <c r="O20" i="60"/>
  <c r="I20" i="60"/>
  <c r="X78" i="80"/>
  <c r="X94" i="80"/>
  <c r="X66" i="51"/>
  <c r="X103" i="80"/>
  <c r="M20" i="60"/>
  <c r="V21" i="60"/>
  <c r="F20" i="60"/>
  <c r="G20" i="60"/>
  <c r="J20" i="60"/>
  <c r="Q20" i="60"/>
  <c r="N20" i="60"/>
  <c r="T20" i="60"/>
  <c r="X80" i="51"/>
  <c r="X87" i="51"/>
  <c r="X62" i="51"/>
  <c r="X82" i="51"/>
  <c r="X87" i="80"/>
  <c r="X94" i="51"/>
  <c r="X97" i="80"/>
  <c r="X98" i="80"/>
  <c r="X91" i="80"/>
  <c r="X70" i="51"/>
  <c r="X93" i="80"/>
  <c r="W20" i="60"/>
  <c r="S20" i="60"/>
  <c r="R20" i="60"/>
  <c r="D20" i="60"/>
  <c r="P20" i="60"/>
  <c r="X104" i="80"/>
  <c r="X75" i="51"/>
  <c r="X68" i="51"/>
  <c r="X81" i="80"/>
  <c r="X71" i="80"/>
  <c r="X74" i="80"/>
  <c r="X92" i="51"/>
  <c r="M95" i="51"/>
  <c r="X72" i="51"/>
  <c r="X78" i="51"/>
  <c r="X93" i="51"/>
  <c r="X69" i="51"/>
  <c r="R95" i="51"/>
  <c r="X56" i="51"/>
  <c r="X18" i="51"/>
  <c r="W105" i="80"/>
  <c r="X72" i="80"/>
  <c r="X76" i="80"/>
  <c r="X99" i="80"/>
  <c r="X88" i="51"/>
  <c r="X86" i="51"/>
  <c r="X79" i="51"/>
  <c r="X80" i="80"/>
  <c r="X70" i="80"/>
  <c r="H105" i="80"/>
  <c r="W95" i="51"/>
  <c r="X77" i="80"/>
  <c r="X67" i="51"/>
  <c r="X73" i="80"/>
  <c r="M105" i="80"/>
  <c r="X83" i="80"/>
  <c r="X84" i="80"/>
  <c r="X76" i="51"/>
  <c r="X84" i="51"/>
  <c r="H95" i="51"/>
  <c r="X60" i="51"/>
  <c r="X64" i="51"/>
  <c r="X63" i="51"/>
  <c r="X79" i="80"/>
  <c r="X85" i="80"/>
  <c r="X74" i="51"/>
  <c r="X83" i="51"/>
  <c r="X100" i="80"/>
  <c r="X65" i="51"/>
  <c r="R51" i="51"/>
  <c r="X38" i="51"/>
  <c r="R105" i="80"/>
  <c r="C19" i="51"/>
  <c r="I19" i="51"/>
  <c r="P19" i="51"/>
  <c r="Q19" i="51"/>
  <c r="F19" i="51"/>
  <c r="U19" i="51"/>
  <c r="D19" i="51"/>
  <c r="W19" i="51"/>
  <c r="N19" i="51"/>
  <c r="E19" i="51"/>
  <c r="L19" i="51"/>
  <c r="S19" i="51"/>
  <c r="R19" i="51"/>
  <c r="G19" i="51"/>
  <c r="K19" i="51"/>
  <c r="J19" i="51"/>
  <c r="O19" i="51"/>
  <c r="T19" i="51"/>
  <c r="V19" i="51"/>
  <c r="M19" i="51"/>
  <c r="H19" i="51"/>
  <c r="X21" i="61"/>
  <c r="X17" i="80"/>
  <c r="C20" i="80"/>
  <c r="P20" i="80"/>
  <c r="I20" i="80"/>
  <c r="O20" i="80"/>
  <c r="L20" i="80"/>
  <c r="H20" i="80"/>
  <c r="R20" i="80"/>
  <c r="G20" i="80"/>
  <c r="E20" i="80"/>
  <c r="T20" i="80"/>
  <c r="K20" i="80"/>
  <c r="N20" i="80"/>
  <c r="F20" i="80"/>
  <c r="S20" i="80"/>
  <c r="Q20" i="80"/>
  <c r="D20" i="80"/>
  <c r="J20" i="80"/>
  <c r="V20" i="80"/>
  <c r="U20" i="80"/>
  <c r="W20" i="80"/>
  <c r="M20" i="80"/>
  <c r="C22" i="61"/>
  <c r="N22" i="61"/>
  <c r="E22" i="61"/>
  <c r="U22" i="61"/>
  <c r="F22" i="61"/>
  <c r="T22" i="61"/>
  <c r="W22" i="61"/>
  <c r="K22" i="61"/>
  <c r="S22" i="61"/>
  <c r="D22" i="61"/>
  <c r="P22" i="61"/>
  <c r="L22" i="61"/>
  <c r="R22" i="61"/>
  <c r="V22" i="61"/>
  <c r="O22" i="61"/>
  <c r="J22" i="61"/>
  <c r="I22" i="61"/>
  <c r="Q22" i="61"/>
  <c r="G22" i="61"/>
  <c r="M22" i="61"/>
  <c r="H22" i="61"/>
  <c r="X18" i="80"/>
  <c r="B20" i="51" a="1"/>
  <c r="B20" i="51" s="1"/>
  <c r="B22" i="80" a="1"/>
  <c r="B22" i="80" s="1"/>
  <c r="C21" i="80"/>
  <c r="Q21" i="80"/>
  <c r="G21" i="80"/>
  <c r="I21" i="80"/>
  <c r="P21" i="80"/>
  <c r="U21" i="80"/>
  <c r="K21" i="80"/>
  <c r="F21" i="80"/>
  <c r="T21" i="80"/>
  <c r="D21" i="80"/>
  <c r="N21" i="80"/>
  <c r="S21" i="80"/>
  <c r="J21" i="80"/>
  <c r="W21" i="80"/>
  <c r="O21" i="80"/>
  <c r="E21" i="80"/>
  <c r="L21" i="80"/>
  <c r="V21" i="80"/>
  <c r="R21" i="80"/>
  <c r="H21" i="80"/>
  <c r="M21" i="80"/>
  <c r="B22" i="60" a="1"/>
  <c r="B22" i="60" s="1"/>
  <c r="B23" i="61" a="1"/>
  <c r="B23" i="61" s="1"/>
  <c r="X20" i="60" l="1"/>
  <c r="R21" i="60"/>
  <c r="D21" i="60"/>
  <c r="W21" i="60"/>
  <c r="T21" i="60"/>
  <c r="V22" i="60"/>
  <c r="C21" i="60"/>
  <c r="A9" i="81" s="1"/>
  <c r="H21" i="60"/>
  <c r="E21" i="60"/>
  <c r="S21" i="60"/>
  <c r="I21" i="60"/>
  <c r="G21" i="60"/>
  <c r="L21" i="60"/>
  <c r="J21" i="60"/>
  <c r="U21" i="60"/>
  <c r="M21" i="60"/>
  <c r="Q21" i="60"/>
  <c r="K21" i="60"/>
  <c r="N21" i="60"/>
  <c r="O21" i="60"/>
  <c r="F21" i="60"/>
  <c r="X61" i="80"/>
  <c r="Y57" i="80" s="1"/>
  <c r="X51" i="51"/>
  <c r="X105" i="80"/>
  <c r="Y80" i="80" s="1"/>
  <c r="X21" i="80"/>
  <c r="X95" i="51"/>
  <c r="Y56" i="51" s="1"/>
  <c r="X20" i="80"/>
  <c r="C22" i="60"/>
  <c r="A10" i="81" s="1"/>
  <c r="V23" i="60"/>
  <c r="G22" i="60"/>
  <c r="P22" i="60"/>
  <c r="U22" i="60"/>
  <c r="W22" i="60"/>
  <c r="T22" i="60"/>
  <c r="Q22" i="60"/>
  <c r="N22" i="60"/>
  <c r="I22" i="60"/>
  <c r="E22" i="60"/>
  <c r="S22" i="60"/>
  <c r="D22" i="60"/>
  <c r="R22" i="60"/>
  <c r="F22" i="60"/>
  <c r="L22" i="60"/>
  <c r="K22" i="60"/>
  <c r="J22" i="60"/>
  <c r="O22" i="60"/>
  <c r="M22" i="60"/>
  <c r="H22" i="60"/>
  <c r="C20" i="51"/>
  <c r="N20" i="51"/>
  <c r="U20" i="51"/>
  <c r="T20" i="51"/>
  <c r="G20" i="51"/>
  <c r="F20" i="51"/>
  <c r="W20" i="51"/>
  <c r="P20" i="51"/>
  <c r="K20" i="51"/>
  <c r="Q20" i="51"/>
  <c r="J20" i="51"/>
  <c r="S20" i="51"/>
  <c r="O20" i="51"/>
  <c r="E20" i="51"/>
  <c r="L20" i="51"/>
  <c r="I20" i="51"/>
  <c r="V20" i="51"/>
  <c r="D20" i="51"/>
  <c r="H20" i="51"/>
  <c r="R20" i="51"/>
  <c r="M20" i="51"/>
  <c r="B24" i="61" a="1"/>
  <c r="B24" i="61" s="1"/>
  <c r="B25" i="61" s="1" a="1"/>
  <c r="B25" i="61" s="1"/>
  <c r="X19" i="51"/>
  <c r="C23" i="61"/>
  <c r="F23" i="61"/>
  <c r="G23" i="61"/>
  <c r="L23" i="61"/>
  <c r="R23" i="61"/>
  <c r="W23" i="61"/>
  <c r="P23" i="61"/>
  <c r="E23" i="61"/>
  <c r="T23" i="61"/>
  <c r="H23" i="61"/>
  <c r="V23" i="61"/>
  <c r="N23" i="61"/>
  <c r="S23" i="61"/>
  <c r="Q23" i="61"/>
  <c r="I23" i="61"/>
  <c r="K23" i="61"/>
  <c r="U23" i="61"/>
  <c r="O23" i="61"/>
  <c r="D23" i="61"/>
  <c r="J23" i="61"/>
  <c r="M23" i="61"/>
  <c r="C22" i="80"/>
  <c r="U22" i="80"/>
  <c r="N22" i="80"/>
  <c r="T22" i="80"/>
  <c r="G22" i="80"/>
  <c r="I22" i="80"/>
  <c r="P22" i="80"/>
  <c r="K22" i="80"/>
  <c r="D22" i="80"/>
  <c r="S22" i="80"/>
  <c r="R22" i="80"/>
  <c r="J22" i="80"/>
  <c r="O22" i="80"/>
  <c r="V22" i="80"/>
  <c r="E22" i="80"/>
  <c r="W22" i="80"/>
  <c r="M22" i="80"/>
  <c r="F22" i="80"/>
  <c r="Q22" i="80"/>
  <c r="L22" i="80"/>
  <c r="H22" i="80"/>
  <c r="B23" i="80" a="1"/>
  <c r="B23" i="80" s="1"/>
  <c r="X22" i="61"/>
  <c r="B21" i="51" a="1"/>
  <c r="B21" i="51" s="1"/>
  <c r="B23" i="60" a="1"/>
  <c r="B23" i="60" s="1"/>
  <c r="Y52" i="80" l="1"/>
  <c r="Y54" i="80"/>
  <c r="X21" i="60"/>
  <c r="Y60" i="80"/>
  <c r="Y44" i="51"/>
  <c r="Y40" i="51"/>
  <c r="Y45" i="51"/>
  <c r="Y43" i="51"/>
  <c r="Y46" i="51"/>
  <c r="Y51" i="51"/>
  <c r="Y48" i="51"/>
  <c r="Y39" i="51"/>
  <c r="Y42" i="51"/>
  <c r="Y38" i="51"/>
  <c r="G3" i="51"/>
  <c r="Y47" i="51"/>
  <c r="Y41" i="51"/>
  <c r="Y49" i="51"/>
  <c r="Y50" i="51"/>
  <c r="Y37" i="51"/>
  <c r="Y48" i="80"/>
  <c r="Y50" i="80"/>
  <c r="Y56" i="80"/>
  <c r="Y61" i="80"/>
  <c r="Y49" i="80"/>
  <c r="Y55" i="80"/>
  <c r="Y58" i="80"/>
  <c r="Y51" i="80"/>
  <c r="Y47" i="80"/>
  <c r="G3" i="80"/>
  <c r="Y59" i="80"/>
  <c r="Y53" i="80"/>
  <c r="Y76" i="80"/>
  <c r="Y83" i="80"/>
  <c r="Y72" i="80"/>
  <c r="Y84" i="80"/>
  <c r="X23" i="61"/>
  <c r="Y71" i="80"/>
  <c r="Y77" i="80"/>
  <c r="Y70" i="80"/>
  <c r="Y74" i="80"/>
  <c r="G4" i="80"/>
  <c r="Y82" i="80"/>
  <c r="Y67" i="80"/>
  <c r="Y88" i="80"/>
  <c r="Y98" i="80"/>
  <c r="Y86" i="80"/>
  <c r="Y75" i="80"/>
  <c r="Y89" i="80"/>
  <c r="Y68" i="80"/>
  <c r="Y101" i="80"/>
  <c r="Y96" i="80"/>
  <c r="Y69" i="80"/>
  <c r="Y105" i="80"/>
  <c r="Y94" i="80"/>
  <c r="Y104" i="80"/>
  <c r="Y103" i="80"/>
  <c r="Y87" i="80"/>
  <c r="Y93" i="80"/>
  <c r="Y102" i="80"/>
  <c r="Y65" i="80"/>
  <c r="Y92" i="80"/>
  <c r="Y91" i="80"/>
  <c r="Y97" i="80"/>
  <c r="Y78" i="80"/>
  <c r="Y95" i="80"/>
  <c r="Y90" i="80"/>
  <c r="Y66" i="80"/>
  <c r="Y58" i="51"/>
  <c r="Y61" i="51"/>
  <c r="G4" i="51"/>
  <c r="Y85" i="51"/>
  <c r="Y76" i="51"/>
  <c r="Y95" i="51"/>
  <c r="Y72" i="51"/>
  <c r="Y94" i="51"/>
  <c r="Y91" i="51"/>
  <c r="Y63" i="51"/>
  <c r="Y66" i="51"/>
  <c r="Y59" i="51"/>
  <c r="Y64" i="51"/>
  <c r="Y73" i="51"/>
  <c r="Y82" i="51"/>
  <c r="Y79" i="51"/>
  <c r="Y74" i="51"/>
  <c r="Y75" i="51"/>
  <c r="Y93" i="51"/>
  <c r="Y71" i="51"/>
  <c r="Y67" i="51"/>
  <c r="Y77" i="51"/>
  <c r="Y55" i="51"/>
  <c r="Y88" i="51"/>
  <c r="Y83" i="51"/>
  <c r="Y84" i="51"/>
  <c r="Y80" i="51"/>
  <c r="Y89" i="51"/>
  <c r="Y65" i="51"/>
  <c r="Y78" i="51"/>
  <c r="Y62" i="51"/>
  <c r="Y60" i="51"/>
  <c r="Y81" i="51"/>
  <c r="Y57" i="51"/>
  <c r="Y92" i="51"/>
  <c r="Y87" i="51"/>
  <c r="Y90" i="51"/>
  <c r="Y86" i="51"/>
  <c r="Y68" i="51"/>
  <c r="Y69" i="51"/>
  <c r="Y70" i="51"/>
  <c r="Y79" i="80"/>
  <c r="Y81" i="80"/>
  <c r="Y73" i="80"/>
  <c r="Y100" i="80"/>
  <c r="Y99" i="80"/>
  <c r="Y85" i="80"/>
  <c r="B22" i="51" a="1"/>
  <c r="B22" i="51" s="1"/>
  <c r="X20" i="51"/>
  <c r="X22" i="60"/>
  <c r="C23" i="80"/>
  <c r="I23" i="80"/>
  <c r="G23" i="80"/>
  <c r="U23" i="80"/>
  <c r="P23" i="80"/>
  <c r="D23" i="80"/>
  <c r="L23" i="80"/>
  <c r="M23" i="80"/>
  <c r="H23" i="80"/>
  <c r="T23" i="80"/>
  <c r="Q23" i="80"/>
  <c r="O23" i="80"/>
  <c r="S23" i="80"/>
  <c r="W23" i="80"/>
  <c r="J23" i="80"/>
  <c r="V23" i="80"/>
  <c r="N23" i="80"/>
  <c r="K23" i="80"/>
  <c r="F23" i="80"/>
  <c r="E23" i="80"/>
  <c r="R23" i="80"/>
  <c r="B24" i="80" a="1"/>
  <c r="B24" i="80" s="1"/>
  <c r="C21" i="51"/>
  <c r="P21" i="51"/>
  <c r="U21" i="51"/>
  <c r="J21" i="51"/>
  <c r="H21" i="51"/>
  <c r="O21" i="51"/>
  <c r="N21" i="51"/>
  <c r="V21" i="51"/>
  <c r="E21" i="51"/>
  <c r="L21" i="51"/>
  <c r="S21" i="51"/>
  <c r="I21" i="51"/>
  <c r="D21" i="51"/>
  <c r="W21" i="51"/>
  <c r="R21" i="51"/>
  <c r="T21" i="51"/>
  <c r="K21" i="51"/>
  <c r="F21" i="51"/>
  <c r="G21" i="51"/>
  <c r="Q21" i="51"/>
  <c r="M21" i="51"/>
  <c r="C23" i="60"/>
  <c r="A11" i="81" s="1"/>
  <c r="G23" i="60"/>
  <c r="I23" i="60"/>
  <c r="P23" i="60"/>
  <c r="T23" i="60"/>
  <c r="O23" i="60"/>
  <c r="N23" i="60"/>
  <c r="V24" i="60"/>
  <c r="D23" i="60"/>
  <c r="H23" i="60"/>
  <c r="R23" i="60"/>
  <c r="F23" i="60"/>
  <c r="L23" i="60"/>
  <c r="W23" i="60"/>
  <c r="Q23" i="60"/>
  <c r="E23" i="60"/>
  <c r="S23" i="60"/>
  <c r="U23" i="60"/>
  <c r="K23" i="60"/>
  <c r="J23" i="60"/>
  <c r="M23" i="60"/>
  <c r="X22" i="80"/>
  <c r="C25" i="61"/>
  <c r="T25" i="61"/>
  <c r="L25" i="61"/>
  <c r="G25" i="61"/>
  <c r="Q25" i="61"/>
  <c r="K25" i="61"/>
  <c r="W25" i="61"/>
  <c r="F25" i="61"/>
  <c r="I25" i="61"/>
  <c r="S25" i="61"/>
  <c r="M25" i="61"/>
  <c r="O25" i="61"/>
  <c r="P25" i="61"/>
  <c r="D25" i="61"/>
  <c r="N25" i="61"/>
  <c r="J25" i="61"/>
  <c r="V25" i="61"/>
  <c r="E25" i="61"/>
  <c r="U25" i="61"/>
  <c r="R25" i="61"/>
  <c r="H25" i="61"/>
  <c r="C24" i="61"/>
  <c r="D24" i="61"/>
  <c r="N24" i="61"/>
  <c r="P24" i="61"/>
  <c r="O24" i="61"/>
  <c r="L24" i="61"/>
  <c r="K24" i="61"/>
  <c r="T24" i="61"/>
  <c r="V24" i="61"/>
  <c r="J24" i="61"/>
  <c r="H24" i="61"/>
  <c r="Q24" i="61"/>
  <c r="U24" i="61"/>
  <c r="I24" i="61"/>
  <c r="E24" i="61"/>
  <c r="S24" i="61"/>
  <c r="G24" i="61"/>
  <c r="F24" i="61"/>
  <c r="R24" i="61"/>
  <c r="W24" i="61"/>
  <c r="M24" i="61"/>
  <c r="B24" i="60" a="1"/>
  <c r="B24" i="60" s="1"/>
  <c r="B26" i="61" a="1"/>
  <c r="B26" i="61" s="1"/>
  <c r="B27" i="61" s="1" a="1"/>
  <c r="B27" i="61" s="1"/>
  <c r="C27" i="61" l="1"/>
  <c r="E27" i="61"/>
  <c r="G27" i="61"/>
  <c r="U27" i="61"/>
  <c r="L27" i="61"/>
  <c r="J27" i="61"/>
  <c r="V27" i="61"/>
  <c r="F27" i="61"/>
  <c r="O27" i="61"/>
  <c r="R27" i="61"/>
  <c r="T27" i="61"/>
  <c r="N27" i="61"/>
  <c r="I27" i="61"/>
  <c r="K27" i="61"/>
  <c r="S27" i="61"/>
  <c r="H27" i="61"/>
  <c r="D27" i="61"/>
  <c r="P27" i="61"/>
  <c r="Q27" i="61"/>
  <c r="W27" i="61"/>
  <c r="M27" i="61"/>
  <c r="B28" i="61" a="1"/>
  <c r="B28" i="61" s="1"/>
  <c r="X25" i="61"/>
  <c r="X23" i="60"/>
  <c r="C24" i="80"/>
  <c r="G24" i="80"/>
  <c r="T24" i="80"/>
  <c r="I24" i="80"/>
  <c r="K24" i="80"/>
  <c r="F24" i="80"/>
  <c r="E24" i="80"/>
  <c r="L24" i="80"/>
  <c r="R24" i="80"/>
  <c r="P24" i="80"/>
  <c r="D24" i="80"/>
  <c r="J24" i="80"/>
  <c r="N24" i="80"/>
  <c r="V24" i="80"/>
  <c r="M24" i="80"/>
  <c r="O24" i="80"/>
  <c r="U24" i="80"/>
  <c r="Q24" i="80"/>
  <c r="S24" i="80"/>
  <c r="W24" i="80"/>
  <c r="H24" i="80"/>
  <c r="B25" i="80" a="1"/>
  <c r="B25" i="80" s="1"/>
  <c r="C24" i="60"/>
  <c r="A12" i="81" s="1"/>
  <c r="G24" i="60"/>
  <c r="P24" i="60"/>
  <c r="T24" i="60"/>
  <c r="K24" i="60"/>
  <c r="Q24" i="60"/>
  <c r="J24" i="60"/>
  <c r="E24" i="60"/>
  <c r="D24" i="60"/>
  <c r="W24" i="60"/>
  <c r="O24" i="60"/>
  <c r="R24" i="60"/>
  <c r="M24" i="60"/>
  <c r="I24" i="60"/>
  <c r="L24" i="60"/>
  <c r="V25" i="60"/>
  <c r="U24" i="60"/>
  <c r="N24" i="60"/>
  <c r="F24" i="60"/>
  <c r="S24" i="60"/>
  <c r="H24" i="60"/>
  <c r="B25" i="60" a="1"/>
  <c r="B25" i="60" s="1"/>
  <c r="C22" i="51"/>
  <c r="I22" i="51"/>
  <c r="P22" i="51"/>
  <c r="G22" i="51"/>
  <c r="J22" i="51"/>
  <c r="V22" i="51"/>
  <c r="R22" i="51"/>
  <c r="K22" i="51"/>
  <c r="L22" i="51"/>
  <c r="D22" i="51"/>
  <c r="M22" i="51"/>
  <c r="U22" i="51"/>
  <c r="Q22" i="51"/>
  <c r="N22" i="51"/>
  <c r="F22" i="51"/>
  <c r="E22" i="51"/>
  <c r="T22" i="51"/>
  <c r="O22" i="51"/>
  <c r="S22" i="51"/>
  <c r="H22" i="51"/>
  <c r="W22" i="51"/>
  <c r="B23" i="51" a="1"/>
  <c r="B23" i="51" s="1"/>
  <c r="C26" i="61"/>
  <c r="S26" i="61"/>
  <c r="Q26" i="61"/>
  <c r="O26" i="61"/>
  <c r="V26" i="61"/>
  <c r="J26" i="61"/>
  <c r="F26" i="61"/>
  <c r="E26" i="61"/>
  <c r="W26" i="61"/>
  <c r="R26" i="61"/>
  <c r="I26" i="61"/>
  <c r="U26" i="61"/>
  <c r="N26" i="61"/>
  <c r="P26" i="61"/>
  <c r="M26" i="61"/>
  <c r="T26" i="61"/>
  <c r="L26" i="61"/>
  <c r="D26" i="61"/>
  <c r="G26" i="61"/>
  <c r="K26" i="61"/>
  <c r="H26" i="61"/>
  <c r="X24" i="61"/>
  <c r="X21" i="51"/>
  <c r="X23" i="80"/>
  <c r="X26" i="61" l="1"/>
  <c r="X24" i="60"/>
  <c r="X22" i="51"/>
  <c r="C25" i="60"/>
  <c r="A13" i="81" s="1"/>
  <c r="U25" i="60"/>
  <c r="T25" i="60"/>
  <c r="I25" i="60"/>
  <c r="S25" i="60"/>
  <c r="J25" i="60"/>
  <c r="O25" i="60"/>
  <c r="E25" i="60"/>
  <c r="W25" i="60"/>
  <c r="M25" i="60"/>
  <c r="P25" i="60"/>
  <c r="V26" i="60"/>
  <c r="D25" i="60"/>
  <c r="K25" i="60"/>
  <c r="Q25" i="60"/>
  <c r="N25" i="60"/>
  <c r="G25" i="60"/>
  <c r="F25" i="60"/>
  <c r="L25" i="60"/>
  <c r="R25" i="60"/>
  <c r="H25" i="60"/>
  <c r="X27" i="61"/>
  <c r="C25" i="80"/>
  <c r="U25" i="80"/>
  <c r="P25" i="80"/>
  <c r="T25" i="80"/>
  <c r="G25" i="80"/>
  <c r="J25" i="80"/>
  <c r="O25" i="80"/>
  <c r="E25" i="80"/>
  <c r="S25" i="80"/>
  <c r="V25" i="80"/>
  <c r="Q25" i="80"/>
  <c r="M25" i="80"/>
  <c r="H25" i="80"/>
  <c r="K25" i="80"/>
  <c r="D25" i="80"/>
  <c r="L25" i="80"/>
  <c r="N25" i="80"/>
  <c r="I25" i="80"/>
  <c r="F25" i="80"/>
  <c r="R25" i="80"/>
  <c r="W25" i="80"/>
  <c r="B26" i="80" a="1"/>
  <c r="B26" i="80" s="1"/>
  <c r="C28" i="61"/>
  <c r="I28" i="61"/>
  <c r="E28" i="61"/>
  <c r="J28" i="61"/>
  <c r="T28" i="61"/>
  <c r="G28" i="61"/>
  <c r="S28" i="61"/>
  <c r="L28" i="61"/>
  <c r="D28" i="61"/>
  <c r="Q28" i="61"/>
  <c r="O28" i="61"/>
  <c r="H28" i="61"/>
  <c r="K28" i="61"/>
  <c r="V28" i="61"/>
  <c r="U28" i="61"/>
  <c r="M28" i="61"/>
  <c r="W28" i="61"/>
  <c r="P28" i="61"/>
  <c r="F28" i="61"/>
  <c r="N28" i="61"/>
  <c r="R28" i="61"/>
  <c r="B29" i="61" a="1"/>
  <c r="B29" i="61" s="1"/>
  <c r="C23" i="51"/>
  <c r="P23" i="51"/>
  <c r="U23" i="51"/>
  <c r="I23" i="51"/>
  <c r="K23" i="51"/>
  <c r="F23" i="51"/>
  <c r="E23" i="51"/>
  <c r="L23" i="51"/>
  <c r="D23" i="51"/>
  <c r="T23" i="51"/>
  <c r="Q23" i="51"/>
  <c r="V23" i="51"/>
  <c r="S23" i="51"/>
  <c r="H23" i="51"/>
  <c r="J23" i="51"/>
  <c r="O23" i="51"/>
  <c r="G23" i="51"/>
  <c r="N23" i="51"/>
  <c r="W23" i="51"/>
  <c r="M23" i="51"/>
  <c r="R23" i="51"/>
  <c r="B24" i="51" a="1"/>
  <c r="B24" i="51" s="1"/>
  <c r="X24" i="80"/>
  <c r="B26" i="60" a="1"/>
  <c r="B26" i="60" s="1"/>
  <c r="X25" i="80" l="1"/>
  <c r="X23" i="51"/>
  <c r="X28" i="61"/>
  <c r="X25" i="60"/>
  <c r="C26" i="60"/>
  <c r="A14" i="81" s="1"/>
  <c r="I26" i="60"/>
  <c r="J26" i="60"/>
  <c r="U26" i="60"/>
  <c r="P26" i="60"/>
  <c r="T26" i="60"/>
  <c r="V27" i="60"/>
  <c r="F26" i="60"/>
  <c r="S26" i="60"/>
  <c r="H26" i="60"/>
  <c r="O26" i="60"/>
  <c r="E26" i="60"/>
  <c r="L26" i="60"/>
  <c r="G26" i="60"/>
  <c r="K26" i="60"/>
  <c r="Q26" i="60"/>
  <c r="N26" i="60"/>
  <c r="D26" i="60"/>
  <c r="R26" i="60"/>
  <c r="W26" i="60"/>
  <c r="M26" i="60"/>
  <c r="B27" i="60" a="1"/>
  <c r="B27" i="60" s="1"/>
  <c r="C24" i="51"/>
  <c r="I24" i="51"/>
  <c r="G24" i="51"/>
  <c r="U24" i="51"/>
  <c r="K24" i="51"/>
  <c r="L24" i="51"/>
  <c r="W24" i="51"/>
  <c r="V24" i="51"/>
  <c r="F24" i="51"/>
  <c r="R24" i="51"/>
  <c r="O24" i="51"/>
  <c r="N24" i="51"/>
  <c r="E24" i="51"/>
  <c r="S24" i="51"/>
  <c r="D24" i="51"/>
  <c r="P24" i="51"/>
  <c r="T24" i="51"/>
  <c r="Q24" i="51"/>
  <c r="J24" i="51"/>
  <c r="M24" i="51"/>
  <c r="H24" i="51"/>
  <c r="B25" i="51" a="1"/>
  <c r="B25" i="51" s="1"/>
  <c r="C29" i="61"/>
  <c r="N29" i="61"/>
  <c r="Q29" i="61"/>
  <c r="S29" i="61"/>
  <c r="E29" i="61"/>
  <c r="R29" i="61"/>
  <c r="D29" i="61"/>
  <c r="J29" i="61"/>
  <c r="L29" i="61"/>
  <c r="V29" i="61"/>
  <c r="W29" i="61"/>
  <c r="M29" i="61"/>
  <c r="I29" i="61"/>
  <c r="U29" i="61"/>
  <c r="O29" i="61"/>
  <c r="P29" i="61"/>
  <c r="K29" i="61"/>
  <c r="G29" i="61"/>
  <c r="T29" i="61"/>
  <c r="F29" i="61"/>
  <c r="H29" i="61"/>
  <c r="B30" i="61" a="1"/>
  <c r="B30" i="61" s="1"/>
  <c r="C26" i="80"/>
  <c r="P26" i="80"/>
  <c r="U26" i="80"/>
  <c r="I26" i="80"/>
  <c r="T26" i="80"/>
  <c r="J26" i="80"/>
  <c r="R26" i="80"/>
  <c r="D26" i="80"/>
  <c r="F26" i="80"/>
  <c r="E26" i="80"/>
  <c r="L26" i="80"/>
  <c r="N26" i="80"/>
  <c r="K26" i="80"/>
  <c r="Q26" i="80"/>
  <c r="G26" i="80"/>
  <c r="O26" i="80"/>
  <c r="V26" i="80"/>
  <c r="S26" i="80"/>
  <c r="W26" i="80"/>
  <c r="M26" i="80"/>
  <c r="H26" i="80"/>
  <c r="B27" i="80" a="1"/>
  <c r="B27" i="80" s="1"/>
  <c r="X26" i="80" l="1"/>
  <c r="X29" i="61"/>
  <c r="C25" i="51"/>
  <c r="G25" i="51"/>
  <c r="U25" i="51"/>
  <c r="Q25" i="51"/>
  <c r="J25" i="51"/>
  <c r="E25" i="51"/>
  <c r="S25" i="51"/>
  <c r="D25" i="51"/>
  <c r="P25" i="51"/>
  <c r="T25" i="51"/>
  <c r="I25" i="51"/>
  <c r="V25" i="51"/>
  <c r="M25" i="51"/>
  <c r="R25" i="51"/>
  <c r="H25" i="51"/>
  <c r="N25" i="51"/>
  <c r="O25" i="51"/>
  <c r="L25" i="51"/>
  <c r="K25" i="51"/>
  <c r="F25" i="51"/>
  <c r="W25" i="51"/>
  <c r="B26" i="51" a="1"/>
  <c r="B26" i="51" s="1"/>
  <c r="X24" i="51"/>
  <c r="C27" i="60"/>
  <c r="A15" i="81" s="1"/>
  <c r="G27" i="60"/>
  <c r="T27" i="60"/>
  <c r="P27" i="60"/>
  <c r="I27" i="60"/>
  <c r="Q27" i="60"/>
  <c r="O27" i="60"/>
  <c r="N27" i="60"/>
  <c r="E27" i="60"/>
  <c r="W27" i="60"/>
  <c r="M27" i="60"/>
  <c r="K27" i="60"/>
  <c r="J27" i="60"/>
  <c r="V28" i="60"/>
  <c r="F27" i="60"/>
  <c r="L27" i="60"/>
  <c r="D27" i="60"/>
  <c r="U27" i="60"/>
  <c r="S27" i="60"/>
  <c r="R27" i="60"/>
  <c r="H27" i="60"/>
  <c r="B28" i="60" a="1"/>
  <c r="B28" i="60" s="1"/>
  <c r="X26" i="60"/>
  <c r="C27" i="80"/>
  <c r="P27" i="80"/>
  <c r="I27" i="80"/>
  <c r="T27" i="80"/>
  <c r="K27" i="80"/>
  <c r="O27" i="80"/>
  <c r="N27" i="80"/>
  <c r="L27" i="80"/>
  <c r="S27" i="80"/>
  <c r="U27" i="80"/>
  <c r="Q27" i="80"/>
  <c r="J27" i="80"/>
  <c r="W27" i="80"/>
  <c r="H27" i="80"/>
  <c r="M27" i="80"/>
  <c r="R27" i="80"/>
  <c r="F27" i="80"/>
  <c r="E27" i="80"/>
  <c r="G27" i="80"/>
  <c r="D27" i="80"/>
  <c r="V27" i="80"/>
  <c r="B28" i="80" a="1"/>
  <c r="B28" i="80" s="1"/>
  <c r="C30" i="61"/>
  <c r="N30" i="61"/>
  <c r="U30" i="61"/>
  <c r="S30" i="61"/>
  <c r="V30" i="61"/>
  <c r="H30" i="61"/>
  <c r="K30" i="61"/>
  <c r="O30" i="61"/>
  <c r="L30" i="61"/>
  <c r="Q30" i="61"/>
  <c r="D30" i="61"/>
  <c r="E30" i="61"/>
  <c r="G30" i="61"/>
  <c r="M30" i="61"/>
  <c r="F30" i="61"/>
  <c r="T30" i="61"/>
  <c r="J30" i="61"/>
  <c r="P30" i="61"/>
  <c r="I30" i="61"/>
  <c r="W30" i="61"/>
  <c r="R30" i="61"/>
  <c r="B31" i="61" a="1"/>
  <c r="B31" i="61" s="1"/>
  <c r="C26" i="51" l="1"/>
  <c r="T26" i="51"/>
  <c r="U26" i="51"/>
  <c r="I26" i="51"/>
  <c r="P26" i="51"/>
  <c r="K26" i="51"/>
  <c r="J26" i="51"/>
  <c r="O26" i="51"/>
  <c r="V26" i="51"/>
  <c r="S26" i="51"/>
  <c r="D26" i="51"/>
  <c r="M26" i="51"/>
  <c r="G26" i="51"/>
  <c r="F26" i="51"/>
  <c r="Q26" i="51"/>
  <c r="E26" i="51"/>
  <c r="L26" i="51"/>
  <c r="N26" i="51"/>
  <c r="H26" i="51"/>
  <c r="W26" i="51"/>
  <c r="R26" i="51"/>
  <c r="B27" i="51" a="1"/>
  <c r="B27" i="51" s="1"/>
  <c r="C28" i="80"/>
  <c r="I28" i="80"/>
  <c r="G28" i="80"/>
  <c r="U28" i="80"/>
  <c r="K28" i="80"/>
  <c r="L28" i="80"/>
  <c r="D28" i="80"/>
  <c r="O28" i="80"/>
  <c r="N28" i="80"/>
  <c r="F28" i="80"/>
  <c r="P28" i="80"/>
  <c r="Q28" i="80"/>
  <c r="E28" i="80"/>
  <c r="S28" i="80"/>
  <c r="T28" i="80"/>
  <c r="J28" i="80"/>
  <c r="V28" i="80"/>
  <c r="H28" i="80"/>
  <c r="M28" i="80"/>
  <c r="R28" i="80"/>
  <c r="W28" i="80"/>
  <c r="B29" i="80" a="1"/>
  <c r="B29" i="80" s="1"/>
  <c r="X27" i="80"/>
  <c r="C28" i="60"/>
  <c r="A16" i="81" s="1"/>
  <c r="G28" i="60"/>
  <c r="I28" i="60"/>
  <c r="P28" i="60"/>
  <c r="N28" i="60"/>
  <c r="D28" i="60"/>
  <c r="T28" i="60"/>
  <c r="E28" i="60"/>
  <c r="L28" i="60"/>
  <c r="W28" i="60"/>
  <c r="V29" i="60"/>
  <c r="U28" i="60"/>
  <c r="O28" i="60"/>
  <c r="Q28" i="60"/>
  <c r="F28" i="60"/>
  <c r="S28" i="60"/>
  <c r="K28" i="60"/>
  <c r="J28" i="60"/>
  <c r="M28" i="60"/>
  <c r="H28" i="60"/>
  <c r="R28" i="60"/>
  <c r="B29" i="60" a="1"/>
  <c r="B29" i="60" s="1"/>
  <c r="C31" i="61"/>
  <c r="O31" i="61"/>
  <c r="K31" i="61"/>
  <c r="P31" i="61"/>
  <c r="R31" i="61"/>
  <c r="L31" i="61"/>
  <c r="E31" i="61"/>
  <c r="F31" i="61"/>
  <c r="S31" i="61"/>
  <c r="V31" i="61"/>
  <c r="H31" i="61"/>
  <c r="W31" i="61"/>
  <c r="Q31" i="61"/>
  <c r="J31" i="61"/>
  <c r="G31" i="61"/>
  <c r="D31" i="61"/>
  <c r="I31" i="61"/>
  <c r="N31" i="61"/>
  <c r="T31" i="61"/>
  <c r="U31" i="61"/>
  <c r="M31" i="61"/>
  <c r="B32" i="61" a="1"/>
  <c r="B32" i="61" s="1"/>
  <c r="X30" i="61"/>
  <c r="X27" i="60"/>
  <c r="X25" i="51"/>
  <c r="X31" i="61" l="1"/>
  <c r="X28" i="60"/>
  <c r="C29" i="80"/>
  <c r="G29" i="80"/>
  <c r="I29" i="80"/>
  <c r="O29" i="80"/>
  <c r="U29" i="80"/>
  <c r="J29" i="80"/>
  <c r="S29" i="80"/>
  <c r="T29" i="80"/>
  <c r="K29" i="80"/>
  <c r="Q29" i="80"/>
  <c r="M29" i="80"/>
  <c r="N29" i="80"/>
  <c r="D29" i="80"/>
  <c r="V29" i="80"/>
  <c r="P29" i="80"/>
  <c r="F29" i="80"/>
  <c r="E29" i="80"/>
  <c r="L29" i="80"/>
  <c r="R29" i="80"/>
  <c r="W29" i="80"/>
  <c r="H29" i="80"/>
  <c r="B30" i="80" a="1"/>
  <c r="B30" i="80" s="1"/>
  <c r="X28" i="80"/>
  <c r="C29" i="60"/>
  <c r="A17" i="81" s="1"/>
  <c r="U29" i="60"/>
  <c r="G29" i="60"/>
  <c r="F29" i="60"/>
  <c r="E29" i="60"/>
  <c r="W29" i="60"/>
  <c r="R29" i="60"/>
  <c r="M29" i="60"/>
  <c r="I29" i="60"/>
  <c r="T29" i="60"/>
  <c r="V30" i="60"/>
  <c r="K29" i="60"/>
  <c r="N29" i="60"/>
  <c r="P29" i="60"/>
  <c r="L29" i="60"/>
  <c r="Q29" i="60"/>
  <c r="O29" i="60"/>
  <c r="J29" i="60"/>
  <c r="S29" i="60"/>
  <c r="D29" i="60"/>
  <c r="H29" i="60"/>
  <c r="B30" i="60" a="1"/>
  <c r="B30" i="60" s="1"/>
  <c r="C32" i="61"/>
  <c r="T32" i="61"/>
  <c r="U32" i="61"/>
  <c r="F32" i="61"/>
  <c r="S32" i="61"/>
  <c r="P32" i="61"/>
  <c r="O32" i="61"/>
  <c r="W32" i="61"/>
  <c r="R32" i="61"/>
  <c r="E32" i="61"/>
  <c r="N32" i="61"/>
  <c r="I32" i="61"/>
  <c r="J32" i="61"/>
  <c r="V32" i="61"/>
  <c r="M32" i="61"/>
  <c r="D32" i="61"/>
  <c r="L32" i="61"/>
  <c r="Q32" i="61"/>
  <c r="K32" i="61"/>
  <c r="G32" i="61"/>
  <c r="H32" i="61"/>
  <c r="B33" i="61" a="1"/>
  <c r="B33" i="61" s="1"/>
  <c r="X26" i="51"/>
  <c r="C27" i="51"/>
  <c r="G27" i="51"/>
  <c r="I27" i="51"/>
  <c r="P27" i="51"/>
  <c r="U27" i="51"/>
  <c r="V27" i="51"/>
  <c r="T27" i="51"/>
  <c r="R27" i="51"/>
  <c r="H27" i="51"/>
  <c r="L27" i="51"/>
  <c r="D27" i="51"/>
  <c r="W27" i="51"/>
  <c r="N27" i="51"/>
  <c r="F27" i="51"/>
  <c r="E27" i="51"/>
  <c r="S27" i="51"/>
  <c r="K27" i="51"/>
  <c r="J27" i="51"/>
  <c r="O27" i="51"/>
  <c r="Q27" i="51"/>
  <c r="M27" i="51"/>
  <c r="B28" i="51" a="1"/>
  <c r="B28" i="51" s="1"/>
  <c r="X32" i="61" l="1"/>
  <c r="X29" i="60"/>
  <c r="C28" i="51"/>
  <c r="N28" i="51"/>
  <c r="L28" i="51"/>
  <c r="P28" i="51"/>
  <c r="K28" i="51"/>
  <c r="Q28" i="51"/>
  <c r="G28" i="51"/>
  <c r="F28" i="51"/>
  <c r="D28" i="51"/>
  <c r="R28" i="51"/>
  <c r="H28" i="51"/>
  <c r="O28" i="51"/>
  <c r="S28" i="51"/>
  <c r="U28" i="51"/>
  <c r="T28" i="51"/>
  <c r="J28" i="51"/>
  <c r="V28" i="51"/>
  <c r="E28" i="51"/>
  <c r="I28" i="51"/>
  <c r="W28" i="51"/>
  <c r="M28" i="51"/>
  <c r="B29" i="51" a="1"/>
  <c r="B29" i="51" s="1"/>
  <c r="X27" i="51"/>
  <c r="C33" i="61"/>
  <c r="E33" i="61"/>
  <c r="D33" i="61"/>
  <c r="T33" i="61"/>
  <c r="V33" i="61"/>
  <c r="K33" i="61"/>
  <c r="P33" i="61"/>
  <c r="O33" i="61"/>
  <c r="L33" i="61"/>
  <c r="I33" i="61"/>
  <c r="H33" i="61"/>
  <c r="F33" i="61"/>
  <c r="S33" i="61"/>
  <c r="U33" i="61"/>
  <c r="M33" i="61"/>
  <c r="G33" i="61"/>
  <c r="Q33" i="61"/>
  <c r="N33" i="61"/>
  <c r="J33" i="61"/>
  <c r="W33" i="61"/>
  <c r="R33" i="61"/>
  <c r="B34" i="61" a="1"/>
  <c r="B34" i="61" s="1"/>
  <c r="C30" i="80"/>
  <c r="I30" i="80"/>
  <c r="U30" i="80"/>
  <c r="P30" i="80"/>
  <c r="D30" i="80"/>
  <c r="Q30" i="80"/>
  <c r="E30" i="80"/>
  <c r="R30" i="80"/>
  <c r="G30" i="80"/>
  <c r="N30" i="80"/>
  <c r="S30" i="80"/>
  <c r="H30" i="80"/>
  <c r="W30" i="80"/>
  <c r="T30" i="80"/>
  <c r="K30" i="80"/>
  <c r="J30" i="80"/>
  <c r="V30" i="80"/>
  <c r="O30" i="80"/>
  <c r="F30" i="80"/>
  <c r="L30" i="80"/>
  <c r="M30" i="80"/>
  <c r="B31" i="80" a="1"/>
  <c r="B31" i="80" s="1"/>
  <c r="C30" i="60"/>
  <c r="A18" i="81" s="1"/>
  <c r="U30" i="60"/>
  <c r="P30" i="60"/>
  <c r="G30" i="60"/>
  <c r="I30" i="60"/>
  <c r="K30" i="60"/>
  <c r="V31" i="60"/>
  <c r="Q30" i="60"/>
  <c r="M30" i="60"/>
  <c r="R30" i="60"/>
  <c r="J30" i="60"/>
  <c r="F30" i="60"/>
  <c r="E30" i="60"/>
  <c r="T30" i="60"/>
  <c r="S30" i="60"/>
  <c r="O30" i="60"/>
  <c r="N30" i="60"/>
  <c r="L30" i="60"/>
  <c r="D30" i="60"/>
  <c r="W30" i="60"/>
  <c r="H30" i="60"/>
  <c r="B31" i="60" a="1"/>
  <c r="B31" i="60" s="1"/>
  <c r="X29" i="80"/>
  <c r="X30" i="60" l="1"/>
  <c r="C29" i="51"/>
  <c r="G29" i="51"/>
  <c r="I29" i="51"/>
  <c r="P29" i="51"/>
  <c r="K29" i="51"/>
  <c r="Q29" i="51"/>
  <c r="J29" i="51"/>
  <c r="R29" i="51"/>
  <c r="T29" i="51"/>
  <c r="O29" i="51"/>
  <c r="V29" i="51"/>
  <c r="L29" i="51"/>
  <c r="S29" i="51"/>
  <c r="W29" i="51"/>
  <c r="M29" i="51"/>
  <c r="U29" i="51"/>
  <c r="F29" i="51"/>
  <c r="E29" i="51"/>
  <c r="D29" i="51"/>
  <c r="N29" i="51"/>
  <c r="H29" i="51"/>
  <c r="B30" i="51" a="1"/>
  <c r="B30" i="51" s="1"/>
  <c r="C31" i="80"/>
  <c r="T31" i="80"/>
  <c r="K31" i="80"/>
  <c r="J31" i="80"/>
  <c r="V31" i="80"/>
  <c r="U31" i="80"/>
  <c r="I31" i="80"/>
  <c r="H31" i="80"/>
  <c r="R31" i="80"/>
  <c r="G31" i="80"/>
  <c r="Q31" i="80"/>
  <c r="N31" i="80"/>
  <c r="F31" i="80"/>
  <c r="E31" i="80"/>
  <c r="W31" i="80"/>
  <c r="D31" i="80"/>
  <c r="L31" i="80"/>
  <c r="O31" i="80"/>
  <c r="P31" i="80"/>
  <c r="S31" i="80"/>
  <c r="M31" i="80"/>
  <c r="B32" i="80" a="1"/>
  <c r="B32" i="80" s="1"/>
  <c r="C34" i="61"/>
  <c r="O34" i="61"/>
  <c r="L34" i="61"/>
  <c r="V34" i="61"/>
  <c r="I34" i="61"/>
  <c r="S34" i="61"/>
  <c r="P34" i="61"/>
  <c r="N34" i="61"/>
  <c r="Q34" i="61"/>
  <c r="E34" i="61"/>
  <c r="U34" i="61"/>
  <c r="H34" i="61"/>
  <c r="J34" i="61"/>
  <c r="F34" i="61"/>
  <c r="G34" i="61"/>
  <c r="K34" i="61"/>
  <c r="D34" i="61"/>
  <c r="R34" i="61"/>
  <c r="M34" i="61"/>
  <c r="T34" i="61"/>
  <c r="W34" i="61"/>
  <c r="B35" i="61" a="1"/>
  <c r="B35" i="61" s="1"/>
  <c r="C31" i="60"/>
  <c r="A19" i="81" s="1"/>
  <c r="P31" i="60"/>
  <c r="I31" i="60"/>
  <c r="T31" i="60"/>
  <c r="V32" i="60"/>
  <c r="E31" i="60"/>
  <c r="G31" i="60"/>
  <c r="O31" i="60"/>
  <c r="N31" i="60"/>
  <c r="F31" i="60"/>
  <c r="S31" i="60"/>
  <c r="U31" i="60"/>
  <c r="D31" i="60"/>
  <c r="H31" i="60"/>
  <c r="K31" i="60"/>
  <c r="J31" i="60"/>
  <c r="Q31" i="60"/>
  <c r="L31" i="60"/>
  <c r="M31" i="60"/>
  <c r="W31" i="60"/>
  <c r="R31" i="60"/>
  <c r="B32" i="60" a="1"/>
  <c r="B32" i="60" s="1"/>
  <c r="X30" i="80"/>
  <c r="X33" i="61"/>
  <c r="X28" i="51"/>
  <c r="X31" i="80" l="1"/>
  <c r="X29" i="51"/>
  <c r="C32" i="80"/>
  <c r="G32" i="80"/>
  <c r="G43" i="80" s="1"/>
  <c r="P32" i="80"/>
  <c r="P43" i="80" s="1"/>
  <c r="O32" i="80"/>
  <c r="O43" i="80" s="1"/>
  <c r="J32" i="80"/>
  <c r="J43" i="80" s="1"/>
  <c r="L32" i="80"/>
  <c r="L43" i="80" s="1"/>
  <c r="S32" i="80"/>
  <c r="S43" i="80" s="1"/>
  <c r="M32" i="80"/>
  <c r="M43" i="80" s="1"/>
  <c r="R32" i="80"/>
  <c r="R43" i="80" s="1"/>
  <c r="U32" i="80"/>
  <c r="U43" i="80" s="1"/>
  <c r="K32" i="80"/>
  <c r="K43" i="80" s="1"/>
  <c r="D32" i="80"/>
  <c r="D43" i="80" s="1"/>
  <c r="V32" i="80"/>
  <c r="V43" i="80" s="1"/>
  <c r="W32" i="80"/>
  <c r="W43" i="80" s="1"/>
  <c r="Q32" i="80"/>
  <c r="Q43" i="80" s="1"/>
  <c r="N32" i="80"/>
  <c r="N43" i="80" s="1"/>
  <c r="F32" i="80"/>
  <c r="F43" i="80" s="1"/>
  <c r="E32" i="80"/>
  <c r="E43" i="80" s="1"/>
  <c r="I32" i="80"/>
  <c r="I43" i="80" s="1"/>
  <c r="T32" i="80"/>
  <c r="T43" i="80" s="1"/>
  <c r="H32" i="80"/>
  <c r="C32" i="60"/>
  <c r="A20" i="81" s="1"/>
  <c r="J32" i="60"/>
  <c r="I32" i="60"/>
  <c r="P32" i="60"/>
  <c r="U32" i="60"/>
  <c r="O32" i="60"/>
  <c r="F32" i="60"/>
  <c r="E32" i="60"/>
  <c r="H32" i="60"/>
  <c r="M32" i="60"/>
  <c r="Q32" i="60"/>
  <c r="L32" i="60"/>
  <c r="S32" i="60"/>
  <c r="R32" i="60"/>
  <c r="D32" i="60"/>
  <c r="G32" i="60"/>
  <c r="T32" i="60"/>
  <c r="K32" i="60"/>
  <c r="N32" i="60"/>
  <c r="V33" i="60"/>
  <c r="W32" i="60"/>
  <c r="B33" i="60" a="1"/>
  <c r="B33" i="60" s="1"/>
  <c r="X31" i="60"/>
  <c r="C35" i="61"/>
  <c r="I35" i="61"/>
  <c r="N35" i="61"/>
  <c r="Q35" i="61"/>
  <c r="O35" i="61"/>
  <c r="K35" i="61"/>
  <c r="U35" i="61"/>
  <c r="E35" i="61"/>
  <c r="F35" i="61"/>
  <c r="T35" i="61"/>
  <c r="P35" i="61"/>
  <c r="R35" i="61"/>
  <c r="L35" i="61"/>
  <c r="G35" i="61"/>
  <c r="J35" i="61"/>
  <c r="S35" i="61"/>
  <c r="V35" i="61"/>
  <c r="D35" i="61"/>
  <c r="M35" i="61"/>
  <c r="W35" i="61"/>
  <c r="H35" i="61"/>
  <c r="B36" i="61" a="1"/>
  <c r="B36" i="61" s="1"/>
  <c r="C30" i="51"/>
  <c r="T30" i="51"/>
  <c r="G30" i="51"/>
  <c r="I30" i="51"/>
  <c r="P30" i="51"/>
  <c r="U30" i="51"/>
  <c r="V30" i="51"/>
  <c r="W30" i="51"/>
  <c r="K30" i="51"/>
  <c r="Q30" i="51"/>
  <c r="F30" i="51"/>
  <c r="R30" i="51"/>
  <c r="M30" i="51"/>
  <c r="N30" i="51"/>
  <c r="J30" i="51"/>
  <c r="L30" i="51"/>
  <c r="S30" i="51"/>
  <c r="O30" i="51"/>
  <c r="E30" i="51"/>
  <c r="D30" i="51"/>
  <c r="H30" i="51"/>
  <c r="B31" i="51" a="1"/>
  <c r="B31" i="51" s="1"/>
  <c r="X34" i="61"/>
  <c r="X30" i="51" l="1"/>
  <c r="C33" i="60"/>
  <c r="A21" i="81" s="1"/>
  <c r="G33" i="60"/>
  <c r="I33" i="60"/>
  <c r="T33" i="60"/>
  <c r="K33" i="60"/>
  <c r="J33" i="60"/>
  <c r="V34" i="60"/>
  <c r="F33" i="60"/>
  <c r="E33" i="60"/>
  <c r="W33" i="60"/>
  <c r="U33" i="60"/>
  <c r="Q33" i="60"/>
  <c r="N33" i="60"/>
  <c r="O33" i="60"/>
  <c r="P33" i="60"/>
  <c r="L33" i="60"/>
  <c r="D33" i="60"/>
  <c r="S33" i="60"/>
  <c r="R33" i="60"/>
  <c r="H33" i="60"/>
  <c r="M33" i="60"/>
  <c r="B34" i="60" a="1"/>
  <c r="B34" i="60" s="1"/>
  <c r="C36" i="61"/>
  <c r="L36" i="61"/>
  <c r="F36" i="61"/>
  <c r="O36" i="61"/>
  <c r="J36" i="61"/>
  <c r="R36" i="61"/>
  <c r="M36" i="61"/>
  <c r="U36" i="61"/>
  <c r="S36" i="61"/>
  <c r="E36" i="61"/>
  <c r="N36" i="61"/>
  <c r="V36" i="61"/>
  <c r="K36" i="61"/>
  <c r="I36" i="61"/>
  <c r="H36" i="61"/>
  <c r="T36" i="61"/>
  <c r="G36" i="61"/>
  <c r="D36" i="61"/>
  <c r="Q36" i="61"/>
  <c r="P36" i="61"/>
  <c r="W36" i="61"/>
  <c r="B37" i="61" a="1"/>
  <c r="B37" i="61" s="1"/>
  <c r="X35" i="61"/>
  <c r="X32" i="60"/>
  <c r="C31" i="51"/>
  <c r="P31" i="51"/>
  <c r="G31" i="51"/>
  <c r="I31" i="51"/>
  <c r="O31" i="51"/>
  <c r="U31" i="51"/>
  <c r="R31" i="51"/>
  <c r="M31" i="51"/>
  <c r="T31" i="51"/>
  <c r="K31" i="51"/>
  <c r="J31" i="51"/>
  <c r="V31" i="51"/>
  <c r="D31" i="51"/>
  <c r="H31" i="51"/>
  <c r="W31" i="51"/>
  <c r="Q31" i="51"/>
  <c r="N31" i="51"/>
  <c r="F31" i="51"/>
  <c r="E31" i="51"/>
  <c r="L31" i="51"/>
  <c r="S31" i="51"/>
  <c r="B32" i="51" a="1"/>
  <c r="B32" i="51" s="1"/>
  <c r="X32" i="80"/>
  <c r="H43" i="80"/>
  <c r="X43" i="80" s="1"/>
  <c r="G7" i="80" l="1"/>
  <c r="Y43" i="80"/>
  <c r="G2" i="80"/>
  <c r="Y42" i="80"/>
  <c r="Y33" i="80"/>
  <c r="Y40" i="80"/>
  <c r="Y36" i="80"/>
  <c r="Y41" i="80"/>
  <c r="Y38" i="80"/>
  <c r="Y34" i="80"/>
  <c r="Y37" i="80"/>
  <c r="Y39" i="80"/>
  <c r="Y35" i="80"/>
  <c r="Y19" i="80"/>
  <c r="Y16" i="80"/>
  <c r="Y18" i="80"/>
  <c r="Y17" i="80"/>
  <c r="Y20" i="80"/>
  <c r="Y21" i="80"/>
  <c r="Y22" i="80"/>
  <c r="Y23" i="80"/>
  <c r="Y24" i="80"/>
  <c r="Y26" i="80"/>
  <c r="Y25" i="80"/>
  <c r="Y27" i="80"/>
  <c r="Y28" i="80"/>
  <c r="Y29" i="80"/>
  <c r="Y30" i="80"/>
  <c r="Y31" i="80"/>
  <c r="Y32" i="80"/>
  <c r="X36" i="61"/>
  <c r="X31" i="51"/>
  <c r="F37" i="61"/>
  <c r="E37" i="61"/>
  <c r="O37" i="61"/>
  <c r="V37" i="61"/>
  <c r="M37" i="61"/>
  <c r="R37" i="61"/>
  <c r="T37" i="61"/>
  <c r="N37" i="61"/>
  <c r="U37" i="61"/>
  <c r="L37" i="61"/>
  <c r="P37" i="61"/>
  <c r="H37" i="61"/>
  <c r="J37" i="61"/>
  <c r="S37" i="61"/>
  <c r="K37" i="61"/>
  <c r="D37" i="61"/>
  <c r="I37" i="61"/>
  <c r="Q37" i="61"/>
  <c r="C37" i="61"/>
  <c r="G37" i="61"/>
  <c r="W37" i="61"/>
  <c r="B38" i="61" a="1"/>
  <c r="B38" i="61" s="1"/>
  <c r="X33" i="60"/>
  <c r="C32" i="51"/>
  <c r="U32" i="51"/>
  <c r="U33" i="51" s="1"/>
  <c r="G32" i="51"/>
  <c r="G33" i="51" s="1"/>
  <c r="J32" i="51"/>
  <c r="J33" i="51" s="1"/>
  <c r="P32" i="51"/>
  <c r="P33" i="51" s="1"/>
  <c r="K32" i="51"/>
  <c r="K33" i="51" s="1"/>
  <c r="Q32" i="51"/>
  <c r="Q33" i="51" s="1"/>
  <c r="N32" i="51"/>
  <c r="N33" i="51" s="1"/>
  <c r="S32" i="51"/>
  <c r="S33" i="51" s="1"/>
  <c r="O32" i="51"/>
  <c r="O33" i="51" s="1"/>
  <c r="E32" i="51"/>
  <c r="E33" i="51" s="1"/>
  <c r="D32" i="51"/>
  <c r="D33" i="51" s="1"/>
  <c r="H32" i="51"/>
  <c r="T32" i="51"/>
  <c r="T33" i="51" s="1"/>
  <c r="F32" i="51"/>
  <c r="F33" i="51" s="1"/>
  <c r="I32" i="51"/>
  <c r="I33" i="51" s="1"/>
  <c r="V32" i="51"/>
  <c r="V33" i="51" s="1"/>
  <c r="L32" i="51"/>
  <c r="L33" i="51" s="1"/>
  <c r="R32" i="51"/>
  <c r="R33" i="51" s="1"/>
  <c r="M32" i="51"/>
  <c r="M33" i="51" s="1"/>
  <c r="W32" i="51"/>
  <c r="W33" i="51" s="1"/>
  <c r="C34" i="60"/>
  <c r="A22" i="81" s="1"/>
  <c r="U34" i="60"/>
  <c r="T34" i="60"/>
  <c r="E34" i="60"/>
  <c r="G34" i="60"/>
  <c r="W34" i="60"/>
  <c r="Q34" i="60"/>
  <c r="S34" i="60"/>
  <c r="P34" i="60"/>
  <c r="V35" i="60"/>
  <c r="M34" i="60"/>
  <c r="N34" i="60"/>
  <c r="D34" i="60"/>
  <c r="R34" i="60"/>
  <c r="F34" i="60"/>
  <c r="J34" i="60"/>
  <c r="O34" i="60"/>
  <c r="K34" i="60"/>
  <c r="H34" i="60"/>
  <c r="L34" i="60"/>
  <c r="I34" i="60"/>
  <c r="B35" i="60" a="1"/>
  <c r="B35" i="60" s="1"/>
  <c r="X34" i="60" l="1"/>
  <c r="F38" i="61"/>
  <c r="I38" i="61"/>
  <c r="C38" i="61"/>
  <c r="W38" i="61"/>
  <c r="D38" i="61"/>
  <c r="S38" i="61"/>
  <c r="Q38" i="61"/>
  <c r="G38" i="61"/>
  <c r="P38" i="61"/>
  <c r="L38" i="61"/>
  <c r="U38" i="61"/>
  <c r="E38" i="61"/>
  <c r="H38" i="61"/>
  <c r="J38" i="61"/>
  <c r="O38" i="61"/>
  <c r="R38" i="61"/>
  <c r="T38" i="61"/>
  <c r="K38" i="61"/>
  <c r="V38" i="61"/>
  <c r="N38" i="61"/>
  <c r="M38" i="61"/>
  <c r="B39" i="61" a="1"/>
  <c r="B39" i="61" s="1"/>
  <c r="X32" i="51"/>
  <c r="H33" i="51"/>
  <c r="X33" i="51" s="1"/>
  <c r="Y31" i="51" s="1"/>
  <c r="X37" i="61"/>
  <c r="C35" i="60"/>
  <c r="A23" i="81" s="1"/>
  <c r="O35" i="60"/>
  <c r="P35" i="60"/>
  <c r="K35" i="60"/>
  <c r="M35" i="60"/>
  <c r="T35" i="60"/>
  <c r="F35" i="60"/>
  <c r="D35" i="60"/>
  <c r="W35" i="60"/>
  <c r="G35" i="60"/>
  <c r="R35" i="60"/>
  <c r="L35" i="60"/>
  <c r="E35" i="60"/>
  <c r="Q35" i="60"/>
  <c r="N35" i="60"/>
  <c r="V36" i="60"/>
  <c r="I35" i="60"/>
  <c r="S35" i="60"/>
  <c r="U35" i="60"/>
  <c r="J35" i="60"/>
  <c r="H35" i="60"/>
  <c r="B36" i="60" a="1"/>
  <c r="B36" i="60" s="1"/>
  <c r="C36" i="60" l="1"/>
  <c r="A24" i="81" s="1"/>
  <c r="L36" i="60"/>
  <c r="I36" i="60"/>
  <c r="H36" i="60"/>
  <c r="W36" i="60"/>
  <c r="D36" i="60"/>
  <c r="V37" i="60"/>
  <c r="Q36" i="60"/>
  <c r="K36" i="60"/>
  <c r="S36" i="60"/>
  <c r="O36" i="60"/>
  <c r="P36" i="60"/>
  <c r="E36" i="60"/>
  <c r="T36" i="60"/>
  <c r="G36" i="60"/>
  <c r="M36" i="60"/>
  <c r="U36" i="60"/>
  <c r="N36" i="60"/>
  <c r="R36" i="60"/>
  <c r="F36" i="60"/>
  <c r="J36" i="60"/>
  <c r="B37" i="60" a="1"/>
  <c r="B37" i="60" s="1"/>
  <c r="X35" i="60"/>
  <c r="Y32" i="51"/>
  <c r="D39" i="61"/>
  <c r="F39" i="61"/>
  <c r="G39" i="61"/>
  <c r="W39" i="61"/>
  <c r="I39" i="61"/>
  <c r="H39" i="61"/>
  <c r="K39" i="61"/>
  <c r="S39" i="61"/>
  <c r="P39" i="61"/>
  <c r="U39" i="61"/>
  <c r="J39" i="61"/>
  <c r="O39" i="61"/>
  <c r="Q39" i="61"/>
  <c r="M39" i="61"/>
  <c r="L39" i="61"/>
  <c r="C39" i="61"/>
  <c r="N39" i="61"/>
  <c r="R39" i="61"/>
  <c r="E39" i="61"/>
  <c r="V39" i="61"/>
  <c r="T39" i="61"/>
  <c r="B40" i="61" a="1"/>
  <c r="B40" i="61" s="1"/>
  <c r="Y33" i="51"/>
  <c r="G2" i="51"/>
  <c r="G7" i="51"/>
  <c r="Y16" i="51"/>
  <c r="Y17" i="51"/>
  <c r="Y18" i="51"/>
  <c r="Y19" i="51"/>
  <c r="Y20" i="51"/>
  <c r="Y21" i="51"/>
  <c r="Y22" i="51"/>
  <c r="Y23" i="51"/>
  <c r="Y24" i="51"/>
  <c r="Y25" i="51"/>
  <c r="Y26" i="51"/>
  <c r="Y27" i="51"/>
  <c r="Y28" i="51"/>
  <c r="Y29" i="51"/>
  <c r="Y30" i="51"/>
  <c r="X38" i="61"/>
  <c r="X36" i="60" l="1"/>
  <c r="J40" i="61"/>
  <c r="R40" i="61"/>
  <c r="P40" i="61"/>
  <c r="V40" i="61"/>
  <c r="Q40" i="61"/>
  <c r="I40" i="61"/>
  <c r="L40" i="61"/>
  <c r="D40" i="61"/>
  <c r="M40" i="61"/>
  <c r="C40" i="61"/>
  <c r="N40" i="61"/>
  <c r="T40" i="61"/>
  <c r="O40" i="61"/>
  <c r="U40" i="61"/>
  <c r="E40" i="61"/>
  <c r="G40" i="61"/>
  <c r="K40" i="61"/>
  <c r="F40" i="61"/>
  <c r="S40" i="61"/>
  <c r="H40" i="61"/>
  <c r="W40" i="61"/>
  <c r="B41" i="61" a="1"/>
  <c r="B41" i="61" s="1"/>
  <c r="X39" i="61"/>
  <c r="K37" i="60"/>
  <c r="E37" i="60"/>
  <c r="N37" i="60"/>
  <c r="I37" i="60"/>
  <c r="V38" i="60"/>
  <c r="P37" i="60"/>
  <c r="C37" i="60"/>
  <c r="A25" i="81" s="1"/>
  <c r="R37" i="60"/>
  <c r="U37" i="60"/>
  <c r="M37" i="60"/>
  <c r="J37" i="60"/>
  <c r="L37" i="60"/>
  <c r="D37" i="60"/>
  <c r="O37" i="60"/>
  <c r="Q37" i="60"/>
  <c r="H37" i="60"/>
  <c r="G37" i="60"/>
  <c r="S37" i="60"/>
  <c r="F37" i="60"/>
  <c r="T37" i="60"/>
  <c r="W37" i="60"/>
  <c r="B38" i="60" a="1"/>
  <c r="B38" i="60" s="1"/>
  <c r="O41" i="61" l="1"/>
  <c r="F41" i="61"/>
  <c r="S41" i="61"/>
  <c r="L41" i="61"/>
  <c r="C41" i="61"/>
  <c r="K41" i="61"/>
  <c r="M41" i="61"/>
  <c r="P41" i="61"/>
  <c r="E41" i="61"/>
  <c r="V41" i="61"/>
  <c r="D41" i="61"/>
  <c r="H41" i="61"/>
  <c r="J41" i="61"/>
  <c r="U41" i="61"/>
  <c r="Q41" i="61"/>
  <c r="W41" i="61"/>
  <c r="G41" i="61"/>
  <c r="I41" i="61"/>
  <c r="R41" i="61"/>
  <c r="T41" i="61"/>
  <c r="N41" i="61"/>
  <c r="B42" i="61" a="1"/>
  <c r="B42" i="61" s="1"/>
  <c r="Q38" i="60"/>
  <c r="H38" i="60"/>
  <c r="F38" i="60"/>
  <c r="D38" i="60"/>
  <c r="U38" i="60"/>
  <c r="C38" i="60"/>
  <c r="A26" i="81" s="1"/>
  <c r="O38" i="60"/>
  <c r="V39" i="60"/>
  <c r="L38" i="60"/>
  <c r="T38" i="60"/>
  <c r="K38" i="60"/>
  <c r="R38" i="60"/>
  <c r="S38" i="60"/>
  <c r="N38" i="60"/>
  <c r="I38" i="60"/>
  <c r="W38" i="60"/>
  <c r="G38" i="60"/>
  <c r="E38" i="60"/>
  <c r="M38" i="60"/>
  <c r="J38" i="60"/>
  <c r="P38" i="60"/>
  <c r="B39" i="60" a="1"/>
  <c r="B39" i="60" s="1"/>
  <c r="X37" i="60"/>
  <c r="X40" i="61"/>
  <c r="P42" i="61" l="1"/>
  <c r="J42" i="61"/>
  <c r="V42" i="61"/>
  <c r="L42" i="61"/>
  <c r="I42" i="61"/>
  <c r="Q42" i="61"/>
  <c r="K42" i="61"/>
  <c r="S42" i="61"/>
  <c r="T42" i="61"/>
  <c r="R42" i="61"/>
  <c r="H42" i="61"/>
  <c r="E42" i="61"/>
  <c r="U42" i="61"/>
  <c r="O42" i="61"/>
  <c r="N42" i="61"/>
  <c r="D42" i="61"/>
  <c r="W42" i="61"/>
  <c r="M42" i="61"/>
  <c r="F42" i="61"/>
  <c r="C42" i="61"/>
  <c r="G42" i="61"/>
  <c r="B43" i="61" a="1"/>
  <c r="B43" i="61" s="1"/>
  <c r="P39" i="60"/>
  <c r="T39" i="60"/>
  <c r="H39" i="60"/>
  <c r="L39" i="60"/>
  <c r="U39" i="60"/>
  <c r="S39" i="60"/>
  <c r="V40" i="60"/>
  <c r="R39" i="60"/>
  <c r="M39" i="60"/>
  <c r="D39" i="60"/>
  <c r="K39" i="60"/>
  <c r="G39" i="60"/>
  <c r="C39" i="60"/>
  <c r="A27" i="81" s="1"/>
  <c r="N39" i="60"/>
  <c r="O39" i="60"/>
  <c r="E39" i="60"/>
  <c r="F39" i="60"/>
  <c r="I39" i="60"/>
  <c r="W39" i="60"/>
  <c r="J39" i="60"/>
  <c r="Q39" i="60"/>
  <c r="B40" i="60" a="1"/>
  <c r="B40" i="60" s="1"/>
  <c r="X38" i="60"/>
  <c r="X41" i="61"/>
  <c r="P40" i="60" l="1"/>
  <c r="C40" i="60"/>
  <c r="A28" i="81" s="1"/>
  <c r="D40" i="60"/>
  <c r="W40" i="60"/>
  <c r="I40" i="60"/>
  <c r="U40" i="60"/>
  <c r="G40" i="60"/>
  <c r="V41" i="60"/>
  <c r="L40" i="60"/>
  <c r="F40" i="60"/>
  <c r="H40" i="60"/>
  <c r="M40" i="60"/>
  <c r="Q40" i="60"/>
  <c r="J40" i="60"/>
  <c r="R40" i="60"/>
  <c r="S40" i="60"/>
  <c r="N40" i="60"/>
  <c r="O40" i="60"/>
  <c r="E40" i="60"/>
  <c r="T40" i="60"/>
  <c r="K40" i="60"/>
  <c r="B41" i="60" a="1"/>
  <c r="B41" i="60" s="1"/>
  <c r="X39" i="60"/>
  <c r="X42" i="61"/>
  <c r="V43" i="61"/>
  <c r="G43" i="61"/>
  <c r="N43" i="61"/>
  <c r="I43" i="61"/>
  <c r="R43" i="61"/>
  <c r="D43" i="61"/>
  <c r="K43" i="61"/>
  <c r="T43" i="61"/>
  <c r="W43" i="61"/>
  <c r="J43" i="61"/>
  <c r="E43" i="61"/>
  <c r="U43" i="61"/>
  <c r="S43" i="61"/>
  <c r="Q43" i="61"/>
  <c r="H43" i="61"/>
  <c r="M43" i="61"/>
  <c r="O43" i="61"/>
  <c r="P43" i="61"/>
  <c r="F43" i="61"/>
  <c r="L43" i="61"/>
  <c r="C43" i="61"/>
  <c r="B44" i="61" a="1"/>
  <c r="B44" i="61" s="1"/>
  <c r="C44" i="61" l="1"/>
  <c r="Q44" i="61"/>
  <c r="D44" i="61"/>
  <c r="H44" i="61"/>
  <c r="O44" i="61"/>
  <c r="N44" i="61"/>
  <c r="P44" i="61"/>
  <c r="G44" i="61"/>
  <c r="T44" i="61"/>
  <c r="F44" i="61"/>
  <c r="M44" i="61"/>
  <c r="W44" i="61"/>
  <c r="S44" i="61"/>
  <c r="I44" i="61"/>
  <c r="L44" i="61"/>
  <c r="E44" i="61"/>
  <c r="U44" i="61"/>
  <c r="V44" i="61"/>
  <c r="R44" i="61"/>
  <c r="J44" i="61"/>
  <c r="K44" i="61"/>
  <c r="B45" i="61" a="1"/>
  <c r="B45" i="61" s="1"/>
  <c r="X40" i="60"/>
  <c r="P41" i="60"/>
  <c r="Q41" i="60"/>
  <c r="G41" i="60"/>
  <c r="J41" i="60"/>
  <c r="E41" i="60"/>
  <c r="K41" i="60"/>
  <c r="D41" i="60"/>
  <c r="R41" i="60"/>
  <c r="F41" i="60"/>
  <c r="U41" i="60"/>
  <c r="I41" i="60"/>
  <c r="V42" i="60"/>
  <c r="O41" i="60"/>
  <c r="S41" i="60"/>
  <c r="H41" i="60"/>
  <c r="L41" i="60"/>
  <c r="T41" i="60"/>
  <c r="W41" i="60"/>
  <c r="C41" i="60"/>
  <c r="A29" i="81" s="1"/>
  <c r="M41" i="60"/>
  <c r="N41" i="60"/>
  <c r="B42" i="60" a="1"/>
  <c r="B42" i="60" s="1"/>
  <c r="X43" i="61"/>
  <c r="X44" i="61" l="1"/>
  <c r="X41" i="60"/>
  <c r="D45" i="61"/>
  <c r="T45" i="61"/>
  <c r="F45" i="61"/>
  <c r="R45" i="61"/>
  <c r="S45" i="61"/>
  <c r="G45" i="61"/>
  <c r="K45" i="61"/>
  <c r="W45" i="61"/>
  <c r="L45" i="61"/>
  <c r="O45" i="61"/>
  <c r="H45" i="61"/>
  <c r="P45" i="61"/>
  <c r="E45" i="61"/>
  <c r="N45" i="61"/>
  <c r="I45" i="61"/>
  <c r="J45" i="61"/>
  <c r="M45" i="61"/>
  <c r="V45" i="61"/>
  <c r="U45" i="61"/>
  <c r="Q45" i="61"/>
  <c r="C45" i="61"/>
  <c r="B46" i="61" a="1"/>
  <c r="B46" i="61" s="1"/>
  <c r="C42" i="60"/>
  <c r="A30" i="81" s="1"/>
  <c r="K42" i="60"/>
  <c r="H42" i="60"/>
  <c r="I42" i="60"/>
  <c r="T42" i="60"/>
  <c r="E42" i="60"/>
  <c r="L42" i="60"/>
  <c r="O42" i="60"/>
  <c r="D42" i="60"/>
  <c r="V43" i="60"/>
  <c r="G42" i="60"/>
  <c r="R42" i="60"/>
  <c r="N42" i="60"/>
  <c r="Q42" i="60"/>
  <c r="W42" i="60"/>
  <c r="F42" i="60"/>
  <c r="M42" i="60"/>
  <c r="U42" i="60"/>
  <c r="P42" i="60"/>
  <c r="S42" i="60"/>
  <c r="J42" i="60"/>
  <c r="B43" i="60" a="1"/>
  <c r="B43" i="60" s="1"/>
  <c r="O43" i="60" l="1"/>
  <c r="W43" i="60"/>
  <c r="Q43" i="60"/>
  <c r="H43" i="60"/>
  <c r="E43" i="60"/>
  <c r="U43" i="60"/>
  <c r="D43" i="60"/>
  <c r="I43" i="60"/>
  <c r="T43" i="60"/>
  <c r="L43" i="60"/>
  <c r="M43" i="60"/>
  <c r="S43" i="60"/>
  <c r="K43" i="60"/>
  <c r="G43" i="60"/>
  <c r="N43" i="60"/>
  <c r="F43" i="60"/>
  <c r="R43" i="60"/>
  <c r="P43" i="60"/>
  <c r="V44" i="60"/>
  <c r="C43" i="60"/>
  <c r="A31" i="81" s="1"/>
  <c r="J43" i="60"/>
  <c r="B44" i="60" a="1"/>
  <c r="B44" i="60" s="1"/>
  <c r="X45" i="61"/>
  <c r="T46" i="61"/>
  <c r="D46" i="61"/>
  <c r="C46" i="61"/>
  <c r="P46" i="61"/>
  <c r="E46" i="61"/>
  <c r="R46" i="61"/>
  <c r="W46" i="61"/>
  <c r="J46" i="61"/>
  <c r="K46" i="61"/>
  <c r="N46" i="61"/>
  <c r="V46" i="61"/>
  <c r="F46" i="61"/>
  <c r="H46" i="61"/>
  <c r="M46" i="61"/>
  <c r="Q46" i="61"/>
  <c r="L46" i="61"/>
  <c r="S46" i="61"/>
  <c r="O46" i="61"/>
  <c r="G46" i="61"/>
  <c r="I46" i="61"/>
  <c r="U46" i="61"/>
  <c r="B47" i="61" a="1"/>
  <c r="B47" i="61" s="1"/>
  <c r="X42" i="60"/>
  <c r="C44" i="60" l="1"/>
  <c r="A32" i="81" s="1"/>
  <c r="G44" i="60"/>
  <c r="P44" i="60"/>
  <c r="D44" i="60"/>
  <c r="W44" i="60"/>
  <c r="I44" i="60"/>
  <c r="K44" i="60"/>
  <c r="V45" i="60"/>
  <c r="N44" i="60"/>
  <c r="R44" i="60"/>
  <c r="E44" i="60"/>
  <c r="L44" i="60"/>
  <c r="H44" i="60"/>
  <c r="O44" i="60"/>
  <c r="Q44" i="60"/>
  <c r="F44" i="60"/>
  <c r="T44" i="60"/>
  <c r="J44" i="60"/>
  <c r="M44" i="60"/>
  <c r="U44" i="60"/>
  <c r="S44" i="60"/>
  <c r="B45" i="60" a="1"/>
  <c r="B45" i="60" s="1"/>
  <c r="C47" i="61"/>
  <c r="Q47" i="61"/>
  <c r="O47" i="61"/>
  <c r="U47" i="61"/>
  <c r="M47" i="61"/>
  <c r="G47" i="61"/>
  <c r="I47" i="61"/>
  <c r="J47" i="61"/>
  <c r="W47" i="61"/>
  <c r="D47" i="61"/>
  <c r="L47" i="61"/>
  <c r="S47" i="61"/>
  <c r="E47" i="61"/>
  <c r="V47" i="61"/>
  <c r="T47" i="61"/>
  <c r="N47" i="61"/>
  <c r="P47" i="61"/>
  <c r="K47" i="61"/>
  <c r="F47" i="61"/>
  <c r="R47" i="61"/>
  <c r="H47" i="61"/>
  <c r="B48" i="61" a="1"/>
  <c r="B48" i="61" s="1"/>
  <c r="X46" i="61"/>
  <c r="X43" i="60"/>
  <c r="W45" i="60" l="1"/>
  <c r="O45" i="60"/>
  <c r="G45" i="60"/>
  <c r="L45" i="60"/>
  <c r="S45" i="60"/>
  <c r="K45" i="60"/>
  <c r="I45" i="60"/>
  <c r="E45" i="60"/>
  <c r="T45" i="60"/>
  <c r="N45" i="60"/>
  <c r="D45" i="60"/>
  <c r="V46" i="60"/>
  <c r="C45" i="60"/>
  <c r="A33" i="81" s="1"/>
  <c r="H45" i="60"/>
  <c r="F45" i="60"/>
  <c r="J45" i="60"/>
  <c r="U45" i="60"/>
  <c r="P45" i="60"/>
  <c r="M45" i="60"/>
  <c r="Q45" i="60"/>
  <c r="R45" i="60"/>
  <c r="B46" i="60" a="1"/>
  <c r="B46" i="60" s="1"/>
  <c r="X44" i="60"/>
  <c r="N48" i="61"/>
  <c r="U48" i="61"/>
  <c r="C48" i="61"/>
  <c r="H48" i="61"/>
  <c r="G48" i="61"/>
  <c r="M48" i="61"/>
  <c r="T48" i="61"/>
  <c r="R48" i="61"/>
  <c r="P48" i="61"/>
  <c r="S48" i="61"/>
  <c r="V48" i="61"/>
  <c r="W48" i="61"/>
  <c r="L48" i="61"/>
  <c r="J48" i="61"/>
  <c r="D48" i="61"/>
  <c r="K48" i="61"/>
  <c r="I48" i="61"/>
  <c r="Q48" i="61"/>
  <c r="F48" i="61"/>
  <c r="E48" i="61"/>
  <c r="O48" i="61"/>
  <c r="B49" i="61" a="1"/>
  <c r="B49" i="61" s="1"/>
  <c r="X47" i="61"/>
  <c r="X48" i="61" l="1"/>
  <c r="C49" i="61"/>
  <c r="Q49" i="61"/>
  <c r="F49" i="61"/>
  <c r="L49" i="61"/>
  <c r="I49" i="61"/>
  <c r="T49" i="61"/>
  <c r="U49" i="61"/>
  <c r="K49" i="61"/>
  <c r="O49" i="61"/>
  <c r="P49" i="61"/>
  <c r="M49" i="61"/>
  <c r="W49" i="61"/>
  <c r="G49" i="61"/>
  <c r="D49" i="61"/>
  <c r="H49" i="61"/>
  <c r="V49" i="61"/>
  <c r="E49" i="61"/>
  <c r="J49" i="61"/>
  <c r="R49" i="61"/>
  <c r="N49" i="61"/>
  <c r="S49" i="61"/>
  <c r="B50" i="61" a="1"/>
  <c r="B50" i="61" s="1"/>
  <c r="R46" i="60"/>
  <c r="P46" i="60"/>
  <c r="V47" i="60"/>
  <c r="N46" i="60"/>
  <c r="E46" i="60"/>
  <c r="C46" i="60"/>
  <c r="A34" i="81" s="1"/>
  <c r="F46" i="60"/>
  <c r="T46" i="60"/>
  <c r="G46" i="60"/>
  <c r="W46" i="60"/>
  <c r="M46" i="60"/>
  <c r="U46" i="60"/>
  <c r="S46" i="60"/>
  <c r="Q46" i="60"/>
  <c r="H46" i="60"/>
  <c r="J46" i="60"/>
  <c r="L46" i="60"/>
  <c r="I46" i="60"/>
  <c r="O46" i="60"/>
  <c r="D46" i="60"/>
  <c r="K46" i="60"/>
  <c r="B47" i="60" a="1"/>
  <c r="B47" i="60" s="1"/>
  <c r="X45" i="60"/>
  <c r="X46" i="60" l="1"/>
  <c r="S50" i="61"/>
  <c r="E50" i="61"/>
  <c r="U50" i="61"/>
  <c r="O50" i="61"/>
  <c r="F50" i="61"/>
  <c r="T50" i="61"/>
  <c r="C50" i="61"/>
  <c r="G50" i="61"/>
  <c r="I50" i="61"/>
  <c r="N50" i="61"/>
  <c r="D50" i="61"/>
  <c r="H50" i="61"/>
  <c r="K50" i="61"/>
  <c r="P50" i="61"/>
  <c r="W50" i="61"/>
  <c r="M50" i="61"/>
  <c r="R50" i="61"/>
  <c r="L50" i="61"/>
  <c r="V50" i="61"/>
  <c r="Q50" i="61"/>
  <c r="J50" i="61"/>
  <c r="B51" i="61" a="1"/>
  <c r="B51" i="61" s="1"/>
  <c r="C47" i="60"/>
  <c r="A35" i="81" s="1"/>
  <c r="M47" i="60"/>
  <c r="R47" i="60"/>
  <c r="O47" i="60"/>
  <c r="F47" i="60"/>
  <c r="W47" i="60"/>
  <c r="U47" i="60"/>
  <c r="V48" i="60"/>
  <c r="K47" i="60"/>
  <c r="H47" i="60"/>
  <c r="P47" i="60"/>
  <c r="J47" i="60"/>
  <c r="T47" i="60"/>
  <c r="E47" i="60"/>
  <c r="D47" i="60"/>
  <c r="G47" i="60"/>
  <c r="L47" i="60"/>
  <c r="I47" i="60"/>
  <c r="Q47" i="60"/>
  <c r="N47" i="60"/>
  <c r="S47" i="60"/>
  <c r="B48" i="60" a="1"/>
  <c r="B48" i="60" s="1"/>
  <c r="X49" i="61"/>
  <c r="X47" i="60" l="1"/>
  <c r="X50" i="61"/>
  <c r="Q48" i="60"/>
  <c r="E48" i="60"/>
  <c r="I48" i="60"/>
  <c r="R48" i="60"/>
  <c r="U48" i="60"/>
  <c r="O48" i="60"/>
  <c r="P48" i="60"/>
  <c r="T48" i="60"/>
  <c r="G48" i="60"/>
  <c r="K48" i="60"/>
  <c r="H48" i="60"/>
  <c r="F48" i="60"/>
  <c r="J48" i="60"/>
  <c r="V49" i="60"/>
  <c r="S48" i="60"/>
  <c r="C48" i="60"/>
  <c r="A36" i="81" s="1"/>
  <c r="L48" i="60"/>
  <c r="M48" i="60"/>
  <c r="W48" i="60"/>
  <c r="N48" i="60"/>
  <c r="D48" i="60"/>
  <c r="B49" i="60" a="1"/>
  <c r="B49" i="60" s="1"/>
  <c r="R51" i="61"/>
  <c r="J51" i="61"/>
  <c r="V51" i="61"/>
  <c r="D51" i="61"/>
  <c r="O51" i="61"/>
  <c r="H51" i="61"/>
  <c r="W51" i="61"/>
  <c r="I51" i="61"/>
  <c r="G51" i="61"/>
  <c r="U51" i="61"/>
  <c r="M51" i="61"/>
  <c r="Q51" i="61"/>
  <c r="T51" i="61"/>
  <c r="K51" i="61"/>
  <c r="C51" i="61"/>
  <c r="E51" i="61"/>
  <c r="P51" i="61"/>
  <c r="S51" i="61"/>
  <c r="L51" i="61"/>
  <c r="F51" i="61"/>
  <c r="N51" i="61"/>
  <c r="B52" i="61" a="1"/>
  <c r="B52" i="61" s="1"/>
  <c r="C49" i="60" l="1"/>
  <c r="A37" i="81" s="1"/>
  <c r="H49" i="60"/>
  <c r="E49" i="60"/>
  <c r="K49" i="60"/>
  <c r="O49" i="60"/>
  <c r="T49" i="60"/>
  <c r="J49" i="60"/>
  <c r="R49" i="60"/>
  <c r="U49" i="60"/>
  <c r="I49" i="60"/>
  <c r="D49" i="60"/>
  <c r="L49" i="60"/>
  <c r="N49" i="60"/>
  <c r="S49" i="60"/>
  <c r="G49" i="60"/>
  <c r="P49" i="60"/>
  <c r="F49" i="60"/>
  <c r="M49" i="60"/>
  <c r="W49" i="60"/>
  <c r="V50" i="60"/>
  <c r="Q49" i="60"/>
  <c r="B50" i="60" a="1"/>
  <c r="B50" i="60" s="1"/>
  <c r="X51" i="61"/>
  <c r="O52" i="61"/>
  <c r="L52" i="61"/>
  <c r="R52" i="61"/>
  <c r="G52" i="61"/>
  <c r="F52" i="61"/>
  <c r="N52" i="61"/>
  <c r="S52" i="61"/>
  <c r="T52" i="61"/>
  <c r="J52" i="61"/>
  <c r="U52" i="61"/>
  <c r="D52" i="61"/>
  <c r="C52" i="61"/>
  <c r="W52" i="61"/>
  <c r="V52" i="61"/>
  <c r="E52" i="61"/>
  <c r="I52" i="61"/>
  <c r="K52" i="61"/>
  <c r="Q52" i="61"/>
  <c r="H52" i="61"/>
  <c r="P52" i="61"/>
  <c r="M52" i="61"/>
  <c r="B53" i="61" a="1"/>
  <c r="B53" i="61" s="1"/>
  <c r="X48" i="60"/>
  <c r="N53" i="61" l="1"/>
  <c r="E53" i="61"/>
  <c r="K53" i="61"/>
  <c r="T53" i="61"/>
  <c r="P53" i="61"/>
  <c r="O53" i="61"/>
  <c r="U53" i="61"/>
  <c r="W53" i="61"/>
  <c r="V53" i="61"/>
  <c r="L53" i="61"/>
  <c r="F53" i="61"/>
  <c r="H53" i="61"/>
  <c r="C53" i="61"/>
  <c r="M53" i="61"/>
  <c r="Q53" i="61"/>
  <c r="J53" i="61"/>
  <c r="D53" i="61"/>
  <c r="R53" i="61"/>
  <c r="S53" i="61"/>
  <c r="I53" i="61"/>
  <c r="G53" i="61"/>
  <c r="B54" i="61" a="1"/>
  <c r="B54" i="61" s="1"/>
  <c r="X52" i="61"/>
  <c r="C50" i="60"/>
  <c r="A38" i="81" s="1"/>
  <c r="N50" i="60"/>
  <c r="E50" i="60"/>
  <c r="P50" i="60"/>
  <c r="I50" i="60"/>
  <c r="M50" i="60"/>
  <c r="U50" i="60"/>
  <c r="T50" i="60"/>
  <c r="V51" i="60"/>
  <c r="Q50" i="60"/>
  <c r="L50" i="60"/>
  <c r="G50" i="60"/>
  <c r="O50" i="60"/>
  <c r="S50" i="60"/>
  <c r="J50" i="60"/>
  <c r="H50" i="60"/>
  <c r="W50" i="60"/>
  <c r="R50" i="60"/>
  <c r="K50" i="60"/>
  <c r="F50" i="60"/>
  <c r="D50" i="60"/>
  <c r="B51" i="60" a="1"/>
  <c r="B51" i="60" s="1"/>
  <c r="X49" i="60"/>
  <c r="X53" i="61" l="1"/>
  <c r="Q51" i="60"/>
  <c r="E51" i="60"/>
  <c r="G51" i="60"/>
  <c r="P51" i="60"/>
  <c r="D51" i="60"/>
  <c r="S51" i="60"/>
  <c r="K51" i="60"/>
  <c r="W51" i="60"/>
  <c r="J51" i="60"/>
  <c r="O51" i="60"/>
  <c r="C51" i="60"/>
  <c r="A39" i="81" s="1"/>
  <c r="H51" i="60"/>
  <c r="N51" i="60"/>
  <c r="M51" i="60"/>
  <c r="V52" i="60"/>
  <c r="R51" i="60"/>
  <c r="I51" i="60"/>
  <c r="T51" i="60"/>
  <c r="L51" i="60"/>
  <c r="U51" i="60"/>
  <c r="F51" i="60"/>
  <c r="B52" i="60" a="1"/>
  <c r="B52" i="60" s="1"/>
  <c r="E54" i="61"/>
  <c r="F54" i="61"/>
  <c r="D54" i="61"/>
  <c r="K54" i="61"/>
  <c r="L54" i="61"/>
  <c r="M54" i="61"/>
  <c r="N54" i="61"/>
  <c r="O54" i="61"/>
  <c r="P54" i="61"/>
  <c r="T54" i="61"/>
  <c r="H54" i="61"/>
  <c r="V54" i="61"/>
  <c r="J54" i="61"/>
  <c r="R54" i="61"/>
  <c r="C54" i="61"/>
  <c r="Q54" i="61"/>
  <c r="G54" i="61"/>
  <c r="S54" i="61"/>
  <c r="W54" i="61"/>
  <c r="I54" i="61"/>
  <c r="U54" i="61"/>
  <c r="B55" i="61" a="1"/>
  <c r="B55" i="61" s="1"/>
  <c r="X50" i="60"/>
  <c r="X54" i="61" l="1"/>
  <c r="O55" i="61"/>
  <c r="R55" i="61"/>
  <c r="M55" i="61"/>
  <c r="P55" i="61"/>
  <c r="E55" i="61"/>
  <c r="V55" i="61"/>
  <c r="S55" i="61"/>
  <c r="H55" i="61"/>
  <c r="G55" i="61"/>
  <c r="W55" i="61"/>
  <c r="I55" i="61"/>
  <c r="L55" i="61"/>
  <c r="U55" i="61"/>
  <c r="Q55" i="61"/>
  <c r="T55" i="61"/>
  <c r="N55" i="61"/>
  <c r="D55" i="61"/>
  <c r="J55" i="61"/>
  <c r="C55" i="61"/>
  <c r="K55" i="61"/>
  <c r="F55" i="61"/>
  <c r="B56" i="61" a="1"/>
  <c r="B56" i="61" s="1"/>
  <c r="X51" i="60"/>
  <c r="C52" i="60"/>
  <c r="A40" i="81" s="1"/>
  <c r="G52" i="60"/>
  <c r="I52" i="60"/>
  <c r="Q52" i="60"/>
  <c r="V53" i="60"/>
  <c r="M52" i="60"/>
  <c r="T52" i="60"/>
  <c r="R52" i="60"/>
  <c r="H52" i="60"/>
  <c r="L52" i="60"/>
  <c r="S52" i="60"/>
  <c r="U52" i="60"/>
  <c r="K52" i="60"/>
  <c r="O52" i="60"/>
  <c r="D52" i="60"/>
  <c r="J52" i="60"/>
  <c r="F52" i="60"/>
  <c r="N52" i="60"/>
  <c r="P52" i="60"/>
  <c r="W52" i="60"/>
  <c r="E52" i="60"/>
  <c r="B53" i="60" a="1"/>
  <c r="B53" i="60" s="1"/>
  <c r="X52" i="60" l="1"/>
  <c r="H53" i="60"/>
  <c r="K53" i="60"/>
  <c r="J53" i="60"/>
  <c r="P53" i="60"/>
  <c r="V54" i="60"/>
  <c r="S53" i="60"/>
  <c r="L53" i="60"/>
  <c r="O53" i="60"/>
  <c r="I53" i="60"/>
  <c r="Q53" i="60"/>
  <c r="C53" i="60"/>
  <c r="A41" i="81" s="1"/>
  <c r="E53" i="60"/>
  <c r="N53" i="60"/>
  <c r="T53" i="60"/>
  <c r="D53" i="60"/>
  <c r="M53" i="60"/>
  <c r="R53" i="60"/>
  <c r="U53" i="60"/>
  <c r="G53" i="60"/>
  <c r="W53" i="60"/>
  <c r="F53" i="60"/>
  <c r="B54" i="60" a="1"/>
  <c r="B54" i="60" s="1"/>
  <c r="D56" i="61"/>
  <c r="C56" i="61"/>
  <c r="U56" i="61"/>
  <c r="P56" i="61"/>
  <c r="G56" i="61"/>
  <c r="T56" i="61"/>
  <c r="I56" i="61"/>
  <c r="J56" i="61"/>
  <c r="V56" i="61"/>
  <c r="Q56" i="61"/>
  <c r="F56" i="61"/>
  <c r="H56" i="61"/>
  <c r="L56" i="61"/>
  <c r="N56" i="61"/>
  <c r="K56" i="61"/>
  <c r="E56" i="61"/>
  <c r="R56" i="61"/>
  <c r="O56" i="61"/>
  <c r="S56" i="61"/>
  <c r="W56" i="61"/>
  <c r="M56" i="61"/>
  <c r="B57" i="61" a="1"/>
  <c r="B57" i="61" s="1"/>
  <c r="X55" i="61"/>
  <c r="D57" i="61" l="1"/>
  <c r="T57" i="61"/>
  <c r="V57" i="61"/>
  <c r="G57" i="61"/>
  <c r="H57" i="61"/>
  <c r="Q57" i="61"/>
  <c r="E57" i="61"/>
  <c r="P57" i="61"/>
  <c r="K57" i="61"/>
  <c r="U57" i="61"/>
  <c r="J57" i="61"/>
  <c r="W57" i="61"/>
  <c r="N57" i="61"/>
  <c r="S57" i="61"/>
  <c r="I57" i="61"/>
  <c r="R57" i="61"/>
  <c r="F57" i="61"/>
  <c r="C57" i="61"/>
  <c r="L57" i="61"/>
  <c r="M57" i="61"/>
  <c r="O57" i="61"/>
  <c r="B58" i="61" a="1"/>
  <c r="B58" i="61" s="1"/>
  <c r="X56" i="61"/>
  <c r="M54" i="60"/>
  <c r="Q54" i="60"/>
  <c r="U54" i="60"/>
  <c r="S54" i="60"/>
  <c r="D54" i="60"/>
  <c r="G54" i="60"/>
  <c r="N54" i="60"/>
  <c r="W54" i="60"/>
  <c r="E54" i="60"/>
  <c r="R54" i="60"/>
  <c r="C54" i="60"/>
  <c r="A42" i="81" s="1"/>
  <c r="K54" i="60"/>
  <c r="F54" i="60"/>
  <c r="V55" i="60"/>
  <c r="O54" i="60"/>
  <c r="I54" i="60"/>
  <c r="P54" i="60"/>
  <c r="J54" i="60"/>
  <c r="L54" i="60"/>
  <c r="T54" i="60"/>
  <c r="H54" i="60"/>
  <c r="B55" i="60" a="1"/>
  <c r="B55" i="60" s="1"/>
  <c r="X53" i="60"/>
  <c r="O55" i="60" l="1"/>
  <c r="S55" i="60"/>
  <c r="M55" i="60"/>
  <c r="J55" i="60"/>
  <c r="Q55" i="60"/>
  <c r="G55" i="60"/>
  <c r="D55" i="60"/>
  <c r="V56" i="60"/>
  <c r="H55" i="60"/>
  <c r="K55" i="60"/>
  <c r="C55" i="60"/>
  <c r="A43" i="81" s="1"/>
  <c r="P55" i="60"/>
  <c r="L55" i="60"/>
  <c r="R55" i="60"/>
  <c r="U55" i="60"/>
  <c r="N55" i="60"/>
  <c r="W55" i="60"/>
  <c r="T55" i="60"/>
  <c r="I55" i="60"/>
  <c r="E55" i="60"/>
  <c r="F55" i="60"/>
  <c r="B56" i="60" a="1"/>
  <c r="B56" i="60" s="1"/>
  <c r="X54" i="60"/>
  <c r="M58" i="61"/>
  <c r="N58" i="61"/>
  <c r="D58" i="61"/>
  <c r="P58" i="61"/>
  <c r="T58" i="61"/>
  <c r="J58" i="61"/>
  <c r="Q58" i="61"/>
  <c r="S58" i="61"/>
  <c r="K58" i="61"/>
  <c r="C58" i="61"/>
  <c r="R58" i="61"/>
  <c r="U58" i="61"/>
  <c r="H58" i="61"/>
  <c r="W58" i="61"/>
  <c r="I58" i="61"/>
  <c r="E58" i="61"/>
  <c r="L58" i="61"/>
  <c r="G58" i="61"/>
  <c r="O58" i="61"/>
  <c r="F58" i="61"/>
  <c r="V58" i="61"/>
  <c r="B59" i="61" a="1"/>
  <c r="B59" i="61" s="1"/>
  <c r="X57" i="61"/>
  <c r="X58" i="61" l="1"/>
  <c r="R59" i="61"/>
  <c r="I59" i="61"/>
  <c r="U59" i="61"/>
  <c r="G59" i="61"/>
  <c r="H59" i="61"/>
  <c r="D59" i="61"/>
  <c r="J59" i="61"/>
  <c r="F59" i="61"/>
  <c r="M59" i="61"/>
  <c r="P59" i="61"/>
  <c r="T59" i="61"/>
  <c r="W59" i="61"/>
  <c r="O59" i="61"/>
  <c r="C59" i="61"/>
  <c r="K59" i="61"/>
  <c r="Q59" i="61"/>
  <c r="E59" i="61"/>
  <c r="V59" i="61"/>
  <c r="L59" i="61"/>
  <c r="N59" i="61"/>
  <c r="S59" i="61"/>
  <c r="B60" i="61" a="1"/>
  <c r="B60" i="61" s="1"/>
  <c r="C56" i="60"/>
  <c r="A44" i="81" s="1"/>
  <c r="K56" i="60"/>
  <c r="L56" i="60"/>
  <c r="G56" i="60"/>
  <c r="T56" i="60"/>
  <c r="V57" i="60"/>
  <c r="E56" i="60"/>
  <c r="M56" i="60"/>
  <c r="Q56" i="60"/>
  <c r="S56" i="60"/>
  <c r="J56" i="60"/>
  <c r="F56" i="60"/>
  <c r="P56" i="60"/>
  <c r="D56" i="60"/>
  <c r="H56" i="60"/>
  <c r="I56" i="60"/>
  <c r="U56" i="60"/>
  <c r="R56" i="60"/>
  <c r="W56" i="60"/>
  <c r="N56" i="60"/>
  <c r="O56" i="60"/>
  <c r="B57" i="60" a="1"/>
  <c r="B57" i="60" s="1"/>
  <c r="X55" i="60"/>
  <c r="T60" i="61" l="1"/>
  <c r="P60" i="61"/>
  <c r="L60" i="61"/>
  <c r="R60" i="61"/>
  <c r="H60" i="61"/>
  <c r="S60" i="61"/>
  <c r="F60" i="61"/>
  <c r="J60" i="61"/>
  <c r="I60" i="61"/>
  <c r="V60" i="61"/>
  <c r="C60" i="61"/>
  <c r="E60" i="61"/>
  <c r="W60" i="61"/>
  <c r="O60" i="61"/>
  <c r="U60" i="61"/>
  <c r="G60" i="61"/>
  <c r="M60" i="61"/>
  <c r="K60" i="61"/>
  <c r="N60" i="61"/>
  <c r="Q60" i="61"/>
  <c r="D60" i="61"/>
  <c r="B61" i="61" a="1"/>
  <c r="B61" i="61" s="1"/>
  <c r="X56" i="60"/>
  <c r="X59" i="61"/>
  <c r="U57" i="60"/>
  <c r="I57" i="60"/>
  <c r="J57" i="60"/>
  <c r="E57" i="60"/>
  <c r="F57" i="60"/>
  <c r="M57" i="60"/>
  <c r="G57" i="60"/>
  <c r="O57" i="60"/>
  <c r="W57" i="60"/>
  <c r="Q57" i="60"/>
  <c r="H57" i="60"/>
  <c r="L57" i="60"/>
  <c r="K57" i="60"/>
  <c r="S57" i="60"/>
  <c r="C57" i="60"/>
  <c r="A45" i="81" s="1"/>
  <c r="V58" i="60"/>
  <c r="T57" i="60"/>
  <c r="R57" i="60"/>
  <c r="P57" i="60"/>
  <c r="D57" i="60"/>
  <c r="N57" i="60"/>
  <c r="B58" i="60" a="1"/>
  <c r="B58" i="60" s="1"/>
  <c r="X57" i="60" l="1"/>
  <c r="P61" i="61"/>
  <c r="O61" i="61"/>
  <c r="E61" i="61"/>
  <c r="R61" i="61"/>
  <c r="G61" i="61"/>
  <c r="M61" i="61"/>
  <c r="C61" i="61"/>
  <c r="F61" i="61"/>
  <c r="J61" i="61"/>
  <c r="V61" i="61"/>
  <c r="N61" i="61"/>
  <c r="D61" i="61"/>
  <c r="K61" i="61"/>
  <c r="H61" i="61"/>
  <c r="I61" i="61"/>
  <c r="U61" i="61"/>
  <c r="S61" i="61"/>
  <c r="L61" i="61"/>
  <c r="W61" i="61"/>
  <c r="T61" i="61"/>
  <c r="Q61" i="61"/>
  <c r="B62" i="61" a="1"/>
  <c r="B62" i="61" s="1"/>
  <c r="X60" i="61"/>
  <c r="T58" i="60"/>
  <c r="U58" i="60"/>
  <c r="N58" i="60"/>
  <c r="L58" i="60"/>
  <c r="J58" i="60"/>
  <c r="C58" i="60"/>
  <c r="A46" i="81" s="1"/>
  <c r="W58" i="60"/>
  <c r="M58" i="60"/>
  <c r="V59" i="60"/>
  <c r="D58" i="60"/>
  <c r="H58" i="60"/>
  <c r="S58" i="60"/>
  <c r="E58" i="60"/>
  <c r="R58" i="60"/>
  <c r="O58" i="60"/>
  <c r="I58" i="60"/>
  <c r="G58" i="60"/>
  <c r="F58" i="60"/>
  <c r="Q58" i="60"/>
  <c r="K58" i="60"/>
  <c r="P58" i="60"/>
  <c r="B59" i="60" a="1"/>
  <c r="B59" i="60" s="1"/>
  <c r="X61" i="61" l="1"/>
  <c r="X58" i="60"/>
  <c r="N62" i="61"/>
  <c r="L62" i="61"/>
  <c r="I62" i="61"/>
  <c r="W62" i="61"/>
  <c r="O62" i="61"/>
  <c r="H62" i="61"/>
  <c r="U62" i="61"/>
  <c r="F62" i="61"/>
  <c r="K62" i="61"/>
  <c r="T62" i="61"/>
  <c r="R62" i="61"/>
  <c r="G62" i="61"/>
  <c r="E62" i="61"/>
  <c r="P62" i="61"/>
  <c r="Q62" i="61"/>
  <c r="D62" i="61"/>
  <c r="S62" i="61"/>
  <c r="V62" i="61"/>
  <c r="M62" i="61"/>
  <c r="C62" i="61"/>
  <c r="J62" i="61"/>
  <c r="B63" i="61" a="1"/>
  <c r="B63" i="61" s="1"/>
  <c r="C59" i="60"/>
  <c r="A47" i="81" s="1"/>
  <c r="T59" i="60"/>
  <c r="W59" i="60"/>
  <c r="U59" i="60"/>
  <c r="F59" i="60"/>
  <c r="R59" i="60"/>
  <c r="P59" i="60"/>
  <c r="O59" i="60"/>
  <c r="M59" i="60"/>
  <c r="V60" i="60"/>
  <c r="J59" i="60"/>
  <c r="E59" i="60"/>
  <c r="H59" i="60"/>
  <c r="D59" i="60"/>
  <c r="S59" i="60"/>
  <c r="I59" i="60"/>
  <c r="L59" i="60"/>
  <c r="Q59" i="60"/>
  <c r="G59" i="60"/>
  <c r="K59" i="60"/>
  <c r="N59" i="60"/>
  <c r="B60" i="60" a="1"/>
  <c r="B60" i="60" s="1"/>
  <c r="X59" i="60" l="1"/>
  <c r="I60" i="60"/>
  <c r="M60" i="60"/>
  <c r="S60" i="60"/>
  <c r="K60" i="60"/>
  <c r="O60" i="60"/>
  <c r="Q60" i="60"/>
  <c r="J60" i="60"/>
  <c r="C60" i="60"/>
  <c r="A48" i="81" s="1"/>
  <c r="L60" i="60"/>
  <c r="P60" i="60"/>
  <c r="T60" i="60"/>
  <c r="N60" i="60"/>
  <c r="E60" i="60"/>
  <c r="U60" i="60"/>
  <c r="D60" i="60"/>
  <c r="F60" i="60"/>
  <c r="G60" i="60"/>
  <c r="W60" i="60"/>
  <c r="V61" i="60"/>
  <c r="R60" i="60"/>
  <c r="H60" i="60"/>
  <c r="B61" i="60" a="1"/>
  <c r="B61" i="60" s="1"/>
  <c r="S63" i="61"/>
  <c r="O63" i="61"/>
  <c r="V63" i="61"/>
  <c r="N63" i="61"/>
  <c r="L63" i="61"/>
  <c r="J63" i="61"/>
  <c r="E63" i="61"/>
  <c r="H63" i="61"/>
  <c r="Q63" i="61"/>
  <c r="G63" i="61"/>
  <c r="I63" i="61"/>
  <c r="K63" i="61"/>
  <c r="T63" i="61"/>
  <c r="C63" i="61"/>
  <c r="U63" i="61"/>
  <c r="D63" i="61"/>
  <c r="M63" i="61"/>
  <c r="R63" i="61"/>
  <c r="F63" i="61"/>
  <c r="W63" i="61"/>
  <c r="P63" i="61"/>
  <c r="B64" i="61" a="1"/>
  <c r="B64" i="61" s="1"/>
  <c r="X62" i="61"/>
  <c r="X60" i="60" l="1"/>
  <c r="X63" i="61"/>
  <c r="P61" i="60"/>
  <c r="W61" i="60"/>
  <c r="D61" i="60"/>
  <c r="U61" i="60"/>
  <c r="T61" i="60"/>
  <c r="V62" i="60"/>
  <c r="I61" i="60"/>
  <c r="S61" i="60"/>
  <c r="O61" i="60"/>
  <c r="K61" i="60"/>
  <c r="L61" i="60"/>
  <c r="J61" i="60"/>
  <c r="M61" i="60"/>
  <c r="G61" i="60"/>
  <c r="R61" i="60"/>
  <c r="N61" i="60"/>
  <c r="C61" i="60"/>
  <c r="A49" i="81" s="1"/>
  <c r="H61" i="60"/>
  <c r="F61" i="60"/>
  <c r="E61" i="60"/>
  <c r="Q61" i="60"/>
  <c r="B62" i="60" a="1"/>
  <c r="B62" i="60" s="1"/>
  <c r="O64" i="61"/>
  <c r="W64" i="61"/>
  <c r="P64" i="61"/>
  <c r="J64" i="61"/>
  <c r="T64" i="61"/>
  <c r="E64" i="61"/>
  <c r="F64" i="61"/>
  <c r="R64" i="61"/>
  <c r="H64" i="61"/>
  <c r="G64" i="61"/>
  <c r="S64" i="61"/>
  <c r="I64" i="61"/>
  <c r="M64" i="61"/>
  <c r="U64" i="61"/>
  <c r="V64" i="61"/>
  <c r="C64" i="61"/>
  <c r="L64" i="61"/>
  <c r="Q64" i="61"/>
  <c r="K64" i="61"/>
  <c r="D64" i="61"/>
  <c r="N64" i="61"/>
  <c r="B65" i="61" a="1"/>
  <c r="B65" i="61" s="1"/>
  <c r="X61" i="60" l="1"/>
  <c r="O62" i="60"/>
  <c r="S62" i="60"/>
  <c r="F62" i="60"/>
  <c r="U62" i="60"/>
  <c r="N62" i="60"/>
  <c r="I62" i="60"/>
  <c r="M62" i="60"/>
  <c r="C62" i="60"/>
  <c r="A50" i="81" s="1"/>
  <c r="J62" i="60"/>
  <c r="R62" i="60"/>
  <c r="G62" i="60"/>
  <c r="P62" i="60"/>
  <c r="V63" i="60"/>
  <c r="K62" i="60"/>
  <c r="E62" i="60"/>
  <c r="H62" i="60"/>
  <c r="D62" i="60"/>
  <c r="L62" i="60"/>
  <c r="W62" i="60"/>
  <c r="Q62" i="60"/>
  <c r="T62" i="60"/>
  <c r="B63" i="60" a="1"/>
  <c r="B63" i="60" s="1"/>
  <c r="G65" i="61"/>
  <c r="W65" i="61"/>
  <c r="E65" i="61"/>
  <c r="D65" i="61"/>
  <c r="K65" i="61"/>
  <c r="Q65" i="61"/>
  <c r="S65" i="61"/>
  <c r="L65" i="61"/>
  <c r="O65" i="61"/>
  <c r="P65" i="61"/>
  <c r="J65" i="61"/>
  <c r="C65" i="61"/>
  <c r="H65" i="61"/>
  <c r="V65" i="61"/>
  <c r="I65" i="61"/>
  <c r="F65" i="61"/>
  <c r="T65" i="61"/>
  <c r="U65" i="61"/>
  <c r="N65" i="61"/>
  <c r="M65" i="61"/>
  <c r="R65" i="61"/>
  <c r="B66" i="61" a="1"/>
  <c r="B66" i="61" s="1"/>
  <c r="X64" i="61"/>
  <c r="C66" i="61" l="1"/>
  <c r="L66" i="61"/>
  <c r="W66" i="61"/>
  <c r="H66" i="61"/>
  <c r="G66" i="61"/>
  <c r="P66" i="61"/>
  <c r="U66" i="61"/>
  <c r="V66" i="61"/>
  <c r="S66" i="61"/>
  <c r="E66" i="61"/>
  <c r="I66" i="61"/>
  <c r="R66" i="61"/>
  <c r="N66" i="61"/>
  <c r="K66" i="61"/>
  <c r="D66" i="61"/>
  <c r="F66" i="61"/>
  <c r="Q66" i="61"/>
  <c r="J66" i="61"/>
  <c r="O66" i="61"/>
  <c r="T66" i="61"/>
  <c r="M66" i="61"/>
  <c r="B67" i="61" a="1"/>
  <c r="B67" i="61" s="1"/>
  <c r="X65" i="61"/>
  <c r="X62" i="60"/>
  <c r="C63" i="60"/>
  <c r="A51" i="81" s="1"/>
  <c r="Q63" i="60"/>
  <c r="V64" i="60"/>
  <c r="K63" i="60"/>
  <c r="O63" i="60"/>
  <c r="I63" i="60"/>
  <c r="T63" i="60"/>
  <c r="N63" i="60"/>
  <c r="F63" i="60"/>
  <c r="J63" i="60"/>
  <c r="M63" i="60"/>
  <c r="G63" i="60"/>
  <c r="L63" i="60"/>
  <c r="P63" i="60"/>
  <c r="U63" i="60"/>
  <c r="D63" i="60"/>
  <c r="H63" i="60"/>
  <c r="E63" i="60"/>
  <c r="S63" i="60"/>
  <c r="R63" i="60"/>
  <c r="W63" i="60"/>
  <c r="B64" i="60" a="1"/>
  <c r="B64" i="60" s="1"/>
  <c r="X63" i="60" l="1"/>
  <c r="X66" i="61"/>
  <c r="F64" i="60"/>
  <c r="M64" i="60"/>
  <c r="P64" i="60"/>
  <c r="Q64" i="60"/>
  <c r="L64" i="60"/>
  <c r="U64" i="60"/>
  <c r="O64" i="60"/>
  <c r="S64" i="60"/>
  <c r="K64" i="60"/>
  <c r="E64" i="60"/>
  <c r="V65" i="60"/>
  <c r="I64" i="60"/>
  <c r="T64" i="60"/>
  <c r="C64" i="60"/>
  <c r="A52" i="81" s="1"/>
  <c r="J64" i="60"/>
  <c r="R64" i="60"/>
  <c r="N64" i="60"/>
  <c r="G64" i="60"/>
  <c r="H64" i="60"/>
  <c r="D64" i="60"/>
  <c r="W64" i="60"/>
  <c r="B65" i="60" a="1"/>
  <c r="B65" i="60" s="1"/>
  <c r="D67" i="61"/>
  <c r="N67" i="61"/>
  <c r="T67" i="61"/>
  <c r="I67" i="61"/>
  <c r="K67" i="61"/>
  <c r="P67" i="61"/>
  <c r="O67" i="61"/>
  <c r="G67" i="61"/>
  <c r="W67" i="61"/>
  <c r="S67" i="61"/>
  <c r="R67" i="61"/>
  <c r="M67" i="61"/>
  <c r="Q67" i="61"/>
  <c r="V67" i="61"/>
  <c r="E67" i="61"/>
  <c r="C67" i="61"/>
  <c r="L67" i="61"/>
  <c r="H67" i="61"/>
  <c r="F67" i="61"/>
  <c r="J67" i="61"/>
  <c r="U67" i="61"/>
  <c r="B68" i="61" a="1"/>
  <c r="B68" i="61" s="1"/>
  <c r="C68" i="61" l="1"/>
  <c r="K68" i="61"/>
  <c r="H68" i="61"/>
  <c r="F68" i="61"/>
  <c r="W68" i="61"/>
  <c r="E68" i="61"/>
  <c r="L68" i="61"/>
  <c r="G68" i="61"/>
  <c r="O68" i="61"/>
  <c r="T68" i="61"/>
  <c r="P68" i="61"/>
  <c r="R68" i="61"/>
  <c r="V68" i="61"/>
  <c r="N68" i="61"/>
  <c r="S68" i="61"/>
  <c r="U68" i="61"/>
  <c r="J68" i="61"/>
  <c r="D68" i="61"/>
  <c r="I68" i="61"/>
  <c r="M68" i="61"/>
  <c r="Q68" i="61"/>
  <c r="B69" i="61" a="1"/>
  <c r="B69" i="61" s="1"/>
  <c r="X67" i="61"/>
  <c r="X64" i="60"/>
  <c r="O65" i="60"/>
  <c r="I65" i="60"/>
  <c r="J65" i="60"/>
  <c r="R65" i="60"/>
  <c r="K65" i="60"/>
  <c r="E65" i="60"/>
  <c r="F65" i="60"/>
  <c r="T65" i="60"/>
  <c r="Q65" i="60"/>
  <c r="U65" i="60"/>
  <c r="V66" i="60"/>
  <c r="P65" i="60"/>
  <c r="H65" i="60"/>
  <c r="N65" i="60"/>
  <c r="D65" i="60"/>
  <c r="C65" i="60"/>
  <c r="A53" i="81" s="1"/>
  <c r="G65" i="60"/>
  <c r="L65" i="60"/>
  <c r="W65" i="60"/>
  <c r="S65" i="60"/>
  <c r="M65" i="60"/>
  <c r="B66" i="60" a="1"/>
  <c r="B66" i="60" s="1"/>
  <c r="X65" i="60" l="1"/>
  <c r="C66" i="60"/>
  <c r="A54" i="81" s="1"/>
  <c r="L66" i="60"/>
  <c r="M66" i="60"/>
  <c r="G66" i="60"/>
  <c r="Q66" i="60"/>
  <c r="R66" i="60"/>
  <c r="P66" i="60"/>
  <c r="D66" i="60"/>
  <c r="W66" i="60"/>
  <c r="K66" i="60"/>
  <c r="I66" i="60"/>
  <c r="O66" i="60"/>
  <c r="F66" i="60"/>
  <c r="J66" i="60"/>
  <c r="E66" i="60"/>
  <c r="V67" i="60"/>
  <c r="U66" i="60"/>
  <c r="S66" i="60"/>
  <c r="N66" i="60"/>
  <c r="H66" i="60"/>
  <c r="T66" i="60"/>
  <c r="B67" i="60" a="1"/>
  <c r="B67" i="60" s="1"/>
  <c r="X68" i="61"/>
  <c r="V69" i="61"/>
  <c r="L69" i="61"/>
  <c r="K69" i="61"/>
  <c r="C69" i="61"/>
  <c r="I69" i="61"/>
  <c r="Q69" i="61"/>
  <c r="H69" i="61"/>
  <c r="D69" i="61"/>
  <c r="M69" i="61"/>
  <c r="J69" i="61"/>
  <c r="G69" i="61"/>
  <c r="P69" i="61"/>
  <c r="R69" i="61"/>
  <c r="N69" i="61"/>
  <c r="S69" i="61"/>
  <c r="E69" i="61"/>
  <c r="U69" i="61"/>
  <c r="T69" i="61"/>
  <c r="W69" i="61"/>
  <c r="O69" i="61"/>
  <c r="F69" i="61"/>
  <c r="B70" i="61" a="1"/>
  <c r="B70" i="61" s="1"/>
  <c r="X66" i="60" l="1"/>
  <c r="G67" i="60"/>
  <c r="K67" i="60"/>
  <c r="D67" i="60"/>
  <c r="U67" i="60"/>
  <c r="Q67" i="60"/>
  <c r="P67" i="60"/>
  <c r="T67" i="60"/>
  <c r="M67" i="60"/>
  <c r="I67" i="60"/>
  <c r="F67" i="60"/>
  <c r="L67" i="60"/>
  <c r="H67" i="60"/>
  <c r="J67" i="60"/>
  <c r="W67" i="60"/>
  <c r="N67" i="60"/>
  <c r="C67" i="60"/>
  <c r="A55" i="81" s="1"/>
  <c r="R67" i="60"/>
  <c r="E67" i="60"/>
  <c r="O67" i="60"/>
  <c r="V68" i="60"/>
  <c r="S67" i="60"/>
  <c r="B68" i="60" a="1"/>
  <c r="B68" i="60" s="1"/>
  <c r="X69" i="61"/>
  <c r="K70" i="61"/>
  <c r="L70" i="61"/>
  <c r="I70" i="61"/>
  <c r="U70" i="61"/>
  <c r="H70" i="61"/>
  <c r="J70" i="61"/>
  <c r="V70" i="61"/>
  <c r="M70" i="61"/>
  <c r="G70" i="61"/>
  <c r="D70" i="61"/>
  <c r="W70" i="61"/>
  <c r="E70" i="61"/>
  <c r="O70" i="61"/>
  <c r="S70" i="61"/>
  <c r="N70" i="61"/>
  <c r="T70" i="61"/>
  <c r="F70" i="61"/>
  <c r="R70" i="61"/>
  <c r="C70" i="61"/>
  <c r="Q70" i="61"/>
  <c r="P70" i="61"/>
  <c r="B71" i="61" a="1"/>
  <c r="B71" i="61" s="1"/>
  <c r="I71" i="61" l="1"/>
  <c r="W71" i="61"/>
  <c r="R71" i="61"/>
  <c r="E71" i="61"/>
  <c r="M71" i="61"/>
  <c r="O71" i="61"/>
  <c r="Q71" i="61"/>
  <c r="C71" i="61"/>
  <c r="U71" i="61"/>
  <c r="K71" i="61"/>
  <c r="H71" i="61"/>
  <c r="V71" i="61"/>
  <c r="P71" i="61"/>
  <c r="T71" i="61"/>
  <c r="S71" i="61"/>
  <c r="J71" i="61"/>
  <c r="L71" i="61"/>
  <c r="G71" i="61"/>
  <c r="D71" i="61"/>
  <c r="F71" i="61"/>
  <c r="N71" i="61"/>
  <c r="B72" i="61" a="1"/>
  <c r="B72" i="61" s="1"/>
  <c r="X70" i="61"/>
  <c r="X67" i="60"/>
  <c r="K68" i="60"/>
  <c r="N68" i="60"/>
  <c r="L68" i="60"/>
  <c r="Q68" i="60"/>
  <c r="P68" i="60"/>
  <c r="H68" i="60"/>
  <c r="O68" i="60"/>
  <c r="V69" i="60"/>
  <c r="I68" i="60"/>
  <c r="W68" i="60"/>
  <c r="C68" i="60"/>
  <c r="A56" i="81" s="1"/>
  <c r="G68" i="60"/>
  <c r="R68" i="60"/>
  <c r="J68" i="60"/>
  <c r="E68" i="60"/>
  <c r="S68" i="60"/>
  <c r="T68" i="60"/>
  <c r="M68" i="60"/>
  <c r="U68" i="60"/>
  <c r="F68" i="60"/>
  <c r="D68" i="60"/>
  <c r="B69" i="60" a="1"/>
  <c r="B69" i="60" s="1"/>
  <c r="X71" i="61" l="1"/>
  <c r="S69" i="60"/>
  <c r="J69" i="60"/>
  <c r="V70" i="60"/>
  <c r="T69" i="60"/>
  <c r="D69" i="60"/>
  <c r="C69" i="60"/>
  <c r="A57" i="81" s="1"/>
  <c r="M69" i="60"/>
  <c r="U69" i="60"/>
  <c r="P69" i="60"/>
  <c r="E69" i="60"/>
  <c r="N69" i="60"/>
  <c r="G69" i="60"/>
  <c r="K69" i="60"/>
  <c r="H69" i="60"/>
  <c r="O69" i="60"/>
  <c r="L69" i="60"/>
  <c r="I69" i="60"/>
  <c r="F69" i="60"/>
  <c r="Q69" i="60"/>
  <c r="W69" i="60"/>
  <c r="R69" i="60"/>
  <c r="B70" i="60" a="1"/>
  <c r="B70" i="60" s="1"/>
  <c r="X68" i="60"/>
  <c r="E72" i="61"/>
  <c r="R72" i="61"/>
  <c r="F72" i="61"/>
  <c r="G72" i="61"/>
  <c r="T72" i="61"/>
  <c r="M72" i="61"/>
  <c r="C72" i="61"/>
  <c r="N72" i="61"/>
  <c r="H72" i="61"/>
  <c r="V72" i="61"/>
  <c r="J72" i="61"/>
  <c r="W72" i="61"/>
  <c r="P72" i="61"/>
  <c r="I72" i="61"/>
  <c r="S72" i="61"/>
  <c r="L72" i="61"/>
  <c r="D72" i="61"/>
  <c r="U72" i="61"/>
  <c r="Q72" i="61"/>
  <c r="K72" i="61"/>
  <c r="O72" i="61"/>
  <c r="B73" i="61" a="1"/>
  <c r="B73" i="61" s="1"/>
  <c r="X72" i="61" l="1"/>
  <c r="D73" i="61"/>
  <c r="T73" i="61"/>
  <c r="W73" i="61"/>
  <c r="H73" i="61"/>
  <c r="V73" i="61"/>
  <c r="J73" i="61"/>
  <c r="C73" i="61"/>
  <c r="O73" i="61"/>
  <c r="S73" i="61"/>
  <c r="N73" i="61"/>
  <c r="F73" i="61"/>
  <c r="L73" i="61"/>
  <c r="K73" i="61"/>
  <c r="U73" i="61"/>
  <c r="G73" i="61"/>
  <c r="M73" i="61"/>
  <c r="Q73" i="61"/>
  <c r="P73" i="61"/>
  <c r="R73" i="61"/>
  <c r="E73" i="61"/>
  <c r="I73" i="61"/>
  <c r="B74" i="61" a="1"/>
  <c r="B74" i="61" s="1"/>
  <c r="H70" i="60"/>
  <c r="M70" i="60"/>
  <c r="N70" i="60"/>
  <c r="S70" i="60"/>
  <c r="O70" i="60"/>
  <c r="T70" i="60"/>
  <c r="E70" i="60"/>
  <c r="V71" i="60"/>
  <c r="L70" i="60"/>
  <c r="Q70" i="60"/>
  <c r="C70" i="60"/>
  <c r="A58" i="81" s="1"/>
  <c r="R70" i="60"/>
  <c r="G70" i="60"/>
  <c r="D70" i="60"/>
  <c r="P70" i="60"/>
  <c r="W70" i="60"/>
  <c r="U70" i="60"/>
  <c r="K70" i="60"/>
  <c r="I70" i="60"/>
  <c r="J70" i="60"/>
  <c r="F70" i="60"/>
  <c r="B71" i="60" a="1"/>
  <c r="B71" i="60" s="1"/>
  <c r="X69" i="60"/>
  <c r="X70" i="60" l="1"/>
  <c r="X73" i="61"/>
  <c r="U74" i="61"/>
  <c r="G74" i="61"/>
  <c r="C74" i="61"/>
  <c r="R74" i="61"/>
  <c r="M74" i="61"/>
  <c r="J74" i="61"/>
  <c r="E74" i="61"/>
  <c r="I74" i="61"/>
  <c r="Q74" i="61"/>
  <c r="K74" i="61"/>
  <c r="N74" i="61"/>
  <c r="T74" i="61"/>
  <c r="L74" i="61"/>
  <c r="F74" i="61"/>
  <c r="P74" i="61"/>
  <c r="W74" i="61"/>
  <c r="V74" i="61"/>
  <c r="O74" i="61"/>
  <c r="D74" i="61"/>
  <c r="H74" i="61"/>
  <c r="S74" i="61"/>
  <c r="B75" i="61" a="1"/>
  <c r="B75" i="61" s="1"/>
  <c r="U71" i="60"/>
  <c r="O71" i="60"/>
  <c r="Q71" i="60"/>
  <c r="F71" i="60"/>
  <c r="V72" i="60"/>
  <c r="J71" i="60"/>
  <c r="H71" i="60"/>
  <c r="R71" i="60"/>
  <c r="L71" i="60"/>
  <c r="N71" i="60"/>
  <c r="S71" i="60"/>
  <c r="I71" i="60"/>
  <c r="P71" i="60"/>
  <c r="K71" i="60"/>
  <c r="G71" i="60"/>
  <c r="C71" i="60"/>
  <c r="A59" i="81" s="1"/>
  <c r="E71" i="60"/>
  <c r="W71" i="60"/>
  <c r="T71" i="60"/>
  <c r="M71" i="60"/>
  <c r="D71" i="60"/>
  <c r="B72" i="60" a="1"/>
  <c r="B72" i="60" s="1"/>
  <c r="X74" i="61" l="1"/>
  <c r="X71" i="60"/>
  <c r="C72" i="60"/>
  <c r="A60" i="81" s="1"/>
  <c r="V73" i="60"/>
  <c r="O72" i="60"/>
  <c r="J72" i="60"/>
  <c r="U72" i="60"/>
  <c r="R72" i="60"/>
  <c r="I72" i="60"/>
  <c r="G72" i="60"/>
  <c r="S72" i="60"/>
  <c r="T72" i="60"/>
  <c r="W72" i="60"/>
  <c r="K72" i="60"/>
  <c r="D72" i="60"/>
  <c r="Q72" i="60"/>
  <c r="P72" i="60"/>
  <c r="E72" i="60"/>
  <c r="L72" i="60"/>
  <c r="H72" i="60"/>
  <c r="N72" i="60"/>
  <c r="F72" i="60"/>
  <c r="M72" i="60"/>
  <c r="B73" i="60" a="1"/>
  <c r="B73" i="60" s="1"/>
  <c r="S75" i="61"/>
  <c r="W75" i="61"/>
  <c r="C75" i="61"/>
  <c r="I75" i="61"/>
  <c r="O75" i="61"/>
  <c r="Q75" i="61"/>
  <c r="J75" i="61"/>
  <c r="N75" i="61"/>
  <c r="E75" i="61"/>
  <c r="T75" i="61"/>
  <c r="D75" i="61"/>
  <c r="G75" i="61"/>
  <c r="P75" i="61"/>
  <c r="U75" i="61"/>
  <c r="V75" i="61"/>
  <c r="M75" i="61"/>
  <c r="H75" i="61"/>
  <c r="K75" i="61"/>
  <c r="R75" i="61"/>
  <c r="F75" i="61"/>
  <c r="L75" i="61"/>
  <c r="B76" i="61" a="1"/>
  <c r="B76" i="61" s="1"/>
  <c r="X72" i="60" l="1"/>
  <c r="I76" i="61"/>
  <c r="Q76" i="61"/>
  <c r="D76" i="61"/>
  <c r="T76" i="61"/>
  <c r="O76" i="61"/>
  <c r="G76" i="61"/>
  <c r="C76" i="61"/>
  <c r="V76" i="61"/>
  <c r="F76" i="61"/>
  <c r="E76" i="61"/>
  <c r="U76" i="61"/>
  <c r="K76" i="61"/>
  <c r="N76" i="61"/>
  <c r="H76" i="61"/>
  <c r="J76" i="61"/>
  <c r="W76" i="61"/>
  <c r="P76" i="61"/>
  <c r="M76" i="61"/>
  <c r="S76" i="61"/>
  <c r="R76" i="61"/>
  <c r="L76" i="61"/>
  <c r="B77" i="61" a="1"/>
  <c r="B77" i="61" s="1"/>
  <c r="V74" i="60"/>
  <c r="E73" i="60"/>
  <c r="R73" i="60"/>
  <c r="U73" i="60"/>
  <c r="S73" i="60"/>
  <c r="C73" i="60"/>
  <c r="A61" i="81" s="1"/>
  <c r="K73" i="60"/>
  <c r="G73" i="60"/>
  <c r="Q73" i="60"/>
  <c r="W73" i="60"/>
  <c r="H73" i="60"/>
  <c r="O73" i="60"/>
  <c r="I73" i="60"/>
  <c r="M73" i="60"/>
  <c r="D73" i="60"/>
  <c r="N73" i="60"/>
  <c r="L73" i="60"/>
  <c r="F73" i="60"/>
  <c r="P73" i="60"/>
  <c r="T73" i="60"/>
  <c r="J73" i="60"/>
  <c r="B74" i="60" a="1"/>
  <c r="B74" i="60" s="1"/>
  <c r="X75" i="61"/>
  <c r="X73" i="60" l="1"/>
  <c r="V75" i="60"/>
  <c r="P74" i="60"/>
  <c r="J74" i="60"/>
  <c r="E74" i="60"/>
  <c r="F74" i="60"/>
  <c r="T74" i="60"/>
  <c r="M74" i="60"/>
  <c r="S74" i="60"/>
  <c r="D74" i="60"/>
  <c r="I74" i="60"/>
  <c r="O74" i="60"/>
  <c r="R74" i="60"/>
  <c r="Q74" i="60"/>
  <c r="G74" i="60"/>
  <c r="H74" i="60"/>
  <c r="K74" i="60"/>
  <c r="C74" i="60"/>
  <c r="A62" i="81" s="1"/>
  <c r="W74" i="60"/>
  <c r="N74" i="60"/>
  <c r="L74" i="60"/>
  <c r="U74" i="60"/>
  <c r="B75" i="60" a="1"/>
  <c r="B75" i="60" s="1"/>
  <c r="N77" i="61"/>
  <c r="C77" i="61"/>
  <c r="P77" i="61"/>
  <c r="W77" i="61"/>
  <c r="V77" i="61"/>
  <c r="H77" i="61"/>
  <c r="L77" i="61"/>
  <c r="I77" i="61"/>
  <c r="F77" i="61"/>
  <c r="Q77" i="61"/>
  <c r="E77" i="61"/>
  <c r="R77" i="61"/>
  <c r="O77" i="61"/>
  <c r="K77" i="61"/>
  <c r="S77" i="61"/>
  <c r="G77" i="61"/>
  <c r="U77" i="61"/>
  <c r="D77" i="61"/>
  <c r="M77" i="61"/>
  <c r="J77" i="61"/>
  <c r="T77" i="61"/>
  <c r="B78" i="61" a="1"/>
  <c r="B78" i="61" s="1"/>
  <c r="X76" i="61"/>
  <c r="E78" i="61" l="1"/>
  <c r="O78" i="61"/>
  <c r="I78" i="61"/>
  <c r="Q78" i="61"/>
  <c r="M78" i="61"/>
  <c r="W78" i="61"/>
  <c r="T78" i="61"/>
  <c r="G78" i="61"/>
  <c r="N78" i="61"/>
  <c r="P78" i="61"/>
  <c r="V78" i="61"/>
  <c r="F78" i="61"/>
  <c r="J78" i="61"/>
  <c r="K78" i="61"/>
  <c r="U78" i="61"/>
  <c r="S78" i="61"/>
  <c r="C78" i="61"/>
  <c r="D78" i="61"/>
  <c r="R78" i="61"/>
  <c r="L78" i="61"/>
  <c r="H78" i="61"/>
  <c r="B79" i="61" a="1"/>
  <c r="B79" i="61" s="1"/>
  <c r="X77" i="61"/>
  <c r="X74" i="60"/>
  <c r="U75" i="60"/>
  <c r="V76" i="60"/>
  <c r="T75" i="60"/>
  <c r="G75" i="60"/>
  <c r="F75" i="60"/>
  <c r="L75" i="60"/>
  <c r="Q75" i="60"/>
  <c r="S75" i="60"/>
  <c r="W75" i="60"/>
  <c r="R75" i="60"/>
  <c r="K75" i="60"/>
  <c r="P75" i="60"/>
  <c r="E75" i="60"/>
  <c r="H75" i="60"/>
  <c r="D75" i="60"/>
  <c r="O75" i="60"/>
  <c r="N75" i="60"/>
  <c r="J75" i="60"/>
  <c r="I75" i="60"/>
  <c r="M75" i="60"/>
  <c r="C75" i="60"/>
  <c r="A63" i="81" s="1"/>
  <c r="B76" i="60" a="1"/>
  <c r="B76" i="60" s="1"/>
  <c r="X75" i="60" l="1"/>
  <c r="X78" i="61"/>
  <c r="I79" i="61"/>
  <c r="M79" i="61"/>
  <c r="N79" i="61"/>
  <c r="K79" i="61"/>
  <c r="F79" i="61"/>
  <c r="J79" i="61"/>
  <c r="U79" i="61"/>
  <c r="O79" i="61"/>
  <c r="S79" i="61"/>
  <c r="H79" i="61"/>
  <c r="R79" i="61"/>
  <c r="G79" i="61"/>
  <c r="L79" i="61"/>
  <c r="P79" i="61"/>
  <c r="Q79" i="61"/>
  <c r="W79" i="61"/>
  <c r="D79" i="61"/>
  <c r="E79" i="61"/>
  <c r="V79" i="61"/>
  <c r="C79" i="61"/>
  <c r="T79" i="61"/>
  <c r="B80" i="61" a="1"/>
  <c r="B80" i="61" s="1"/>
  <c r="R76" i="60"/>
  <c r="L76" i="60"/>
  <c r="V77" i="60"/>
  <c r="N76" i="60"/>
  <c r="C76" i="60"/>
  <c r="A64" i="81" s="1"/>
  <c r="H76" i="60"/>
  <c r="U76" i="60"/>
  <c r="M76" i="60"/>
  <c r="J76" i="60"/>
  <c r="F76" i="60"/>
  <c r="E76" i="60"/>
  <c r="Q76" i="60"/>
  <c r="I76" i="60"/>
  <c r="P76" i="60"/>
  <c r="G76" i="60"/>
  <c r="D76" i="60"/>
  <c r="O76" i="60"/>
  <c r="S76" i="60"/>
  <c r="K76" i="60"/>
  <c r="T76" i="60"/>
  <c r="W76" i="60"/>
  <c r="B77" i="60" a="1"/>
  <c r="B77" i="60" s="1"/>
  <c r="X76" i="60" l="1"/>
  <c r="M77" i="60"/>
  <c r="C77" i="60"/>
  <c r="A65" i="81" s="1"/>
  <c r="T77" i="60"/>
  <c r="L77" i="60"/>
  <c r="G77" i="60"/>
  <c r="I77" i="60"/>
  <c r="Q77" i="60"/>
  <c r="H77" i="60"/>
  <c r="N77" i="60"/>
  <c r="K77" i="60"/>
  <c r="E77" i="60"/>
  <c r="R77" i="60"/>
  <c r="S77" i="60"/>
  <c r="D77" i="60"/>
  <c r="V78" i="60"/>
  <c r="J77" i="60"/>
  <c r="P77" i="60"/>
  <c r="U77" i="60"/>
  <c r="W77" i="60"/>
  <c r="O77" i="60"/>
  <c r="F77" i="60"/>
  <c r="B78" i="60" a="1"/>
  <c r="B78" i="60" s="1"/>
  <c r="H80" i="61"/>
  <c r="S80" i="61"/>
  <c r="M80" i="61"/>
  <c r="N80" i="61"/>
  <c r="E80" i="61"/>
  <c r="T80" i="61"/>
  <c r="R80" i="61"/>
  <c r="F80" i="61"/>
  <c r="K80" i="61"/>
  <c r="Q80" i="61"/>
  <c r="J80" i="61"/>
  <c r="O80" i="61"/>
  <c r="C80" i="61"/>
  <c r="P80" i="61"/>
  <c r="G80" i="61"/>
  <c r="L80" i="61"/>
  <c r="V80" i="61"/>
  <c r="D80" i="61"/>
  <c r="U80" i="61"/>
  <c r="I80" i="61"/>
  <c r="W80" i="61"/>
  <c r="B81" i="61" a="1"/>
  <c r="B81" i="61" s="1"/>
  <c r="X79" i="61"/>
  <c r="X80" i="61" l="1"/>
  <c r="N78" i="60"/>
  <c r="T78" i="60"/>
  <c r="G78" i="60"/>
  <c r="H78" i="60"/>
  <c r="K78" i="60"/>
  <c r="C78" i="60"/>
  <c r="A66" i="81" s="1"/>
  <c r="Q78" i="60"/>
  <c r="W78" i="60"/>
  <c r="L78" i="60"/>
  <c r="R78" i="60"/>
  <c r="E78" i="60"/>
  <c r="S78" i="60"/>
  <c r="J78" i="60"/>
  <c r="D78" i="60"/>
  <c r="P78" i="60"/>
  <c r="O78" i="60"/>
  <c r="U78" i="60"/>
  <c r="I78" i="60"/>
  <c r="V79" i="60"/>
  <c r="F78" i="60"/>
  <c r="M78" i="60"/>
  <c r="B79" i="60" a="1"/>
  <c r="B79" i="60" s="1"/>
  <c r="T81" i="61"/>
  <c r="R81" i="61"/>
  <c r="E81" i="61"/>
  <c r="L81" i="61"/>
  <c r="U81" i="61"/>
  <c r="S81" i="61"/>
  <c r="G81" i="61"/>
  <c r="F81" i="61"/>
  <c r="Q81" i="61"/>
  <c r="W81" i="61"/>
  <c r="K81" i="61"/>
  <c r="I81" i="61"/>
  <c r="M81" i="61"/>
  <c r="H81" i="61"/>
  <c r="D81" i="61"/>
  <c r="V81" i="61"/>
  <c r="P81" i="61"/>
  <c r="O81" i="61"/>
  <c r="J81" i="61"/>
  <c r="N81" i="61"/>
  <c r="C81" i="61"/>
  <c r="B82" i="61" a="1"/>
  <c r="B82" i="61" s="1"/>
  <c r="X77" i="60"/>
  <c r="X81" i="61" l="1"/>
  <c r="C79" i="60"/>
  <c r="A67" i="81" s="1"/>
  <c r="O79" i="60"/>
  <c r="M79" i="60"/>
  <c r="G79" i="60"/>
  <c r="N79" i="60"/>
  <c r="S79" i="60"/>
  <c r="Q79" i="60"/>
  <c r="H79" i="60"/>
  <c r="L79" i="60"/>
  <c r="R79" i="60"/>
  <c r="W79" i="60"/>
  <c r="D79" i="60"/>
  <c r="F79" i="60"/>
  <c r="J79" i="60"/>
  <c r="E79" i="60"/>
  <c r="U79" i="60"/>
  <c r="K79" i="60"/>
  <c r="I79" i="60"/>
  <c r="T79" i="60"/>
  <c r="P79" i="60"/>
  <c r="V80" i="60"/>
  <c r="B80" i="60" a="1"/>
  <c r="B80" i="60" s="1"/>
  <c r="K82" i="61"/>
  <c r="U82" i="61"/>
  <c r="I82" i="61"/>
  <c r="M82" i="61"/>
  <c r="J82" i="61"/>
  <c r="P82" i="61"/>
  <c r="S82" i="61"/>
  <c r="R82" i="61"/>
  <c r="V82" i="61"/>
  <c r="Q82" i="61"/>
  <c r="L82" i="61"/>
  <c r="N82" i="61"/>
  <c r="G82" i="61"/>
  <c r="T82" i="61"/>
  <c r="F82" i="61"/>
  <c r="W82" i="61"/>
  <c r="O82" i="61"/>
  <c r="C82" i="61"/>
  <c r="E82" i="61"/>
  <c r="D82" i="61"/>
  <c r="H82" i="61"/>
  <c r="B83" i="61" a="1"/>
  <c r="B83" i="61" s="1"/>
  <c r="X78" i="60"/>
  <c r="X82" i="61" l="1"/>
  <c r="X79" i="60"/>
  <c r="G80" i="60"/>
  <c r="V81" i="60"/>
  <c r="F80" i="60"/>
  <c r="D80" i="60"/>
  <c r="S80" i="60"/>
  <c r="H80" i="60"/>
  <c r="U80" i="60"/>
  <c r="R80" i="60"/>
  <c r="I80" i="60"/>
  <c r="E80" i="60"/>
  <c r="M80" i="60"/>
  <c r="O80" i="60"/>
  <c r="L80" i="60"/>
  <c r="W80" i="60"/>
  <c r="P80" i="60"/>
  <c r="J80" i="60"/>
  <c r="N80" i="60"/>
  <c r="Q80" i="60"/>
  <c r="K80" i="60"/>
  <c r="C80" i="60"/>
  <c r="A68" i="81" s="1"/>
  <c r="T80" i="60"/>
  <c r="B81" i="60" a="1"/>
  <c r="B81" i="60" s="1"/>
  <c r="O83" i="61"/>
  <c r="Q83" i="61"/>
  <c r="I83" i="61"/>
  <c r="D83" i="61"/>
  <c r="C83" i="61"/>
  <c r="M83" i="61"/>
  <c r="J83" i="61"/>
  <c r="E83" i="61"/>
  <c r="F83" i="61"/>
  <c r="N83" i="61"/>
  <c r="K83" i="61"/>
  <c r="L83" i="61"/>
  <c r="H83" i="61"/>
  <c r="T83" i="61"/>
  <c r="W83" i="61"/>
  <c r="R83" i="61"/>
  <c r="U83" i="61"/>
  <c r="P83" i="61"/>
  <c r="V83" i="61"/>
  <c r="S83" i="61"/>
  <c r="G83" i="61"/>
  <c r="B84" i="61" a="1"/>
  <c r="B84" i="61" s="1"/>
  <c r="N84" i="61" l="1"/>
  <c r="R84" i="61"/>
  <c r="K84" i="61"/>
  <c r="H84" i="61"/>
  <c r="U84" i="61"/>
  <c r="O84" i="61"/>
  <c r="P84" i="61"/>
  <c r="D84" i="61"/>
  <c r="E84" i="61"/>
  <c r="L84" i="61"/>
  <c r="T84" i="61"/>
  <c r="I84" i="61"/>
  <c r="G84" i="61"/>
  <c r="V84" i="61"/>
  <c r="C84" i="61"/>
  <c r="M84" i="61"/>
  <c r="J84" i="61"/>
  <c r="S84" i="61"/>
  <c r="Q84" i="61"/>
  <c r="W84" i="61"/>
  <c r="F84" i="61"/>
  <c r="B85" i="61" a="1"/>
  <c r="B85" i="61" s="1"/>
  <c r="X83" i="61"/>
  <c r="Q81" i="60"/>
  <c r="L81" i="60"/>
  <c r="W81" i="60"/>
  <c r="G81" i="60"/>
  <c r="M81" i="60"/>
  <c r="C81" i="60"/>
  <c r="A69" i="81" s="1"/>
  <c r="J81" i="60"/>
  <c r="O81" i="60"/>
  <c r="V82" i="60"/>
  <c r="I81" i="60"/>
  <c r="K81" i="60"/>
  <c r="S81" i="60"/>
  <c r="T81" i="60"/>
  <c r="H81" i="60"/>
  <c r="R81" i="60"/>
  <c r="E81" i="60"/>
  <c r="N81" i="60"/>
  <c r="F81" i="60"/>
  <c r="D81" i="60"/>
  <c r="P81" i="60"/>
  <c r="U81" i="60"/>
  <c r="B82" i="60" a="1"/>
  <c r="B82" i="60" s="1"/>
  <c r="X80" i="60"/>
  <c r="X84" i="61" l="1"/>
  <c r="Q85" i="61"/>
  <c r="G85" i="61"/>
  <c r="M85" i="61"/>
  <c r="D85" i="61"/>
  <c r="H85" i="61"/>
  <c r="J85" i="61"/>
  <c r="F85" i="61"/>
  <c r="S85" i="61"/>
  <c r="L85" i="61"/>
  <c r="N85" i="61"/>
  <c r="R85" i="61"/>
  <c r="T85" i="61"/>
  <c r="O85" i="61"/>
  <c r="V85" i="61"/>
  <c r="P85" i="61"/>
  <c r="W85" i="61"/>
  <c r="I85" i="61"/>
  <c r="C85" i="61"/>
  <c r="E85" i="61"/>
  <c r="K85" i="61"/>
  <c r="U85" i="61"/>
  <c r="B86" i="61" a="1"/>
  <c r="B86" i="61" s="1"/>
  <c r="D82" i="60"/>
  <c r="U82" i="60"/>
  <c r="N82" i="60"/>
  <c r="J82" i="60"/>
  <c r="F82" i="60"/>
  <c r="O82" i="60"/>
  <c r="I82" i="60"/>
  <c r="E82" i="60"/>
  <c r="S82" i="60"/>
  <c r="V83" i="60"/>
  <c r="R82" i="60"/>
  <c r="Q82" i="60"/>
  <c r="G82" i="60"/>
  <c r="L82" i="60"/>
  <c r="H82" i="60"/>
  <c r="T82" i="60"/>
  <c r="C82" i="60"/>
  <c r="A70" i="81" s="1"/>
  <c r="M82" i="60"/>
  <c r="W82" i="60"/>
  <c r="K82" i="60"/>
  <c r="P82" i="60"/>
  <c r="B83" i="60" a="1"/>
  <c r="B83" i="60" s="1"/>
  <c r="X81" i="60"/>
  <c r="X82" i="60" l="1"/>
  <c r="X85" i="61"/>
  <c r="C83" i="60"/>
  <c r="A71" i="81" s="1"/>
  <c r="Q83" i="60"/>
  <c r="H83" i="60"/>
  <c r="P83" i="60"/>
  <c r="V84" i="60"/>
  <c r="E83" i="60"/>
  <c r="D83" i="60"/>
  <c r="F83" i="60"/>
  <c r="J83" i="60"/>
  <c r="G83" i="60"/>
  <c r="W83" i="60"/>
  <c r="L83" i="60"/>
  <c r="R83" i="60"/>
  <c r="T83" i="60"/>
  <c r="K83" i="60"/>
  <c r="M83" i="60"/>
  <c r="N83" i="60"/>
  <c r="O83" i="60"/>
  <c r="S83" i="60"/>
  <c r="U83" i="60"/>
  <c r="I83" i="60"/>
  <c r="B84" i="60" a="1"/>
  <c r="B84" i="60" s="1"/>
  <c r="G86" i="61"/>
  <c r="S86" i="61"/>
  <c r="E86" i="61"/>
  <c r="M86" i="61"/>
  <c r="V86" i="61"/>
  <c r="K86" i="61"/>
  <c r="R86" i="61"/>
  <c r="W86" i="61"/>
  <c r="Q86" i="61"/>
  <c r="L86" i="61"/>
  <c r="H86" i="61"/>
  <c r="N86" i="61"/>
  <c r="C86" i="61"/>
  <c r="F86" i="61"/>
  <c r="I86" i="61"/>
  <c r="P86" i="61"/>
  <c r="T86" i="61"/>
  <c r="O86" i="61"/>
  <c r="D86" i="61"/>
  <c r="J86" i="61"/>
  <c r="U86" i="61"/>
  <c r="B87" i="61" a="1"/>
  <c r="B87" i="61" s="1"/>
  <c r="X86" i="61" l="1"/>
  <c r="R87" i="61"/>
  <c r="H87" i="61"/>
  <c r="F87" i="61"/>
  <c r="C87" i="61"/>
  <c r="V87" i="61"/>
  <c r="D87" i="61"/>
  <c r="P87" i="61"/>
  <c r="G87" i="61"/>
  <c r="S87" i="61"/>
  <c r="K87" i="61"/>
  <c r="W87" i="61"/>
  <c r="I87" i="61"/>
  <c r="T87" i="61"/>
  <c r="E87" i="61"/>
  <c r="N87" i="61"/>
  <c r="Q87" i="61"/>
  <c r="M87" i="61"/>
  <c r="U87" i="61"/>
  <c r="L87" i="61"/>
  <c r="O87" i="61"/>
  <c r="J87" i="61"/>
  <c r="B88" i="61" a="1"/>
  <c r="B88" i="61" s="1"/>
  <c r="X83" i="60"/>
  <c r="M84" i="60"/>
  <c r="S84" i="60"/>
  <c r="U84" i="60"/>
  <c r="P84" i="60"/>
  <c r="J84" i="60"/>
  <c r="C84" i="60"/>
  <c r="A72" i="81" s="1"/>
  <c r="F84" i="60"/>
  <c r="H84" i="60"/>
  <c r="T84" i="60"/>
  <c r="D84" i="60"/>
  <c r="W84" i="60"/>
  <c r="G84" i="60"/>
  <c r="R84" i="60"/>
  <c r="K84" i="60"/>
  <c r="I84" i="60"/>
  <c r="Q84" i="60"/>
  <c r="N84" i="60"/>
  <c r="E84" i="60"/>
  <c r="L84" i="60"/>
  <c r="O84" i="60"/>
  <c r="V85" i="60"/>
  <c r="B85" i="60" a="1"/>
  <c r="B85" i="60" s="1"/>
  <c r="M85" i="60" l="1"/>
  <c r="W85" i="60"/>
  <c r="R85" i="60"/>
  <c r="E85" i="60"/>
  <c r="H85" i="60"/>
  <c r="C85" i="60"/>
  <c r="A73" i="81" s="1"/>
  <c r="K85" i="60"/>
  <c r="N85" i="60"/>
  <c r="G85" i="60"/>
  <c r="Q85" i="60"/>
  <c r="O85" i="60"/>
  <c r="T85" i="60"/>
  <c r="J85" i="60"/>
  <c r="P85" i="60"/>
  <c r="U85" i="60"/>
  <c r="D85" i="60"/>
  <c r="V86" i="60"/>
  <c r="S85" i="60"/>
  <c r="F85" i="60"/>
  <c r="I85" i="60"/>
  <c r="L85" i="60"/>
  <c r="B86" i="60" a="1"/>
  <c r="B86" i="60" s="1"/>
  <c r="Q88" i="61"/>
  <c r="K88" i="61"/>
  <c r="D88" i="61"/>
  <c r="O88" i="61"/>
  <c r="U88" i="61"/>
  <c r="I88" i="61"/>
  <c r="T88" i="61"/>
  <c r="H88" i="61"/>
  <c r="M88" i="61"/>
  <c r="V88" i="61"/>
  <c r="L88" i="61"/>
  <c r="S88" i="61"/>
  <c r="C88" i="61"/>
  <c r="N88" i="61"/>
  <c r="E88" i="61"/>
  <c r="J88" i="61"/>
  <c r="W88" i="61"/>
  <c r="F88" i="61"/>
  <c r="G88" i="61"/>
  <c r="P88" i="61"/>
  <c r="R88" i="61"/>
  <c r="B89" i="61" a="1"/>
  <c r="B89" i="61" s="1"/>
  <c r="X87" i="61"/>
  <c r="X84" i="60"/>
  <c r="X85" i="60" l="1"/>
  <c r="X88" i="61"/>
  <c r="F89" i="61"/>
  <c r="K89" i="61"/>
  <c r="Q89" i="61"/>
  <c r="E89" i="61"/>
  <c r="M89" i="61"/>
  <c r="R89" i="61"/>
  <c r="W89" i="61"/>
  <c r="G89" i="61"/>
  <c r="V89" i="61"/>
  <c r="C89" i="61"/>
  <c r="D89" i="61"/>
  <c r="S89" i="61"/>
  <c r="I89" i="61"/>
  <c r="N89" i="61"/>
  <c r="H89" i="61"/>
  <c r="T89" i="61"/>
  <c r="L89" i="61"/>
  <c r="J89" i="61"/>
  <c r="P89" i="61"/>
  <c r="O89" i="61"/>
  <c r="U89" i="61"/>
  <c r="B90" i="61" a="1"/>
  <c r="B90" i="61" s="1"/>
  <c r="C86" i="60"/>
  <c r="A74" i="81" s="1"/>
  <c r="T86" i="60"/>
  <c r="L86" i="60"/>
  <c r="N86" i="60"/>
  <c r="W86" i="60"/>
  <c r="P86" i="60"/>
  <c r="K86" i="60"/>
  <c r="S86" i="60"/>
  <c r="R86" i="60"/>
  <c r="O86" i="60"/>
  <c r="Q86" i="60"/>
  <c r="E86" i="60"/>
  <c r="U86" i="60"/>
  <c r="I86" i="60"/>
  <c r="V87" i="60"/>
  <c r="M86" i="60"/>
  <c r="G86" i="60"/>
  <c r="J86" i="60"/>
  <c r="D86" i="60"/>
  <c r="H86" i="60"/>
  <c r="F86" i="60"/>
  <c r="B87" i="60" a="1"/>
  <c r="B87" i="60" s="1"/>
  <c r="X89" i="61" l="1"/>
  <c r="X86" i="60"/>
  <c r="F90" i="61"/>
  <c r="S90" i="61"/>
  <c r="M90" i="61"/>
  <c r="D90" i="61"/>
  <c r="I90" i="61"/>
  <c r="V90" i="61"/>
  <c r="J90" i="61"/>
  <c r="T90" i="61"/>
  <c r="P90" i="61"/>
  <c r="E90" i="61"/>
  <c r="R90" i="61"/>
  <c r="N90" i="61"/>
  <c r="K90" i="61"/>
  <c r="C90" i="61"/>
  <c r="O90" i="61"/>
  <c r="G90" i="61"/>
  <c r="W90" i="61"/>
  <c r="H90" i="61"/>
  <c r="Q90" i="61"/>
  <c r="U90" i="61"/>
  <c r="L90" i="61"/>
  <c r="B91" i="61" a="1"/>
  <c r="B91" i="61" s="1"/>
  <c r="K87" i="60"/>
  <c r="G87" i="60"/>
  <c r="Q87" i="60"/>
  <c r="S87" i="60"/>
  <c r="H87" i="60"/>
  <c r="P87" i="60"/>
  <c r="R87" i="60"/>
  <c r="E87" i="60"/>
  <c r="U87" i="60"/>
  <c r="N87" i="60"/>
  <c r="J87" i="60"/>
  <c r="V88" i="60"/>
  <c r="M87" i="60"/>
  <c r="L87" i="60"/>
  <c r="T87" i="60"/>
  <c r="C87" i="60"/>
  <c r="A75" i="81" s="1"/>
  <c r="F87" i="60"/>
  <c r="W87" i="60"/>
  <c r="O87" i="60"/>
  <c r="D87" i="60"/>
  <c r="I87" i="60"/>
  <c r="B88" i="60" a="1"/>
  <c r="B88" i="60" s="1"/>
  <c r="K91" i="61" l="1"/>
  <c r="U91" i="61"/>
  <c r="N91" i="61"/>
  <c r="C91" i="61"/>
  <c r="G91" i="61"/>
  <c r="V91" i="61"/>
  <c r="H91" i="61"/>
  <c r="M91" i="61"/>
  <c r="R91" i="61"/>
  <c r="J91" i="61"/>
  <c r="O91" i="61"/>
  <c r="P91" i="61"/>
  <c r="W91" i="61"/>
  <c r="I91" i="61"/>
  <c r="E91" i="61"/>
  <c r="L91" i="61"/>
  <c r="F91" i="61"/>
  <c r="S91" i="61"/>
  <c r="Q91" i="61"/>
  <c r="D91" i="61"/>
  <c r="T91" i="61"/>
  <c r="B92" i="61" a="1"/>
  <c r="B92" i="61" s="1"/>
  <c r="X90" i="61"/>
  <c r="F88" i="60"/>
  <c r="H88" i="60"/>
  <c r="K88" i="60"/>
  <c r="S88" i="60"/>
  <c r="L88" i="60"/>
  <c r="C88" i="60"/>
  <c r="A76" i="81" s="1"/>
  <c r="J88" i="60"/>
  <c r="G88" i="60"/>
  <c r="E88" i="60"/>
  <c r="T88" i="60"/>
  <c r="P88" i="60"/>
  <c r="W88" i="60"/>
  <c r="Q88" i="60"/>
  <c r="R88" i="60"/>
  <c r="D88" i="60"/>
  <c r="U88" i="60"/>
  <c r="M88" i="60"/>
  <c r="N88" i="60"/>
  <c r="V89" i="60"/>
  <c r="I88" i="60"/>
  <c r="O88" i="60"/>
  <c r="B89" i="60" a="1"/>
  <c r="B89" i="60" s="1"/>
  <c r="X87" i="60"/>
  <c r="X91" i="61" l="1"/>
  <c r="E92" i="61"/>
  <c r="I92" i="61"/>
  <c r="O92" i="61"/>
  <c r="T92" i="61"/>
  <c r="M92" i="61"/>
  <c r="N92" i="61"/>
  <c r="P92" i="61"/>
  <c r="J92" i="61"/>
  <c r="U92" i="61"/>
  <c r="F92" i="61"/>
  <c r="S92" i="61"/>
  <c r="K92" i="61"/>
  <c r="Q92" i="61"/>
  <c r="V92" i="61"/>
  <c r="G92" i="61"/>
  <c r="R92" i="61"/>
  <c r="W92" i="61"/>
  <c r="H92" i="61"/>
  <c r="L92" i="61"/>
  <c r="C92" i="61"/>
  <c r="D92" i="61"/>
  <c r="B93" i="61" a="1"/>
  <c r="B93" i="61" s="1"/>
  <c r="P89" i="60"/>
  <c r="K89" i="60"/>
  <c r="Q89" i="60"/>
  <c r="S89" i="60"/>
  <c r="G89" i="60"/>
  <c r="O89" i="60"/>
  <c r="E89" i="60"/>
  <c r="H89" i="60"/>
  <c r="D89" i="60"/>
  <c r="L89" i="60"/>
  <c r="T89" i="60"/>
  <c r="M89" i="60"/>
  <c r="V90" i="60"/>
  <c r="W89" i="60"/>
  <c r="U89" i="60"/>
  <c r="C89" i="60"/>
  <c r="A77" i="81" s="1"/>
  <c r="I89" i="60"/>
  <c r="N89" i="60"/>
  <c r="R89" i="60"/>
  <c r="J89" i="60"/>
  <c r="F89" i="60"/>
  <c r="B90" i="60" a="1"/>
  <c r="B90" i="60" s="1"/>
  <c r="X88" i="60"/>
  <c r="X89" i="60" l="1"/>
  <c r="M90" i="60"/>
  <c r="I90" i="60"/>
  <c r="R90" i="60"/>
  <c r="L90" i="60"/>
  <c r="F90" i="60"/>
  <c r="C90" i="60"/>
  <c r="A78" i="81" s="1"/>
  <c r="W90" i="60"/>
  <c r="J90" i="60"/>
  <c r="K90" i="60"/>
  <c r="S90" i="60"/>
  <c r="P90" i="60"/>
  <c r="G90" i="60"/>
  <c r="H90" i="60"/>
  <c r="X90" i="60" s="1"/>
  <c r="N90" i="60"/>
  <c r="U90" i="60"/>
  <c r="O90" i="60"/>
  <c r="D90" i="60"/>
  <c r="Q90" i="60"/>
  <c r="T90" i="60"/>
  <c r="E90" i="60"/>
  <c r="V91" i="60"/>
  <c r="B91" i="60" a="1"/>
  <c r="B91" i="60" s="1"/>
  <c r="Q93" i="61"/>
  <c r="U93" i="61"/>
  <c r="O93" i="61"/>
  <c r="G93" i="61"/>
  <c r="K93" i="61"/>
  <c r="F93" i="61"/>
  <c r="C93" i="61"/>
  <c r="L93" i="61"/>
  <c r="D93" i="61"/>
  <c r="H93" i="61"/>
  <c r="R93" i="61"/>
  <c r="W93" i="61"/>
  <c r="E93" i="61"/>
  <c r="M93" i="61"/>
  <c r="S93" i="61"/>
  <c r="J93" i="61"/>
  <c r="V93" i="61"/>
  <c r="I93" i="61"/>
  <c r="N93" i="61"/>
  <c r="T93" i="61"/>
  <c r="P93" i="61"/>
  <c r="B94" i="61" a="1"/>
  <c r="B94" i="61" s="1"/>
  <c r="X92" i="61"/>
  <c r="H91" i="60" l="1"/>
  <c r="L91" i="60"/>
  <c r="V92" i="60"/>
  <c r="S91" i="60"/>
  <c r="T91" i="60"/>
  <c r="C91" i="60"/>
  <c r="A79" i="81" s="1"/>
  <c r="O91" i="60"/>
  <c r="F91" i="60"/>
  <c r="E91" i="60"/>
  <c r="W91" i="60"/>
  <c r="U91" i="60"/>
  <c r="R91" i="60"/>
  <c r="Q91" i="60"/>
  <c r="G91" i="60"/>
  <c r="J91" i="60"/>
  <c r="M91" i="60"/>
  <c r="K91" i="60"/>
  <c r="I91" i="60"/>
  <c r="P91" i="60"/>
  <c r="D91" i="60"/>
  <c r="N91" i="60"/>
  <c r="B92" i="60" a="1"/>
  <c r="B92" i="60" s="1"/>
  <c r="X93" i="61"/>
  <c r="F94" i="61"/>
  <c r="J94" i="61"/>
  <c r="R94" i="61"/>
  <c r="K94" i="61"/>
  <c r="Q94" i="61"/>
  <c r="C94" i="61"/>
  <c r="G94" i="61"/>
  <c r="O94" i="61"/>
  <c r="L94" i="61"/>
  <c r="V94" i="61"/>
  <c r="E94" i="61"/>
  <c r="W94" i="61"/>
  <c r="H94" i="61"/>
  <c r="D94" i="61"/>
  <c r="M94" i="61"/>
  <c r="U94" i="61"/>
  <c r="S94" i="61"/>
  <c r="I94" i="61"/>
  <c r="N94" i="61"/>
  <c r="T94" i="61"/>
  <c r="P94" i="61"/>
  <c r="B95" i="61" a="1"/>
  <c r="B95" i="61" s="1"/>
  <c r="X94" i="61" l="1"/>
  <c r="P95" i="61"/>
  <c r="C95" i="61"/>
  <c r="G95" i="61"/>
  <c r="T95" i="61"/>
  <c r="E95" i="61"/>
  <c r="L95" i="61"/>
  <c r="H95" i="61"/>
  <c r="I95" i="61"/>
  <c r="M95" i="61"/>
  <c r="F95" i="61"/>
  <c r="U95" i="61"/>
  <c r="Q95" i="61"/>
  <c r="N95" i="61"/>
  <c r="V95" i="61"/>
  <c r="R95" i="61"/>
  <c r="S95" i="61"/>
  <c r="D95" i="61"/>
  <c r="J95" i="61"/>
  <c r="K95" i="61"/>
  <c r="O95" i="61"/>
  <c r="W95" i="61"/>
  <c r="B96" i="61" a="1"/>
  <c r="B96" i="61" s="1"/>
  <c r="E92" i="60"/>
  <c r="W92" i="60"/>
  <c r="M92" i="60"/>
  <c r="Q92" i="60"/>
  <c r="R92" i="60"/>
  <c r="U92" i="60"/>
  <c r="N92" i="60"/>
  <c r="S92" i="60"/>
  <c r="V93" i="60"/>
  <c r="T92" i="60"/>
  <c r="J92" i="60"/>
  <c r="D92" i="60"/>
  <c r="F92" i="60"/>
  <c r="K92" i="60"/>
  <c r="H92" i="60"/>
  <c r="C92" i="60"/>
  <c r="A80" i="81" s="1"/>
  <c r="I92" i="60"/>
  <c r="P92" i="60"/>
  <c r="L92" i="60"/>
  <c r="O92" i="60"/>
  <c r="G92" i="60"/>
  <c r="B93" i="60" a="1"/>
  <c r="B93" i="60" s="1"/>
  <c r="X91" i="60"/>
  <c r="X92" i="60" l="1"/>
  <c r="X95" i="61"/>
  <c r="D96" i="61"/>
  <c r="J96" i="61"/>
  <c r="N96" i="61"/>
  <c r="K96" i="61"/>
  <c r="V96" i="61"/>
  <c r="T96" i="61"/>
  <c r="I96" i="61"/>
  <c r="S96" i="61"/>
  <c r="W96" i="61"/>
  <c r="O96" i="61"/>
  <c r="P96" i="61"/>
  <c r="H96" i="61"/>
  <c r="R96" i="61"/>
  <c r="E96" i="61"/>
  <c r="Q96" i="61"/>
  <c r="L96" i="61"/>
  <c r="F96" i="61"/>
  <c r="G96" i="61"/>
  <c r="M96" i="61"/>
  <c r="U96" i="61"/>
  <c r="C96" i="61"/>
  <c r="B97" i="61" a="1"/>
  <c r="B97" i="61" s="1"/>
  <c r="R93" i="60"/>
  <c r="F93" i="60"/>
  <c r="J93" i="60"/>
  <c r="P93" i="60"/>
  <c r="M93" i="60"/>
  <c r="T93" i="60"/>
  <c r="E93" i="60"/>
  <c r="U93" i="60"/>
  <c r="D93" i="60"/>
  <c r="L93" i="60"/>
  <c r="O93" i="60"/>
  <c r="K93" i="60"/>
  <c r="W93" i="60"/>
  <c r="G93" i="60"/>
  <c r="S93" i="60"/>
  <c r="C93" i="60"/>
  <c r="A81" i="81" s="1"/>
  <c r="V94" i="60"/>
  <c r="Q93" i="60"/>
  <c r="I93" i="60"/>
  <c r="N93" i="60"/>
  <c r="H93" i="60"/>
  <c r="X93" i="60" s="1"/>
  <c r="B94" i="60" a="1"/>
  <c r="B94" i="60" s="1"/>
  <c r="F97" i="61" l="1"/>
  <c r="I97" i="61"/>
  <c r="H97" i="61"/>
  <c r="E97" i="61"/>
  <c r="S97" i="61"/>
  <c r="O97" i="61"/>
  <c r="W97" i="61"/>
  <c r="P97" i="61"/>
  <c r="Q97" i="61"/>
  <c r="G97" i="61"/>
  <c r="M97" i="61"/>
  <c r="D97" i="61"/>
  <c r="J97" i="61"/>
  <c r="L97" i="61"/>
  <c r="T97" i="61"/>
  <c r="R97" i="61"/>
  <c r="C97" i="61"/>
  <c r="V97" i="61"/>
  <c r="N97" i="61"/>
  <c r="K97" i="61"/>
  <c r="U97" i="61"/>
  <c r="B98" i="61" a="1"/>
  <c r="B98" i="61" s="1"/>
  <c r="S94" i="60"/>
  <c r="M94" i="60"/>
  <c r="O94" i="60"/>
  <c r="R94" i="60"/>
  <c r="U94" i="60"/>
  <c r="C94" i="60"/>
  <c r="A82" i="81" s="1"/>
  <c r="V95" i="60"/>
  <c r="W94" i="60"/>
  <c r="Q94" i="60"/>
  <c r="N94" i="60"/>
  <c r="F94" i="60"/>
  <c r="D94" i="60"/>
  <c r="L94" i="60"/>
  <c r="T94" i="60"/>
  <c r="P94" i="60"/>
  <c r="J94" i="60"/>
  <c r="H94" i="60"/>
  <c r="G94" i="60"/>
  <c r="K94" i="60"/>
  <c r="I94" i="60"/>
  <c r="E94" i="60"/>
  <c r="B95" i="60" a="1"/>
  <c r="B95" i="60" s="1"/>
  <c r="X96" i="61"/>
  <c r="L95" i="60" l="1"/>
  <c r="W95" i="60"/>
  <c r="O95" i="60"/>
  <c r="I95" i="60"/>
  <c r="Q95" i="60"/>
  <c r="M95" i="60"/>
  <c r="R95" i="60"/>
  <c r="J95" i="60"/>
  <c r="S95" i="60"/>
  <c r="G95" i="60"/>
  <c r="C95" i="60"/>
  <c r="A83" i="81" s="1"/>
  <c r="N95" i="60"/>
  <c r="T95" i="60"/>
  <c r="H95" i="60"/>
  <c r="D95" i="60"/>
  <c r="V96" i="60"/>
  <c r="K95" i="60"/>
  <c r="F95" i="60"/>
  <c r="U95" i="60"/>
  <c r="P95" i="60"/>
  <c r="E95" i="60"/>
  <c r="B96" i="60" a="1"/>
  <c r="B96" i="60" s="1"/>
  <c r="X94" i="60"/>
  <c r="X97" i="61"/>
  <c r="J98" i="61"/>
  <c r="N98" i="61"/>
  <c r="T98" i="61"/>
  <c r="L98" i="61"/>
  <c r="F98" i="61"/>
  <c r="D98" i="61"/>
  <c r="W98" i="61"/>
  <c r="S98" i="61"/>
  <c r="K98" i="61"/>
  <c r="G98" i="61"/>
  <c r="O98" i="61"/>
  <c r="E98" i="61"/>
  <c r="V98" i="61"/>
  <c r="R98" i="61"/>
  <c r="I98" i="61"/>
  <c r="M98" i="61"/>
  <c r="C98" i="61"/>
  <c r="U98" i="61"/>
  <c r="Q98" i="61"/>
  <c r="H98" i="61"/>
  <c r="P98" i="61"/>
  <c r="B99" i="61" a="1"/>
  <c r="B99" i="61" s="1"/>
  <c r="X95" i="60" l="1"/>
  <c r="X98" i="61"/>
  <c r="J99" i="61"/>
  <c r="N99" i="61"/>
  <c r="D99" i="61"/>
  <c r="V99" i="61"/>
  <c r="E99" i="61"/>
  <c r="K99" i="61"/>
  <c r="O99" i="61"/>
  <c r="T99" i="61"/>
  <c r="W99" i="61"/>
  <c r="F99" i="61"/>
  <c r="L99" i="61"/>
  <c r="M99" i="61"/>
  <c r="Q99" i="61"/>
  <c r="S99" i="61"/>
  <c r="H99" i="61"/>
  <c r="G99" i="61"/>
  <c r="I99" i="61"/>
  <c r="P99" i="61"/>
  <c r="R99" i="61"/>
  <c r="U99" i="61"/>
  <c r="C99" i="61"/>
  <c r="B100" i="61" a="1"/>
  <c r="B100" i="61" s="1"/>
  <c r="P96" i="60"/>
  <c r="Q96" i="60"/>
  <c r="S96" i="60"/>
  <c r="M96" i="60"/>
  <c r="E96" i="60"/>
  <c r="D96" i="60"/>
  <c r="W96" i="60"/>
  <c r="F96" i="60"/>
  <c r="L96" i="60"/>
  <c r="U96" i="60"/>
  <c r="C96" i="60"/>
  <c r="A84" i="81" s="1"/>
  <c r="T96" i="60"/>
  <c r="R96" i="60"/>
  <c r="O96" i="60"/>
  <c r="H96" i="60"/>
  <c r="J96" i="60"/>
  <c r="N96" i="60"/>
  <c r="V97" i="60"/>
  <c r="I96" i="60"/>
  <c r="G96" i="60"/>
  <c r="K96" i="60"/>
  <c r="B97" i="60" a="1"/>
  <c r="B97" i="60" s="1"/>
  <c r="X99" i="61" l="1"/>
  <c r="P100" i="61"/>
  <c r="L100" i="61"/>
  <c r="V100" i="61"/>
  <c r="F100" i="61"/>
  <c r="J100" i="61"/>
  <c r="M100" i="61"/>
  <c r="Q100" i="61"/>
  <c r="G100" i="61"/>
  <c r="D100" i="61"/>
  <c r="H100" i="61"/>
  <c r="N100" i="61"/>
  <c r="C100" i="61"/>
  <c r="R100" i="61"/>
  <c r="W100" i="61"/>
  <c r="K100" i="61"/>
  <c r="I100" i="61"/>
  <c r="S100" i="61"/>
  <c r="T100" i="61"/>
  <c r="U100" i="61"/>
  <c r="E100" i="61"/>
  <c r="O100" i="61"/>
  <c r="B101" i="61" a="1"/>
  <c r="B101" i="61" s="1"/>
  <c r="X96" i="60"/>
  <c r="Q97" i="60"/>
  <c r="D97" i="60"/>
  <c r="F97" i="60"/>
  <c r="J97" i="60"/>
  <c r="E97" i="60"/>
  <c r="M97" i="60"/>
  <c r="O97" i="60"/>
  <c r="H97" i="60"/>
  <c r="K97" i="60"/>
  <c r="S97" i="60"/>
  <c r="C97" i="60"/>
  <c r="A85" i="81" s="1"/>
  <c r="W97" i="60"/>
  <c r="P97" i="60"/>
  <c r="N97" i="60"/>
  <c r="U97" i="60"/>
  <c r="R97" i="60"/>
  <c r="I97" i="60"/>
  <c r="L97" i="60"/>
  <c r="V98" i="60"/>
  <c r="T97" i="60"/>
  <c r="G97" i="60"/>
  <c r="B98" i="60" a="1"/>
  <c r="B98" i="60" s="1"/>
  <c r="X97" i="60" l="1"/>
  <c r="F101" i="61"/>
  <c r="U101" i="61"/>
  <c r="O101" i="61"/>
  <c r="C101" i="61"/>
  <c r="N101" i="61"/>
  <c r="L101" i="61"/>
  <c r="V101" i="61"/>
  <c r="W101" i="61"/>
  <c r="P101" i="61"/>
  <c r="D101" i="61"/>
  <c r="H101" i="61"/>
  <c r="S101" i="61"/>
  <c r="R101" i="61"/>
  <c r="Q101" i="61"/>
  <c r="E101" i="61"/>
  <c r="I101" i="61"/>
  <c r="T101" i="61"/>
  <c r="M101" i="61"/>
  <c r="J101" i="61"/>
  <c r="G101" i="61"/>
  <c r="K101" i="61"/>
  <c r="B102" i="61" a="1"/>
  <c r="B102" i="61" s="1"/>
  <c r="X100" i="61"/>
  <c r="Q98" i="60"/>
  <c r="V99" i="60"/>
  <c r="N98" i="60"/>
  <c r="M98" i="60"/>
  <c r="S98" i="60"/>
  <c r="C98" i="60"/>
  <c r="A86" i="81" s="1"/>
  <c r="F98" i="60"/>
  <c r="U98" i="60"/>
  <c r="P98" i="60"/>
  <c r="R98" i="60"/>
  <c r="I98" i="60"/>
  <c r="E98" i="60"/>
  <c r="L98" i="60"/>
  <c r="J98" i="60"/>
  <c r="O98" i="60"/>
  <c r="H98" i="60"/>
  <c r="K98" i="60"/>
  <c r="W98" i="60"/>
  <c r="D98" i="60"/>
  <c r="G98" i="60"/>
  <c r="T98" i="60"/>
  <c r="B99" i="60" a="1"/>
  <c r="B99" i="60" s="1"/>
  <c r="T102" i="61" l="1"/>
  <c r="W102" i="61"/>
  <c r="R102" i="61"/>
  <c r="F102" i="61"/>
  <c r="M102" i="61"/>
  <c r="Q102" i="61"/>
  <c r="H102" i="61"/>
  <c r="K102" i="61"/>
  <c r="V102" i="61"/>
  <c r="J102" i="61"/>
  <c r="N102" i="61"/>
  <c r="E102" i="61"/>
  <c r="L102" i="61"/>
  <c r="O102" i="61"/>
  <c r="C102" i="61"/>
  <c r="D102" i="61"/>
  <c r="G102" i="61"/>
  <c r="U102" i="61"/>
  <c r="I102" i="61"/>
  <c r="P102" i="61"/>
  <c r="S102" i="61"/>
  <c r="B103" i="61" a="1"/>
  <c r="B103" i="61" s="1"/>
  <c r="C99" i="60"/>
  <c r="A87" i="81" s="1"/>
  <c r="D99" i="60"/>
  <c r="N99" i="60"/>
  <c r="S99" i="60"/>
  <c r="O99" i="60"/>
  <c r="T99" i="60"/>
  <c r="F99" i="60"/>
  <c r="G99" i="60"/>
  <c r="U99" i="60"/>
  <c r="Q99" i="60"/>
  <c r="H99" i="60"/>
  <c r="W99" i="60"/>
  <c r="L99" i="60"/>
  <c r="K99" i="60"/>
  <c r="E99" i="60"/>
  <c r="V100" i="60"/>
  <c r="M99" i="60"/>
  <c r="P99" i="60"/>
  <c r="R99" i="60"/>
  <c r="J99" i="60"/>
  <c r="I99" i="60"/>
  <c r="B100" i="60" a="1"/>
  <c r="B100" i="60" s="1"/>
  <c r="X98" i="60"/>
  <c r="X101" i="61"/>
  <c r="X102" i="61" l="1"/>
  <c r="C100" i="60"/>
  <c r="A88" i="81" s="1"/>
  <c r="S100" i="60"/>
  <c r="I100" i="60"/>
  <c r="Q100" i="60"/>
  <c r="N100" i="60"/>
  <c r="T100" i="60"/>
  <c r="D100" i="60"/>
  <c r="W100" i="60"/>
  <c r="M100" i="60"/>
  <c r="K100" i="60"/>
  <c r="H100" i="60"/>
  <c r="V101" i="60"/>
  <c r="G100" i="60"/>
  <c r="L100" i="60"/>
  <c r="R100" i="60"/>
  <c r="F100" i="60"/>
  <c r="U100" i="60"/>
  <c r="P100" i="60"/>
  <c r="J100" i="60"/>
  <c r="E100" i="60"/>
  <c r="O100" i="60"/>
  <c r="B101" i="60" a="1"/>
  <c r="B101" i="60" s="1"/>
  <c r="E103" i="61"/>
  <c r="C103" i="61"/>
  <c r="F103" i="61"/>
  <c r="J103" i="61"/>
  <c r="Q103" i="61"/>
  <c r="U103" i="61"/>
  <c r="K103" i="61"/>
  <c r="V103" i="61"/>
  <c r="W103" i="61"/>
  <c r="N103" i="61"/>
  <c r="G103" i="61"/>
  <c r="R103" i="61"/>
  <c r="L103" i="61"/>
  <c r="O103" i="61"/>
  <c r="D103" i="61"/>
  <c r="P103" i="61"/>
  <c r="H103" i="61"/>
  <c r="S103" i="61"/>
  <c r="I103" i="61"/>
  <c r="M103" i="61"/>
  <c r="T103" i="61"/>
  <c r="B104" i="61" a="1"/>
  <c r="B104" i="61" s="1"/>
  <c r="X99" i="60"/>
  <c r="X103" i="61" l="1"/>
  <c r="X100" i="60"/>
  <c r="S101" i="60"/>
  <c r="V102" i="60"/>
  <c r="U101" i="60"/>
  <c r="G101" i="60"/>
  <c r="P101" i="60"/>
  <c r="N101" i="60"/>
  <c r="T101" i="60"/>
  <c r="O101" i="60"/>
  <c r="R101" i="60"/>
  <c r="L101" i="60"/>
  <c r="D101" i="60"/>
  <c r="Q101" i="60"/>
  <c r="C101" i="60"/>
  <c r="A89" i="81" s="1"/>
  <c r="I101" i="60"/>
  <c r="H101" i="60"/>
  <c r="J101" i="60"/>
  <c r="K101" i="60"/>
  <c r="M101" i="60"/>
  <c r="F101" i="60"/>
  <c r="W101" i="60"/>
  <c r="E101" i="60"/>
  <c r="B102" i="60" a="1"/>
  <c r="B102" i="60" s="1"/>
  <c r="W104" i="61"/>
  <c r="R104" i="61"/>
  <c r="I104" i="61"/>
  <c r="H104" i="61"/>
  <c r="S104" i="61"/>
  <c r="Q104" i="61"/>
  <c r="P104" i="61"/>
  <c r="K104" i="61"/>
  <c r="F104" i="61"/>
  <c r="M104" i="61"/>
  <c r="L104" i="61"/>
  <c r="J104" i="61"/>
  <c r="E104" i="61"/>
  <c r="D104" i="61"/>
  <c r="V104" i="61"/>
  <c r="N104" i="61"/>
  <c r="G104" i="61"/>
  <c r="U104" i="61"/>
  <c r="T104" i="61"/>
  <c r="O104" i="61"/>
  <c r="C104" i="61"/>
  <c r="B105" i="61" a="1"/>
  <c r="B105" i="61" s="1"/>
  <c r="X104" i="61" l="1"/>
  <c r="C102" i="60"/>
  <c r="A90" i="81" s="1"/>
  <c r="I102" i="60"/>
  <c r="D102" i="60"/>
  <c r="F102" i="60"/>
  <c r="U102" i="60"/>
  <c r="V103" i="60"/>
  <c r="L102" i="60"/>
  <c r="P102" i="60"/>
  <c r="M102" i="60"/>
  <c r="S102" i="60"/>
  <c r="Q102" i="60"/>
  <c r="H102" i="60"/>
  <c r="J102" i="60"/>
  <c r="R102" i="60"/>
  <c r="K102" i="60"/>
  <c r="W102" i="60"/>
  <c r="G102" i="60"/>
  <c r="T102" i="60"/>
  <c r="O102" i="60"/>
  <c r="N102" i="60"/>
  <c r="E102" i="60"/>
  <c r="B103" i="60" a="1"/>
  <c r="B103" i="60" s="1"/>
  <c r="P105" i="61"/>
  <c r="S105" i="61"/>
  <c r="N105" i="61"/>
  <c r="I105" i="61"/>
  <c r="H105" i="61"/>
  <c r="K105" i="61"/>
  <c r="M105" i="61"/>
  <c r="D105" i="61"/>
  <c r="G105" i="61"/>
  <c r="F105" i="61"/>
  <c r="E105" i="61"/>
  <c r="J105" i="61"/>
  <c r="T105" i="61"/>
  <c r="W105" i="61"/>
  <c r="V105" i="61"/>
  <c r="U105" i="61"/>
  <c r="C105" i="61"/>
  <c r="Q105" i="61"/>
  <c r="L105" i="61"/>
  <c r="O105" i="61"/>
  <c r="R105" i="61"/>
  <c r="B106" i="61" a="1"/>
  <c r="B106" i="61" s="1"/>
  <c r="X101" i="60"/>
  <c r="X105" i="61" l="1"/>
  <c r="X102" i="60"/>
  <c r="J103" i="60"/>
  <c r="F103" i="60"/>
  <c r="V104" i="60"/>
  <c r="W103" i="60"/>
  <c r="Q103" i="60"/>
  <c r="T103" i="60"/>
  <c r="D103" i="60"/>
  <c r="O103" i="60"/>
  <c r="S103" i="60"/>
  <c r="G103" i="60"/>
  <c r="H103" i="60"/>
  <c r="L103" i="60"/>
  <c r="K103" i="60"/>
  <c r="I103" i="60"/>
  <c r="R103" i="60"/>
  <c r="E103" i="60"/>
  <c r="M103" i="60"/>
  <c r="U103" i="60"/>
  <c r="N103" i="60"/>
  <c r="C103" i="60"/>
  <c r="A91" i="81" s="1"/>
  <c r="P103" i="60"/>
  <c r="B104" i="60" a="1"/>
  <c r="B104" i="60" s="1"/>
  <c r="U106" i="61"/>
  <c r="U107" i="61" s="1"/>
  <c r="C106" i="61"/>
  <c r="H106" i="61"/>
  <c r="S106" i="61"/>
  <c r="S107" i="61" s="1"/>
  <c r="I106" i="61"/>
  <c r="I107" i="61" s="1"/>
  <c r="V106" i="61"/>
  <c r="V107" i="61" s="1"/>
  <c r="W106" i="61"/>
  <c r="W107" i="61" s="1"/>
  <c r="M106" i="61"/>
  <c r="M107" i="61" s="1"/>
  <c r="K106" i="61"/>
  <c r="K107" i="61" s="1"/>
  <c r="T106" i="61"/>
  <c r="T107" i="61" s="1"/>
  <c r="N106" i="61"/>
  <c r="N107" i="61" s="1"/>
  <c r="E106" i="61"/>
  <c r="E107" i="61" s="1"/>
  <c r="R106" i="61"/>
  <c r="R107" i="61" s="1"/>
  <c r="O106" i="61"/>
  <c r="O107" i="61" s="1"/>
  <c r="L106" i="61"/>
  <c r="L107" i="61" s="1"/>
  <c r="F106" i="61"/>
  <c r="F107" i="61" s="1"/>
  <c r="G106" i="61"/>
  <c r="G107" i="61" s="1"/>
  <c r="P106" i="61"/>
  <c r="P107" i="61" s="1"/>
  <c r="J106" i="61"/>
  <c r="J107" i="61" s="1"/>
  <c r="D106" i="61"/>
  <c r="D107" i="61" s="1"/>
  <c r="Q106" i="61"/>
  <c r="Q107" i="61" s="1"/>
  <c r="X106" i="61" l="1"/>
  <c r="H107" i="61"/>
  <c r="X103" i="60"/>
  <c r="L104" i="60"/>
  <c r="G104" i="60"/>
  <c r="R104" i="60"/>
  <c r="F104" i="60"/>
  <c r="S104" i="60"/>
  <c r="J104" i="60"/>
  <c r="Q104" i="60"/>
  <c r="T104" i="60"/>
  <c r="K104" i="60"/>
  <c r="V105" i="60"/>
  <c r="I104" i="60"/>
  <c r="P104" i="60"/>
  <c r="M104" i="60"/>
  <c r="W104" i="60"/>
  <c r="H104" i="60"/>
  <c r="O104" i="60"/>
  <c r="U104" i="60"/>
  <c r="E104" i="60"/>
  <c r="N104" i="60"/>
  <c r="C104" i="60"/>
  <c r="A92" i="81" s="1"/>
  <c r="D104" i="60"/>
  <c r="B105" i="60" a="1"/>
  <c r="B105" i="60" s="1"/>
  <c r="X104" i="60" l="1"/>
  <c r="K105" i="60"/>
  <c r="O105" i="60"/>
  <c r="M105" i="60"/>
  <c r="E105" i="60"/>
  <c r="C105" i="60"/>
  <c r="A93" i="81" s="1"/>
  <c r="V106" i="60"/>
  <c r="V107" i="60" s="1"/>
  <c r="P105" i="60"/>
  <c r="R105" i="60"/>
  <c r="H105" i="60"/>
  <c r="N105" i="60"/>
  <c r="J105" i="60"/>
  <c r="D105" i="60"/>
  <c r="L105" i="60"/>
  <c r="G105" i="60"/>
  <c r="Q105" i="60"/>
  <c r="U105" i="60"/>
  <c r="F105" i="60"/>
  <c r="T105" i="60"/>
  <c r="S105" i="60"/>
  <c r="I105" i="60"/>
  <c r="W105" i="60"/>
  <c r="B106" i="60" a="1"/>
  <c r="B106" i="60" s="1"/>
  <c r="X107" i="61"/>
  <c r="Y106" i="61" s="1"/>
  <c r="C106" i="60" l="1"/>
  <c r="A94" i="81" s="1"/>
  <c r="R106" i="60"/>
  <c r="R107" i="60" s="1"/>
  <c r="G106" i="60"/>
  <c r="G107" i="60" s="1"/>
  <c r="N106" i="60"/>
  <c r="N107" i="60" s="1"/>
  <c r="M106" i="60"/>
  <c r="M107" i="60" s="1"/>
  <c r="T106" i="60"/>
  <c r="T107" i="60" s="1"/>
  <c r="K106" i="60"/>
  <c r="K107" i="60" s="1"/>
  <c r="L106" i="60"/>
  <c r="L107" i="60" s="1"/>
  <c r="J106" i="60"/>
  <c r="J107" i="60" s="1"/>
  <c r="S106" i="60"/>
  <c r="S107" i="60" s="1"/>
  <c r="F106" i="60"/>
  <c r="F107" i="60" s="1"/>
  <c r="E106" i="60"/>
  <c r="E107" i="60" s="1"/>
  <c r="Q106" i="60"/>
  <c r="Q107" i="60" s="1"/>
  <c r="W106" i="60"/>
  <c r="W107" i="60" s="1"/>
  <c r="D106" i="60"/>
  <c r="D107" i="60" s="1"/>
  <c r="O106" i="60"/>
  <c r="O107" i="60" s="1"/>
  <c r="P106" i="60"/>
  <c r="P107" i="60" s="1"/>
  <c r="I106" i="60"/>
  <c r="I107" i="60" s="1"/>
  <c r="H106" i="60"/>
  <c r="U106" i="60"/>
  <c r="U107" i="60" s="1"/>
  <c r="X105" i="60"/>
  <c r="Y107" i="61"/>
  <c r="G6" i="51"/>
  <c r="Y17" i="61"/>
  <c r="G6" i="80"/>
  <c r="Y18" i="61"/>
  <c r="Y19" i="61"/>
  <c r="Y20" i="61"/>
  <c r="Y21" i="61"/>
  <c r="Y23" i="61"/>
  <c r="Y22" i="61"/>
  <c r="Y26" i="61"/>
  <c r="Y24" i="61"/>
  <c r="Y25" i="61"/>
  <c r="Y27" i="61"/>
  <c r="Y28" i="61"/>
  <c r="Y29" i="61"/>
  <c r="Y30" i="61"/>
  <c r="Y31" i="61"/>
  <c r="Y32" i="61"/>
  <c r="Y33" i="61"/>
  <c r="Y34" i="61"/>
  <c r="Y35" i="61"/>
  <c r="Y36" i="61"/>
  <c r="Y37" i="61"/>
  <c r="Y38" i="61"/>
  <c r="Y39" i="61"/>
  <c r="Y40" i="61"/>
  <c r="Y41" i="61"/>
  <c r="Y42" i="61"/>
  <c r="Y43" i="61"/>
  <c r="Y44" i="61"/>
  <c r="Y45" i="61"/>
  <c r="Y46" i="61"/>
  <c r="Y47" i="61"/>
  <c r="Y48" i="61"/>
  <c r="Y49" i="61"/>
  <c r="Y50" i="61"/>
  <c r="Y51" i="61"/>
  <c r="Y52" i="61"/>
  <c r="Y53" i="61"/>
  <c r="Y54" i="61"/>
  <c r="Y55" i="61"/>
  <c r="Y56" i="61"/>
  <c r="Y57" i="61"/>
  <c r="Y58" i="61"/>
  <c r="Y59" i="61"/>
  <c r="Y61" i="61"/>
  <c r="Y60" i="61"/>
  <c r="Y62" i="61"/>
  <c r="Y63" i="61"/>
  <c r="Y64" i="61"/>
  <c r="Y65" i="61"/>
  <c r="Y66" i="61"/>
  <c r="Y67" i="61"/>
  <c r="Y68" i="61"/>
  <c r="Y69" i="61"/>
  <c r="Y70" i="61"/>
  <c r="Y71" i="61"/>
  <c r="Y72" i="61"/>
  <c r="Y73" i="61"/>
  <c r="Y74" i="61"/>
  <c r="Y75" i="61"/>
  <c r="Y76" i="61"/>
  <c r="Y77" i="61"/>
  <c r="Y78" i="61"/>
  <c r="Y79" i="61"/>
  <c r="Y81" i="61"/>
  <c r="Y80" i="61"/>
  <c r="Y82" i="61"/>
  <c r="Y83" i="61"/>
  <c r="Y84" i="61"/>
  <c r="Y85" i="61"/>
  <c r="Y86" i="61"/>
  <c r="Y87" i="61"/>
  <c r="Y88" i="61"/>
  <c r="Y89" i="61"/>
  <c r="Y90" i="61"/>
  <c r="Y91" i="61"/>
  <c r="Y92" i="61"/>
  <c r="Y93" i="61"/>
  <c r="Y94" i="61"/>
  <c r="Y95" i="61"/>
  <c r="Y96" i="61"/>
  <c r="Y98" i="61"/>
  <c r="Y97" i="61"/>
  <c r="Y99" i="61"/>
  <c r="Y100" i="61"/>
  <c r="Y102" i="61"/>
  <c r="Y101" i="61"/>
  <c r="Y103" i="61"/>
  <c r="Y104" i="61"/>
  <c r="Y105" i="61"/>
  <c r="X106" i="60" l="1"/>
  <c r="H107" i="60"/>
  <c r="X107" i="60" l="1"/>
  <c r="Y106" i="60" s="1"/>
  <c r="G5" i="51" l="1"/>
  <c r="Y17" i="60"/>
  <c r="Y18" i="60"/>
  <c r="G5" i="80"/>
  <c r="Y107" i="60"/>
  <c r="Y19" i="60"/>
  <c r="Y20" i="60"/>
  <c r="Y21" i="60"/>
  <c r="Y22" i="60"/>
  <c r="Y24" i="60"/>
  <c r="Y23" i="60"/>
  <c r="Y25" i="60"/>
  <c r="Y26" i="60"/>
  <c r="Y28" i="60"/>
  <c r="Y27" i="60"/>
  <c r="Y30" i="60"/>
  <c r="Y29" i="60"/>
  <c r="Y31" i="60"/>
  <c r="Y32" i="60"/>
  <c r="Y33" i="60"/>
  <c r="Y34" i="60"/>
  <c r="Y35" i="60"/>
  <c r="Y36" i="60"/>
  <c r="Y37" i="60"/>
  <c r="Y38" i="60"/>
  <c r="Y39" i="60"/>
  <c r="Y40" i="60"/>
  <c r="Y41" i="60"/>
  <c r="Y42" i="60"/>
  <c r="Y43" i="60"/>
  <c r="Y44" i="60"/>
  <c r="Y45" i="60"/>
  <c r="Y46" i="60"/>
  <c r="Y47" i="60"/>
  <c r="Y48" i="60"/>
  <c r="Y49" i="60"/>
  <c r="Y50" i="60"/>
  <c r="Y52" i="60"/>
  <c r="Y51" i="60"/>
  <c r="Y53" i="60"/>
  <c r="Y54" i="60"/>
  <c r="Y55" i="60"/>
  <c r="Y56" i="60"/>
  <c r="Y57" i="60"/>
  <c r="Y58" i="60"/>
  <c r="Y60" i="60"/>
  <c r="Y59" i="60"/>
  <c r="Y61" i="60"/>
  <c r="Y62" i="60"/>
  <c r="Y63" i="60"/>
  <c r="Y64" i="60"/>
  <c r="Y66" i="60"/>
  <c r="Y65" i="60"/>
  <c r="Y67" i="60"/>
  <c r="Y68" i="60"/>
  <c r="Y69" i="60"/>
  <c r="Y70" i="60"/>
  <c r="Y71" i="60"/>
  <c r="Y72" i="60"/>
  <c r="Y73" i="60"/>
  <c r="Y75" i="60"/>
  <c r="Y74" i="60"/>
  <c r="Y76" i="60"/>
  <c r="Y77" i="60"/>
  <c r="Y78" i="60"/>
  <c r="Y79" i="60"/>
  <c r="Y80" i="60"/>
  <c r="Y81" i="60"/>
  <c r="Y82" i="60"/>
  <c r="Y83" i="60"/>
  <c r="Y84" i="60"/>
  <c r="Y85" i="60"/>
  <c r="Y86" i="60"/>
  <c r="Y87" i="60"/>
  <c r="Y88" i="60"/>
  <c r="Y90" i="60"/>
  <c r="Y89" i="60"/>
  <c r="Y92" i="60"/>
  <c r="Y91" i="60"/>
  <c r="Y93" i="60"/>
  <c r="Y94" i="60"/>
  <c r="Y95" i="60"/>
  <c r="Y96" i="60"/>
  <c r="Y97" i="60"/>
  <c r="Y98" i="60"/>
  <c r="Y99" i="60"/>
  <c r="Y100" i="60"/>
  <c r="Y101" i="60"/>
  <c r="Y102" i="60"/>
  <c r="Y104" i="60"/>
  <c r="Y103" i="60"/>
  <c r="Y105" i="60"/>
</calcChain>
</file>

<file path=xl/comments1.xml><?xml version="1.0" encoding="utf-8"?>
<comments xmlns="http://schemas.openxmlformats.org/spreadsheetml/2006/main">
  <authors>
    <author>Tanaka Ndowa</author>
  </authors>
  <commentList>
    <comment ref="D43" authorId="0">
      <text>
        <r>
          <rPr>
            <sz val="9"/>
            <color indexed="81"/>
            <rFont val="Tahoma"/>
            <family val="2"/>
          </rPr>
          <t>PR - Principal Recipient
SR - Sub Recipient
LI - Lead Implementer</t>
        </r>
      </text>
    </comment>
  </commentList>
</comments>
</file>

<file path=xl/comments2.xml><?xml version="1.0" encoding="utf-8"?>
<comments xmlns="http://schemas.openxmlformats.org/spreadsheetml/2006/main">
  <authors>
    <author>sony</author>
    <author>KONG</author>
  </authors>
  <commentList>
    <comment ref="F163" authorId="0">
      <text>
        <r>
          <rPr>
            <b/>
            <sz val="9"/>
            <color indexed="81"/>
            <rFont val="Tahoma"/>
            <family val="2"/>
          </rPr>
          <t>sony:</t>
        </r>
        <r>
          <rPr>
            <sz val="9"/>
            <color indexed="81"/>
            <rFont val="Tahoma"/>
            <family val="2"/>
          </rPr>
          <t xml:space="preserve">
7 provinces
</t>
        </r>
      </text>
    </comment>
    <comment ref="E440" authorId="1">
      <text>
        <r>
          <rPr>
            <b/>
            <sz val="9"/>
            <color indexed="81"/>
            <rFont val="Tahoma"/>
            <family val="2"/>
          </rPr>
          <t>KONG:</t>
        </r>
        <r>
          <rPr>
            <sz val="9"/>
            <color indexed="81"/>
            <rFont val="Tahoma"/>
            <family val="2"/>
          </rPr>
          <t xml:space="preserve">
#14 drivers</t>
        </r>
      </text>
    </comment>
    <comment ref="E441" authorId="1">
      <text>
        <r>
          <rPr>
            <b/>
            <sz val="9"/>
            <color indexed="81"/>
            <rFont val="Tahoma"/>
            <family val="2"/>
          </rPr>
          <t>KONG:</t>
        </r>
        <r>
          <rPr>
            <sz val="9"/>
            <color indexed="81"/>
            <rFont val="Tahoma"/>
            <family val="2"/>
          </rPr>
          <t xml:space="preserve">
- 2 drivers for 1 province
= 2 prs x 3 pro. = 6 prs</t>
        </r>
      </text>
    </comment>
    <comment ref="E442" authorId="1">
      <text>
        <r>
          <rPr>
            <b/>
            <sz val="9"/>
            <color indexed="81"/>
            <rFont val="Tahoma"/>
            <family val="2"/>
          </rPr>
          <t>KONG:</t>
        </r>
        <r>
          <rPr>
            <sz val="9"/>
            <color indexed="81"/>
            <rFont val="Tahoma"/>
            <family val="2"/>
          </rPr>
          <t xml:space="preserve">
- 2 drivers for 1 province
= 2 prs x 2 pro. = 4 prs</t>
        </r>
      </text>
    </comment>
    <comment ref="E445" authorId="1">
      <text>
        <r>
          <rPr>
            <b/>
            <sz val="9"/>
            <color indexed="81"/>
            <rFont val="Tahoma"/>
            <family val="2"/>
          </rPr>
          <t>KONG:</t>
        </r>
        <r>
          <rPr>
            <sz val="9"/>
            <color indexed="81"/>
            <rFont val="Tahoma"/>
            <family val="2"/>
          </rPr>
          <t xml:space="preserve">
</t>
        </r>
        <r>
          <rPr>
            <sz val="10"/>
            <color indexed="81"/>
            <rFont val="Tahoma"/>
            <family val="2"/>
          </rPr>
          <t xml:space="preserve"> 14 cars x 2 time</t>
        </r>
      </text>
    </comment>
    <comment ref="E446" authorId="1">
      <text>
        <r>
          <rPr>
            <b/>
            <sz val="9"/>
            <color indexed="81"/>
            <rFont val="Tahoma"/>
            <family val="2"/>
          </rPr>
          <t>KONG:</t>
        </r>
        <r>
          <rPr>
            <sz val="9"/>
            <color indexed="81"/>
            <rFont val="Tahoma"/>
            <family val="2"/>
          </rPr>
          <t xml:space="preserve">
2 Cars x 2 times</t>
        </r>
      </text>
    </comment>
    <comment ref="E447" authorId="1">
      <text>
        <r>
          <rPr>
            <b/>
            <sz val="9"/>
            <color indexed="81"/>
            <rFont val="Tahoma"/>
            <family val="2"/>
          </rPr>
          <t>KONG:</t>
        </r>
        <r>
          <rPr>
            <sz val="9"/>
            <color indexed="81"/>
            <rFont val="Tahoma"/>
            <family val="2"/>
          </rPr>
          <t xml:space="preserve">
2 Cars x 2 times</t>
        </r>
      </text>
    </comment>
    <comment ref="E448" authorId="1">
      <text>
        <r>
          <rPr>
            <b/>
            <sz val="9"/>
            <color indexed="81"/>
            <rFont val="Tahoma"/>
            <family val="2"/>
          </rPr>
          <t>KONG:</t>
        </r>
        <r>
          <rPr>
            <sz val="9"/>
            <color indexed="81"/>
            <rFont val="Tahoma"/>
            <family val="2"/>
          </rPr>
          <t xml:space="preserve">
2 Cars x 2 times</t>
        </r>
      </text>
    </comment>
    <comment ref="E449" authorId="1">
      <text>
        <r>
          <rPr>
            <b/>
            <sz val="9"/>
            <color indexed="81"/>
            <rFont val="Tahoma"/>
            <family val="2"/>
          </rPr>
          <t>KONG:</t>
        </r>
        <r>
          <rPr>
            <sz val="9"/>
            <color indexed="81"/>
            <rFont val="Tahoma"/>
            <family val="2"/>
          </rPr>
          <t xml:space="preserve">
2 Cars x 2 times</t>
        </r>
      </text>
    </comment>
    <comment ref="E450" authorId="1">
      <text>
        <r>
          <rPr>
            <b/>
            <sz val="9"/>
            <color indexed="81"/>
            <rFont val="Tahoma"/>
            <family val="2"/>
          </rPr>
          <t>KONG:</t>
        </r>
        <r>
          <rPr>
            <sz val="9"/>
            <color indexed="81"/>
            <rFont val="Tahoma"/>
            <family val="2"/>
          </rPr>
          <t xml:space="preserve">
2 Cars x 2 times</t>
        </r>
      </text>
    </comment>
    <comment ref="E611" authorId="1">
      <text>
        <r>
          <rPr>
            <b/>
            <sz val="9"/>
            <color indexed="81"/>
            <rFont val="Tahoma"/>
            <family val="2"/>
          </rPr>
          <t>KONG:</t>
        </r>
        <r>
          <rPr>
            <sz val="9"/>
            <color indexed="81"/>
            <rFont val="Tahoma"/>
            <family val="2"/>
          </rPr>
          <t xml:space="preserve">
</t>
        </r>
        <r>
          <rPr>
            <sz val="10"/>
            <color indexed="81"/>
            <rFont val="Tahoma"/>
            <family val="2"/>
          </rPr>
          <t xml:space="preserve"> 4 cars x 2 time</t>
        </r>
      </text>
    </comment>
    <comment ref="E631" authorId="1">
      <text>
        <r>
          <rPr>
            <b/>
            <sz val="9"/>
            <color indexed="81"/>
            <rFont val="Tahoma"/>
            <family val="2"/>
          </rPr>
          <t>KONG:</t>
        </r>
        <r>
          <rPr>
            <sz val="9"/>
            <color indexed="81"/>
            <rFont val="Tahoma"/>
            <family val="2"/>
          </rPr>
          <t xml:space="preserve">
#14 drivers</t>
        </r>
      </text>
    </comment>
    <comment ref="E632" authorId="1">
      <text>
        <r>
          <rPr>
            <b/>
            <sz val="9"/>
            <color indexed="81"/>
            <rFont val="Tahoma"/>
            <family val="2"/>
          </rPr>
          <t>KONG:</t>
        </r>
        <r>
          <rPr>
            <sz val="9"/>
            <color indexed="81"/>
            <rFont val="Tahoma"/>
            <family val="2"/>
          </rPr>
          <t xml:space="preserve">
- 2 drivers for 1 province
= 2 prs x 3 pro. = 6 prs</t>
        </r>
      </text>
    </comment>
    <comment ref="E635" authorId="1">
      <text>
        <r>
          <rPr>
            <b/>
            <sz val="9"/>
            <color indexed="81"/>
            <rFont val="Tahoma"/>
            <family val="2"/>
          </rPr>
          <t>KONG:</t>
        </r>
        <r>
          <rPr>
            <sz val="9"/>
            <color indexed="81"/>
            <rFont val="Tahoma"/>
            <family val="2"/>
          </rPr>
          <t xml:space="preserve">
</t>
        </r>
        <r>
          <rPr>
            <sz val="10"/>
            <color indexed="81"/>
            <rFont val="Tahoma"/>
            <family val="2"/>
          </rPr>
          <t xml:space="preserve"> 14 cars x 2 time</t>
        </r>
      </text>
    </comment>
    <comment ref="E636" authorId="1">
      <text>
        <r>
          <rPr>
            <b/>
            <sz val="9"/>
            <color indexed="81"/>
            <rFont val="Tahoma"/>
            <family val="2"/>
          </rPr>
          <t>KONG:</t>
        </r>
        <r>
          <rPr>
            <sz val="9"/>
            <color indexed="81"/>
            <rFont val="Tahoma"/>
            <family val="2"/>
          </rPr>
          <t xml:space="preserve">
2 Cars x 2 times</t>
        </r>
      </text>
    </comment>
    <comment ref="E637" authorId="1">
      <text>
        <r>
          <rPr>
            <b/>
            <sz val="9"/>
            <color indexed="81"/>
            <rFont val="Tahoma"/>
            <family val="2"/>
          </rPr>
          <t>KONG:</t>
        </r>
        <r>
          <rPr>
            <sz val="9"/>
            <color indexed="81"/>
            <rFont val="Tahoma"/>
            <family val="2"/>
          </rPr>
          <t xml:space="preserve">
2 Cars x 2 times</t>
        </r>
      </text>
    </comment>
    <comment ref="E638" authorId="1">
      <text>
        <r>
          <rPr>
            <b/>
            <sz val="9"/>
            <color indexed="81"/>
            <rFont val="Tahoma"/>
            <family val="2"/>
          </rPr>
          <t>KONG:</t>
        </r>
        <r>
          <rPr>
            <sz val="9"/>
            <color indexed="81"/>
            <rFont val="Tahoma"/>
            <family val="2"/>
          </rPr>
          <t xml:space="preserve">
2 Cars x 2 times</t>
        </r>
      </text>
    </comment>
  </commentList>
</comments>
</file>

<file path=xl/sharedStrings.xml><?xml version="1.0" encoding="utf-8"?>
<sst xmlns="http://schemas.openxmlformats.org/spreadsheetml/2006/main" count="6081" uniqueCount="3330">
  <si>
    <t>Other</t>
  </si>
  <si>
    <t>Item Description</t>
  </si>
  <si>
    <t>Unit of Measure</t>
  </si>
  <si>
    <t>Budget Line Activity Name</t>
  </si>
  <si>
    <t>Year 1</t>
  </si>
  <si>
    <t>Year 2</t>
  </si>
  <si>
    <t>Year 3</t>
  </si>
  <si>
    <t>By Module</t>
  </si>
  <si>
    <t>USD</t>
  </si>
  <si>
    <t>Y1 Grant Currency</t>
  </si>
  <si>
    <t>Y2 Grant Currency</t>
  </si>
  <si>
    <t>Y3 Grant Currency</t>
  </si>
  <si>
    <t>Y4 Grant Currency</t>
  </si>
  <si>
    <t>Budget Line No.</t>
  </si>
  <si>
    <t>Module</t>
  </si>
  <si>
    <t>Intervention</t>
  </si>
  <si>
    <t>Activity Description</t>
  </si>
  <si>
    <t>Cost Input</t>
  </si>
  <si>
    <t>Assumptions to Support Unit Cost</t>
  </si>
  <si>
    <t>Justification/Comments</t>
  </si>
  <si>
    <t>EUR</t>
  </si>
  <si>
    <t>Y1 Total Cost</t>
  </si>
  <si>
    <t>Y2 Total Cost</t>
  </si>
  <si>
    <t>Y3 Total Cost</t>
  </si>
  <si>
    <t>Y4 Total Cost</t>
  </si>
  <si>
    <t>Y1 Unit Cost</t>
  </si>
  <si>
    <t>Y1 Quantity</t>
  </si>
  <si>
    <t>Y2 Unit Cost</t>
  </si>
  <si>
    <t>Y2 Quantity</t>
  </si>
  <si>
    <t>Y3 Unit Cost</t>
  </si>
  <si>
    <t>Y3 Quantity</t>
  </si>
  <si>
    <t>Y4 Unit Cost</t>
  </si>
  <si>
    <t>Y4 Quantity</t>
  </si>
  <si>
    <t>Y4 Social Security and Other Obligatory Charges</t>
  </si>
  <si>
    <t>Y4 Total Salary</t>
  </si>
  <si>
    <t>Y4 Level of Effort (%)</t>
  </si>
  <si>
    <t>Y4 Number of persons</t>
  </si>
  <si>
    <t>Y3 Total Salary</t>
  </si>
  <si>
    <t>Y3 Level of Effort (%)</t>
  </si>
  <si>
    <t>Y3 Number of persons</t>
  </si>
  <si>
    <t>Y2 Number of persons</t>
  </si>
  <si>
    <t>Y2 Level of Effort (%)</t>
  </si>
  <si>
    <t>Y2 Total Salary</t>
  </si>
  <si>
    <t>Y2 Social Security and Other Obligatory Charges</t>
  </si>
  <si>
    <t>Y1 Number of persons</t>
  </si>
  <si>
    <t>Y1 Level of Effort (%)</t>
  </si>
  <si>
    <t>Y1 Total Salary</t>
  </si>
  <si>
    <t>Y1 Social Security and Other Obligatory Charges</t>
  </si>
  <si>
    <t>Y3 Social Security and Other Obligatory Charges</t>
  </si>
  <si>
    <t>Fill in the Detailed Budget sheet</t>
  </si>
  <si>
    <t>After it has been uploaded online you can consult it online and make further changes to it there</t>
  </si>
  <si>
    <t>- On each Assumption line, you reference the Detailed budget line that the assumption concerns. Several assumption lines can refer to the same budget line</t>
  </si>
  <si>
    <t>LTL</t>
  </si>
  <si>
    <t>- After having entered all assumption lines for a budget line, you can build your own formula in the budget line unit cost cell based on the data entered on the assumption lines, or just enter a resulting figure</t>
  </si>
  <si>
    <t>Country</t>
  </si>
  <si>
    <t>Country en</t>
  </si>
  <si>
    <t>Country fr</t>
  </si>
  <si>
    <t>Country es</t>
  </si>
  <si>
    <t>Country ru</t>
  </si>
  <si>
    <t>Afghanistan</t>
  </si>
  <si>
    <t>Afganistán</t>
  </si>
  <si>
    <t>Афганистан</t>
  </si>
  <si>
    <t>Albania</t>
  </si>
  <si>
    <t>Albanie</t>
  </si>
  <si>
    <t>Албания</t>
  </si>
  <si>
    <t>Algeria</t>
  </si>
  <si>
    <t>Algérie</t>
  </si>
  <si>
    <t>Argelia</t>
  </si>
  <si>
    <t>Алжир</t>
  </si>
  <si>
    <t>Andorra</t>
  </si>
  <si>
    <t>Andorre</t>
  </si>
  <si>
    <t>андорра</t>
  </si>
  <si>
    <t>Angola</t>
  </si>
  <si>
    <t>Ангола</t>
  </si>
  <si>
    <t>Anguilla</t>
  </si>
  <si>
    <t>Ангилья</t>
  </si>
  <si>
    <t>Antigua and Barbuda</t>
  </si>
  <si>
    <t>Antigua -et-Barbuda</t>
  </si>
  <si>
    <t>Antigua y Barbuda</t>
  </si>
  <si>
    <t>Антигуа и Барбуда</t>
  </si>
  <si>
    <t>Argentina</t>
  </si>
  <si>
    <t>Argentine</t>
  </si>
  <si>
    <t>Аргентина</t>
  </si>
  <si>
    <t>Armenia</t>
  </si>
  <si>
    <t>Arménie</t>
  </si>
  <si>
    <t>Армения</t>
  </si>
  <si>
    <t>Aruba</t>
  </si>
  <si>
    <t>Аруба</t>
  </si>
  <si>
    <t>Australia</t>
  </si>
  <si>
    <t>Australie</t>
  </si>
  <si>
    <t>Австралия</t>
  </si>
  <si>
    <t>Austria</t>
  </si>
  <si>
    <t>Autriche</t>
  </si>
  <si>
    <t>Австрия</t>
  </si>
  <si>
    <t>Azerbaijan</t>
  </si>
  <si>
    <t>Azerbaïdjan</t>
  </si>
  <si>
    <t>Azerbaiyán</t>
  </si>
  <si>
    <t>Азербайджан</t>
  </si>
  <si>
    <t>Bahamas</t>
  </si>
  <si>
    <t>Багамские острова</t>
  </si>
  <si>
    <t>Bangladesh</t>
  </si>
  <si>
    <t>Bahrain</t>
  </si>
  <si>
    <t>Bahreïn</t>
  </si>
  <si>
    <t>Bahrein</t>
  </si>
  <si>
    <t>Бахрейн</t>
  </si>
  <si>
    <t>Бангладеш</t>
  </si>
  <si>
    <t>Barbados</t>
  </si>
  <si>
    <t>Barbade</t>
  </si>
  <si>
    <t>Барбадос</t>
  </si>
  <si>
    <t>Belarus</t>
  </si>
  <si>
    <t>Bélarus</t>
  </si>
  <si>
    <t>Bielorrusia</t>
  </si>
  <si>
    <t>Беларусь</t>
  </si>
  <si>
    <t>Belgium</t>
  </si>
  <si>
    <t>Belgique</t>
  </si>
  <si>
    <t>Bélgica</t>
  </si>
  <si>
    <t>Бельгия</t>
  </si>
  <si>
    <t>Belize</t>
  </si>
  <si>
    <t>Belice</t>
  </si>
  <si>
    <t>Белиз</t>
  </si>
  <si>
    <t>Benin</t>
  </si>
  <si>
    <t>Bénin</t>
  </si>
  <si>
    <t>Бенин</t>
  </si>
  <si>
    <t>Bhutan</t>
  </si>
  <si>
    <t>Bhoutan</t>
  </si>
  <si>
    <t>Бутан</t>
  </si>
  <si>
    <t>Bolivia (Plurinational State)</t>
  </si>
  <si>
    <t>Bolivie (État plurinational )</t>
  </si>
  <si>
    <t>Bolivia (Estado Plurinacional )</t>
  </si>
  <si>
    <t>Боливия (Многонациональное Государство )</t>
  </si>
  <si>
    <t>Bosnia and Herzegovina</t>
  </si>
  <si>
    <t>Bosnie-Herzégovine</t>
  </si>
  <si>
    <t>Bosnia y Herzegovina</t>
  </si>
  <si>
    <t>Босния и Герцеговина</t>
  </si>
  <si>
    <t>Botswana</t>
  </si>
  <si>
    <t>Ботсвана</t>
  </si>
  <si>
    <t>Brazil</t>
  </si>
  <si>
    <t>Brésil</t>
  </si>
  <si>
    <t>Brasil</t>
  </si>
  <si>
    <t>Бразилия</t>
  </si>
  <si>
    <t>Brunei Darussalam</t>
  </si>
  <si>
    <t>Бруней-Даруссалам</t>
  </si>
  <si>
    <t>Bulgaria</t>
  </si>
  <si>
    <t>Bulgarie</t>
  </si>
  <si>
    <t>Болгария</t>
  </si>
  <si>
    <t>Burkina Faso</t>
  </si>
  <si>
    <t>Буркина-Фасо</t>
  </si>
  <si>
    <t>Burundi</t>
  </si>
  <si>
    <t>Бурунди</t>
  </si>
  <si>
    <t>Cambodia</t>
  </si>
  <si>
    <t>Cambodge</t>
  </si>
  <si>
    <t>Camboya</t>
  </si>
  <si>
    <t>Камбоджа</t>
  </si>
  <si>
    <t>Cameroon</t>
  </si>
  <si>
    <t>Cameroun</t>
  </si>
  <si>
    <t>Camerún</t>
  </si>
  <si>
    <t>Камерун</t>
  </si>
  <si>
    <t>Canada</t>
  </si>
  <si>
    <t>Canadá</t>
  </si>
  <si>
    <t>Канада</t>
  </si>
  <si>
    <t>Cape Verde</t>
  </si>
  <si>
    <t>Cap-Vert</t>
  </si>
  <si>
    <t>Cabo Verde</t>
  </si>
  <si>
    <t>Кабо-Верде</t>
  </si>
  <si>
    <t>Cayman Islands</t>
  </si>
  <si>
    <t>Îles Caïmans</t>
  </si>
  <si>
    <t>Islas Caimán</t>
  </si>
  <si>
    <t>Каймановы острова</t>
  </si>
  <si>
    <t>Central African Republic</t>
  </si>
  <si>
    <t>République centrafricaine</t>
  </si>
  <si>
    <t>República Centroafricana</t>
  </si>
  <si>
    <t>Центрально-Африканская Республика</t>
  </si>
  <si>
    <t>Chad</t>
  </si>
  <si>
    <t>Tchad</t>
  </si>
  <si>
    <t>Чад</t>
  </si>
  <si>
    <t>Chile</t>
  </si>
  <si>
    <t>Chili</t>
  </si>
  <si>
    <t>Чили</t>
  </si>
  <si>
    <t>China</t>
  </si>
  <si>
    <t>Chine</t>
  </si>
  <si>
    <t>Китай</t>
  </si>
  <si>
    <t>Colombia</t>
  </si>
  <si>
    <t>Colombie</t>
  </si>
  <si>
    <t>Колумбия</t>
  </si>
  <si>
    <t>Comoros</t>
  </si>
  <si>
    <t>Comores</t>
  </si>
  <si>
    <t>Comoras</t>
  </si>
  <si>
    <t>Коморские острова</t>
  </si>
  <si>
    <t>Congo</t>
  </si>
  <si>
    <t>Конго</t>
  </si>
  <si>
    <t>Congo (Democratic Republic)</t>
  </si>
  <si>
    <t>Congo ( République démocratique )</t>
  </si>
  <si>
    <t>Congo ( República Democrática )</t>
  </si>
  <si>
    <t>Конго (Демократическая Республика)</t>
  </si>
  <si>
    <t>Costa Rica</t>
  </si>
  <si>
    <t>Коста-Рика</t>
  </si>
  <si>
    <t>Côte d'Ivoire</t>
  </si>
  <si>
    <t>Côte d' Ivoire</t>
  </si>
  <si>
    <t>Берег Слоновой Кости</t>
  </si>
  <si>
    <t>Croatia</t>
  </si>
  <si>
    <t>Croatie</t>
  </si>
  <si>
    <t>Croacia</t>
  </si>
  <si>
    <t>Хорватия</t>
  </si>
  <si>
    <t>Cuba</t>
  </si>
  <si>
    <t>Куба</t>
  </si>
  <si>
    <t>Cyprus</t>
  </si>
  <si>
    <t>Chypre</t>
  </si>
  <si>
    <t>Chipre</t>
  </si>
  <si>
    <t>Кипр</t>
  </si>
  <si>
    <t>Czech Republic</t>
  </si>
  <si>
    <t>République tchèque</t>
  </si>
  <si>
    <t>República Checa</t>
  </si>
  <si>
    <t>Чешская республика</t>
  </si>
  <si>
    <t>Denmark</t>
  </si>
  <si>
    <t>Danemark</t>
  </si>
  <si>
    <t>Dinamarca</t>
  </si>
  <si>
    <t>Дания</t>
  </si>
  <si>
    <t>Djibouti</t>
  </si>
  <si>
    <t>Джибути</t>
  </si>
  <si>
    <t>Dominica</t>
  </si>
  <si>
    <t>Dominique</t>
  </si>
  <si>
    <t>Доминика</t>
  </si>
  <si>
    <t>Dominican Republic</t>
  </si>
  <si>
    <t>République dominicaine</t>
  </si>
  <si>
    <t>República Dominicana</t>
  </si>
  <si>
    <t>Доминиканская Республика</t>
  </si>
  <si>
    <t>Ecuador</t>
  </si>
  <si>
    <t>Équateur</t>
  </si>
  <si>
    <t>Эквадор</t>
  </si>
  <si>
    <t>Egypt</t>
  </si>
  <si>
    <t>Egypte</t>
  </si>
  <si>
    <t>Egipto</t>
  </si>
  <si>
    <t>Египет</t>
  </si>
  <si>
    <t>El Salvador</t>
  </si>
  <si>
    <t>Сальвадор</t>
  </si>
  <si>
    <t>Equatorial Guinea</t>
  </si>
  <si>
    <t>Guinée équatoriale</t>
  </si>
  <si>
    <t>Guinea Ecuatorial</t>
  </si>
  <si>
    <t>Экваториальная Гвинея</t>
  </si>
  <si>
    <t>Eritrea</t>
  </si>
  <si>
    <t>Erythrée</t>
  </si>
  <si>
    <t>Эритрея</t>
  </si>
  <si>
    <t>Estonia</t>
  </si>
  <si>
    <t>Estonie</t>
  </si>
  <si>
    <t>Эстония</t>
  </si>
  <si>
    <t>Ethiopia</t>
  </si>
  <si>
    <t>Ethiopie</t>
  </si>
  <si>
    <t>Etiopía</t>
  </si>
  <si>
    <t>Эфиопия</t>
  </si>
  <si>
    <t>Falkland Islands (Malvinas)</t>
  </si>
  <si>
    <t>Îles Falkland (Malvinas)</t>
  </si>
  <si>
    <t>Islas Malvinas ( Falkland)</t>
  </si>
  <si>
    <t>Фолклендские (Мальвинские) острова</t>
  </si>
  <si>
    <t>Fiji</t>
  </si>
  <si>
    <t>Fidji</t>
  </si>
  <si>
    <t>Фиджи</t>
  </si>
  <si>
    <t>Finland</t>
  </si>
  <si>
    <t>Finlande</t>
  </si>
  <si>
    <t>Finlandia</t>
  </si>
  <si>
    <t>Финляндия</t>
  </si>
  <si>
    <t>France</t>
  </si>
  <si>
    <t>Francia</t>
  </si>
  <si>
    <t>Франция</t>
  </si>
  <si>
    <t>French Polynesia</t>
  </si>
  <si>
    <t>Polynésie française</t>
  </si>
  <si>
    <t>Polinesia francés</t>
  </si>
  <si>
    <t>Французская Полинезия</t>
  </si>
  <si>
    <t>Gabon</t>
  </si>
  <si>
    <t>Gabón</t>
  </si>
  <si>
    <t>Габон</t>
  </si>
  <si>
    <t>Gambia</t>
  </si>
  <si>
    <t>Gambie</t>
  </si>
  <si>
    <t>Гамбия</t>
  </si>
  <si>
    <t>Georgia</t>
  </si>
  <si>
    <t>Géorgie</t>
  </si>
  <si>
    <t>Грузия</t>
  </si>
  <si>
    <t>Germany</t>
  </si>
  <si>
    <t>Allemagne</t>
  </si>
  <si>
    <t>Alemania</t>
  </si>
  <si>
    <t>Германия</t>
  </si>
  <si>
    <t>Ghana</t>
  </si>
  <si>
    <t>Гана</t>
  </si>
  <si>
    <t>Gibraltar</t>
  </si>
  <si>
    <t>Гибралтар</t>
  </si>
  <si>
    <t>Greece</t>
  </si>
  <si>
    <t>Grèce</t>
  </si>
  <si>
    <t>Grecia</t>
  </si>
  <si>
    <t>Греция</t>
  </si>
  <si>
    <t>CHF</t>
  </si>
  <si>
    <t>Grenada</t>
  </si>
  <si>
    <t>Grenade</t>
  </si>
  <si>
    <t>Granada</t>
  </si>
  <si>
    <t>Гренада</t>
  </si>
  <si>
    <t>Guatemala</t>
  </si>
  <si>
    <t>Гватемала</t>
  </si>
  <si>
    <t>Guinea</t>
  </si>
  <si>
    <t>Guinée</t>
  </si>
  <si>
    <t>Гвинея</t>
  </si>
  <si>
    <t>Guinea-Bissau</t>
  </si>
  <si>
    <t>Guinée- Bissau</t>
  </si>
  <si>
    <t>Гвинея-Бисау</t>
  </si>
  <si>
    <t>Guyana</t>
  </si>
  <si>
    <t>Guyane</t>
  </si>
  <si>
    <t>Guayana</t>
  </si>
  <si>
    <t>Гайана</t>
  </si>
  <si>
    <t>Haiti</t>
  </si>
  <si>
    <t>Haïti</t>
  </si>
  <si>
    <t>Haití</t>
  </si>
  <si>
    <t>Гаити</t>
  </si>
  <si>
    <t>Honduras</t>
  </si>
  <si>
    <t>Гондурас</t>
  </si>
  <si>
    <t>Hong Kong</t>
  </si>
  <si>
    <t>Hong-Kong</t>
  </si>
  <si>
    <t>Гонконг</t>
  </si>
  <si>
    <t>Hungary</t>
  </si>
  <si>
    <t>Hongrie</t>
  </si>
  <si>
    <t>Hungría</t>
  </si>
  <si>
    <t>Венгрия</t>
  </si>
  <si>
    <t>Iceland</t>
  </si>
  <si>
    <t>Islande</t>
  </si>
  <si>
    <t>Islandia</t>
  </si>
  <si>
    <t>Исландия</t>
  </si>
  <si>
    <t>India</t>
  </si>
  <si>
    <t>Inde</t>
  </si>
  <si>
    <t>Индия</t>
  </si>
  <si>
    <t>Indonesia</t>
  </si>
  <si>
    <t>Indonésie</t>
  </si>
  <si>
    <t>Индонезия</t>
  </si>
  <si>
    <t>Iran (Islamic Republic)</t>
  </si>
  <si>
    <t>Iran ( République islamique )</t>
  </si>
  <si>
    <t>Irán ( República Islámica )</t>
  </si>
  <si>
    <t>Иран (Исламская Республика )</t>
  </si>
  <si>
    <t>Iraq</t>
  </si>
  <si>
    <t>Irak</t>
  </si>
  <si>
    <t>Ирак</t>
  </si>
  <si>
    <t>Ireland</t>
  </si>
  <si>
    <t>Irlande</t>
  </si>
  <si>
    <t>Irlanda</t>
  </si>
  <si>
    <t>Ирландия</t>
  </si>
  <si>
    <t>Israel</t>
  </si>
  <si>
    <t>Israël</t>
  </si>
  <si>
    <t>Израиль</t>
  </si>
  <si>
    <t>Italy</t>
  </si>
  <si>
    <t>Italie</t>
  </si>
  <si>
    <t>Italia</t>
  </si>
  <si>
    <t>Италия</t>
  </si>
  <si>
    <t>Jamaica</t>
  </si>
  <si>
    <t>Jamaïque</t>
  </si>
  <si>
    <t>Ямайка</t>
  </si>
  <si>
    <t>Japan</t>
  </si>
  <si>
    <t>Japon</t>
  </si>
  <si>
    <t>Japón</t>
  </si>
  <si>
    <t>Япония</t>
  </si>
  <si>
    <t>Jordan</t>
  </si>
  <si>
    <t>Jordanie</t>
  </si>
  <si>
    <t>Jordania</t>
  </si>
  <si>
    <t>Иордания</t>
  </si>
  <si>
    <t>Kazakhstan</t>
  </si>
  <si>
    <t>Kazajstán</t>
  </si>
  <si>
    <t>Казахстан</t>
  </si>
  <si>
    <t>Kenya</t>
  </si>
  <si>
    <t>Kenia</t>
  </si>
  <si>
    <t>Кения</t>
  </si>
  <si>
    <t>Kiribati</t>
  </si>
  <si>
    <t>Кирибати</t>
  </si>
  <si>
    <t>Korea (Democratic Peoples Republic)</t>
  </si>
  <si>
    <t>Corée ( République populaire démocratique )</t>
  </si>
  <si>
    <t>Corea ( República Popular Democrática )</t>
  </si>
  <si>
    <t>Корея ( Корейская Народно-Демократическая Республика)</t>
  </si>
  <si>
    <t>Korea (Republic)</t>
  </si>
  <si>
    <t>Corée ( République )</t>
  </si>
  <si>
    <t>Corea ( República )</t>
  </si>
  <si>
    <t>Корея (Республика )</t>
  </si>
  <si>
    <t>Kosovo</t>
  </si>
  <si>
    <t>Косово</t>
  </si>
  <si>
    <t>Kuwait</t>
  </si>
  <si>
    <t>Koweit</t>
  </si>
  <si>
    <t>Кувейт</t>
  </si>
  <si>
    <t>Kyrgyzstan</t>
  </si>
  <si>
    <t>Kirghizistan</t>
  </si>
  <si>
    <t>Kirguistán</t>
  </si>
  <si>
    <t>Киргизия</t>
  </si>
  <si>
    <t>Lao (Peoples Democratic Republic)</t>
  </si>
  <si>
    <t>Lao ( République démocratique populaire )</t>
  </si>
  <si>
    <t>Lao ( República Popular Democrática )</t>
  </si>
  <si>
    <t>Лао ( Народная Демократическая Республика)</t>
  </si>
  <si>
    <t>Latvia</t>
  </si>
  <si>
    <t>Lettonie</t>
  </si>
  <si>
    <t>Letonia</t>
  </si>
  <si>
    <t>Латвия</t>
  </si>
  <si>
    <t>Lebanon</t>
  </si>
  <si>
    <t>Liban</t>
  </si>
  <si>
    <t>Líbano</t>
  </si>
  <si>
    <t>Ливан</t>
  </si>
  <si>
    <t>Lesotho</t>
  </si>
  <si>
    <t>Lesoto</t>
  </si>
  <si>
    <t>Лесото</t>
  </si>
  <si>
    <t>Liberia</t>
  </si>
  <si>
    <t>Libéria</t>
  </si>
  <si>
    <t>Либерия</t>
  </si>
  <si>
    <t>Libyan Arab Jamahiriya</t>
  </si>
  <si>
    <t>Jamahiriya arabe libyenne</t>
  </si>
  <si>
    <t>Jamahiriya Árabe Libia</t>
  </si>
  <si>
    <t>Ливийская Арабская Джамахирия</t>
  </si>
  <si>
    <t>Liechtenstein</t>
  </si>
  <si>
    <t>Лихтенштейн</t>
  </si>
  <si>
    <t>Lithuania</t>
  </si>
  <si>
    <t>Lituanie</t>
  </si>
  <si>
    <t>Lituania</t>
  </si>
  <si>
    <t>Литва</t>
  </si>
  <si>
    <t>Luxembourg</t>
  </si>
  <si>
    <t>Luxemburgo</t>
  </si>
  <si>
    <t>Люксембург</t>
  </si>
  <si>
    <t>Macao</t>
  </si>
  <si>
    <t>Макао</t>
  </si>
  <si>
    <t>Macedonia (Former Yugoslav Republic)</t>
  </si>
  <si>
    <t>Macédoine ( ex-République yougoslave )</t>
  </si>
  <si>
    <t>Macedonia ( Antigua República Yugoslava )</t>
  </si>
  <si>
    <t>Македония ( бывшая республика Югославии )</t>
  </si>
  <si>
    <t>Madagascar</t>
  </si>
  <si>
    <t>Мадагаскар</t>
  </si>
  <si>
    <t>Malawi</t>
  </si>
  <si>
    <t>Малави</t>
  </si>
  <si>
    <t>Malaysia</t>
  </si>
  <si>
    <t>Malaisie</t>
  </si>
  <si>
    <t>Malasia</t>
  </si>
  <si>
    <t>Малайзия</t>
  </si>
  <si>
    <t>Maldives</t>
  </si>
  <si>
    <t>Maldivas</t>
  </si>
  <si>
    <t>Мальдивы</t>
  </si>
  <si>
    <t>Mali</t>
  </si>
  <si>
    <t>Malí</t>
  </si>
  <si>
    <t>Мали</t>
  </si>
  <si>
    <t>Malta</t>
  </si>
  <si>
    <t>Malte</t>
  </si>
  <si>
    <t>Мальта</t>
  </si>
  <si>
    <t>Mauritania</t>
  </si>
  <si>
    <t>Mauritanie</t>
  </si>
  <si>
    <t>Мавритания</t>
  </si>
  <si>
    <t>Mauritius</t>
  </si>
  <si>
    <t>Maurice</t>
  </si>
  <si>
    <t>Mauricio</t>
  </si>
  <si>
    <t>Маврикий</t>
  </si>
  <si>
    <t>Mexico</t>
  </si>
  <si>
    <t>Mexique</t>
  </si>
  <si>
    <t>México</t>
  </si>
  <si>
    <t>Мексика</t>
  </si>
  <si>
    <t>Micronesia (Federated States)</t>
  </si>
  <si>
    <t>Micronésie (États fédérés )</t>
  </si>
  <si>
    <t>Micronesia ( Estados Federados )</t>
  </si>
  <si>
    <t>Микронезия (Федеративные Штаты )</t>
  </si>
  <si>
    <t>Moldova</t>
  </si>
  <si>
    <t>Moldavie</t>
  </si>
  <si>
    <t>Moldavia</t>
  </si>
  <si>
    <t>Молдова</t>
  </si>
  <si>
    <t>Monaco</t>
  </si>
  <si>
    <t>Mónaco</t>
  </si>
  <si>
    <t>Монако</t>
  </si>
  <si>
    <t>Mongolia</t>
  </si>
  <si>
    <t>Mongolie</t>
  </si>
  <si>
    <t>Монголия</t>
  </si>
  <si>
    <t>Montenegro</t>
  </si>
  <si>
    <t>Monténégro</t>
  </si>
  <si>
    <t>Черногория</t>
  </si>
  <si>
    <t>Montserrat</t>
  </si>
  <si>
    <t>Монтсеррат</t>
  </si>
  <si>
    <t>Morocco</t>
  </si>
  <si>
    <t>Maroc</t>
  </si>
  <si>
    <t>Marruecos</t>
  </si>
  <si>
    <t>Марокко</t>
  </si>
  <si>
    <t>Mozambique</t>
  </si>
  <si>
    <t>Мозамбик</t>
  </si>
  <si>
    <t>Myanmar</t>
  </si>
  <si>
    <t>Мьянма</t>
  </si>
  <si>
    <t>Namibia</t>
  </si>
  <si>
    <t>Namibie</t>
  </si>
  <si>
    <t>Намибия</t>
  </si>
  <si>
    <t>Nauru</t>
  </si>
  <si>
    <t>Науру</t>
  </si>
  <si>
    <t>Nepal</t>
  </si>
  <si>
    <t>Népal</t>
  </si>
  <si>
    <t>Непал</t>
  </si>
  <si>
    <t>Netherlands</t>
  </si>
  <si>
    <t>Pays-Bas</t>
  </si>
  <si>
    <t>Países Bajos</t>
  </si>
  <si>
    <t>Нидерланды</t>
  </si>
  <si>
    <t>Netherlands Antilles</t>
  </si>
  <si>
    <t>Antilles néerlandaises</t>
  </si>
  <si>
    <t>Antillas Holandesas</t>
  </si>
  <si>
    <t>Нидерландские Антильские острова</t>
  </si>
  <si>
    <t>New Caledonia</t>
  </si>
  <si>
    <t>Nouvelle-Calédonie</t>
  </si>
  <si>
    <t>Nueva Caledonia</t>
  </si>
  <si>
    <t>Новая Каледония</t>
  </si>
  <si>
    <t>New Zealand</t>
  </si>
  <si>
    <t>nouvelle-Zélande</t>
  </si>
  <si>
    <t>Nueva Zelandia</t>
  </si>
  <si>
    <t>Новая Зеландия</t>
  </si>
  <si>
    <t>Nicaragua</t>
  </si>
  <si>
    <t>Никарагуа</t>
  </si>
  <si>
    <t>Niger</t>
  </si>
  <si>
    <t>Níger</t>
  </si>
  <si>
    <t>Нигер</t>
  </si>
  <si>
    <t>Nigeria</t>
  </si>
  <si>
    <t>Нигерия</t>
  </si>
  <si>
    <t>Norway</t>
  </si>
  <si>
    <t>Norvège</t>
  </si>
  <si>
    <t>Noruega</t>
  </si>
  <si>
    <t>Норвегия</t>
  </si>
  <si>
    <t>Oman</t>
  </si>
  <si>
    <t>Omán</t>
  </si>
  <si>
    <t>Оман</t>
  </si>
  <si>
    <t>Pakistan</t>
  </si>
  <si>
    <t>Pakistán</t>
  </si>
  <si>
    <t>Пакистан</t>
  </si>
  <si>
    <t>Palau</t>
  </si>
  <si>
    <t>Палау</t>
  </si>
  <si>
    <t>Palestine</t>
  </si>
  <si>
    <t>Palestina</t>
  </si>
  <si>
    <t>Палестина</t>
  </si>
  <si>
    <t>Panama</t>
  </si>
  <si>
    <t>Panamá</t>
  </si>
  <si>
    <t>Панама</t>
  </si>
  <si>
    <t>Papua New Guinea</t>
  </si>
  <si>
    <t>Papouasie-Nouvelle- Guinée</t>
  </si>
  <si>
    <t>Papua Nueva Guinea</t>
  </si>
  <si>
    <t>Папуа-Новая Гвинея</t>
  </si>
  <si>
    <t>Paraguay</t>
  </si>
  <si>
    <t>Парагвай</t>
  </si>
  <si>
    <t>Peru</t>
  </si>
  <si>
    <t>Pérou</t>
  </si>
  <si>
    <t>Perú</t>
  </si>
  <si>
    <t>Перу</t>
  </si>
  <si>
    <t>Philippines</t>
  </si>
  <si>
    <t>Filipinas</t>
  </si>
  <si>
    <t>Филиппины</t>
  </si>
  <si>
    <t>Poland</t>
  </si>
  <si>
    <t>Pologne</t>
  </si>
  <si>
    <t>Polonia</t>
  </si>
  <si>
    <t>Польша</t>
  </si>
  <si>
    <t>Portugal</t>
  </si>
  <si>
    <t>Португалия</t>
  </si>
  <si>
    <t>Puerto Rico</t>
  </si>
  <si>
    <t>Пуэрто-Рико</t>
  </si>
  <si>
    <t>Qatar</t>
  </si>
  <si>
    <t>Katar</t>
  </si>
  <si>
    <t>Катар</t>
  </si>
  <si>
    <t>Romania</t>
  </si>
  <si>
    <t>Roumanie</t>
  </si>
  <si>
    <t>Rumania</t>
  </si>
  <si>
    <t>Румыния</t>
  </si>
  <si>
    <t>Russian Federation</t>
  </si>
  <si>
    <t>Fédération de Russie</t>
  </si>
  <si>
    <t>Federación de Rusia</t>
  </si>
  <si>
    <t>Русский Федерация</t>
  </si>
  <si>
    <t>Rwanda</t>
  </si>
  <si>
    <t>Ruanda</t>
  </si>
  <si>
    <t>Руанда</t>
  </si>
  <si>
    <t>Saint Helena</t>
  </si>
  <si>
    <t>Sainte-Hélène</t>
  </si>
  <si>
    <t>Santa Elena</t>
  </si>
  <si>
    <t>Остров Святой Елены</t>
  </si>
  <si>
    <t>Saint Kitts and Nevis</t>
  </si>
  <si>
    <t>Saint-Kitts- et-Nevis</t>
  </si>
  <si>
    <t>Saint Kitts y Nevis</t>
  </si>
  <si>
    <t>Сент-Китс и Невис</t>
  </si>
  <si>
    <t>Saint Lucia</t>
  </si>
  <si>
    <t>Sainte-Lucie</t>
  </si>
  <si>
    <t>Santa Lucía</t>
  </si>
  <si>
    <t>Сент-Люсия</t>
  </si>
  <si>
    <t>CDF</t>
  </si>
  <si>
    <t>Saint Vincent and Grenadines</t>
  </si>
  <si>
    <t>Saint-Vincent- et-les Grenadines</t>
  </si>
  <si>
    <t>San Vicente y Granadinas</t>
  </si>
  <si>
    <t>Сент-Винсент и Гренадины</t>
  </si>
  <si>
    <t>Samoa</t>
  </si>
  <si>
    <t>Самоа</t>
  </si>
  <si>
    <t>San Marino</t>
  </si>
  <si>
    <t>Сан - Марино</t>
  </si>
  <si>
    <t>Sao Tome and Principe</t>
  </si>
  <si>
    <t>Sao Tomé et Principe</t>
  </si>
  <si>
    <t>Santo Tomé y Príncipe</t>
  </si>
  <si>
    <t>Сан-Томе и Принсипи</t>
  </si>
  <si>
    <t>Saudi Arabia</t>
  </si>
  <si>
    <t>Arabie Saoudite</t>
  </si>
  <si>
    <t>Arabia Saudita</t>
  </si>
  <si>
    <t>Саудовская Аравия</t>
  </si>
  <si>
    <t>Senegal</t>
  </si>
  <si>
    <t>Sénégal</t>
  </si>
  <si>
    <t>Сенегал</t>
  </si>
  <si>
    <t>Serbia</t>
  </si>
  <si>
    <t>Serbie</t>
  </si>
  <si>
    <t>Сербия</t>
  </si>
  <si>
    <t>Seychelles</t>
  </si>
  <si>
    <t>Сейшельские острова</t>
  </si>
  <si>
    <t>Sierra Leone</t>
  </si>
  <si>
    <t>Sierra Leona</t>
  </si>
  <si>
    <t>Сьерра-Леоне</t>
  </si>
  <si>
    <t>Singapore</t>
  </si>
  <si>
    <t>Singapour</t>
  </si>
  <si>
    <t>Singapur</t>
  </si>
  <si>
    <t>Сингапур</t>
  </si>
  <si>
    <t>Slovakia</t>
  </si>
  <si>
    <t>Slovaquie</t>
  </si>
  <si>
    <t>Eslovaquia</t>
  </si>
  <si>
    <t>Словакия</t>
  </si>
  <si>
    <t>Slovenia</t>
  </si>
  <si>
    <t>Slovénie</t>
  </si>
  <si>
    <t>Eslovenia</t>
  </si>
  <si>
    <t>Словения</t>
  </si>
  <si>
    <t>Solomon Islands</t>
  </si>
  <si>
    <t>Îles Salomon</t>
  </si>
  <si>
    <t>islas Salomón</t>
  </si>
  <si>
    <t>Соломоновы Острова</t>
  </si>
  <si>
    <t>Somalia</t>
  </si>
  <si>
    <t>Somalie</t>
  </si>
  <si>
    <t>Сомали</t>
  </si>
  <si>
    <t>South Africa</t>
  </si>
  <si>
    <t>Afrique du Sud</t>
  </si>
  <si>
    <t>Sudáfrica</t>
  </si>
  <si>
    <t>ЮАР</t>
  </si>
  <si>
    <t>South Sudan</t>
  </si>
  <si>
    <t>Sud-Soudan</t>
  </si>
  <si>
    <t>Sudán del Sur</t>
  </si>
  <si>
    <t>Южный Судан</t>
  </si>
  <si>
    <t>Spain</t>
  </si>
  <si>
    <t>Espagne</t>
  </si>
  <si>
    <t>España</t>
  </si>
  <si>
    <t>Испания</t>
  </si>
  <si>
    <t>Sri Lanka</t>
  </si>
  <si>
    <t>Шри Ланка</t>
  </si>
  <si>
    <t>Sudan</t>
  </si>
  <si>
    <t>Soudan</t>
  </si>
  <si>
    <t>Sudán</t>
  </si>
  <si>
    <t>Судан</t>
  </si>
  <si>
    <t>Suriname</t>
  </si>
  <si>
    <t>Суринам</t>
  </si>
  <si>
    <t>Swaziland</t>
  </si>
  <si>
    <t>Swazilandia</t>
  </si>
  <si>
    <t>Свазиленд</t>
  </si>
  <si>
    <t>Sweden</t>
  </si>
  <si>
    <t>Suède</t>
  </si>
  <si>
    <t>Suecia</t>
  </si>
  <si>
    <t>Швеция</t>
  </si>
  <si>
    <t>Switzerland</t>
  </si>
  <si>
    <t>Suisse</t>
  </si>
  <si>
    <t>Suiza</t>
  </si>
  <si>
    <t>Швейцария</t>
  </si>
  <si>
    <t>Syrian Arab Republic</t>
  </si>
  <si>
    <t>République arabe syrienne</t>
  </si>
  <si>
    <t>República Árabe Siria</t>
  </si>
  <si>
    <t>Сирийская Арабская Республика</t>
  </si>
  <si>
    <t>Taiwan</t>
  </si>
  <si>
    <t>Тайвань</t>
  </si>
  <si>
    <t>Tajikistan</t>
  </si>
  <si>
    <t>Tadjikistan</t>
  </si>
  <si>
    <t>Tayikistán</t>
  </si>
  <si>
    <t>Таджикистан</t>
  </si>
  <si>
    <t>Tanzania (United Republic)</t>
  </si>
  <si>
    <t>Tanzanie ( République-Unie )</t>
  </si>
  <si>
    <t>Tanzania ( República Unida )</t>
  </si>
  <si>
    <t>Танзания (Объединенная Республика )</t>
  </si>
  <si>
    <t>Thailand</t>
  </si>
  <si>
    <t>Thaïlande</t>
  </si>
  <si>
    <t>Tailandia</t>
  </si>
  <si>
    <t>Таиланд</t>
  </si>
  <si>
    <t>Timor-Leste</t>
  </si>
  <si>
    <t>Timor -Leste</t>
  </si>
  <si>
    <t>Timor- Leste</t>
  </si>
  <si>
    <t>Тимор-Лешти</t>
  </si>
  <si>
    <t>Togo</t>
  </si>
  <si>
    <t>Того</t>
  </si>
  <si>
    <t>Tonga</t>
  </si>
  <si>
    <t>Тонга</t>
  </si>
  <si>
    <t>Trinidad and Tobago</t>
  </si>
  <si>
    <t>Trinité-et- Tobago</t>
  </si>
  <si>
    <t>Trinidad y Tobago</t>
  </si>
  <si>
    <t>Тринидад и Тобаго</t>
  </si>
  <si>
    <t>Tunisia</t>
  </si>
  <si>
    <t>Tunisie</t>
  </si>
  <si>
    <t>Túnez</t>
  </si>
  <si>
    <t>Тунис</t>
  </si>
  <si>
    <t>Turkey</t>
  </si>
  <si>
    <t>Turquie</t>
  </si>
  <si>
    <t>Turquía</t>
  </si>
  <si>
    <t>Турция</t>
  </si>
  <si>
    <t>Turkmenistan</t>
  </si>
  <si>
    <t>Turkménistan</t>
  </si>
  <si>
    <t>Turkmenistán</t>
  </si>
  <si>
    <t>Туркменистан</t>
  </si>
  <si>
    <t>Tuvalu</t>
  </si>
  <si>
    <t>Тувалу</t>
  </si>
  <si>
    <t>Uganda</t>
  </si>
  <si>
    <t>Ouganda</t>
  </si>
  <si>
    <t>Уганда</t>
  </si>
  <si>
    <t>Ukraine</t>
  </si>
  <si>
    <t>Ucrania</t>
  </si>
  <si>
    <t>Украина</t>
  </si>
  <si>
    <t>United Arab Emirates</t>
  </si>
  <si>
    <t>Émirats arabes unis</t>
  </si>
  <si>
    <t>Emiratos Árabes Unidos</t>
  </si>
  <si>
    <t>Объединенные Арабские Эмираты</t>
  </si>
  <si>
    <t>United Kingdom</t>
  </si>
  <si>
    <t>Royaume-Uni</t>
  </si>
  <si>
    <t>Reino Unido</t>
  </si>
  <si>
    <t>Великобритания</t>
  </si>
  <si>
    <t>United States</t>
  </si>
  <si>
    <t>États-Unis</t>
  </si>
  <si>
    <t>Estados Unidos</t>
  </si>
  <si>
    <t>США</t>
  </si>
  <si>
    <t>Uruguay</t>
  </si>
  <si>
    <t>Уругвай</t>
  </si>
  <si>
    <t>Uzbekistan</t>
  </si>
  <si>
    <t>Ouzbékistan</t>
  </si>
  <si>
    <t>Uzbekistán</t>
  </si>
  <si>
    <t>Узбекистан</t>
  </si>
  <si>
    <t>Vanuatu</t>
  </si>
  <si>
    <t>Вануату</t>
  </si>
  <si>
    <t>Venezuela</t>
  </si>
  <si>
    <t>Венесуэла</t>
  </si>
  <si>
    <t>Viet Nam</t>
  </si>
  <si>
    <t>Вьетнам</t>
  </si>
  <si>
    <t>Wallis and Futuna Islands</t>
  </si>
  <si>
    <t>Wallis -et-Futuna</t>
  </si>
  <si>
    <t>Islas Wallis y Futuna</t>
  </si>
  <si>
    <t>Острова Уоллис и Футуна</t>
  </si>
  <si>
    <t>Yemen</t>
  </si>
  <si>
    <t>Yémen</t>
  </si>
  <si>
    <t>Йемен</t>
  </si>
  <si>
    <t>Zambia</t>
  </si>
  <si>
    <t>Zambie</t>
  </si>
  <si>
    <t>Замбия</t>
  </si>
  <si>
    <t>Zanzibar</t>
  </si>
  <si>
    <t>Занзибар</t>
  </si>
  <si>
    <t>Zimbabwe</t>
  </si>
  <si>
    <t>Zimbabue</t>
  </si>
  <si>
    <t>Зимбабве</t>
  </si>
  <si>
    <t>Recipient</t>
  </si>
  <si>
    <t>Recipient ID</t>
  </si>
  <si>
    <t>English</t>
  </si>
  <si>
    <t>Language</t>
  </si>
  <si>
    <t>Label</t>
  </si>
  <si>
    <t>French</t>
  </si>
  <si>
    <t>Spanish</t>
  </si>
  <si>
    <t>Russian</t>
  </si>
  <si>
    <t>This table provides guidance on how to fill out the modular approach template. Cells highlighted in green will be completed during grant negotiation.</t>
  </si>
  <si>
    <t>Ce tableau donne des indications sur la façon de remplir le document-type modulaire. Les cellules surlignées en vert seront complétées lors de la négociation de subvention.</t>
  </si>
  <si>
    <t>Periodic Review</t>
  </si>
  <si>
    <t>Examen périodique</t>
  </si>
  <si>
    <t>Revisión periódica</t>
  </si>
  <si>
    <t>Периодическая оценка</t>
  </si>
  <si>
    <t>Please carefully review the instructions work sheet before completing this template</t>
  </si>
  <si>
    <t>Veuillez lire attentivement la fiche d'instructions avant de remplir ce modèle</t>
  </si>
  <si>
    <t>Revise con atención la hoja de instrucciones antes de rellenar esta plantilla</t>
  </si>
  <si>
    <t>A. Program details</t>
  </si>
  <si>
    <t>A. Détails du programme</t>
  </si>
  <si>
    <t>A. Datos del programa</t>
  </si>
  <si>
    <t>Country / Applicant:</t>
  </si>
  <si>
    <t>País / Solicitante:</t>
  </si>
  <si>
    <t>Страна/ Кандидат:</t>
  </si>
  <si>
    <t>Component:</t>
  </si>
  <si>
    <t>Componente:</t>
  </si>
  <si>
    <t>Компонент:</t>
  </si>
  <si>
    <t>Start Year:</t>
  </si>
  <si>
    <t>Año de inicio:</t>
  </si>
  <si>
    <t>Start Month:</t>
  </si>
  <si>
    <t>Mois de début :</t>
  </si>
  <si>
    <t>Mes de inicio:</t>
  </si>
  <si>
    <t>SSF/grant number:</t>
  </si>
  <si>
    <t>Principal Recipients</t>
  </si>
  <si>
    <t>Récipiendaires principaux</t>
  </si>
  <si>
    <t>Receptores principales</t>
  </si>
  <si>
    <t>Основные реципиенты</t>
  </si>
  <si>
    <t>(Please select from list or add a new one)</t>
  </si>
  <si>
    <t>(Veuillez choisir un récipiendaire principal dans la liste ou en ajouter un nouveau)</t>
  </si>
  <si>
    <t>(seleccione uno de la lista o añada uno nuevo)</t>
  </si>
  <si>
    <t>(Выберите из списка или добавьте нового)</t>
  </si>
  <si>
    <t>Reporting periods</t>
  </si>
  <si>
    <t>Période de communication de l'information</t>
  </si>
  <si>
    <t>Periodos de envío del informe</t>
  </si>
  <si>
    <t>Отчетные периоды</t>
  </si>
  <si>
    <t>Period Covered: from</t>
  </si>
  <si>
    <t>Periodo cubierto: desde</t>
  </si>
  <si>
    <t>Period Covered: to</t>
  </si>
  <si>
    <t>Periodo cubierto: hasta</t>
  </si>
  <si>
    <t>Due date Progress Update</t>
  </si>
  <si>
    <t>Date de remise du rapport sur les résultats actuels</t>
  </si>
  <si>
    <t>Disbursement Request (Y,N)</t>
  </si>
  <si>
    <t>Demande de décaissement (O, N)</t>
  </si>
  <si>
    <t>Solicitud de desembolso (S, N)</t>
  </si>
  <si>
    <t xml:space="preserve">Due date periodic review </t>
  </si>
  <si>
    <t>Audit report due dates</t>
  </si>
  <si>
    <t>Date de remise du rapport d'audit</t>
  </si>
  <si>
    <t>Fecha prevista del informe de auditoría</t>
  </si>
  <si>
    <t xml:space="preserve">Period </t>
  </si>
  <si>
    <t>Year 4</t>
  </si>
  <si>
    <t>Année 4</t>
  </si>
  <si>
    <t>Año 4</t>
  </si>
  <si>
    <t>Год 4</t>
  </si>
  <si>
    <t>Year 5</t>
  </si>
  <si>
    <t>Année 5</t>
  </si>
  <si>
    <t>Año 5</t>
  </si>
  <si>
    <t>Год 5</t>
  </si>
  <si>
    <t>B. Program goals and impact indicators</t>
  </si>
  <si>
    <t>B. Buts du programme et indicateurs d'impact</t>
  </si>
  <si>
    <t>B. Цели программы и показатели воздействия</t>
  </si>
  <si>
    <t xml:space="preserve">  Goals:</t>
  </si>
  <si>
    <t>Linked to goal(s) #</t>
  </si>
  <si>
    <t>Lié au(x) but(s) n°</t>
  </si>
  <si>
    <t>Impact indicator</t>
  </si>
  <si>
    <t>Indicateur d'impact</t>
  </si>
  <si>
    <t>Показатель воздействия</t>
  </si>
  <si>
    <t>Baseline</t>
  </si>
  <si>
    <t>Données de référence</t>
  </si>
  <si>
    <t>Línea de base</t>
  </si>
  <si>
    <t>Targets</t>
  </si>
  <si>
    <t>Cibles</t>
  </si>
  <si>
    <t>Metas</t>
  </si>
  <si>
    <t>Целевые показатели</t>
  </si>
  <si>
    <t>Value</t>
  </si>
  <si>
    <t>Valeur</t>
  </si>
  <si>
    <t>Valor</t>
  </si>
  <si>
    <t>Величина</t>
  </si>
  <si>
    <t xml:space="preserve">Year </t>
  </si>
  <si>
    <t>Source</t>
  </si>
  <si>
    <t>Fuente</t>
  </si>
  <si>
    <t>Источник</t>
  </si>
  <si>
    <t>Год</t>
  </si>
  <si>
    <t>CAD</t>
  </si>
  <si>
    <t>NZD</t>
  </si>
  <si>
    <t>New Zealand Dollar</t>
  </si>
  <si>
    <t>DKK</t>
  </si>
  <si>
    <t>INR</t>
  </si>
  <si>
    <t>JPY</t>
  </si>
  <si>
    <t>Yen</t>
  </si>
  <si>
    <t>AUD</t>
  </si>
  <si>
    <t>Australian Dollar</t>
  </si>
  <si>
    <t>Swiss Franc</t>
  </si>
  <si>
    <t>NOK</t>
  </si>
  <si>
    <t>PKR</t>
  </si>
  <si>
    <t>Pakistani Rupee</t>
  </si>
  <si>
    <t>ZAR</t>
  </si>
  <si>
    <t>[Rand]</t>
  </si>
  <si>
    <t>SEK</t>
  </si>
  <si>
    <t>GBP</t>
  </si>
  <si>
    <t>Pound Sterling</t>
  </si>
  <si>
    <t>Euro</t>
  </si>
  <si>
    <t>Currency Name</t>
  </si>
  <si>
    <t>CurrencyCode</t>
  </si>
  <si>
    <t>Language:</t>
  </si>
  <si>
    <t>Langue :</t>
  </si>
  <si>
    <t>Idioma:</t>
  </si>
  <si>
    <t>Язык:</t>
  </si>
  <si>
    <t>AED</t>
  </si>
  <si>
    <t>UAE Dirham</t>
  </si>
  <si>
    <t>AFN</t>
  </si>
  <si>
    <t>Afghani</t>
  </si>
  <si>
    <t>ALL</t>
  </si>
  <si>
    <t>Albanian Lek</t>
  </si>
  <si>
    <t>AMD</t>
  </si>
  <si>
    <t>Dram</t>
  </si>
  <si>
    <t>ANG</t>
  </si>
  <si>
    <t>Netherlands Antillean Gulden</t>
  </si>
  <si>
    <t>AOA</t>
  </si>
  <si>
    <t>Angolan Kwanza</t>
  </si>
  <si>
    <t>ARS</t>
  </si>
  <si>
    <t>Argentine Peso</t>
  </si>
  <si>
    <t>AWG</t>
  </si>
  <si>
    <t>Aruban Florin</t>
  </si>
  <si>
    <t>AZN</t>
  </si>
  <si>
    <t>Azerbaijani Manat</t>
  </si>
  <si>
    <t>BAM</t>
  </si>
  <si>
    <t>Convertible Marka</t>
  </si>
  <si>
    <t>BBD</t>
  </si>
  <si>
    <t>Barbadian Dollar</t>
  </si>
  <si>
    <t>BDT</t>
  </si>
  <si>
    <t>Taka</t>
  </si>
  <si>
    <t>BGN</t>
  </si>
  <si>
    <t>Lev</t>
  </si>
  <si>
    <t>BHD</t>
  </si>
  <si>
    <t>Bahraini Dinar</t>
  </si>
  <si>
    <t>BIF</t>
  </si>
  <si>
    <t>Burundi Franc</t>
  </si>
  <si>
    <t>BND</t>
  </si>
  <si>
    <t>Brunei Dollar</t>
  </si>
  <si>
    <t>BOB</t>
  </si>
  <si>
    <t>Bolivian Boliviano</t>
  </si>
  <si>
    <t>BRL</t>
  </si>
  <si>
    <t>Brazilian Real</t>
  </si>
  <si>
    <t>BSD</t>
  </si>
  <si>
    <t>Bahamian Dollar</t>
  </si>
  <si>
    <t>BTN</t>
  </si>
  <si>
    <t>Ngultrum</t>
  </si>
  <si>
    <t>BWP</t>
  </si>
  <si>
    <t>Botswana Pula</t>
  </si>
  <si>
    <t>BYR</t>
  </si>
  <si>
    <t>Belarusian Ruble</t>
  </si>
  <si>
    <t>BZD</t>
  </si>
  <si>
    <t>Belize Dollar</t>
  </si>
  <si>
    <t>Canada Dollar</t>
  </si>
  <si>
    <t>Congolese Franc</t>
  </si>
  <si>
    <t>CLP</t>
  </si>
  <si>
    <t>Chilean Peso</t>
  </si>
  <si>
    <t>CNY</t>
  </si>
  <si>
    <t>Renminbi</t>
  </si>
  <si>
    <t>COP</t>
  </si>
  <si>
    <t>Colombian Peso</t>
  </si>
  <si>
    <t>CRC</t>
  </si>
  <si>
    <t>Costa Rican Colon</t>
  </si>
  <si>
    <t>CUC</t>
  </si>
  <si>
    <t>Cuban Peso</t>
  </si>
  <si>
    <t>CVE</t>
  </si>
  <si>
    <t>Cape Verdean Escudo</t>
  </si>
  <si>
    <t>CZK</t>
  </si>
  <si>
    <t>Czech Koruna</t>
  </si>
  <si>
    <t>DJF</t>
  </si>
  <si>
    <t>Djiboutian Franc</t>
  </si>
  <si>
    <t>Denmark Krone</t>
  </si>
  <si>
    <t>DOP</t>
  </si>
  <si>
    <t>Dominican Peso</t>
  </si>
  <si>
    <t>DZD</t>
  </si>
  <si>
    <t>Algerian Dinar</t>
  </si>
  <si>
    <t>EEK</t>
  </si>
  <si>
    <t>Estonian Kroon</t>
  </si>
  <si>
    <t>EGP</t>
  </si>
  <si>
    <t>Egypt Pound</t>
  </si>
  <si>
    <t>ERN</t>
  </si>
  <si>
    <t>Eritrean Nakfa</t>
  </si>
  <si>
    <t>ETB</t>
  </si>
  <si>
    <t>Ethiopian Birr</t>
  </si>
  <si>
    <t>FJD</t>
  </si>
  <si>
    <t>Fijian Dollar</t>
  </si>
  <si>
    <t>FKP</t>
  </si>
  <si>
    <t>Falkland Islands Pound</t>
  </si>
  <si>
    <t>GEL</t>
  </si>
  <si>
    <t>Lari</t>
  </si>
  <si>
    <t>GHS</t>
  </si>
  <si>
    <t>(new) Cedi</t>
  </si>
  <si>
    <t>GIP</t>
  </si>
  <si>
    <t>Gibraltar Pound</t>
  </si>
  <si>
    <t>GMD</t>
  </si>
  <si>
    <t>Gambian Dalasi</t>
  </si>
  <si>
    <t>GNF</t>
  </si>
  <si>
    <t>Guinean Franc</t>
  </si>
  <si>
    <t>Central African CFA Franc</t>
  </si>
  <si>
    <t>GTQ</t>
  </si>
  <si>
    <t>Quetzal</t>
  </si>
  <si>
    <t>GYD</t>
  </si>
  <si>
    <t>Guyanese Dollar</t>
  </si>
  <si>
    <t>HKD</t>
  </si>
  <si>
    <t>Hong Kong Dollar</t>
  </si>
  <si>
    <t>HNL</t>
  </si>
  <si>
    <t>Honduran Lempira</t>
  </si>
  <si>
    <t>HRK</t>
  </si>
  <si>
    <t>Croatian Kuna</t>
  </si>
  <si>
    <t>HTG</t>
  </si>
  <si>
    <t>Haitian Gourde</t>
  </si>
  <si>
    <t>HUF</t>
  </si>
  <si>
    <t>Hungarian Forint</t>
  </si>
  <si>
    <t>IDR</t>
  </si>
  <si>
    <t>Rupiah</t>
  </si>
  <si>
    <t>ILS</t>
  </si>
  <si>
    <t>Shekel</t>
  </si>
  <si>
    <t>Indian Rupee</t>
  </si>
  <si>
    <t>IQD</t>
  </si>
  <si>
    <t>Iraqi Dinar</t>
  </si>
  <si>
    <t>IRR</t>
  </si>
  <si>
    <t>Iranian Rial</t>
  </si>
  <si>
    <t>ISK</t>
  </si>
  <si>
    <t>Iceland Krona</t>
  </si>
  <si>
    <t>JMD</t>
  </si>
  <si>
    <t>Jamaican Dollar</t>
  </si>
  <si>
    <t>JOD</t>
  </si>
  <si>
    <t>Jordanian Dinar</t>
  </si>
  <si>
    <t>KES</t>
  </si>
  <si>
    <t>Kenyan Shilling</t>
  </si>
  <si>
    <t>KGS</t>
  </si>
  <si>
    <t>Kyrgyzstani Som</t>
  </si>
  <si>
    <t>KHR</t>
  </si>
  <si>
    <t>Cambodian Riel</t>
  </si>
  <si>
    <t>KMF</t>
  </si>
  <si>
    <t>Comorian Franc</t>
  </si>
  <si>
    <t>KPW</t>
  </si>
  <si>
    <t>North Korean Won</t>
  </si>
  <si>
    <t>KRW</t>
  </si>
  <si>
    <t>South Korean Won</t>
  </si>
  <si>
    <t>KWD</t>
  </si>
  <si>
    <t>Kuwaiti Dinar</t>
  </si>
  <si>
    <t>KYD</t>
  </si>
  <si>
    <t>Cayman Islands Dollar</t>
  </si>
  <si>
    <t>KZT</t>
  </si>
  <si>
    <t>Tenge</t>
  </si>
  <si>
    <t>LAK</t>
  </si>
  <si>
    <t>Lao Kip</t>
  </si>
  <si>
    <t>LBP</t>
  </si>
  <si>
    <t>Lebanese Lira</t>
  </si>
  <si>
    <t>LKR</t>
  </si>
  <si>
    <t>Sri Lankan Rupee</t>
  </si>
  <si>
    <t>LRD</t>
  </si>
  <si>
    <t>Liberian Dollar</t>
  </si>
  <si>
    <t>LSL</t>
  </si>
  <si>
    <t>Lesotho Loti</t>
  </si>
  <si>
    <t>Lithuanian Litas</t>
  </si>
  <si>
    <t>LVL</t>
  </si>
  <si>
    <t>Latvian Lats</t>
  </si>
  <si>
    <t>LYD</t>
  </si>
  <si>
    <t>Libyan Dinar</t>
  </si>
  <si>
    <t>MAD</t>
  </si>
  <si>
    <t>Moroccan Dirham</t>
  </si>
  <si>
    <t>MDL</t>
  </si>
  <si>
    <t>Moldovan Leu</t>
  </si>
  <si>
    <t>MGA</t>
  </si>
  <si>
    <t>Malagasy Ariary</t>
  </si>
  <si>
    <t>MKD</t>
  </si>
  <si>
    <t>Denar</t>
  </si>
  <si>
    <t>MMK</t>
  </si>
  <si>
    <t>Myanma Kyat</t>
  </si>
  <si>
    <t>MNT</t>
  </si>
  <si>
    <t>Mongolian Tugrik</t>
  </si>
  <si>
    <t>MOP</t>
  </si>
  <si>
    <t>Macanese Pataca</t>
  </si>
  <si>
    <t>MRO</t>
  </si>
  <si>
    <t>Mauritanian Ouguiya</t>
  </si>
  <si>
    <t>MUR</t>
  </si>
  <si>
    <t>Mauritian Rupee</t>
  </si>
  <si>
    <t>MVR</t>
  </si>
  <si>
    <t>Maldivian Rufiyaa</t>
  </si>
  <si>
    <t>MWK</t>
  </si>
  <si>
    <t>Malawian Kwacha</t>
  </si>
  <si>
    <t>MXN</t>
  </si>
  <si>
    <t>Mexican Peso</t>
  </si>
  <si>
    <t>MYR</t>
  </si>
  <si>
    <t>Malaysian Ringgit</t>
  </si>
  <si>
    <t>Mozambican Metical</t>
  </si>
  <si>
    <t>NAD</t>
  </si>
  <si>
    <t>Namibian Dollar</t>
  </si>
  <si>
    <t>NGN</t>
  </si>
  <si>
    <t>Naira</t>
  </si>
  <si>
    <t>NIO</t>
  </si>
  <si>
    <t>Nicaraguan Cordoba</t>
  </si>
  <si>
    <t>Norway Krone</t>
  </si>
  <si>
    <t>NPR</t>
  </si>
  <si>
    <t>Nepalese Rupee</t>
  </si>
  <si>
    <t>OMR</t>
  </si>
  <si>
    <t>Omani Rial</t>
  </si>
  <si>
    <t>PAB</t>
  </si>
  <si>
    <t>Panamanian Balboa</t>
  </si>
  <si>
    <t>PEN</t>
  </si>
  <si>
    <t>Peruvian Nuevo Sol</t>
  </si>
  <si>
    <t>PGK</t>
  </si>
  <si>
    <t>Kina</t>
  </si>
  <si>
    <t>PHP</t>
  </si>
  <si>
    <t>Philippine Peso</t>
  </si>
  <si>
    <t>PLN</t>
  </si>
  <si>
    <t>Polish Zloty</t>
  </si>
  <si>
    <t>PYG</t>
  </si>
  <si>
    <t>Guarani</t>
  </si>
  <si>
    <t>QAR</t>
  </si>
  <si>
    <t>Qatari Riyal</t>
  </si>
  <si>
    <t>RON</t>
  </si>
  <si>
    <t>Romanian Leu</t>
  </si>
  <si>
    <t>RSD</t>
  </si>
  <si>
    <t>Dinar</t>
  </si>
  <si>
    <t>RUB</t>
  </si>
  <si>
    <t>Russian Ruble</t>
  </si>
  <si>
    <t>RWF</t>
  </si>
  <si>
    <t>Rwandan Franc</t>
  </si>
  <si>
    <t>SAR</t>
  </si>
  <si>
    <t>Saudi Riyal</t>
  </si>
  <si>
    <t>SBD</t>
  </si>
  <si>
    <t>Solomon Islands Dollar</t>
  </si>
  <si>
    <t>SCR</t>
  </si>
  <si>
    <t>Seychellois Rupee</t>
  </si>
  <si>
    <t>SDG</t>
  </si>
  <si>
    <t>Sudanese Pound</t>
  </si>
  <si>
    <t>Sweden Krona</t>
  </si>
  <si>
    <t>SGD</t>
  </si>
  <si>
    <t>Singapore Dollar</t>
  </si>
  <si>
    <t>SHP</t>
  </si>
  <si>
    <t>Saint Helena Pound</t>
  </si>
  <si>
    <t>SKK</t>
  </si>
  <si>
    <t>Slovak Koruna</t>
  </si>
  <si>
    <t>SLL</t>
  </si>
  <si>
    <t>Leone</t>
  </si>
  <si>
    <t>SOS</t>
  </si>
  <si>
    <t>Somali Shilling</t>
  </si>
  <si>
    <t>SRD</t>
  </si>
  <si>
    <t>Surinamese Dollar</t>
  </si>
  <si>
    <t>STD</t>
  </si>
  <si>
    <t>Sao Tome and Principe Dobra</t>
  </si>
  <si>
    <t>SYP</t>
  </si>
  <si>
    <t>Syrian Pound</t>
  </si>
  <si>
    <t>SZL</t>
  </si>
  <si>
    <t>Lilangeni</t>
  </si>
  <si>
    <t>THB</t>
  </si>
  <si>
    <t>Baht</t>
  </si>
  <si>
    <t>TJS</t>
  </si>
  <si>
    <t>Tajikistani Somoni</t>
  </si>
  <si>
    <t>Turkmen Manat</t>
  </si>
  <si>
    <t>TND</t>
  </si>
  <si>
    <t>Tunisian Dinar</t>
  </si>
  <si>
    <t>TOP</t>
  </si>
  <si>
    <t>Paanga</t>
  </si>
  <si>
    <t>TRY</t>
  </si>
  <si>
    <t>Turkish New Lira</t>
  </si>
  <si>
    <t>TTD</t>
  </si>
  <si>
    <t>Trinidad and Tobago Dollar</t>
  </si>
  <si>
    <t>TWD</t>
  </si>
  <si>
    <t>New Taiwan Dollar</t>
  </si>
  <si>
    <t>TZS</t>
  </si>
  <si>
    <t>Tanzanian Shilling</t>
  </si>
  <si>
    <t>UAH</t>
  </si>
  <si>
    <t>Hryvnia</t>
  </si>
  <si>
    <t>UGX</t>
  </si>
  <si>
    <t>Ugandan Shilling</t>
  </si>
  <si>
    <t>United States Dollar</t>
  </si>
  <si>
    <t>UYU</t>
  </si>
  <si>
    <t>Uruguayan Peso</t>
  </si>
  <si>
    <t>UZS</t>
  </si>
  <si>
    <t>Uzbekistani Som</t>
  </si>
  <si>
    <t>Venezuelan Bolivar</t>
  </si>
  <si>
    <t>VND</t>
  </si>
  <si>
    <t>Vietnamese Dong</t>
  </si>
  <si>
    <t>VUV</t>
  </si>
  <si>
    <t>Vanuatu Vatu</t>
  </si>
  <si>
    <t>WST</t>
  </si>
  <si>
    <t>Samoan Tala</t>
  </si>
  <si>
    <t>XAF</t>
  </si>
  <si>
    <t>CFA Franc</t>
  </si>
  <si>
    <t>XCD</t>
  </si>
  <si>
    <t>East Caribbean Dollar</t>
  </si>
  <si>
    <t>XOF</t>
  </si>
  <si>
    <t>XPF</t>
  </si>
  <si>
    <t>CFP Franc</t>
  </si>
  <si>
    <t>YER</t>
  </si>
  <si>
    <t>Yemini Rial</t>
  </si>
  <si>
    <t>Zambia Kwacha</t>
  </si>
  <si>
    <t>Product Category</t>
  </si>
  <si>
    <t>Catégorie de produit</t>
  </si>
  <si>
    <t>Categoría de producto</t>
  </si>
  <si>
    <t>Категория продукта</t>
  </si>
  <si>
    <t>Cost Input ID</t>
  </si>
  <si>
    <t>Product Name</t>
  </si>
  <si>
    <t>Product ID</t>
  </si>
  <si>
    <t>Identificación del producto</t>
  </si>
  <si>
    <t>Specification</t>
  </si>
  <si>
    <t>Cost Category</t>
  </si>
  <si>
    <t>Catégorie de coût</t>
  </si>
  <si>
    <t>Categoría de costo</t>
  </si>
  <si>
    <t>N ° de la ligne budgétaire</t>
  </si>
  <si>
    <t>Descripción de la actividad</t>
  </si>
  <si>
    <t>Unité de mesure</t>
  </si>
  <si>
    <t>Unidad de medida</t>
  </si>
  <si>
    <t>Единица измерения</t>
  </si>
  <si>
    <t>Justification / Commentaires</t>
  </si>
  <si>
    <t>Justificación / Comentarios</t>
  </si>
  <si>
    <t>Обоснование / Комментарии</t>
  </si>
  <si>
    <t>Y1 Duration (days)</t>
  </si>
  <si>
    <t>Y2 Duration (days)</t>
  </si>
  <si>
    <t>Y3 Duration (days)</t>
  </si>
  <si>
    <t>Y4 Duration (days)</t>
  </si>
  <si>
    <t>Y4 Cantidad</t>
  </si>
  <si>
    <t>Budget Template</t>
  </si>
  <si>
    <t>Modèle de budget</t>
  </si>
  <si>
    <t>Plantilla de Presupuesto</t>
  </si>
  <si>
    <t>To refresh the pivot table with latest amounts entered in the Detailed budgets,  click anywhere on the pivot table and then press Alt + F5.</t>
  </si>
  <si>
    <t>Por módulo</t>
  </si>
  <si>
    <t>By Cost Grouping</t>
  </si>
  <si>
    <t>Q1</t>
  </si>
  <si>
    <t>Q2</t>
  </si>
  <si>
    <t>Q3</t>
  </si>
  <si>
    <t>Q4</t>
  </si>
  <si>
    <t>Autre</t>
  </si>
  <si>
    <t>Otro</t>
  </si>
  <si>
    <t>Другое</t>
  </si>
  <si>
    <t>To refresh the pivot table with latest amounts entered in the Module budgets on the Concept Note sheet, click anywhere on the pivot table and then press Alt + F5 or go to the menu and select Data and then Refresh All.</t>
  </si>
  <si>
    <t>Payment Currency</t>
  </si>
  <si>
    <t>Y1 Unit Cost (Payment Currency)</t>
  </si>
  <si>
    <t>Q1 Quantity</t>
  </si>
  <si>
    <t>Q1 Cash Outflow</t>
  </si>
  <si>
    <t>Q2 Quantity</t>
  </si>
  <si>
    <t>Q2 Cash Outflow</t>
  </si>
  <si>
    <t>Q3 Quantity</t>
  </si>
  <si>
    <t>Q4 Quantity</t>
  </si>
  <si>
    <t>Q4 Cash Outflow</t>
  </si>
  <si>
    <t>Y1 Total Quantity</t>
  </si>
  <si>
    <t>Y1 Total Cash Outflow</t>
  </si>
  <si>
    <t>Q5 Quantity</t>
  </si>
  <si>
    <t>Q5 Cash Outflow</t>
  </si>
  <si>
    <t>Q6 Quantity</t>
  </si>
  <si>
    <t>Q6 Cash Outflow</t>
  </si>
  <si>
    <t>Q7 Quantity</t>
  </si>
  <si>
    <t>Q7 Cash Outflow</t>
  </si>
  <si>
    <t>Q8 Quantity</t>
  </si>
  <si>
    <t>Y2 Total Quantity</t>
  </si>
  <si>
    <t>Y2 Total Cash Outflow</t>
  </si>
  <si>
    <t>Y3 Unit Cost (Payment Currency)</t>
  </si>
  <si>
    <t>Q9 Quantity</t>
  </si>
  <si>
    <t>Q9 Cash Outflow</t>
  </si>
  <si>
    <t>Q10 Quantity</t>
  </si>
  <si>
    <t>Q10 Cash Outflow</t>
  </si>
  <si>
    <t>Q11 Quantity</t>
  </si>
  <si>
    <t>Q11 Cash Outflow</t>
  </si>
  <si>
    <t>Q12 Quantity</t>
  </si>
  <si>
    <t>Q12 Cash Outflow</t>
  </si>
  <si>
    <t>Y3 Total Quantity</t>
  </si>
  <si>
    <t>Y4 Unit Cost (Payment Currency)</t>
  </si>
  <si>
    <t>Q13 Quantity</t>
  </si>
  <si>
    <t>Q13 Cash Outflow</t>
  </si>
  <si>
    <t>Q14 Cash Outflow</t>
  </si>
  <si>
    <t>Q15 Quantity</t>
  </si>
  <si>
    <t>Q15 Cash Outflow</t>
  </si>
  <si>
    <t>Q16 Quantity</t>
  </si>
  <si>
    <t>Q16 Cash Outflow</t>
  </si>
  <si>
    <t>Y4 Total Quantity</t>
  </si>
  <si>
    <t>Y4 Total Cash Outflow</t>
  </si>
  <si>
    <t>Y1-4 Total Quantity</t>
  </si>
  <si>
    <t>Y1-4 Total Cash Outflow</t>
  </si>
  <si>
    <t>Y1 Unit Cost (Grant Currency)</t>
  </si>
  <si>
    <t>Y2 Unit Cost (Grant Currency)</t>
  </si>
  <si>
    <t>Y3 Unit Cost (Grant Currency)</t>
  </si>
  <si>
    <t>Y4 Unit Cost (Grant Currency)</t>
  </si>
  <si>
    <t>Y2 Unit Cost (Payment Currency)</t>
  </si>
  <si>
    <t>Q5</t>
  </si>
  <si>
    <t>Q6</t>
  </si>
  <si>
    <t>Q7</t>
  </si>
  <si>
    <t>Q8</t>
  </si>
  <si>
    <t>Q9</t>
  </si>
  <si>
    <t>Q10</t>
  </si>
  <si>
    <t>Q11</t>
  </si>
  <si>
    <t>Q12</t>
  </si>
  <si>
    <t>Q13</t>
  </si>
  <si>
    <t>Q14</t>
  </si>
  <si>
    <t>Q15</t>
  </si>
  <si>
    <t>Q16</t>
  </si>
  <si>
    <t>Total</t>
  </si>
  <si>
    <t xml:space="preserve">Q3 Cash Outflow </t>
  </si>
  <si>
    <t>By Recipients</t>
  </si>
  <si>
    <t>Y1 Sum of Total Cost by Budget Line</t>
  </si>
  <si>
    <t>Y2 Sum of Total Cost by Budget Line</t>
  </si>
  <si>
    <t>Y3 Sum of Total Cost by Budget Line</t>
  </si>
  <si>
    <t>Y4 Sum of Total Cost by Budget Line</t>
  </si>
  <si>
    <t>Y1 Net Salary (Grant Currency)</t>
  </si>
  <si>
    <t>Y2 Net Salary (Grant Currency)</t>
  </si>
  <si>
    <t>Y3 Net Salary (Grant Currency)</t>
  </si>
  <si>
    <t>Y4 Net Salary (Grant Currency)</t>
  </si>
  <si>
    <t>Multicountry South Asia</t>
  </si>
  <si>
    <t>Multicountry Western Pacific</t>
  </si>
  <si>
    <t>Currency Code</t>
  </si>
  <si>
    <t>Код валюты</t>
  </si>
  <si>
    <t>&lt;= Make sure to update component selection if you change language</t>
  </si>
  <si>
    <t>&lt;= Asegúrese de actualizar la selección de componente si cambia de idioma</t>
  </si>
  <si>
    <t>Otra moneda</t>
  </si>
  <si>
    <t>Local</t>
  </si>
  <si>
    <t>Grant</t>
  </si>
  <si>
    <t>Exchange rate
(to grant currency)</t>
  </si>
  <si>
    <t>Récipiendaire</t>
  </si>
  <si>
    <t>Exchange Rate to USD</t>
  </si>
  <si>
    <t>Exchange Rate to EUR</t>
  </si>
  <si>
    <t>USD/EUR:</t>
  </si>
  <si>
    <t>Q8 Cash Outflow</t>
  </si>
  <si>
    <t>Q14 Quantity</t>
  </si>
  <si>
    <t>Y3 Total Cash Outflow</t>
  </si>
  <si>
    <t>Cost Input Id</t>
  </si>
  <si>
    <t>CostGrpId</t>
  </si>
  <si>
    <t>IntID</t>
  </si>
  <si>
    <t>1st occurance of  unique Mod-Int-PR combination</t>
  </si>
  <si>
    <t>Mod-Int-PR comb</t>
  </si>
  <si>
    <t>Budget Summary (in grant currency)</t>
  </si>
  <si>
    <t>Concept Note Module Budget 
(in grant currency)</t>
  </si>
  <si>
    <t>Purpose and overall process</t>
  </si>
  <si>
    <t>This is an offline Excel file intended to be used to either:</t>
  </si>
  <si>
    <t>a) Populate the online section Detailed Budget and underlying Assumptions during grant-making, or</t>
  </si>
  <si>
    <t>b) Feed the output of this Detailed budgeting exercise into the online Concept Note Module Budget (and then continue making use of this Detailed Budget file during grant-making)</t>
  </si>
  <si>
    <t>In the online grant-making scenario (a) you will fill the majority of budget lines in this offline Excel file in a concentrated effort</t>
  </si>
  <si>
    <t>After filling in the file you upload it to the Global Fund online portal for grant-making (in case you cannot access online and have agreed with your Global Fund country team, send it in an email to them and they will make sure it gets uploaded online)</t>
  </si>
  <si>
    <t>In scenario (a) no PSM related cost should be included in this budget file but entered in a dedicated PSM offline template that will be separately uploaded online</t>
  </si>
  <si>
    <t xml:space="preserve">The exchange rate to local currency is set by default on the Setup sheet. You can adjust it if needed. </t>
  </si>
  <si>
    <t>When there is a need to detail unit cost (to justify it or to avoid too high lump sum) make use of assumptions sheets:</t>
  </si>
  <si>
    <t>- There are dedicated Assumptions sheets for Human Resources, Travel Related Cost and Other, which have slightly different columns to fill</t>
  </si>
  <si>
    <t>You can at any time consult the Budget Summary sheet to see a view of the rolled up budget by Module, by Cost Input and by Recipient</t>
  </si>
  <si>
    <t>When upload of your offline budget lines and assumption lines occurs (scenario a), the budget lines having assumptions will get their unit cost re-calculated based on the data in the assumption lines</t>
  </si>
  <si>
    <t>How to enter the detailed budget and underlying assumptions for unit cost</t>
  </si>
  <si>
    <t>Enter the Principal Recipients (if using the file for Concept Note) or Principal Implementer and individual or groupings of Sub-recipients on the Setup sheet (if using for grant-making). Their acronyms will be used in the subsequent data entry sheets</t>
  </si>
  <si>
    <t>In scenario (b) you will copy from the separate PSM offline template, sheet "PSM Detailed Budget" into this file "Detailed Budget" sheet to have the complete budget in this file and be able to use the output sheet Concept Note Module Budget for entry online</t>
  </si>
  <si>
    <t>Форма бюджета</t>
  </si>
  <si>
    <t>En esta tabla se proporciona orientación sobre cómo rellenar la herramienta modular. Las celdas destacadas en color verde se completarán durante la negociación de la subvención.</t>
  </si>
  <si>
    <t>Эта таблица содержит инструкции по заполнению модульной формы. Ячейки, выделенные зеленым цветом, заполняются в процессе переговоров по гранту.</t>
  </si>
  <si>
    <t>Перед заполнением этой формы внимательно ознакомьтесь с инструкциями, приведенными на рабочем листе</t>
  </si>
  <si>
    <t>A. Данные о программе</t>
  </si>
  <si>
    <t>Pays / Candidat :</t>
  </si>
  <si>
    <t>Composante :</t>
  </si>
  <si>
    <t>Année de début :</t>
  </si>
  <si>
    <t>Год начала:</t>
  </si>
  <si>
    <t>Месяц начала:</t>
  </si>
  <si>
    <t>Numéro de subvention / SFU :</t>
  </si>
  <si>
    <t>Número de SSF/subvención:</t>
  </si>
  <si>
    <t>ЕПФ/ номер гранта:</t>
  </si>
  <si>
    <t>Période couverte : du</t>
  </si>
  <si>
    <t>Охватываемый период: начало</t>
  </si>
  <si>
    <t>Période couverte : au</t>
  </si>
  <si>
    <t>Охватываемый период: конец</t>
  </si>
  <si>
    <t>Fecha prevista de actualización de avances</t>
  </si>
  <si>
    <t>Дата представления отчета о реализации программы</t>
  </si>
  <si>
    <t>Запрос на выплату средств (Да, Нет)</t>
  </si>
  <si>
    <t>Échéance de l'examen périodique</t>
  </si>
  <si>
    <t>Fecha prevista de la revisión periódica</t>
  </si>
  <si>
    <t>Конечный срок периодической оценки</t>
  </si>
  <si>
    <t>Дата представления аудиторского отчета</t>
  </si>
  <si>
    <t>Période</t>
  </si>
  <si>
    <t>Periodo</t>
  </si>
  <si>
    <t>Период</t>
  </si>
  <si>
    <t>B. Metas del programa e indicadores de repercusión</t>
  </si>
  <si>
    <t>Buts :</t>
  </si>
  <si>
    <t>Metas:</t>
  </si>
  <si>
    <t>Цели:</t>
  </si>
  <si>
    <t>Vinculado a lo(s) objetivos(s) n.º</t>
  </si>
  <si>
    <t>Связано с целью (целям) #</t>
  </si>
  <si>
    <t>Indicador de repercusión</t>
  </si>
  <si>
    <t>Исходный показатель</t>
  </si>
  <si>
    <t>Année</t>
  </si>
  <si>
    <t>Año</t>
  </si>
  <si>
    <t>&lt;= Assurez-vous de mettre à jour le choix de la composante si vous changez la langue</t>
  </si>
  <si>
    <t>Не забудьте обновить выбор компонента, если вы измяете язык =&gt;</t>
  </si>
  <si>
    <t>Identifiant de l'élément de coût</t>
  </si>
  <si>
    <t>ID статьи расхода</t>
  </si>
  <si>
    <t>Nom du produit</t>
  </si>
  <si>
    <t>Nombre del producto</t>
  </si>
  <si>
    <t>Наименование</t>
  </si>
  <si>
    <t>Identifiant du produit</t>
  </si>
  <si>
    <t>ID продукта</t>
  </si>
  <si>
    <t>Spécification</t>
  </si>
  <si>
    <t>Especificación</t>
  </si>
  <si>
    <t>Спецификация</t>
  </si>
  <si>
    <t>Receptor</t>
  </si>
  <si>
    <t>Получатель</t>
  </si>
  <si>
    <t>Identifiant du récipiendaire</t>
  </si>
  <si>
    <t>ID del receptor</t>
  </si>
  <si>
    <t>ID реципиента</t>
  </si>
  <si>
    <t>Coût unitaire (monnaie du paiement) A1</t>
  </si>
  <si>
    <t>Y1 Costo Unitario (moneda en que se realiza el pago)</t>
  </si>
  <si>
    <t>Y1 Удельная стоимость (валюта платежа)</t>
  </si>
  <si>
    <t>Quantité T1</t>
  </si>
  <si>
    <t>Q1 Cantidad</t>
  </si>
  <si>
    <t>Q1 Количество</t>
  </si>
  <si>
    <t>Sorties de trésorerie T1</t>
  </si>
  <si>
    <t>Q1 Salida de efectivo</t>
  </si>
  <si>
    <t>Q1 Отток денежных средств</t>
  </si>
  <si>
    <t>Quantité T2</t>
  </si>
  <si>
    <t>Q2 Cantidad</t>
  </si>
  <si>
    <t>Q2 Количество</t>
  </si>
  <si>
    <t>Sorties de trésorerie T2</t>
  </si>
  <si>
    <t>Q2 Salida de efectivo</t>
  </si>
  <si>
    <t>Q2 Отток денежных средств</t>
  </si>
  <si>
    <t>Quantité T3</t>
  </si>
  <si>
    <t>Q3 Cantidad</t>
  </si>
  <si>
    <t>Q3 Количество</t>
  </si>
  <si>
    <t>Sorties de trésorerie T3</t>
  </si>
  <si>
    <t>Q3 Salida de efectivo</t>
  </si>
  <si>
    <t>Q3 Отток денежных средств</t>
  </si>
  <si>
    <t>Quantité T4</t>
  </si>
  <si>
    <t>Q4 Cantidad</t>
  </si>
  <si>
    <t>Q4 Количество</t>
  </si>
  <si>
    <t>Sorties de trésorerie T4</t>
  </si>
  <si>
    <t>Q4 Salida de efectivo</t>
  </si>
  <si>
    <t>Q4 Отток денежных средств</t>
  </si>
  <si>
    <t>Quantité totale A1</t>
  </si>
  <si>
    <t>Y1 Cantidad total</t>
  </si>
  <si>
    <t>Y1 Общее количество</t>
  </si>
  <si>
    <t>Sorties de trésorerie totales A1</t>
  </si>
  <si>
    <t>Y1 Salida total de efectivo</t>
  </si>
  <si>
    <t>Y1 Всего отток денежных средств</t>
  </si>
  <si>
    <t>Coût unitaire (monnaie du paiement) A2</t>
  </si>
  <si>
    <t>Y2 Costo Unitario (moneda en que se realiza el pago)</t>
  </si>
  <si>
    <t>Y2 Удельная стоимость (валюта платежа)</t>
  </si>
  <si>
    <t>Quantité T5</t>
  </si>
  <si>
    <t>Q5 Cantidad</t>
  </si>
  <si>
    <t>Количество Q5</t>
  </si>
  <si>
    <t>Sorties de trésorerie T5</t>
  </si>
  <si>
    <t>Q5 Salida de efectivo</t>
  </si>
  <si>
    <t>Q5 Отток денежных средств</t>
  </si>
  <si>
    <t>Quantité T6</t>
  </si>
  <si>
    <t>Q6 Cantidad</t>
  </si>
  <si>
    <t>Q6 Количество</t>
  </si>
  <si>
    <t>Sorties de trésorerie T6</t>
  </si>
  <si>
    <t>Q6 Salida de efectivo</t>
  </si>
  <si>
    <t>Q6 Отток денежных средств</t>
  </si>
  <si>
    <t>Quantité T7</t>
  </si>
  <si>
    <t>Q7 Cantidad</t>
  </si>
  <si>
    <t>Q7 Количество</t>
  </si>
  <si>
    <t>Sorties de trésorerie T7</t>
  </si>
  <si>
    <t>Q7 Salida de efectivo</t>
  </si>
  <si>
    <t>Q7 Отток денежных средств</t>
  </si>
  <si>
    <t>Quantité T8</t>
  </si>
  <si>
    <t>Q8 Cantidad</t>
  </si>
  <si>
    <t>Q8 Количество</t>
  </si>
  <si>
    <t>Sorties de trésorerie T8</t>
  </si>
  <si>
    <t>Q8 Salida de efectivo</t>
  </si>
  <si>
    <t>Q8 Отток денежных средств</t>
  </si>
  <si>
    <t>Quantité totale A2</t>
  </si>
  <si>
    <t>Y2 Cantidad total</t>
  </si>
  <si>
    <t>Y2 Общее количество</t>
  </si>
  <si>
    <t>Sorties de trésorerie totales A2</t>
  </si>
  <si>
    <t>Y2 Salida total de efectivo</t>
  </si>
  <si>
    <t>Y2 Всего отток денежных средств</t>
  </si>
  <si>
    <t>Coût unitaire (monnaie du paiement) A3</t>
  </si>
  <si>
    <t>Y3 Costo Unitario (moneda en que se realiza el pago)</t>
  </si>
  <si>
    <t>Y3 Удельная стоимость (валюта платежа)</t>
  </si>
  <si>
    <t>Quantité T9</t>
  </si>
  <si>
    <t>Q9 Cantidad</t>
  </si>
  <si>
    <t>Q9 Количество</t>
  </si>
  <si>
    <t>Sorties de trésorerie T9</t>
  </si>
  <si>
    <t>Q9 Salida de efectivo</t>
  </si>
  <si>
    <t>Q9 Отток денежных средств</t>
  </si>
  <si>
    <t>Quantité T10</t>
  </si>
  <si>
    <t>Q10 Cantidad</t>
  </si>
  <si>
    <t>Q10 Количество</t>
  </si>
  <si>
    <t>Sorties de trésorerie T10</t>
  </si>
  <si>
    <t>Q10 Salida de efectivo</t>
  </si>
  <si>
    <t>Q10 Отток денежных средств</t>
  </si>
  <si>
    <t>Quantité T11</t>
  </si>
  <si>
    <t>Q11 Cantidad</t>
  </si>
  <si>
    <t>Q11 Количество</t>
  </si>
  <si>
    <t>Sorties de trésorerie T11</t>
  </si>
  <si>
    <t>Q11 Salida de efectivo</t>
  </si>
  <si>
    <t>Q11 Отток денежных средств</t>
  </si>
  <si>
    <t>Quantité T12</t>
  </si>
  <si>
    <t>Q12 Cantidad</t>
  </si>
  <si>
    <t>Q12 Количество</t>
  </si>
  <si>
    <t>Sorties de trésorerie T12</t>
  </si>
  <si>
    <t>Q12 Salida de efectivo</t>
  </si>
  <si>
    <t>Q12 Отток денежных средств</t>
  </si>
  <si>
    <t>Quantité totale A3</t>
  </si>
  <si>
    <t>Y3 Cantidad total</t>
  </si>
  <si>
    <t>Y3 Общее количество</t>
  </si>
  <si>
    <t>Sorties de trésorerie totales A3</t>
  </si>
  <si>
    <t>Y3 Salida total de efectivo</t>
  </si>
  <si>
    <t>Y3 Всего отток денежных средств</t>
  </si>
  <si>
    <t>Coût unitaire A4</t>
  </si>
  <si>
    <t>Y4 Costo Unitario (moneda en que se realiza el pago)</t>
  </si>
  <si>
    <t>Y4 Удельная стоимость (валюта платежа)</t>
  </si>
  <si>
    <t>Quantité T13</t>
  </si>
  <si>
    <t>Q13 Cantidad</t>
  </si>
  <si>
    <t>Q13 Количество</t>
  </si>
  <si>
    <t>Sorties de trésorerie T13</t>
  </si>
  <si>
    <t>Q13 Salida de efectivo</t>
  </si>
  <si>
    <t>Q13 Отток денежных средств</t>
  </si>
  <si>
    <t>Quantité T14</t>
  </si>
  <si>
    <t>Q14 Cantidad</t>
  </si>
  <si>
    <t>Q14 Количество</t>
  </si>
  <si>
    <t>Sorties de trésorerie T14</t>
  </si>
  <si>
    <t>Q14 Salida de efectivo</t>
  </si>
  <si>
    <t>Q14 Отток денежных средств</t>
  </si>
  <si>
    <t>Quantité T15</t>
  </si>
  <si>
    <t>Q15 Cantidad</t>
  </si>
  <si>
    <t>Q15 Количество</t>
  </si>
  <si>
    <t>Sorties de trésorerie T15</t>
  </si>
  <si>
    <t>Q15 Salida de efectivo</t>
  </si>
  <si>
    <t>Q15 Отток денежных средств</t>
  </si>
  <si>
    <t>Quantité T16</t>
  </si>
  <si>
    <t>Q16 Cantidad</t>
  </si>
  <si>
    <t>Q16 Количество</t>
  </si>
  <si>
    <t>Sorties de trésorerie T16</t>
  </si>
  <si>
    <t>Q16 Salida de efectivo</t>
  </si>
  <si>
    <t>Q16 Отток денежных средств</t>
  </si>
  <si>
    <t>Quantité totale A4</t>
  </si>
  <si>
    <t>Y4 Cantidad total</t>
  </si>
  <si>
    <t>Y4 Общее количество</t>
  </si>
  <si>
    <t>Sorties de trésorerie totales A4</t>
  </si>
  <si>
    <t>Y4 Salida total de efectivo</t>
  </si>
  <si>
    <t>Y4 Всего отток денежных средств</t>
  </si>
  <si>
    <t>Quantité totale A1-4</t>
  </si>
  <si>
    <t>Y1-4 Cantidad total</t>
  </si>
  <si>
    <t>Y1-4 Общее количество</t>
  </si>
  <si>
    <t>Sorties de trésoreries totales A1 à A4</t>
  </si>
  <si>
    <t>Y1-4 Salidas totales de efectivo</t>
  </si>
  <si>
    <t>Y1-4 Всего отток денежных средств</t>
  </si>
  <si>
    <t>Monnaie de la subvention A1</t>
  </si>
  <si>
    <t>Y1 Moneda de la subvención</t>
  </si>
  <si>
    <t>Y1 Валюта гранта</t>
  </si>
  <si>
    <t>Monnaie de la subvention A2</t>
  </si>
  <si>
    <t>Y2 Moneda de la subvención</t>
  </si>
  <si>
    <t>Y2 Валюта гранта</t>
  </si>
  <si>
    <t>Monnaie de la subvention A3</t>
  </si>
  <si>
    <t>Y3 Moneda de la subvención</t>
  </si>
  <si>
    <t>Y3 Валюта гранта</t>
  </si>
  <si>
    <t>Monnaie de la subvention A4</t>
  </si>
  <si>
    <t>Y4 Moneda de la subvención</t>
  </si>
  <si>
    <t>Y4 Валюта гранта</t>
  </si>
  <si>
    <t>Hypothèses à l'appui du coût unitaire</t>
  </si>
  <si>
    <t>Supuestos para Apoyar el Costo Unitario</t>
  </si>
  <si>
    <t>Предположения по поддержке удельной стоимости</t>
  </si>
  <si>
    <t>Категория затрат</t>
  </si>
  <si>
    <t>Partida presupuestaria n.°</t>
  </si>
  <si>
    <t>№ бюджетной строки</t>
  </si>
  <si>
    <t>Módulo</t>
  </si>
  <si>
    <t>Модуль</t>
  </si>
  <si>
    <t>Intervención</t>
  </si>
  <si>
    <t>Мероприятие</t>
  </si>
  <si>
    <t>Description de l'activité</t>
  </si>
  <si>
    <t>Описание деятельности</t>
  </si>
  <si>
    <t>Monnaie de paiement</t>
  </si>
  <si>
    <t>Moneda en que se realiza el pago</t>
  </si>
  <si>
    <t>Валюта</t>
  </si>
  <si>
    <t>Description de l'élément</t>
  </si>
  <si>
    <t>Descripción del artículo</t>
  </si>
  <si>
    <t>Описание статьи расхода</t>
  </si>
  <si>
    <t>Sécurité sociale et autres frais obligatoires A1</t>
  </si>
  <si>
    <t>Y1 Seguridad Social y otras cargas obligatorias</t>
  </si>
  <si>
    <t>Y1 Социальное обеспечение и другие обязательные платежи</t>
  </si>
  <si>
    <t>Total des salaires A1</t>
  </si>
  <si>
    <t>Y1 Salario total</t>
  </si>
  <si>
    <t>Y1 Общие расхода на зарплату</t>
  </si>
  <si>
    <t>Niveau d'effort (%) A1</t>
  </si>
  <si>
    <t>Y1 Nivel de Esfuerzo (%)</t>
  </si>
  <si>
    <t>Y1 Уровень усилий (%)</t>
  </si>
  <si>
    <t>Nombre de personnes A1</t>
  </si>
  <si>
    <t>Y1 Cantidad de personas</t>
  </si>
  <si>
    <t>Y1 Количество человек</t>
  </si>
  <si>
    <t>Coût total A1</t>
  </si>
  <si>
    <t>Y1 Costo total</t>
  </si>
  <si>
    <t>Y1 Общая стоимость</t>
  </si>
  <si>
    <t>Sécurité sociale et autres frais obligatoires A2</t>
  </si>
  <si>
    <t>Y2 Seguridad Social y otras cargas obligatorias</t>
  </si>
  <si>
    <t>Y2 Социального обеспечения и других обязательных платежей</t>
  </si>
  <si>
    <t>Total des salaires A2</t>
  </si>
  <si>
    <t>Y2 Salario total</t>
  </si>
  <si>
    <t>Y2 Общие расхода на зарплату</t>
  </si>
  <si>
    <t>Niveau d'effort (%) A2</t>
  </si>
  <si>
    <t>Y2 Nivel de Esfuerzo (%)</t>
  </si>
  <si>
    <t>Y2 Уровень усилий (%)</t>
  </si>
  <si>
    <t>Nombre de personnes A2</t>
  </si>
  <si>
    <t>Y2 Cantidad de personas</t>
  </si>
  <si>
    <t>Y2 Количество человек</t>
  </si>
  <si>
    <t>Coût total A2</t>
  </si>
  <si>
    <t>Y2 Costo total</t>
  </si>
  <si>
    <t>Y2 Общая стоимость</t>
  </si>
  <si>
    <t>Sécurité sociale et autres frais obligatoires A3</t>
  </si>
  <si>
    <t>Y3 Seguridad Social y otras cargas obligatorias</t>
  </si>
  <si>
    <t>Y3 Социально обеспечение и другие обязательные платежи</t>
  </si>
  <si>
    <t>Total des salaires A3</t>
  </si>
  <si>
    <t>Y3 Salario total</t>
  </si>
  <si>
    <t>Y3 Общие расхода на зарплату</t>
  </si>
  <si>
    <t>Niveau d'effort (%) A3</t>
  </si>
  <si>
    <t>Y3 Nivel de Esfuerzo (%)</t>
  </si>
  <si>
    <t>Y3 Уровень усилий (%)</t>
  </si>
  <si>
    <t>Nombre de personnes A3</t>
  </si>
  <si>
    <t>Y3 Cantidad de personas</t>
  </si>
  <si>
    <t>Y3 Количество человек</t>
  </si>
  <si>
    <t>Coût total A3</t>
  </si>
  <si>
    <t>Y3 Costo total</t>
  </si>
  <si>
    <t>Y3 Общие расходы</t>
  </si>
  <si>
    <t>Sécurité sociale et autres frais obligatoires A4</t>
  </si>
  <si>
    <t>Y4 Seguridad Social y otras cargas obligatorias</t>
  </si>
  <si>
    <t>Y4 Социальное обеспечение и другие обязательные платежи</t>
  </si>
  <si>
    <t>Total des salaires A4</t>
  </si>
  <si>
    <t>Y4 Salario total</t>
  </si>
  <si>
    <t>Y4 Общие расхода на зарплату</t>
  </si>
  <si>
    <t>Niveau d'effort (%) A4</t>
  </si>
  <si>
    <t>Y4 Nivel de Esfuerzo (%)</t>
  </si>
  <si>
    <t>Y4 Уровень усилий (%)</t>
  </si>
  <si>
    <t>Nombre de personnes A4</t>
  </si>
  <si>
    <t>Y4 Cantidad de personas</t>
  </si>
  <si>
    <t>Y4 Количество человек</t>
  </si>
  <si>
    <t>Coût total A4</t>
  </si>
  <si>
    <t>Y4 Costo total</t>
  </si>
  <si>
    <t>Y4 Общая стоимость</t>
  </si>
  <si>
    <t>Coût unitaire A1</t>
  </si>
  <si>
    <t>Y1 Costo Unitario</t>
  </si>
  <si>
    <t>Y1 Удельная стоимость</t>
  </si>
  <si>
    <t>Durée (jours) A1</t>
  </si>
  <si>
    <t>Y1 Duración (días)</t>
  </si>
  <si>
    <t>Y1 Продолжительность (дней)</t>
  </si>
  <si>
    <t>Quantité A1</t>
  </si>
  <si>
    <t>Y1 Cantidad</t>
  </si>
  <si>
    <t>Y1 Количество</t>
  </si>
  <si>
    <t>Coût unitaire A2</t>
  </si>
  <si>
    <t>Y2 Costo Unitario</t>
  </si>
  <si>
    <t>Y2 Удельная стоимость</t>
  </si>
  <si>
    <t>Durée (jours) A2</t>
  </si>
  <si>
    <t>Y2 Duración (días)</t>
  </si>
  <si>
    <t>Y2 Продолжительность (дней)</t>
  </si>
  <si>
    <t>Quantité A3</t>
  </si>
  <si>
    <t>Y2 Cantidad</t>
  </si>
  <si>
    <t>Y2 Количество</t>
  </si>
  <si>
    <t>Coût unitaire A3</t>
  </si>
  <si>
    <t>Y3 Costo Unitario</t>
  </si>
  <si>
    <t>Y3 Удельная стоимость</t>
  </si>
  <si>
    <t>Durée (jours) A3</t>
  </si>
  <si>
    <t>Y3 Duración (días)</t>
  </si>
  <si>
    <t>Y3 Продолжительность (дней)</t>
  </si>
  <si>
    <t>Y3 Cantidad</t>
  </si>
  <si>
    <t>Y3 Количество</t>
  </si>
  <si>
    <t>Y4 Costo Unitario</t>
  </si>
  <si>
    <t>Y4 Удельная стоимость</t>
  </si>
  <si>
    <t>Durée (jours) A4</t>
  </si>
  <si>
    <t>Y4 Duración (días)</t>
  </si>
  <si>
    <t>Y4 Продолжительность (дней)</t>
  </si>
  <si>
    <t>Quantité A4</t>
  </si>
  <si>
    <t>Y4 Количество</t>
  </si>
  <si>
    <t>Nom d'activité de la ligne budgétaire</t>
  </si>
  <si>
    <t>Nombre de la actividad en la partida presupuestaria</t>
  </si>
  <si>
    <t>Название вида деятельности по бюджетной строке</t>
  </si>
  <si>
    <t>Élément de coût</t>
  </si>
  <si>
    <t>Статья расхода</t>
  </si>
  <si>
    <t>Pour rafraîchir le tableau croisé dynamique avec les derniers montants encodés dans les budgets détaillés, cliquez n'importe où dans le tableau et appuyez sur Alt + F5.</t>
  </si>
  <si>
    <t>Para refrescar la tabla dinámica con los últimos montos ingresados en los presupuestos detallados, haga clic en cualquier lugar de la tabla y luego presione las teclas Alt+F5.</t>
  </si>
  <si>
    <t>Чтобы обновить сводную таблицу и внести в нее последние данные о суммах, указанные в модульных бюджетах, щелкните мышью на любом участке соответствующей сводной таблицы, затем нажмите на «Alt+F5».</t>
  </si>
  <si>
    <t>Résumé du budget (dans la monnaie de la subvention)</t>
  </si>
  <si>
    <t>Resumen del Presupuesto (en la moneda de la subvención)</t>
  </si>
  <si>
    <t>Сводный бюджет (валюта гранта)</t>
  </si>
  <si>
    <t>Par module</t>
  </si>
  <si>
    <t>По модулям</t>
  </si>
  <si>
    <t>Par groupement des coûts</t>
  </si>
  <si>
    <t>Por agrupación de costo</t>
  </si>
  <si>
    <t>По группам затрат</t>
  </si>
  <si>
    <t>Pour actualiser le tableau croisé dynamique avec les derniers montants encodés dans le budget de chaque module sur la note conceptuelle, cliquez n'importe où dans le tableau et appuyez sur Alt + F5 ou allez dans le menu et sélectionner "Données", puis "Actualiser tout".</t>
  </si>
  <si>
    <t>Para refrescar la tabla dinámica con los últimos montos ingresados en los presupuestos de los módulos en la hoja de la nota conceptual, haga clic en cualquier lugar de la tabla y luego presione las teclas Alt+F5, o en el menú Datos elija la opción "Actualizar todo".</t>
  </si>
  <si>
    <t>Чтобы обновить сводную таблицу и внести в нее последние данные о суммах, указанных в бюджете каждого модуля на листе Концептуальной записки, щелкните мышью на любом участке соответствующей сводной таблицы, затем нажмите на «Alt+F5» или выберите в меню «Данные» и затем «Обновить все».</t>
  </si>
  <si>
    <t>Taux de change (pour la monnaie de la subvention)</t>
  </si>
  <si>
    <t>Tipo de cambio (hacia la moneda de la subvención)</t>
  </si>
  <si>
    <t>Обменный курс (для валюты гранта)</t>
  </si>
  <si>
    <t>Code de monnaie</t>
  </si>
  <si>
    <t>Código de la moneda</t>
  </si>
  <si>
    <t>Subvention</t>
  </si>
  <si>
    <t>Subvención</t>
  </si>
  <si>
    <t>Валюта концептуальной записки</t>
  </si>
  <si>
    <t>Monnaie locale</t>
  </si>
  <si>
    <t>Moneda local</t>
  </si>
  <si>
    <t>Местная валюта</t>
  </si>
  <si>
    <t>Autre monnaie</t>
  </si>
  <si>
    <t>Другие валюты</t>
  </si>
  <si>
    <t>Coût unitaire (monnaie de la subvention) A1</t>
  </si>
  <si>
    <t>Y1 Costo Unitario (moneda de la subvención)</t>
  </si>
  <si>
    <t>Y1 Удельная стоимость (валюта гранта)</t>
  </si>
  <si>
    <t>Coût unitaire (monnaie de la subvention) A2</t>
  </si>
  <si>
    <t>Y2 Costo Unitario (moneda de la subvención)</t>
  </si>
  <si>
    <t>Y2 Удельная стоимость (валюта гранта)</t>
  </si>
  <si>
    <t>Coût unitaire (monnaie de la subvention) A3</t>
  </si>
  <si>
    <t>Y3 Costo Unitario (moneda de la subvención)</t>
  </si>
  <si>
    <t>Y3 Удельная стоимость (валюта гранта)</t>
  </si>
  <si>
    <t>Coût unitaire (monnaie de la subvention) A4</t>
  </si>
  <si>
    <t>Y4 Costo Unitario (moneda de la subvención)</t>
  </si>
  <si>
    <t>Y4 Удельная стоимость (валюта гранта)</t>
  </si>
  <si>
    <t>Année 1</t>
  </si>
  <si>
    <t>Año 1</t>
  </si>
  <si>
    <t>Год 1</t>
  </si>
  <si>
    <t>Année 2</t>
  </si>
  <si>
    <t>Año 2</t>
  </si>
  <si>
    <t>Год 2</t>
  </si>
  <si>
    <t>Année 3</t>
  </si>
  <si>
    <t>Año 3</t>
  </si>
  <si>
    <t>Год 3</t>
  </si>
  <si>
    <t>Somme du coût total par ligne budgetaire A1</t>
  </si>
  <si>
    <t>Y1 Suma del Costo Total por partida presupuestaria</t>
  </si>
  <si>
    <t>Y1 Сумма общей стоимости по бюджетной строке</t>
  </si>
  <si>
    <t>Somme du coût total par ligne budgetaire A2</t>
  </si>
  <si>
    <t>Y2 Suma del Costo Total por partida presupuestaria</t>
  </si>
  <si>
    <t>Y2 Сумма общей стоимости по бюджетной строке</t>
  </si>
  <si>
    <t>Somme du coût total par ligne budgetaire A3</t>
  </si>
  <si>
    <t>Y3 Suma del Costo Total por partida presupuestaria</t>
  </si>
  <si>
    <t>Y3 Сумма общей стоимости по бюджетной строке</t>
  </si>
  <si>
    <t>Somme du coût total par ligne budgetaire A4</t>
  </si>
  <si>
    <t>Y4 Suma del Costo Total por partida presupuestaria</t>
  </si>
  <si>
    <t>Y4 Сумма общей стоимости по бюджетной строке</t>
  </si>
  <si>
    <t>Par récipiendaire</t>
  </si>
  <si>
    <t>Por Receptor</t>
  </si>
  <si>
    <t>По получателям</t>
  </si>
  <si>
    <t>Salaire net (monnaie de la subvention) A1</t>
  </si>
  <si>
    <t>Y1 Salario neto (moneda de la subvención)</t>
  </si>
  <si>
    <t>Y1 Чистый оклад (валюта гранта)</t>
  </si>
  <si>
    <t>Salaire net (monnaie de la subvention) A2</t>
  </si>
  <si>
    <t>Y2 Salario neto (moneda de la subvención)</t>
  </si>
  <si>
    <t>Y2 Чистый оклад (валюта гранта)</t>
  </si>
  <si>
    <t>Salaire net (monnaie de la subvention) A3</t>
  </si>
  <si>
    <t>Y3 Salario neto (moneda de la subvención)</t>
  </si>
  <si>
    <t>Y3 Чистый оклад (валюта гранта)</t>
  </si>
  <si>
    <t>Salaire net (monnaie de la subvention) A4</t>
  </si>
  <si>
    <t>Y4 Salario neto (moneda de la subvención)</t>
  </si>
  <si>
    <t>Y4 Чистый оклад (валюта гранта)</t>
  </si>
  <si>
    <t>Budget du module de la note conceptuelle (dans la monnaie de la subvention)</t>
  </si>
  <si>
    <t>Presupuesto para el Módulo de la nota conceptual (moneda de la subvención)</t>
  </si>
  <si>
    <t>Бюджет модуля концептуальной записки (валюта гранта)</t>
  </si>
  <si>
    <t>Всего</t>
  </si>
  <si>
    <t>ID de categoría de gasto</t>
  </si>
  <si>
    <t>À propos de ce fichier de budget</t>
  </si>
  <si>
    <t>Il s'agit d'un fichier Excel destiné à être utilisé hors connexion pour établir un budget détaillé accompagné des hypothèses qui le sous-tendent.</t>
  </si>
  <si>
    <t>Le but est de remplir la plus grande partie des lignes budgétaires de cette manière.</t>
  </si>
  <si>
    <t>Vous pouvez ensuite envoyer le fichier rempli à l'équipe du Fonds mondial de votre pays, qui le téléchargera sur le serveur.</t>
  </si>
  <si>
    <t>Vous pourrez alors consulter le fichier en ligne et lui apporter de nouvelles modifications.</t>
  </si>
  <si>
    <t>Les coûts liés à la gestion des achats et des stocks ne doivent pas figurer dans ce fichier de budget, mais dans un plan de GAS distinct, dont  il existe également une version hors connexion.</t>
  </si>
  <si>
    <t>Le taux de change de la monnaie locale doit être fixé par le responsable financier du Fonds mondial avant de commencer la budgétisation.</t>
  </si>
  <si>
    <t>Pour saisir le budget et les hypothèses sous-jacentes relatives aux coûts unitaires</t>
  </si>
  <si>
    <t>Saisissez les informations concernant le récipiendaire principal et les sous-récipiendaires (ou groupements de sous-récipiendaires) dans la feuille Récipiendaires. Leurs acronymes seront utilisés dans le budget détaillé.</t>
  </si>
  <si>
    <t>Remplissez la feuille Budget détaillé.</t>
  </si>
  <si>
    <t>Lorsqu'il est nécessaire de détailler un coût unitaire (pour le justifier ou éviter un montant forfaitaire trop élevé), utilisez les feuilles des hypothèses.</t>
  </si>
  <si>
    <t>- Le classeur contient trois feuilles – Ressources humaines, Frais de déplacement et Autres – dont les colonnes sont légèrement différentes.</t>
  </si>
  <si>
    <t>- Pour chaque ligne d'hypothèse, faites référence à la ligne du budget détaillé concernée par l'hypothèse. Plusieurs lignes d'hypothèse peuvent faire référence à la même ligne budgétaire.</t>
  </si>
  <si>
    <t>- Après avoir rempli toutes les lignes d'hypothèses correspondant à une ligne budgétaire, vous pouvez soit établir votre propre formule dans la cellule coût unitaire de la ligne budgétaire, en fonction des données saisies dans les lignes d'hypothèses, soit saisir tout simplement le résultat obtenu.</t>
  </si>
  <si>
    <t>Vous pouvez à tout moment consulter la feuille Récapitulatif pour afficher le budget actualisé par module et par entrée de coût.</t>
  </si>
  <si>
    <t>Lors du chargement sur le serveur des lignes budgétaires et des lignes d'hypothèse remplies hors connexion, les lignes budgétaires accompagnées d'hypothèses verront  leur coût unitaire recalculé sur la base des données figurant dans les lignes d'hypothèse.</t>
  </si>
  <si>
    <t>Информация об этом бюджетном файле</t>
  </si>
  <si>
    <t>Настоящий офлайновый файл Excel предназначен для заполнения детального бюджета и соответствующих предположений в режиме онлайн</t>
  </si>
  <si>
    <t>Цель состоит в том, чтобы с его помощью совместно заполнить большинство строк бюджета</t>
  </si>
  <si>
    <t>После заполнения файла его можно направить в вашу страновую команду Глобального фонда, которая обеспечит его загрузку на веб-сайт</t>
  </si>
  <si>
    <t>После его загрузки на веб-сайт с ним можно знакомиться и внести необходимые изменения в режиме онлайн</t>
  </si>
  <si>
    <t>В этот бюджетный файл не следует включать расходы, связанных с УЗС; их следует указывать в специальный план по УЗС, также существующий в офлайновом варианте</t>
  </si>
  <si>
    <t>Обменный курс местной валюты должен быть установлен сотрудником Глобального фонда по финансам до начала  формирования бюджета</t>
  </si>
  <si>
    <t>Как вводить бюджет и соответствующие предположения с использованием удельной стоимости</t>
  </si>
  <si>
    <t>В рабочем листе "Реципиенты" укажите основного реципиента, субреципиентов или группы субреципиентов. В детальном бюджете используются их сокращенные названия</t>
  </si>
  <si>
    <t>Заполните лист "Детальный бюджет"</t>
  </si>
  <si>
    <t>В случае необходимости подробного указания удельной стоимости (для ее обоснования или во избежание указания слишком большой суммы единовременной выплаты) используйте листы для предположений</t>
  </si>
  <si>
    <t>- Имеются специальные листы для предположений в отношении людских ресурсов, командировочных расходов и иных затрат; графы этих листов имеют несколько иное содержание</t>
  </si>
  <si>
    <t>- В каждой строке предположений следует указать ссылку на строку детального бюджета, касающуюся это предположения. Несколько строк предположений могут относиться к одной и той же строке бюджета</t>
  </si>
  <si>
    <t>- После ввода всех строк предположений в отношении одной строки бюджета на основе данных, введенных в строки предположений, в ячейке удельной стоимости строки бюджета можно составить свою собственную формулу или просто ввести конечную цифру</t>
  </si>
  <si>
    <t>При загрузке строк офлайнового бюджета и строк с предположениями производится пересчет удельной стоимости строк бюджета, содержащих предположения, на основании данных, имеющихся в строках с предположениями</t>
  </si>
  <si>
    <t>Чтобы получить общий вид сводного бюджета по модулю и по расходам, можно в любое время ознакомиться с листом "Budget Summary"</t>
  </si>
  <si>
    <t>No further editing should happen in the offline template file which will be disregarded after transfer of its data to the online system</t>
  </si>
  <si>
    <t>Categoría de Gastos</t>
  </si>
  <si>
    <t>Propósito y proceso general</t>
  </si>
  <si>
    <t>Este es un documento Excel para su uso fuera de línea cuya finalidad es:</t>
  </si>
  <si>
    <t>a) introducir los datos necesarios en la sección en línea  “Presupuesto Detallado” y correspondientes “Supuestos” durante la preparación de la subvención, o</t>
  </si>
  <si>
    <t>b) introducir el resultado de este ejercicio de presupuestación detallada en el Presupuesto del Módulo de la Nota Conceptual en línea (y después seguir utilizando este documento de Presupuesto Detallado durante la preparación de la subvención).</t>
  </si>
  <si>
    <t xml:space="preserve">En el escenario (a) de preparación de la subvención en línea, completará la mayoría de las partidas presupuestarias en este documento Excel fuera de línea en un esfuerzo concentrado. </t>
  </si>
  <si>
    <t>Después de cumplimentar el documento, debe cargarlo en el portal en línea del Fondo Mundial para la preparación de la subvención (en el caso de que no pueda acceder al portal en línea y lo haya acordado con su equipo de país del Fondo Mundial, puede enviárselo por correo electrónico y ellos se asegurarán de que se cargue en el portal en línea).</t>
  </si>
  <si>
    <t>Después de cargar el documento en el portal en línea, podrá consultarlo a través de Internet y hacer modificaciones desde allí.</t>
  </si>
  <si>
    <t xml:space="preserve">En el escenario (a), no se debe incluir ningún costo relacionado con la Gestión de Adquisiciones y Suministros (GAS) en este documento del presupuesto, sino que se deben introducir en una plantilla fuera de línea específica para esta información que se cargará en el portal en línea por separado. </t>
  </si>
  <si>
    <t xml:space="preserve">No se deben realizar modificaciones posteriores en el documento de la plantilla fuera de línea, del que se prescindirá después de transferir sus datos al sistema en línea. </t>
  </si>
  <si>
    <t xml:space="preserve">En el escenario (b), copiará la hoja “Presupuesto detallado de GAS” de la plantilla fuera de línea independiente sobre GAS  y la trasladará a la hoja “Presupuesto detallado” de este documento para contar con el presupuesto completo en este documento y poder utilizar la hoja de resultados del Presupuesto del Módulo de la Nota Conceptual para la introducción en línea.    </t>
  </si>
  <si>
    <t>Cómo introducir el presupuesto detallado y los correspondientes supuestos para los costos unitarios</t>
  </si>
  <si>
    <t xml:space="preserve">La tasa de cambio a la moneda local está establecida por defecto en la hoja “Configuración”. Si fuese necesario, la puede ajustar. </t>
  </si>
  <si>
    <t xml:space="preserve">Introduzca los receptores principales (si utiliza el documento para la Nota Conceptual) o la entidad ejecutora principal y los subreceptores individuales o agrupados en la hoja “Configuración” (si lo utiliza para preparar la subvención). En las siguientes hojas de introducción de datos se utilizarán sus acrónimos. </t>
  </si>
  <si>
    <t>Rellene la hoja “Presupuesto Detallado”.</t>
  </si>
  <si>
    <t>Cuando sea necesario detallar el costo unitario (a fin de justificarlo o de evitar sumas globales demasiado elevadas), utilice las hojas de supuestos:</t>
  </si>
  <si>
    <t>Se dispone de hojas de supuestos específicas para recursos humanos, costos relacionados con viajes y otros, que cuentan con columnas ligeramente diferentes para rellenar.</t>
  </si>
  <si>
    <t xml:space="preserve">- En cada partida de supuestos, haga referencia a la partida del Presupuesto Detallado a la que afecta el supuesto. Diferentes partidas de supuestos se pueden referir a la misma partida presupuestaria.  </t>
  </si>
  <si>
    <t>- Después de introducir todas las partidas de supuestos para una partida presupuestaria, puede generar su propia fórmula en la casilla del costo unitario de la partida presupuestaria en función de los datos introducidos en las partidas de supuestos, o simplemente introducir una cifra resultante.</t>
  </si>
  <si>
    <t>Puede consultar en todo momento la hoja “Resumen del Presupuesto” para visualizar el presupuesto acumulado por módulo, insumo de costos y receptor.</t>
  </si>
  <si>
    <t xml:space="preserve">Cuando cargue sus partidas presupuestarias y supuestos fuera de línea (escenario a), se recalcularán los costos unitarios de las partidas presupuestarias que cuenten con supuestos en función de los datos presentes en las partidas de supuestos. </t>
  </si>
  <si>
    <t xml:space="preserve"> </t>
  </si>
  <si>
    <t>U.S Dollar</t>
  </si>
  <si>
    <t>Please note that this template is compatible with MS Excel 2010 or later versions only. Some drop-downs and formulae might not work 
in MS Excel 2007 or earlier versions. Hence, applicants with earlier 
MS versions are requested to upgrade to MS 2010 
or later before starting to work on this file.</t>
  </si>
  <si>
    <t>Veuillez noter que ce formulaire est uniquement compatible avec MS Excel 2010 ou des versions ultérieures. Quelques menus déroulants et formules ne fonctionneront peut-être pas avec MS Excel 2007 ou des versions antérieures. De ce fait, les postulants possédant des versions antérieures de MS sont priés de passer à MS 2010 ou à une version ultérieure avant de commencer à travailler sur ce fichier.</t>
  </si>
  <si>
    <t>Por favor tomar en cuenta que este documento es sólo compatible con MS Excel 2010 o versiones posteriores. Algunos menús desplegables y ciertas fórmulas pueden no funcionar en MS Excel 2007 o versiones anteriores. Por lo tanto, se les informa a los solicitantes que deben actualizar su  MS Excel a la versión de 2010 o posterior antes de empezar a trabajar en este archivo.</t>
  </si>
  <si>
    <t>Просим учесть, что эта форма совместима только с версией MS Excel 2010 или более поздними версиями.  Некоторые раскрывающиеся меню и формулы могут не работать с  MS Excel 2007 или более ранними версиями. Поэтому кандидатам, которые используют ранние версии MS Excel, предлагается обновить программное обеспечение и установить  версию MS Excel 2010 или более позднюю версию до начала работы с этим файлом</t>
  </si>
  <si>
    <t>Principal Recipient</t>
  </si>
  <si>
    <t>Grant Currency:</t>
  </si>
  <si>
    <t>South Sudanese Pound</t>
  </si>
  <si>
    <t>SSP</t>
  </si>
  <si>
    <t>Y1 Yearly Net Salary</t>
  </si>
  <si>
    <t>Salaire net annuel A1</t>
  </si>
  <si>
    <t>Y1 Salario neto anual</t>
  </si>
  <si>
    <t>Y2 Yearly Net Salary</t>
  </si>
  <si>
    <t>Salaire net annual A2</t>
  </si>
  <si>
    <t>Y2 Salario neto anual</t>
  </si>
  <si>
    <t>Y3 Yearly Net Salary</t>
  </si>
  <si>
    <t>Salaire net annual A3</t>
  </si>
  <si>
    <t>Y3 Salario neto anual</t>
  </si>
  <si>
    <t>Y4 Yearly Net Salary</t>
  </si>
  <si>
    <t>Salaire net annual A4</t>
  </si>
  <si>
    <t>Y4 Salario neto annual</t>
  </si>
  <si>
    <t xml:space="preserve">Y1 Average Quarterly Cost </t>
  </si>
  <si>
    <t>Coût moyen trimestriel A1</t>
  </si>
  <si>
    <t>Y2 Average Quarterly Cost</t>
  </si>
  <si>
    <t>Coût moyen trimestriel A2</t>
  </si>
  <si>
    <t>Y3 Average Quartely Cost</t>
  </si>
  <si>
    <t>Y4 Average Quartely Cost</t>
  </si>
  <si>
    <t>Coût moyen trimestriel A3</t>
  </si>
  <si>
    <t>Coût moyen trimestriel A4</t>
  </si>
  <si>
    <t>Y1 Costo promedio por trimestre</t>
  </si>
  <si>
    <t>Y2 Costo promedio por trimestre</t>
  </si>
  <si>
    <t>Y3 Costo promedio por trimestre</t>
  </si>
  <si>
    <t>Y4 Costo promedio por trimestre</t>
  </si>
  <si>
    <t>Y1 Average cost per person by budget line</t>
  </si>
  <si>
    <t>Y2 Average cost per person by budget line</t>
  </si>
  <si>
    <t>Y3 Average cost per person by budget line</t>
  </si>
  <si>
    <t>Y4 Average cost per person by budget line</t>
  </si>
  <si>
    <t>Y1 Costo promedio por persona por linea presupuestaria</t>
  </si>
  <si>
    <t>Y2 Costo promedio por persona por linea presupuestaria</t>
  </si>
  <si>
    <t>Y3 Costo promedio por persona por linea presupuestaria</t>
  </si>
  <si>
    <t>Y4 Costo promedio por persona por linea presupuestaria</t>
  </si>
  <si>
    <t>Y1 Годовая заработная плата после уплаты налогов</t>
  </si>
  <si>
    <t>Y2 Годовая заработная плата после уплаты налогов</t>
  </si>
  <si>
    <t>Y3 Годовая заработная плата после уплаты налогов</t>
  </si>
  <si>
    <t>Y4 Годовая заработная плата после уплаты налогов</t>
  </si>
  <si>
    <t>Y1 Средняя квартальная стоимость</t>
  </si>
  <si>
    <t>Y2 Средняя квартальная стоимость</t>
  </si>
  <si>
    <t>Y3 Средняя квартальная стоимость</t>
  </si>
  <si>
    <t>Y4 Средняя квартальная стоимость</t>
  </si>
  <si>
    <t>Y1 Средняя стоимость на человека по бюджетной линии</t>
  </si>
  <si>
    <t>Y3 Средняя стоимость на человека по бюджетной линии</t>
  </si>
  <si>
    <t>Y2 Средняя стоимость на человека по бюджетной линии</t>
  </si>
  <si>
    <t>Y4  Средняя стоимость на человека по бюджетной линии</t>
  </si>
  <si>
    <t>Coût moyen par personne par ligne budgétaire  A1</t>
  </si>
  <si>
    <t>Coût moyen par personne par ligne budgétaire  A2</t>
  </si>
  <si>
    <t>Coût moyen par personne par ligne budgétaire  A3</t>
  </si>
  <si>
    <t>Coût moyen par personne par ligne budgétaire  A4</t>
  </si>
  <si>
    <t>By Module - Intervention</t>
  </si>
  <si>
    <t>By Cost Input</t>
  </si>
  <si>
    <t>Intervention sub ID</t>
  </si>
  <si>
    <t>Cost Input sub Id</t>
  </si>
  <si>
    <t>MZN</t>
  </si>
  <si>
    <t>TMT</t>
  </si>
  <si>
    <t>VEF</t>
  </si>
  <si>
    <t>ZMW</t>
  </si>
  <si>
    <t>Comments 1 ( LFA, FO...)</t>
  </si>
  <si>
    <t>Comments 2 ( LFA, FO...)</t>
  </si>
  <si>
    <t>Comments 3 ( LFA, FO...)</t>
  </si>
  <si>
    <t>Source rate to USD</t>
  </si>
  <si>
    <t>Type of Recipient</t>
  </si>
  <si>
    <t>Type de Récipiendaire</t>
  </si>
  <si>
    <t>Government - Ministry of Health</t>
  </si>
  <si>
    <t>Gouvernement - Ministère de la Santé</t>
  </si>
  <si>
    <t>Government - Ministry of Finance</t>
  </si>
  <si>
    <t>Gouvernement - Ministère des Finances</t>
  </si>
  <si>
    <t>Government - Other</t>
  </si>
  <si>
    <t>Gouvernement - Autre</t>
  </si>
  <si>
    <t>Multilateral - UNDP</t>
  </si>
  <si>
    <t>Multilateral - Other</t>
  </si>
  <si>
    <t>Multilateral - Other UN agency</t>
  </si>
  <si>
    <t>Civil Society - Local Non-Governmental Organization</t>
  </si>
  <si>
    <t>Civil Society - Local Faith Based Organization</t>
  </si>
  <si>
    <t>Civil Society - International Non-Governmental Organization</t>
  </si>
  <si>
    <t>Civil Society - International Faith Based Organization</t>
  </si>
  <si>
    <t>Civil Society - Community Based Organization</t>
  </si>
  <si>
    <t>Private Sector</t>
  </si>
  <si>
    <t>Civil Society - Other</t>
  </si>
  <si>
    <t>Société Civile - Organisation Communitaire</t>
  </si>
  <si>
    <t>Société Civile - Organisation Confessionnelle Internationale</t>
  </si>
  <si>
    <t>Société Civile - Organisation Non-Gouvernementale Internationale</t>
  </si>
  <si>
    <t>Société Civile - Organisation Confessionnelle Locale</t>
  </si>
  <si>
    <t>Société Civile - Organisation Non-Gouvernementale Locale</t>
  </si>
  <si>
    <t>Société Civile - Autre Organisation</t>
  </si>
  <si>
    <t>Mutilatéral - PNUD</t>
  </si>
  <si>
    <t>Multilatéral - Autre agence de l'ONU</t>
  </si>
  <si>
    <t>Multilatéral - Autre</t>
  </si>
  <si>
    <t>Secteur Privé</t>
  </si>
  <si>
    <t>Tipo de Receptor</t>
  </si>
  <si>
    <t>Gobierno – Ministerio de Salud</t>
  </si>
  <si>
    <t>Gobierno – Ministerio de Finanzas</t>
  </si>
  <si>
    <t>Gobierno – Otro</t>
  </si>
  <si>
    <t>Multilateral – PNUD</t>
  </si>
  <si>
    <t>Multilateral – Otro Naciones Unidas</t>
  </si>
  <si>
    <t>Multilateral – Otras organizaciones</t>
  </si>
  <si>
    <t>Sociedad Civil – ONG local</t>
  </si>
  <si>
    <t>Sociedad Civil – Organización  local basada en la fé</t>
  </si>
  <si>
    <t>Sociedad Civil – Organización basada en la comunidad</t>
  </si>
  <si>
    <t>Sociedad Civil – ONG internacional</t>
  </si>
  <si>
    <t>Sociedad Civil – Organización internacional basada en la fé</t>
  </si>
  <si>
    <t>Sector Privado</t>
  </si>
  <si>
    <t>Государство – Министерство Здравоохранения</t>
  </si>
  <si>
    <t>Государство – Министерство Финансов</t>
  </si>
  <si>
    <t>Государство – Другое</t>
  </si>
  <si>
    <t>Международные - ПРООН</t>
  </si>
  <si>
    <t>Международные – ООН (другие)</t>
  </si>
  <si>
    <t>Международные – другие организации</t>
  </si>
  <si>
    <t>Socieda Civil – Otras organizaciones</t>
  </si>
  <si>
    <t>Гражданское общество –Местная неправительственная организация</t>
  </si>
  <si>
    <t>Гражданское общество –Местная Религиозная Организация</t>
  </si>
  <si>
    <t xml:space="preserve">Гражданское общество –Общественная организация </t>
  </si>
  <si>
    <t>Гражданское общество –Международная неправительственная организация</t>
  </si>
  <si>
    <t>Гражданское общество – Международная Религиозная Организация</t>
  </si>
  <si>
    <t>Гражданское общество - Другое</t>
  </si>
  <si>
    <t>Частный сектор</t>
  </si>
  <si>
    <t>%</t>
  </si>
  <si>
    <r>
      <t xml:space="preserve">Тип </t>
    </r>
    <r>
      <rPr>
        <sz val="12"/>
        <color theme="1"/>
        <rFont val="Calibri"/>
        <family val="2"/>
        <scheme val="minor"/>
      </rPr>
      <t xml:space="preserve">Получательa </t>
    </r>
  </si>
  <si>
    <t>Checks</t>
  </si>
  <si>
    <t>Comments 4 ( LFA, FO...)</t>
  </si>
  <si>
    <r>
      <t>Living Support</t>
    </r>
    <r>
      <rPr>
        <sz val="11"/>
        <color theme="1"/>
        <rFont val="Georgia"/>
        <family val="1"/>
      </rPr>
      <t xml:space="preserve"> - Existence of cash Incentives or other Living Support Schemes, which are both (i) have a history of fraud, and other findings by LFA or auditor; AND (ii) material to the budget (USD 0.5 million or 10% of the budget, whichever is smaller). </t>
    </r>
  </si>
  <si>
    <t>9.a</t>
  </si>
  <si>
    <r>
      <t>Living Support</t>
    </r>
    <r>
      <rPr>
        <sz val="11"/>
        <color theme="1"/>
        <rFont val="Georgia"/>
        <family val="1"/>
      </rPr>
      <t xml:space="preserve"> - Existence of cash Incentives or other Living Support Schemes, which are both (i) represent a new intervention, the effectiveness and feasibility of which has not been previously supported by pilots or similar programs in the country or region; AND (ii) material to the budget (USD 0.5 million or 10% of the budget, whichever is smaller).</t>
    </r>
  </si>
  <si>
    <r>
      <t>Indirect and Overhead cost</t>
    </r>
    <r>
      <rPr>
        <sz val="11"/>
        <color theme="1"/>
        <rFont val="Georgia"/>
        <family val="1"/>
      </rPr>
      <t xml:space="preserve">  - Headquarters’ ICR budgeted outside the agreed percentage</t>
    </r>
  </si>
  <si>
    <t>8.a</t>
  </si>
  <si>
    <r>
      <t>Indirect and Overhead cost -</t>
    </r>
    <r>
      <rPr>
        <sz val="11"/>
        <color theme="1"/>
        <rFont val="Georgia"/>
        <family val="1"/>
      </rPr>
      <t xml:space="preserve"> Absence of cost sharing policy for grants, where PR manages multiple Global Fund or other donor funded projects.</t>
    </r>
  </si>
  <si>
    <r>
      <t xml:space="preserve">Communication materials and publications - </t>
    </r>
    <r>
      <rPr>
        <sz val="11"/>
        <color theme="1"/>
        <rFont val="Georgia"/>
        <family val="1"/>
      </rPr>
      <t>Existence of budgetary provisions, but absence of communication strategy or demonstration of value for money for cases where the cumulative budget for communication materials and publications is material to the budget - USD 0.5 million or 10% of the budget, whichever is smaller.</t>
    </r>
  </si>
  <si>
    <t>7.a</t>
  </si>
  <si>
    <r>
      <t>Non-Health equipment</t>
    </r>
    <r>
      <rPr>
        <sz val="11"/>
        <color theme="1"/>
        <rFont val="Georgia"/>
        <family val="1"/>
      </rPr>
      <t xml:space="preserve"> - Existence of budgetary provisions, but absence of needs assessment for cases where significant investment in non-health equipment is planned, including vehicles (USD 0.5 million or 10% of the budget, whichever is smaller)</t>
    </r>
  </si>
  <si>
    <t>6.a</t>
  </si>
  <si>
    <r>
      <t>Infrastructure</t>
    </r>
    <r>
      <rPr>
        <sz val="11"/>
        <color theme="1"/>
        <rFont val="Georgia"/>
        <family val="1"/>
      </rPr>
      <t>: Existence of large scale construction/renovation/rehabilitation (USD 0.5 million or 10% of the budget, whichever is smaller)</t>
    </r>
  </si>
  <si>
    <t>5.a</t>
  </si>
  <si>
    <r>
      <t>Health Products and Health Equipment, PSM</t>
    </r>
    <r>
      <rPr>
        <sz val="11"/>
        <color theme="1"/>
        <rFont val="Georgia"/>
        <family val="1"/>
      </rPr>
      <t>: Is the detailed budget aligned with the Health Products Listing?</t>
    </r>
  </si>
  <si>
    <t>4.a</t>
  </si>
  <si>
    <r>
      <t>Travel Related Costs</t>
    </r>
    <r>
      <rPr>
        <sz val="11"/>
        <color theme="1"/>
        <rFont val="Georgia"/>
        <family val="1"/>
      </rPr>
      <t xml:space="preserve">: Travel related cost representing more than 25% of the cumulative budget. </t>
    </r>
  </si>
  <si>
    <t>3.a</t>
  </si>
  <si>
    <r>
      <t>External Professional Services</t>
    </r>
    <r>
      <rPr>
        <sz val="11"/>
        <color theme="1"/>
        <rFont val="Georgia"/>
        <family val="1"/>
      </rPr>
      <t>: Consulting fees are above UN standard international and local rates.</t>
    </r>
  </si>
  <si>
    <t>2.a</t>
  </si>
  <si>
    <r>
      <t>Human Resources</t>
    </r>
    <r>
      <rPr>
        <sz val="11"/>
        <color theme="1"/>
        <rFont val="Georgia"/>
        <family val="1"/>
      </rPr>
      <t>: Salaries fall outside the range of existing national salary scale approved by the CCM (where applicable)</t>
    </r>
  </si>
  <si>
    <t>1.d</t>
  </si>
  <si>
    <r>
      <t>Human Resources</t>
    </r>
    <r>
      <rPr>
        <sz val="11"/>
        <color theme="1"/>
        <rFont val="Georgia"/>
        <family val="1"/>
      </rPr>
      <t>: Material salary increases of more than 15% increase in average monthly salary in local currency per person</t>
    </r>
  </si>
  <si>
    <t>1.c</t>
  </si>
  <si>
    <r>
      <t>Human Resources</t>
    </r>
    <r>
      <rPr>
        <sz val="11"/>
        <color theme="1"/>
        <rFont val="Georgia"/>
        <family val="1"/>
      </rPr>
      <t>: Salaries budgeted in grant currency (vs. local/payment currency) for local staff</t>
    </r>
  </si>
  <si>
    <t>1.b</t>
  </si>
  <si>
    <r>
      <t>Human Resources</t>
    </r>
    <r>
      <rPr>
        <sz val="11"/>
        <color theme="1"/>
        <rFont val="Georgia"/>
        <family val="1"/>
      </rPr>
      <t xml:space="preserve"> - Budget envisages salary top-ups and/or performance or retention based incentives. For such cases, LFA should also present their conclusions on whether there is a transition plan for cessation of such benefits in place and if it is feasible. The transition plan can be evident by the way such benefits were budgeted or by disclosures in National Strategic Plans (NSP), etc.</t>
    </r>
  </si>
  <si>
    <t>1. a</t>
  </si>
  <si>
    <t>Comments</t>
  </si>
  <si>
    <t>As verified by the LFA</t>
  </si>
  <si>
    <t>Answer</t>
  </si>
  <si>
    <t>Budget Trigger</t>
  </si>
  <si>
    <t>No.</t>
  </si>
  <si>
    <t>No</t>
  </si>
  <si>
    <t>For LFA Use Only</t>
  </si>
  <si>
    <t>Yes</t>
  </si>
  <si>
    <t>YesNo</t>
  </si>
  <si>
    <r>
      <t xml:space="preserve">Financial Triggers - </t>
    </r>
    <r>
      <rPr>
        <b/>
        <sz val="18"/>
        <color theme="1"/>
        <rFont val="Georgia"/>
        <family val="1"/>
      </rPr>
      <t>Budget</t>
    </r>
  </si>
  <si>
    <t>Application/Grant Name</t>
  </si>
  <si>
    <t>&lt;= You can overwrite the Local currency Exchange Rate here when needed,  however the number should be limited to 6 digits after the decimal point. Otherwise, you will get an error message</t>
  </si>
  <si>
    <t>Q1 Start Date</t>
  </si>
  <si>
    <t>Q5 Start Date</t>
  </si>
  <si>
    <t>Q9 Start Date</t>
  </si>
  <si>
    <t>Q13 Start Date</t>
  </si>
  <si>
    <t>Q1 End Date</t>
  </si>
  <si>
    <t>Q5 End Date</t>
  </si>
  <si>
    <t>Q9 End Date</t>
  </si>
  <si>
    <t>Q13 End Date</t>
  </si>
  <si>
    <t>Q2 Start Date</t>
  </si>
  <si>
    <t>Q6 Start Date</t>
  </si>
  <si>
    <t>Q10 Start Date</t>
  </si>
  <si>
    <t>Q14 Start Date</t>
  </si>
  <si>
    <t>Q2 End Date</t>
  </si>
  <si>
    <t>Q6 End Date</t>
  </si>
  <si>
    <t>Q10 End Date</t>
  </si>
  <si>
    <t>Q14 End Date</t>
  </si>
  <si>
    <t>Q3 Start Date</t>
  </si>
  <si>
    <t>Q7 Start Date</t>
  </si>
  <si>
    <t>Q11 Start Date</t>
  </si>
  <si>
    <t>Q15 Start Date</t>
  </si>
  <si>
    <t>Q3 End Date</t>
  </si>
  <si>
    <t>Q7 End Date</t>
  </si>
  <si>
    <t>Q11 End Date</t>
  </si>
  <si>
    <t>Q15 End Date</t>
  </si>
  <si>
    <t>Q4 Start Date</t>
  </si>
  <si>
    <t>Q8 Start Date</t>
  </si>
  <si>
    <t>Q12 Start Date</t>
  </si>
  <si>
    <t>Q16 Start Date</t>
  </si>
  <si>
    <t>Q4 End Date</t>
  </si>
  <si>
    <t>Q8 End Date</t>
  </si>
  <si>
    <t>Q12 End Date</t>
  </si>
  <si>
    <t>Subtotals</t>
  </si>
  <si>
    <t>Start Date of Quarter</t>
  </si>
  <si>
    <t>End Date of Quarter</t>
  </si>
  <si>
    <t>Note: Before printing, you can click the drop down list under cell C16 "By Cost Input" and Unselect "(Blanks)"  to hide all the blank rows.</t>
  </si>
  <si>
    <t>Note: Before printing, you can click the drop down list under cell C16 "By Module- Intervention" and Unselect "(Blanks)"  to hide all the blank rows.</t>
  </si>
  <si>
    <t>Currency</t>
  </si>
  <si>
    <t>Quantity</t>
  </si>
  <si>
    <t>Quarter</t>
  </si>
  <si>
    <t>Year</t>
  </si>
  <si>
    <t>Cash Outflow</t>
  </si>
  <si>
    <t>IP Start Date</t>
  </si>
  <si>
    <t>IP End Date</t>
  </si>
  <si>
    <t>Fiscal Cycle End Date</t>
  </si>
  <si>
    <t>Fiscal Cycle Start Date</t>
  </si>
  <si>
    <t>[Record ID]</t>
  </si>
  <si>
    <t>Record ID</t>
  </si>
  <si>
    <t>[Name]</t>
  </si>
  <si>
    <t>[Component (Name)]</t>
  </si>
  <si>
    <t>Component (Name)</t>
  </si>
  <si>
    <t>[Module-Coverage-Intervention Reference (Name)]</t>
  </si>
  <si>
    <t>Name</t>
  </si>
  <si>
    <t>--Select--</t>
  </si>
  <si>
    <t>PickListValue</t>
  </si>
  <si>
    <t>PickListKey</t>
  </si>
  <si>
    <t>Recipient Type</t>
  </si>
  <si>
    <t>[Account (Name)]</t>
  </si>
  <si>
    <t>[Organization ID]</t>
  </si>
  <si>
    <t>Account</t>
  </si>
  <si>
    <t>Organization ID</t>
  </si>
  <si>
    <t>Unique</t>
  </si>
  <si>
    <t>Y4</t>
  </si>
  <si>
    <t>Y5</t>
  </si>
  <si>
    <t>Y6</t>
  </si>
  <si>
    <t>Y7</t>
  </si>
  <si>
    <t>Y8</t>
  </si>
  <si>
    <t>Y9</t>
  </si>
  <si>
    <t>Y10</t>
  </si>
  <si>
    <t>Multilateral - Other UN Agency</t>
  </si>
  <si>
    <t>Multilateral – Other</t>
  </si>
  <si>
    <t>AIM_Detailed_Budget_Line__c.AIM_Quarter__c</t>
  </si>
  <si>
    <t>Type of Implementation Entity</t>
  </si>
  <si>
    <t>Account Id</t>
  </si>
  <si>
    <t>Type of Implementing Entity</t>
  </si>
  <si>
    <t>Module Id</t>
  </si>
  <si>
    <t>Start Date</t>
  </si>
  <si>
    <t>End Date</t>
  </si>
  <si>
    <t>Countries:</t>
  </si>
  <si>
    <t>[Geography (Name)]</t>
  </si>
  <si>
    <t>Geography (Name)</t>
  </si>
  <si>
    <t>[Project (Name)]</t>
  </si>
  <si>
    <t>Project (Name)</t>
  </si>
  <si>
    <t>Grant Countries</t>
  </si>
  <si>
    <t>Account (Name)</t>
  </si>
  <si>
    <t>Account Roles:(for Multi Countries)</t>
  </si>
  <si>
    <t>Cost Inputs:</t>
  </si>
  <si>
    <t>[Unit Cost Definition]</t>
  </si>
  <si>
    <t>Unit Cost Definition</t>
  </si>
  <si>
    <t>Activity</t>
  </si>
  <si>
    <t xml:space="preserve">Module </t>
  </si>
  <si>
    <t xml:space="preserve">Intervention </t>
  </si>
  <si>
    <t>QUARTER 1 YEAR 1</t>
  </si>
  <si>
    <t>QUARTER 2 YEAR 1</t>
  </si>
  <si>
    <t>Amount</t>
  </si>
  <si>
    <t>QUARTER 3 YEAR 1</t>
  </si>
  <si>
    <t>Module Reference ID</t>
  </si>
  <si>
    <t>Intervention Reference ID</t>
  </si>
  <si>
    <t>Implementing Entity</t>
  </si>
  <si>
    <t>QUARTER 4 YEAR 1</t>
  </si>
  <si>
    <t>QUARTER 1 YEAR 2</t>
  </si>
  <si>
    <t>QUARTER 2 YEAR 2</t>
  </si>
  <si>
    <t>QUARTER 3 YEAR 2</t>
  </si>
  <si>
    <t>QUARTER 4 YEAR 2</t>
  </si>
  <si>
    <t>QUARTER 1 YEAR 3</t>
  </si>
  <si>
    <t>QUARTER 2 YEAR 3</t>
  </si>
  <si>
    <t>QUARTER 3 YEAR 3</t>
  </si>
  <si>
    <t>QUARTER 4 YEAR 3</t>
  </si>
  <si>
    <t>QUARTER 1 YEAR 4</t>
  </si>
  <si>
    <t>QUARTER 2 YEAR 4</t>
  </si>
  <si>
    <t>QUARTER 3 YEAR 4</t>
  </si>
  <si>
    <t>QUARTER 4 YEAR 4</t>
  </si>
  <si>
    <t>Implementation Period ID</t>
  </si>
  <si>
    <t>IP ID</t>
  </si>
  <si>
    <t>Component Name</t>
  </si>
  <si>
    <t>Quarter End Date</t>
  </si>
  <si>
    <t>[Cost Grouping Number]</t>
  </si>
  <si>
    <t>Cost Grouping Number</t>
  </si>
  <si>
    <t>[Cost Input Number]</t>
  </si>
  <si>
    <t>Cost Input Number</t>
  </si>
  <si>
    <t>b</t>
  </si>
  <si>
    <t>c</t>
  </si>
  <si>
    <t>d</t>
  </si>
  <si>
    <t>e</t>
  </si>
  <si>
    <t>[Cost Grouping (Name)]</t>
  </si>
  <si>
    <t>Cost Grouping (Name)</t>
  </si>
  <si>
    <t>[Geography]</t>
  </si>
  <si>
    <t>Geography</t>
  </si>
  <si>
    <t>Geography Id</t>
  </si>
  <si>
    <t>Cost Input No</t>
  </si>
  <si>
    <t>Cost Grouping No</t>
  </si>
  <si>
    <t>Payment currency</t>
  </si>
  <si>
    <t>Unit cost in payment currency</t>
  </si>
  <si>
    <t>Unit cost in grant currency</t>
  </si>
  <si>
    <t>Budget Line Number</t>
  </si>
  <si>
    <t>Number</t>
  </si>
  <si>
    <t>Type of Implementer</t>
  </si>
  <si>
    <t>Geography/Location</t>
  </si>
  <si>
    <t>Implementer</t>
  </si>
  <si>
    <t>free text</t>
  </si>
  <si>
    <t>Qualitative details</t>
  </si>
  <si>
    <t>Short description of the intervention</t>
  </si>
  <si>
    <t>Module - Intervention name</t>
  </si>
  <si>
    <t>Funding Request - Key Additional Information</t>
  </si>
  <si>
    <t xml:space="preserve">• A description of the intervention, including details of:
o the target population and geographic scope;
o the implementation approach; 
o other relevant information. </t>
  </si>
  <si>
    <t>• Qualitative details (if available):
o cost assumptions (e.g. latest historical cost, quotations provided by vendors etc.); 
o reference to development partners costing tools (where applicable) [such as Roll Back Malaria (RBM) costing for malaria, World Health Organization (WHO) TB costing tool, One Health Tool, etc...]</t>
  </si>
  <si>
    <t>3rd Party Direct Payment</t>
  </si>
  <si>
    <t>Group of Countries (Name)</t>
  </si>
  <si>
    <t>Group of Countries</t>
  </si>
  <si>
    <t>Allocation Utilisation Period End Date</t>
  </si>
  <si>
    <t>Allocation Utilisation Period Start Date</t>
  </si>
  <si>
    <r>
      <t xml:space="preserve">Set up your quarters for budgeting below </t>
    </r>
    <r>
      <rPr>
        <sz val="12"/>
        <rFont val="Arial"/>
        <family val="2"/>
      </rPr>
      <t>(delete all values for quarter end dates after the IP End Date)</t>
    </r>
  </si>
  <si>
    <t>&lt;= This column is to input geographical areas relevant to identified implementers. This can be countries or other geographical areas (such as states). This is not a mandatory field for all applications. Refer to the Detailed Budget Template guidelines for guidance on when to complete.</t>
  </si>
  <si>
    <r>
      <t xml:space="preserve">New Global Fund Implementer Name </t>
    </r>
    <r>
      <rPr>
        <sz val="12"/>
        <color theme="1"/>
        <rFont val="Arial"/>
        <family val="2"/>
      </rPr>
      <t>(manually enter the names of Implementers if not found as an Existing Implementer)</t>
    </r>
  </si>
  <si>
    <r>
      <t xml:space="preserve">Existing Global Fund Implementer Name </t>
    </r>
    <r>
      <rPr>
        <sz val="12"/>
        <color theme="1"/>
        <rFont val="Arial"/>
        <family val="2"/>
      </rPr>
      <t>(Select Implementers that have previously had Grants with the Global Fund)</t>
    </r>
  </si>
  <si>
    <t>Module Name</t>
  </si>
  <si>
    <t>Module2</t>
  </si>
  <si>
    <t>[Module (Name)]</t>
  </si>
  <si>
    <t>Multicountry Southern Africa SADC</t>
  </si>
  <si>
    <t>Multicountry Caribbean CARICOM-PANCAP</t>
  </si>
  <si>
    <t>Multicountry Americas EMMIE</t>
  </si>
  <si>
    <t>Multicountry Caribbean MCC</t>
  </si>
  <si>
    <t>Multicountry Central Americas REDCA</t>
  </si>
  <si>
    <t>Multicountry Americas REDTRASEX</t>
  </si>
  <si>
    <t>Multicountry East Asia and Pacific APN</t>
  </si>
  <si>
    <t>Multicountry East Asia and Pacific HIVOS</t>
  </si>
  <si>
    <t>Multicountry East Asia and Pacific RAI</t>
  </si>
  <si>
    <t>Multicountry EECA EHRN</t>
  </si>
  <si>
    <t>Multicountry MENA HRA</t>
  </si>
  <si>
    <t>Multicountry Southern Africa HIVOS</t>
  </si>
  <si>
    <t>Multicountry Southern Africa ARASA</t>
  </si>
  <si>
    <t>Multicountry Eastern Africa KANCO</t>
  </si>
  <si>
    <t>Multicountry Eastern Africa ANECCA</t>
  </si>
  <si>
    <t>Multicountry West Africa ALCO</t>
  </si>
  <si>
    <t>Multicountry Eastern Africa IGAD</t>
  </si>
  <si>
    <t>Multicountry Southern Africa E9</t>
  </si>
  <si>
    <t>Multicountry Southern Africa E10</t>
  </si>
  <si>
    <t>Multicountry Southern Africa E11</t>
  </si>
  <si>
    <t>Multicountry Southern Africa E12</t>
  </si>
  <si>
    <t>Multicountry Southern Africa WHC</t>
  </si>
  <si>
    <t>Multicountry Africa ECSA-HC</t>
  </si>
  <si>
    <t>Multicountry EECA ECUO</t>
  </si>
  <si>
    <t>Multicountry EECA PAS</t>
  </si>
  <si>
    <t>Multicountry Americas ICW</t>
  </si>
  <si>
    <t>Multicountry Americas REDLACTRANS</t>
  </si>
  <si>
    <t>Multicountry EECA ECOM</t>
  </si>
  <si>
    <t>Multicountry Western Africa ANCS</t>
  </si>
  <si>
    <t>Multicountry Middle East MER</t>
  </si>
  <si>
    <t>Multicountry EECA IHAU</t>
  </si>
  <si>
    <t>Multicountry Western Africa HI</t>
  </si>
  <si>
    <t>Multicountry South-Eastern Asia AFAO</t>
  </si>
  <si>
    <t>Multicountry Asia IHAA</t>
  </si>
  <si>
    <t>Multicountry Southern Africa MOSASWA</t>
  </si>
  <si>
    <t>Multicountry West Africa ITPC</t>
  </si>
  <si>
    <t>Multicountry Americas CVC-COIN</t>
  </si>
  <si>
    <t>Multilateral – UNDP</t>
  </si>
  <si>
    <t xml:space="preserve">     </t>
  </si>
  <si>
    <t>AIM_Detailed_Budget_Line__c.AIM_Recipient_Type__c</t>
  </si>
  <si>
    <t>PR</t>
  </si>
  <si>
    <t>SR</t>
  </si>
  <si>
    <t>LI</t>
  </si>
  <si>
    <t>Funding Request</t>
  </si>
  <si>
    <t>Funding Request (Name)</t>
  </si>
  <si>
    <t>Module Record Id</t>
  </si>
  <si>
    <t>Concatenation of Intervention and Module Ids</t>
  </si>
  <si>
    <t>aff47a25-140e-4ba6-a429-5dc3f1b5460e</t>
  </si>
  <si>
    <t>AIM_Detailed_Budget_Line__c.AIM_Currency__c</t>
  </si>
  <si>
    <t>ZWD</t>
  </si>
  <si>
    <t>AIM_Detailed_Budget_Line__c.AIM_Year__c</t>
  </si>
  <si>
    <t>Y1</t>
  </si>
  <si>
    <t>Y2</t>
  </si>
  <si>
    <t>Y3</t>
  </si>
  <si>
    <t>AIM_Detailed_Budget_Line__c.AIM_Type_of_Implementing_Entity__c</t>
  </si>
  <si>
    <t>AIM_Detailed_Budget_Line__c.AIM_Payment_currency__c</t>
  </si>
  <si>
    <t>AIM_Cost_Grouping__c.AIM_Unit_Cost_Definition__c</t>
  </si>
  <si>
    <t>Average payment per FTE (person) per quarter</t>
  </si>
  <si>
    <t>Average gross salary per FTE (person) per quarter</t>
  </si>
  <si>
    <t>Average cost of event per person per day</t>
  </si>
  <si>
    <t>Average cost of training per person per day</t>
  </si>
  <si>
    <t>Average cost of subsistence per person per day</t>
  </si>
  <si>
    <t>Average cost of event per participant per day</t>
  </si>
  <si>
    <t>Average fee per person, per workday</t>
  </si>
  <si>
    <t>Consultant fee per person per workday</t>
  </si>
  <si>
    <t>N/A</t>
  </si>
  <si>
    <t>Cost of a pack</t>
  </si>
  <si>
    <t>Cost of a pack (possibly subsidized)</t>
  </si>
  <si>
    <t>Subsidy per pack</t>
  </si>
  <si>
    <t>Cost of a net</t>
  </si>
  <si>
    <t>Cost of a unit</t>
  </si>
  <si>
    <t>Cost of a vehicle</t>
  </si>
  <si>
    <t>Average cost of a spot/program</t>
  </si>
  <si>
    <t>Average cost of a set of promotional materials per person</t>
  </si>
  <si>
    <t>Average office cost per office unit per quarter</t>
  </si>
  <si>
    <t>Average cost per person per year</t>
  </si>
  <si>
    <t>Average cost of support package per person per quarter</t>
  </si>
  <si>
    <t>Average amount of incentives per person per quarter</t>
  </si>
  <si>
    <t>Average amount of a micro-loan/grant</t>
  </si>
  <si>
    <t>LAO-H-GFMOH</t>
  </si>
  <si>
    <t>IP-2348</t>
  </si>
  <si>
    <t>a1K360000061p6MEAQ</t>
  </si>
  <si>
    <t>FR100-LAO-H</t>
  </si>
  <si>
    <t>a443600000052T8AAI</t>
  </si>
  <si>
    <t>HIV/AIDS</t>
  </si>
  <si>
    <t>Comprehensive prevention programs for MSM</t>
  </si>
  <si>
    <t>MCI-00534</t>
  </si>
  <si>
    <t>a1O36000001qZ7vEAE</t>
  </si>
  <si>
    <t>Comprehensive prevention programs for people who inject drugs (PWID) and their partners</t>
  </si>
  <si>
    <t>MCI-00003</t>
  </si>
  <si>
    <t>a1O36000001EGFDEA4</t>
  </si>
  <si>
    <t>Comprehensive prevention programs for sex workers and their clients</t>
  </si>
  <si>
    <t>MCI-00002</t>
  </si>
  <si>
    <t>a1O36000001EGFCEA4</t>
  </si>
  <si>
    <t>Comprehensive prevention programs for TGs</t>
  </si>
  <si>
    <t>MCI-00531</t>
  </si>
  <si>
    <t>a1O36000001qZ7sEAE</t>
  </si>
  <si>
    <t>Comprehensive programs for people in prisons and other closed settings</t>
  </si>
  <si>
    <t>MCI-00532</t>
  </si>
  <si>
    <t>a1O36000001qZ7tEAE</t>
  </si>
  <si>
    <t>HIV Testing Services</t>
  </si>
  <si>
    <t>MCI-00533</t>
  </si>
  <si>
    <t>a1O36000001qZ7uEAE</t>
  </si>
  <si>
    <t>Payment for results</t>
  </si>
  <si>
    <t>MCI-00024</t>
  </si>
  <si>
    <t>a1O36000001EGFYEA4</t>
  </si>
  <si>
    <t>PMTCT</t>
  </si>
  <si>
    <t>MCI-00006</t>
  </si>
  <si>
    <t>a1O36000001EGFGEA4</t>
  </si>
  <si>
    <t>Prevention programs for adolescents and youth, in and out of school</t>
  </si>
  <si>
    <t>MCI-00005</t>
  </si>
  <si>
    <t>a1O36000001EGFFEA4</t>
  </si>
  <si>
    <t>Prevention programs for general population</t>
  </si>
  <si>
    <t>MCI-00000</t>
  </si>
  <si>
    <t>a1O36000001EGFAEA4</t>
  </si>
  <si>
    <t>Prevention programs for other vulnerable populations</t>
  </si>
  <si>
    <t>MCI-00004</t>
  </si>
  <si>
    <t>a1O36000001EGFEEA4</t>
  </si>
  <si>
    <t>Program management</t>
  </si>
  <si>
    <t>MCI-00023</t>
  </si>
  <si>
    <t>a1O36000001EGFXEA4</t>
  </si>
  <si>
    <t>Programs to reduce human rights-related barriers to HIV services</t>
  </si>
  <si>
    <t>MCI-00535</t>
  </si>
  <si>
    <t>a1O36000001qZ7wEAE</t>
  </si>
  <si>
    <t>RSSH: Community responses and systems</t>
  </si>
  <si>
    <t>MCI-00021</t>
  </si>
  <si>
    <t>a1O36000001EGFVEA4</t>
  </si>
  <si>
    <t>RSSH: Financial management systems</t>
  </si>
  <si>
    <t>MCI-00019</t>
  </si>
  <si>
    <t>a1O36000001EGFTEA4</t>
  </si>
  <si>
    <t>RSSH: Health management information systems and M&amp;E</t>
  </si>
  <si>
    <t>MCI-00022</t>
  </si>
  <si>
    <t>a1O36000001EGFWEA4</t>
  </si>
  <si>
    <t>RSSH: Human resources for health (HRH), including community health workers</t>
  </si>
  <si>
    <t>MCI-00015</t>
  </si>
  <si>
    <t>a1O36000001EGFPEA4</t>
  </si>
  <si>
    <t>RSSH: Integrated service delivery and quality improvement</t>
  </si>
  <si>
    <t>MCI-00014</t>
  </si>
  <si>
    <t>a1O36000001EGFOEA4</t>
  </si>
  <si>
    <t>RSSH: National health strategies</t>
  </si>
  <si>
    <t>MCI-00536</t>
  </si>
  <si>
    <t>a1O36000001qZ7xEAE</t>
  </si>
  <si>
    <t>RSSH: Procurement and supply chain management systems</t>
  </si>
  <si>
    <t>MCI-00016</t>
  </si>
  <si>
    <t>a1O36000001EGFQEA4</t>
  </si>
  <si>
    <t>TB/HIV</t>
  </si>
  <si>
    <t>MCI-00009</t>
  </si>
  <si>
    <t>a1O36000001EGFJEA4</t>
  </si>
  <si>
    <t>Treatment, care and support</t>
  </si>
  <si>
    <t>MCI-00007</t>
  </si>
  <si>
    <t>a1O36000001EGFHEA4</t>
  </si>
  <si>
    <t>Behavioral interventions as part of programs for general population</t>
  </si>
  <si>
    <t>a1O36000001EGGKEA4</t>
  </si>
  <si>
    <t>Condoms as part of programs for general population</t>
  </si>
  <si>
    <t>a1O36000001EGGLEA4</t>
  </si>
  <si>
    <t>Diagnosis and treatment of STIs and other sexual health services for general population</t>
  </si>
  <si>
    <t>a1O36000001EGGOEA4</t>
  </si>
  <si>
    <t>Gender-based violence prevention and treatment programs for general population</t>
  </si>
  <si>
    <t>a1O36000001EGGREA4</t>
  </si>
  <si>
    <t>Linkages between HIV programs and RMNCH</t>
  </si>
  <si>
    <t>a1O36000001qZ7yEAE</t>
  </si>
  <si>
    <t>Male circumcision</t>
  </si>
  <si>
    <t>a1O36000001EGGMEA4</t>
  </si>
  <si>
    <t>Orphan and vulnerable children (OVC) package</t>
  </si>
  <si>
    <t>a1O36000001EGGQEA4</t>
  </si>
  <si>
    <t>Other intervention(s) for general population</t>
  </si>
  <si>
    <t>a1O36000001EGGSEA4</t>
  </si>
  <si>
    <t>Addressing stigma, discrimination and violence against sex workers</t>
  </si>
  <si>
    <t>a1O36000001qZ85EAE</t>
  </si>
  <si>
    <t>Behavioral interventions for sex workers</t>
  </si>
  <si>
    <t>a1O36000001EGGZEA4</t>
  </si>
  <si>
    <t>Community empowerment for sex workers</t>
  </si>
  <si>
    <t>a1O36000001qZ84EAE</t>
  </si>
  <si>
    <t>Condoms and lubricant programming for sex workers</t>
  </si>
  <si>
    <t>a1O36000001EGGaEAO</t>
  </si>
  <si>
    <t>Diagnosis and treatment of STIs and other sexual and reproductive health services for sex workers</t>
  </si>
  <si>
    <t>a1O36000001EGGcEAO</t>
  </si>
  <si>
    <t>Harm reduction interventions for sex workers who inject drugs</t>
  </si>
  <si>
    <t>a1O36000001EGGdEAO</t>
  </si>
  <si>
    <t>HIV testing services for sex workers</t>
  </si>
  <si>
    <t>a1O36000001EGGbEAO</t>
  </si>
  <si>
    <t>Interventions for young people who sell sex</t>
  </si>
  <si>
    <t>a1O36000001qZ88EAE</t>
  </si>
  <si>
    <t>Other intervention(s) for sex workers and their clients</t>
  </si>
  <si>
    <t>a1O36000001EGGeEAO</t>
  </si>
  <si>
    <t>Pre-exposure prophylaxis (PrEP) for sex workers</t>
  </si>
  <si>
    <t>a1O36000001qZ86EAE</t>
  </si>
  <si>
    <t>Prevention and management of coinfections and co-morbidities for sex workers</t>
  </si>
  <si>
    <t>a1O36000001qZ87EAE</t>
  </si>
  <si>
    <t>Addressing stigma, discrimination and violence against PWID</t>
  </si>
  <si>
    <t>a1O36000001qZ8AEAU</t>
  </si>
  <si>
    <t>Behavioral interventions for PWID</t>
  </si>
  <si>
    <t>a1O36000001EGGfEAO</t>
  </si>
  <si>
    <t>Community empowerment for PWID</t>
  </si>
  <si>
    <t>a1O36000001qZ89EAE</t>
  </si>
  <si>
    <t>Condoms and lubricant programming for PWID</t>
  </si>
  <si>
    <t>a1O36000001EGGgEAO</t>
  </si>
  <si>
    <t>Diagnosis and treatment of STIs and other sexual health services for PWID</t>
  </si>
  <si>
    <t>a1O36000001EGGiEAO</t>
  </si>
  <si>
    <t>HIV testing services for PWID</t>
  </si>
  <si>
    <t>a1O36000001EGGhEAO</t>
  </si>
  <si>
    <t>Interventions for young people who inject drugs</t>
  </si>
  <si>
    <t>a1O36000001qZ8CEAU</t>
  </si>
  <si>
    <t>Needle and Syringe programs for PWID and their partners</t>
  </si>
  <si>
    <t>a1O36000001EGGjEAO</t>
  </si>
  <si>
    <t>OST and other drug dependence treatment for PWID</t>
  </si>
  <si>
    <t>a1O36000001EGGkEAO</t>
  </si>
  <si>
    <t>Other intervention(s) for IDUs and their partners</t>
  </si>
  <si>
    <t>a1O36000001EGGmEAO</t>
  </si>
  <si>
    <t>Overdose prevention and management</t>
  </si>
  <si>
    <t>a1O36000001qZ8BEAU</t>
  </si>
  <si>
    <t>Prevention and management of coinfections and co-morbidities for PWID</t>
  </si>
  <si>
    <t>a1O36000001EGGlEAO</t>
  </si>
  <si>
    <t>Behavioral interventions for other vulnerable populations</t>
  </si>
  <si>
    <t>a1O36000001EGGnEAO</t>
  </si>
  <si>
    <t>Diagnosis and treatment of STIs and other sexual health services for other vulnerable populations</t>
  </si>
  <si>
    <t>a1O36000001EGGqEAO</t>
  </si>
  <si>
    <t>HIV testing services for other vulnerable populations</t>
  </si>
  <si>
    <t>a1O36000001EGGpEAO</t>
  </si>
  <si>
    <t>Male and female condoms for other vulnerable populations</t>
  </si>
  <si>
    <t>a1O36000001EGGoEAO</t>
  </si>
  <si>
    <t>Other intervention(s) for other vulnerable populations</t>
  </si>
  <si>
    <t>a1O36000001EGGrEAO</t>
  </si>
  <si>
    <t>Addressing stigma, discrimination and legal barriers to care for adolescents and youth</t>
  </si>
  <si>
    <t>a1O36000001qZ8bEAE</t>
  </si>
  <si>
    <t>Behavioral change as part of programs for adolescent and youth</t>
  </si>
  <si>
    <t>a1O36000001EGGsEAO</t>
  </si>
  <si>
    <t>Community mobilization and norms change</t>
  </si>
  <si>
    <t>a1O36000001qZ8aEAE</t>
  </si>
  <si>
    <t>Gender-based violence prevention and treatment programs for adolescents and youth</t>
  </si>
  <si>
    <t>a1O36000001qZ8YEAU</t>
  </si>
  <si>
    <t>HIV testing services for adolescents and youth, in and out of school</t>
  </si>
  <si>
    <t>a1O36000001EGGuEAO</t>
  </si>
  <si>
    <t>Keeping girls in school</t>
  </si>
  <si>
    <t>a1O36000001qZ8dEAE</t>
  </si>
  <si>
    <t>Linkages of HIV, RMNCH, and TB programs for adolescents, girls, and young women</t>
  </si>
  <si>
    <t>a1O36000001EGGvEAO</t>
  </si>
  <si>
    <t>Male and Female condoms for adolescents and youth, in and out of school</t>
  </si>
  <si>
    <t>a1O36000001EGGtEAO</t>
  </si>
  <si>
    <t>Other intervention(s) for adolescent and youth</t>
  </si>
  <si>
    <t>a1O36000001EGGxEAO</t>
  </si>
  <si>
    <t>Pre-exposure prophylaxis (PrEP) for adolescents and youth</t>
  </si>
  <si>
    <t>a1O36000001qZ8ZEAU</t>
  </si>
  <si>
    <t>Socioeconomic approaches</t>
  </si>
  <si>
    <t>a1O36000001qZ8cEAE</t>
  </si>
  <si>
    <t>Other intervention(s) for PMTCT</t>
  </si>
  <si>
    <t>a1O36000001EGH2EAO</t>
  </si>
  <si>
    <t>Prong 1: Primary prevention of HIV infection among women of childbearing age</t>
  </si>
  <si>
    <t>a1O36000001EGGyEAO</t>
  </si>
  <si>
    <t>Prong 2: Preventing unintended pregnancies among women living with HIV</t>
  </si>
  <si>
    <t>a1O36000001EGGzEAO</t>
  </si>
  <si>
    <t>Prong 3: Preventing vertical HIV transmission</t>
  </si>
  <si>
    <t>a1O36000001EGH0EAO</t>
  </si>
  <si>
    <t>Prong 4: Treatment, care and support to mothers living with HIV, their children and families</t>
  </si>
  <si>
    <t>a1O36000001EGH1EAO</t>
  </si>
  <si>
    <t>Counseling and psycho-social support</t>
  </si>
  <si>
    <t>a1O36000001EGH8EAO</t>
  </si>
  <si>
    <t>Differentiated ART service delivery</t>
  </si>
  <si>
    <t>a1O36000001EGH4EAO</t>
  </si>
  <si>
    <t>HIV care</t>
  </si>
  <si>
    <t>a1O36000001EGH3EAO</t>
  </si>
  <si>
    <t>Other intervention(s) for treatment</t>
  </si>
  <si>
    <t>a1O36000001EGHBEA4</t>
  </si>
  <si>
    <t>Prevention, diagnosis and treatment of opportunistic infections</t>
  </si>
  <si>
    <t>a1O36000001EGH7EAO</t>
  </si>
  <si>
    <t>Treatment adherence</t>
  </si>
  <si>
    <t>a1O36000001EGH6EAO</t>
  </si>
  <si>
    <t>Treatment monitoring - Drug resistance surveillance</t>
  </si>
  <si>
    <t>a1O36000001EGH5EAO</t>
  </si>
  <si>
    <t>Treatment monitoring - Viral load</t>
  </si>
  <si>
    <t>a1O36000001qZ8fEAE</t>
  </si>
  <si>
    <t>Collaborative activities with other programs and sectors (TB/HIV)</t>
  </si>
  <si>
    <t>a1O36000001EGHOEA4</t>
  </si>
  <si>
    <t>Community TB/HIV care delivery</t>
  </si>
  <si>
    <t>a1O36000001EGHMEA4</t>
  </si>
  <si>
    <t>Engaging all care providers (TB/HIV)</t>
  </si>
  <si>
    <t>a1O36000001EGHLEA4</t>
  </si>
  <si>
    <t>Key populations (TB/HIV) - Others</t>
  </si>
  <si>
    <t>a1O36000001EGHNEA4</t>
  </si>
  <si>
    <t>Key populations (TB/HIV) - Prisoners</t>
  </si>
  <si>
    <t>a1O36000001qZ8gEAE</t>
  </si>
  <si>
    <t>Other TB/HIV intervention(s)</t>
  </si>
  <si>
    <t>a1O36000001EGHPEA4</t>
  </si>
  <si>
    <t>Removing human rights and gender related barriers to TB/HIV collaborative programming</t>
  </si>
  <si>
    <t>a1O36000001qZ8hEAE</t>
  </si>
  <si>
    <t>TB/HIV collaborative interventions</t>
  </si>
  <si>
    <t>a1O36000001EGHKEA4</t>
  </si>
  <si>
    <t>Improving service delivery infrastructure</t>
  </si>
  <si>
    <t>a1O36000001EGHwEAO</t>
  </si>
  <si>
    <t>Laboratory systems for disease prevention, control, treatment and disease surveillance</t>
  </si>
  <si>
    <t>a1O36000001EGHvEAO</t>
  </si>
  <si>
    <t>Other service delivery intervention(s)</t>
  </si>
  <si>
    <t>a1O36000001EGHxEAO</t>
  </si>
  <si>
    <t>Provider initiated feedback mechanisms</t>
  </si>
  <si>
    <t>a1O36000001qZ91EAE</t>
  </si>
  <si>
    <t>Service organization and facility management</t>
  </si>
  <si>
    <t>a1O36000001EGHuEAO</t>
  </si>
  <si>
    <t>Supportive policy and programmatic environment</t>
  </si>
  <si>
    <t>a1O36000001qZ90EAE</t>
  </si>
  <si>
    <t>Capacity building for health workers, including those at community level</t>
  </si>
  <si>
    <t>a1O36000001EGHyEAO</t>
  </si>
  <si>
    <t>Other health and community workforce intervention(s)</t>
  </si>
  <si>
    <t>a1O36000001EGI1EAO</t>
  </si>
  <si>
    <t>Retention and scale-up of health workers, including for community health workers</t>
  </si>
  <si>
    <t>a1O36000001EGHzEAO</t>
  </si>
  <si>
    <t>National costed supply chain master plan, and implementation</t>
  </si>
  <si>
    <t>a1O36000001EGI2EAO</t>
  </si>
  <si>
    <t>National product selection, registration and quality monitoring</t>
  </si>
  <si>
    <t>a1O36000001qZ8yEAE</t>
  </si>
  <si>
    <t>Other procurement supply chain management intervention(s)</t>
  </si>
  <si>
    <t>a1O36000001EGI4EAO</t>
  </si>
  <si>
    <t>Procurement strategy</t>
  </si>
  <si>
    <t>a1O36000001qZ8xEAE</t>
  </si>
  <si>
    <t>Supply chain infrastructure and development of tools</t>
  </si>
  <si>
    <t>a1O36000001EGI3EAO</t>
  </si>
  <si>
    <t>Other financial management intervention(s)</t>
  </si>
  <si>
    <t>a1O36000001EGICEA4</t>
  </si>
  <si>
    <t>Public financial management (PFM) strengthening</t>
  </si>
  <si>
    <t>a1O36000001EGIBEA4</t>
  </si>
  <si>
    <t>Routine financial management improvement (non-PFM)</t>
  </si>
  <si>
    <t>a1O36000001qZ92EAE</t>
  </si>
  <si>
    <t>Community led advocacy</t>
  </si>
  <si>
    <t>a1O36000001EGIKEA4</t>
  </si>
  <si>
    <t>Community-based monitoring</t>
  </si>
  <si>
    <t>a1O36000001EGIJEA4</t>
  </si>
  <si>
    <t>Institutional capacity building, planning and leadership development</t>
  </si>
  <si>
    <t>a1O36000001EGIMEA4</t>
  </si>
  <si>
    <t>Other community responses and systems intervention(s)</t>
  </si>
  <si>
    <t>a1O36000001EGINEA4</t>
  </si>
  <si>
    <t>Social mobilization, building community linkages, collaboration and coordination</t>
  </si>
  <si>
    <t>a1O36000001EGILEA4</t>
  </si>
  <si>
    <t>Administrative and finance data sources</t>
  </si>
  <si>
    <t>a1O36000001EGIREA4</t>
  </si>
  <si>
    <t>Analysis, review and transparency</t>
  </si>
  <si>
    <t>a1O36000001EGIPEA4</t>
  </si>
  <si>
    <t>Other health information systems and M&amp;E intervention(s)</t>
  </si>
  <si>
    <t>a1O36000001EGITEA4</t>
  </si>
  <si>
    <t>Program and data quality</t>
  </si>
  <si>
    <t>a1O36000001qZ8zEAE</t>
  </si>
  <si>
    <t>Routine reporting</t>
  </si>
  <si>
    <t>a1O36000001EGIOEA4</t>
  </si>
  <si>
    <t>Surveys</t>
  </si>
  <si>
    <t>a1O36000001EGIQEA4</t>
  </si>
  <si>
    <t>Vital registration system</t>
  </si>
  <si>
    <t>a1O36000001EGISEA4</t>
  </si>
  <si>
    <t>Grant management</t>
  </si>
  <si>
    <t>a1O36000001EGIVEA4</t>
  </si>
  <si>
    <t>Other program management intervention(s)</t>
  </si>
  <si>
    <t>a1O36000001EGIXEA4</t>
  </si>
  <si>
    <t>Policy, planning, coordination and management of national disease control programs</t>
  </si>
  <si>
    <t>a1O36000001EGIUEA4</t>
  </si>
  <si>
    <t>a1O36000001EGIYEA4</t>
  </si>
  <si>
    <t>Addressing stigma, discrimination and violence against TGs</t>
  </si>
  <si>
    <t>a1O36000001qZ8EEAU</t>
  </si>
  <si>
    <t>Behavioral interventions for TGs</t>
  </si>
  <si>
    <t>a1O36000001qZ8FEAU</t>
  </si>
  <si>
    <t>Community empowerment for TGs</t>
  </si>
  <si>
    <t>a1O36000001qZ8DEAU</t>
  </si>
  <si>
    <t>Condoms and lubricant programming for TGs</t>
  </si>
  <si>
    <t>a1O36000001qZ8GEAU</t>
  </si>
  <si>
    <t>Diagnosis and treatment of STIs and sexual health services for TGs</t>
  </si>
  <si>
    <t>a1O36000001qZ8KEAU</t>
  </si>
  <si>
    <t>Harm reduction interventions for TGs with substance use</t>
  </si>
  <si>
    <t>a1O36000001qZ8IEAU</t>
  </si>
  <si>
    <t>HIV testing services for TGs</t>
  </si>
  <si>
    <t>a1O36000001qZ8JEAU</t>
  </si>
  <si>
    <t>Interventions for young transgender people</t>
  </si>
  <si>
    <t>a1O36000001qZ8MEAU</t>
  </si>
  <si>
    <t>Other intervention(s) for TGs</t>
  </si>
  <si>
    <t>a1O36000001qZ8NEAU</t>
  </si>
  <si>
    <t>Pre-exposure prophylaxis (PrEP) and other biomedical interventions for TGs</t>
  </si>
  <si>
    <t>a1O36000001qZ8HEAU</t>
  </si>
  <si>
    <t>Prevention and management of coinfections and co-morbidities for TGs</t>
  </si>
  <si>
    <t>a1O36000001qZ8LEAU</t>
  </si>
  <si>
    <t>Addressing stigma, discrimination and violence against people in prisons and other closed settings</t>
  </si>
  <si>
    <t>a1O36000001qZ8PEAU</t>
  </si>
  <si>
    <t>Behavioral interventions for people in prisons and other closed settings</t>
  </si>
  <si>
    <t>a1O36000001qZ8QEAU</t>
  </si>
  <si>
    <t>Community empowerment for people in prisons and other closed settings</t>
  </si>
  <si>
    <t>a1O36000001qZ8OEAU</t>
  </si>
  <si>
    <t>Condoms and lubricant programming for people in prisons and other closed settings</t>
  </si>
  <si>
    <t>a1O36000001qZ8REAU</t>
  </si>
  <si>
    <t>Diagnosis and treatment of STIs and other sexual and reproductive health services for people in prisons and other closed settings</t>
  </si>
  <si>
    <t>a1O36000001qZ8VEAU</t>
  </si>
  <si>
    <t>Harm reduction interventions for people in prisons and other closed settings</t>
  </si>
  <si>
    <t>a1O36000001qZ8TEAU</t>
  </si>
  <si>
    <t>HIV testing services for people in prisons and other closed settings</t>
  </si>
  <si>
    <t>a1O36000001qZ8UEAU</t>
  </si>
  <si>
    <t>Other intervention(s) for people in prisons and other closed settings</t>
  </si>
  <si>
    <t>a1O36000001qZ8XEAU</t>
  </si>
  <si>
    <t>Pre-exposure prophylaxis (PrEP) for people in prisons and other closed settings</t>
  </si>
  <si>
    <t>a1O36000001qZ8SEAU</t>
  </si>
  <si>
    <t>Prevention and management of coinfections and co-morbidities for people in prisons and other closed settings</t>
  </si>
  <si>
    <t>a1O36000001qZ8WEAU</t>
  </si>
  <si>
    <t>Differentiated HIV testing services</t>
  </si>
  <si>
    <t>a1O36000001qZ8eEAE</t>
  </si>
  <si>
    <t>Addressing stigma, discrimination and violence against MSM</t>
  </si>
  <si>
    <t>a1O36000001qZ80EAE</t>
  </si>
  <si>
    <t>Behavioral interventions for MSM</t>
  </si>
  <si>
    <t>a1O36000001qZ94EAE</t>
  </si>
  <si>
    <t>Community empowerment for MSM</t>
  </si>
  <si>
    <t>a1O36000001qZ7zEAE</t>
  </si>
  <si>
    <t>Condoms and lubricant programming for MSM</t>
  </si>
  <si>
    <t>a1O36000001qZ95EAE</t>
  </si>
  <si>
    <t>Diagnosis and treatment of STIs and other sexual health services for MSM</t>
  </si>
  <si>
    <t>a1O36000001qZ97EAE</t>
  </si>
  <si>
    <t>Harm reduction interventions for MSM who inject drugs</t>
  </si>
  <si>
    <t>a1O36000001qZ82EAE</t>
  </si>
  <si>
    <t>HIV testing services for MSM</t>
  </si>
  <si>
    <t>a1O36000001qZ96EAE</t>
  </si>
  <si>
    <t>Interventions for young men who have sex with men</t>
  </si>
  <si>
    <t>a1O36000001qZ83EAE</t>
  </si>
  <si>
    <t>Other intervention(s) for MSM</t>
  </si>
  <si>
    <t>a1O36000001qZ99EAE</t>
  </si>
  <si>
    <t>Pre-exposure prophylaxis (PrEP) for MSM</t>
  </si>
  <si>
    <t>a1O36000001qZ81EAE</t>
  </si>
  <si>
    <t>Prevention and management of coinfections and co-morbidities for MSM</t>
  </si>
  <si>
    <t>a1O36000001qZ98EAE</t>
  </si>
  <si>
    <t>HIV and HIV/TB-related legal services</t>
  </si>
  <si>
    <t>a1O36000001qZ8lEAE</t>
  </si>
  <si>
    <t>Improving laws, regulations and polices relating to HIV and HIV/TB</t>
  </si>
  <si>
    <t>a1O36000001qZ8nEAE</t>
  </si>
  <si>
    <t>Legal Literacy (“Know Your Rights")</t>
  </si>
  <si>
    <t>a1O36000001qZ8jEAE</t>
  </si>
  <si>
    <t>Other intervention(s) to reduce human rights-related barriers to HIV services</t>
  </si>
  <si>
    <t>a1O36000001qZ93EAE</t>
  </si>
  <si>
    <t>Reducing HIV-related gender discrimination, harmful gender norms and violence against women and girls in all their diversity</t>
  </si>
  <si>
    <t>a1O36000001qZ8oEAE</t>
  </si>
  <si>
    <t>Sensitisation of law-makers and law-enforcement agents</t>
  </si>
  <si>
    <t>a1O36000001qZ8mEAE</t>
  </si>
  <si>
    <t>Stigma and discrimination reduction</t>
  </si>
  <si>
    <t>a1O36000001qZ8iEAE</t>
  </si>
  <si>
    <t>Training of health care providers on human rights and medical ethics related to HIV and HIV/TB</t>
  </si>
  <si>
    <t>a1O36000001qZ8kEAE</t>
  </si>
  <si>
    <t>National health strategies, alignment with disease-specific plans, health sector governance and financing</t>
  </si>
  <si>
    <t>a1O36000001qZ9AEAU</t>
  </si>
  <si>
    <t>Other policy and governance intervention(s)</t>
  </si>
  <si>
    <t>a1O36000001qZ9BEAU</t>
  </si>
  <si>
    <t>a1A360000013M0HEAU</t>
  </si>
  <si>
    <t>United Nations Development Programme</t>
  </si>
  <si>
    <t>0013600000xoEKQAA2</t>
  </si>
  <si>
    <t>United Nations Office for Project Services</t>
  </si>
  <si>
    <t>0013600000xoEIfAAM</t>
  </si>
  <si>
    <t>Ministry of Health of the Lao People's Democratic Republic</t>
  </si>
  <si>
    <t>0013600000xoEHUAA2</t>
  </si>
  <si>
    <t>Human Resources (HR)</t>
  </si>
  <si>
    <t>a2C360000007DA3EAM</t>
  </si>
  <si>
    <t>Salaries - program management</t>
  </si>
  <si>
    <t>a2C360000007DA4EAM</t>
  </si>
  <si>
    <t>Salaries - outreach workers, medical staff and other service providers</t>
  </si>
  <si>
    <t>a2C360000007DAFEA2</t>
  </si>
  <si>
    <t>Performance based suppliments, incentives</t>
  </si>
  <si>
    <t>a2C360000007DAQEA2</t>
  </si>
  <si>
    <t>Other HR Costs</t>
  </si>
  <si>
    <t>a2C360000007DB5EAM</t>
  </si>
  <si>
    <t>Travel related costs (TRC)</t>
  </si>
  <si>
    <t>a2C360000007DAbEAM</t>
  </si>
  <si>
    <t>Training related per diems/transport/other costs</t>
  </si>
  <si>
    <t>a2C360000007DAmEAM</t>
  </si>
  <si>
    <t>Technical Assistance Fees/Consultants</t>
  </si>
  <si>
    <t>a2C360000007DAtEAM</t>
  </si>
  <si>
    <t>Supervision/surveys/data collection related per diems/transport/other costs</t>
  </si>
  <si>
    <t>a2C360000007DB3EAM</t>
  </si>
  <si>
    <t>Meeting/Advocacy related per diems/transport/other costs</t>
  </si>
  <si>
    <t>a2C360000007DB9EAM</t>
  </si>
  <si>
    <t>Other Transportation costs</t>
  </si>
  <si>
    <t>a2C360000007DB6EAM</t>
  </si>
  <si>
    <t>External Professional services (EPS)</t>
  </si>
  <si>
    <t>a2C360000007DBAEA2</t>
  </si>
  <si>
    <t>TA Fees - Consultants</t>
  </si>
  <si>
    <t>a2C360000007DA5EAM</t>
  </si>
  <si>
    <t>Fiscal/Fiduciary Agent fees</t>
  </si>
  <si>
    <t>a2C360000007DA6EAM</t>
  </si>
  <si>
    <t>External audit fees</t>
  </si>
  <si>
    <t>a2C360000007DA7EAM</t>
  </si>
  <si>
    <t>Other external professional services</t>
  </si>
  <si>
    <t>a2C360000007DA8EAM</t>
  </si>
  <si>
    <t>Health Products - Pharmaceutical Products (HPPP)</t>
  </si>
  <si>
    <t>a2C360000007DA9EAM</t>
  </si>
  <si>
    <t>Antiretroviral medicines</t>
  </si>
  <si>
    <t>a2C360000007DAAEA2</t>
  </si>
  <si>
    <t>Anti-tuberculosis medicines</t>
  </si>
  <si>
    <t>a2C360000007DABEA2</t>
  </si>
  <si>
    <t>Antimalarial medicines</t>
  </si>
  <si>
    <t>a2C360000007DACEA2</t>
  </si>
  <si>
    <t>Opioid substitution medicines</t>
  </si>
  <si>
    <t>a2C360000007DADEA2</t>
  </si>
  <si>
    <t>Opportunistic infections and STI medicines</t>
  </si>
  <si>
    <t>a2C360000007DAEEA2</t>
  </si>
  <si>
    <t>Private Sector subsidies for ACTs (co-payment to 4.3)</t>
  </si>
  <si>
    <t>a2C360000007DAGEA2</t>
  </si>
  <si>
    <t>Other medicines</t>
  </si>
  <si>
    <t>a2C360000007DAHEA2</t>
  </si>
  <si>
    <t>Health Products - Non-Pharmaceuticals (HPNP)</t>
  </si>
  <si>
    <t>a2C360000007DAIEA2</t>
  </si>
  <si>
    <t>Insecticide-treated Nets (LLINs/ITNs)</t>
  </si>
  <si>
    <t>a2C360000007DAJEA2</t>
  </si>
  <si>
    <t>Condoms - Male</t>
  </si>
  <si>
    <t>a2C360000007DAKEA2</t>
  </si>
  <si>
    <t>Condoms - Female</t>
  </si>
  <si>
    <t>a2C360000007DALEA2</t>
  </si>
  <si>
    <t>Rapid Diagnostic Test</t>
  </si>
  <si>
    <t>a2C360000007DAMEA2</t>
  </si>
  <si>
    <t>Insecticides</t>
  </si>
  <si>
    <t>a2C360000007DANEA2</t>
  </si>
  <si>
    <t>Laboratory reagents</t>
  </si>
  <si>
    <t>a2C360000007DAOEA2</t>
  </si>
  <si>
    <t>Syringes and needles</t>
  </si>
  <si>
    <t>a2C360000007DAPEA2</t>
  </si>
  <si>
    <t>Other consumables</t>
  </si>
  <si>
    <t>a2C360000007DAREA2</t>
  </si>
  <si>
    <t>Private Sector subsidies for RDTs (co-payment to 5.4)</t>
  </si>
  <si>
    <t>a2C360000007uJgEAI</t>
  </si>
  <si>
    <t>Health Products - Equipment (HPE)</t>
  </si>
  <si>
    <t>a2C360000007DASEA2</t>
  </si>
  <si>
    <t>CD4 analyser/accessories</t>
  </si>
  <si>
    <t>a2C360000007DATEA2</t>
  </si>
  <si>
    <t>HIV Viral Load analyser/accessories</t>
  </si>
  <si>
    <t>a2C360000007DAUEA2</t>
  </si>
  <si>
    <t>Microscopes</t>
  </si>
  <si>
    <t>a2C360000007DAVEA2</t>
  </si>
  <si>
    <t>TB Molecular Test equipment</t>
  </si>
  <si>
    <t>a2C360000007DAWEA2</t>
  </si>
  <si>
    <t>Maintenance and service costs for health equipment</t>
  </si>
  <si>
    <t>a2C360000007DAXEA2</t>
  </si>
  <si>
    <t>Other health equipment</t>
  </si>
  <si>
    <t>a2C360000007DAYEA2</t>
  </si>
  <si>
    <t>Procurement and Supply-Chain Management costs (PSM)</t>
  </si>
  <si>
    <t>a2C360000007DAZEA2</t>
  </si>
  <si>
    <t>Procurement agent and handling fees</t>
  </si>
  <si>
    <t>a2C360000007DAaEAM</t>
  </si>
  <si>
    <t>Freight and insurance costs (Health products)</t>
  </si>
  <si>
    <t>a2C360000007DAcEAM</t>
  </si>
  <si>
    <t>Warehouse and Storage Costs</t>
  </si>
  <si>
    <t>a2C360000007DAdEAM</t>
  </si>
  <si>
    <t>In-country distribution costs</t>
  </si>
  <si>
    <t>a2C360000007DAeEAM</t>
  </si>
  <si>
    <t>Quality assurance and quality control costs (QA/QC)</t>
  </si>
  <si>
    <t>a2C360000007DAfEAM</t>
  </si>
  <si>
    <t>PSM Customs Clearance</t>
  </si>
  <si>
    <t>a2C360000007DAgEAM</t>
  </si>
  <si>
    <t>Other PSM costs</t>
  </si>
  <si>
    <t>a2C360000007DAhEAM</t>
  </si>
  <si>
    <t>Infrastructure (INF)</t>
  </si>
  <si>
    <t>a2C360000007DAiEAM</t>
  </si>
  <si>
    <t>Furniture</t>
  </si>
  <si>
    <t>a2C360000007DAjEAM</t>
  </si>
  <si>
    <t>Renovation/constructions</t>
  </si>
  <si>
    <t>a2C360000007DAkEAM</t>
  </si>
  <si>
    <t>Infrastructure maintenance and other INF costs</t>
  </si>
  <si>
    <t>a2C360000007DAlEAM</t>
  </si>
  <si>
    <t>Non-health equipment (NHP)</t>
  </si>
  <si>
    <t>a2C360000007DAnEAM</t>
  </si>
  <si>
    <t>IT - Computers, computer equipment, Software and applications</t>
  </si>
  <si>
    <t>a2C360000007DAoEAM</t>
  </si>
  <si>
    <t>Vehicles</t>
  </si>
  <si>
    <t>a2C360000007DApEAM</t>
  </si>
  <si>
    <t>Other non-health equipment</t>
  </si>
  <si>
    <t>a2C360000007DAqEAM</t>
  </si>
  <si>
    <t>Maintenance and service costs non-health equipment</t>
  </si>
  <si>
    <t>a2C360000007DArEAM</t>
  </si>
  <si>
    <t>Communication Material and Publications (CMP)</t>
  </si>
  <si>
    <t>a2C360000007D9UEAU</t>
  </si>
  <si>
    <t>Printed materials (forms, books, guidelines, brochure, leaflets...)</t>
  </si>
  <si>
    <t>a2C360000007D9VEAU</t>
  </si>
  <si>
    <t>Television/Radio spots and programmes</t>
  </si>
  <si>
    <t>a2C360000007D9WEAU</t>
  </si>
  <si>
    <t>Promotional Material (t-shirts, mugs, pins...) and other CMP costs</t>
  </si>
  <si>
    <t>a2C360000007D9XEAU</t>
  </si>
  <si>
    <t>Programme Administration costs (PA)</t>
  </si>
  <si>
    <t>a2C360000007DAsEAM</t>
  </si>
  <si>
    <t>Office related costs</t>
  </si>
  <si>
    <t>a2C360000007DAuEAM</t>
  </si>
  <si>
    <t>Unrecoverable taxes and duties</t>
  </si>
  <si>
    <t>a2C360000007DAvEAM</t>
  </si>
  <si>
    <t>Indirect cost recovery (ICR) - % based</t>
  </si>
  <si>
    <t>a2C360000007DAwEAM</t>
  </si>
  <si>
    <t>Other PA costs</t>
  </si>
  <si>
    <t>a2C360000007DAxEAM</t>
  </si>
  <si>
    <t>Living support to client/ target population (LSCTP)</t>
  </si>
  <si>
    <t>a2C360000007DAyEAM</t>
  </si>
  <si>
    <t>OVC Support (school fees, uniforms, books...)</t>
  </si>
  <si>
    <t>a2C360000007DAzEAM</t>
  </si>
  <si>
    <t>Food and care packages</t>
  </si>
  <si>
    <t>a2C360000007DB0EAM</t>
  </si>
  <si>
    <t>Cash incentives/transfer to patients/beneficiaries/counsellors/mediators</t>
  </si>
  <si>
    <t>a2C360000007DB1EAM</t>
  </si>
  <si>
    <t>Micro-loans and micro-grants</t>
  </si>
  <si>
    <t>a2C360000007DB2EAM</t>
  </si>
  <si>
    <t>Other LSCTP costs</t>
  </si>
  <si>
    <t>a2C360000007DB4EAM</t>
  </si>
  <si>
    <t>Payment for Results</t>
  </si>
  <si>
    <t>a2C360000007DB7EAM</t>
  </si>
  <si>
    <t>a2C360000007DB8EAM</t>
  </si>
  <si>
    <t>CHAS</t>
  </si>
  <si>
    <t>LaoPHA</t>
  </si>
  <si>
    <t>PEDA</t>
  </si>
  <si>
    <t>PSI</t>
  </si>
  <si>
    <t>Lab test fee for OI diagnosis</t>
  </si>
  <si>
    <t>Annual program review meeting</t>
  </si>
  <si>
    <t xml:space="preserve"> Referral of MSM/TGs to HTC - Travel cost to refer target group for HIV testing in KM and VTP with target group avaregare 836 per year and MSM and TG (Target 70%)</t>
  </si>
  <si>
    <t>Organise community events for HIV prevention and testing for MSM/TG in 2 provinces KM and VTP</t>
  </si>
  <si>
    <t>Referral of MSM/TGs to STI testing - Travel cost to refer target group for STI testing and treatment;  Y1-Y3 836 ; MSM and TG. KM and VTP</t>
  </si>
  <si>
    <t>Salary for contract staff at CHAS</t>
  </si>
  <si>
    <t>Salary for one contract staff at provincial level</t>
  </si>
  <si>
    <t>Salary for cleaners at ART sites</t>
  </si>
  <si>
    <t>Running cost (communication, fuel, insurance, printing, utilities, rental)</t>
  </si>
  <si>
    <t>Running cost (vehicles, building and equipment maintenance)</t>
  </si>
  <si>
    <t>Annual staff insurance</t>
  </si>
  <si>
    <t>Procure computers for PR staff</t>
  </si>
  <si>
    <t>Internal audit</t>
  </si>
  <si>
    <t>L/Term international consultant (PMU, Finance, Procurement and M&amp;E)</t>
  </si>
  <si>
    <t>Salary for National contract staff</t>
  </si>
  <si>
    <t>External financial audit</t>
  </si>
  <si>
    <t>ACCPAC accounting software maintenance</t>
  </si>
  <si>
    <t>Refer HIV positive case to ART sites for (MSM and TG) - Travel cost for HIV positive of MSM and TG  to ARV site (KM and VTP). Year1: 744</t>
  </si>
  <si>
    <t>Conduct lost follow up for the cases whose did not come to the continuation of medication  treatment and Home visit for clinical ill of PLHIV by peer counsellors</t>
  </si>
  <si>
    <t>Procure ARVs (as per list of health products)</t>
  </si>
  <si>
    <t xml:space="preserve">PSM costs for ARVs </t>
  </si>
  <si>
    <t>Office supplies and stationery for CHAS</t>
  </si>
  <si>
    <t>Fuel for office administration and insurance for vehicles at CHAS</t>
  </si>
  <si>
    <t>Sample transport from provinces for CD4 testing</t>
  </si>
  <si>
    <t>PSM costs for OI/STI drugs</t>
  </si>
  <si>
    <t>Procure RDTs</t>
  </si>
  <si>
    <t xml:space="preserve">PSM costs for RDTs </t>
  </si>
  <si>
    <t>Internet for CHAS office</t>
  </si>
  <si>
    <t>Vehicle maintenance for CHAS</t>
  </si>
  <si>
    <t>Customs clearance</t>
  </si>
  <si>
    <t>Running cost (forms, IT for the 11 ARV Sites in 8 provinces)</t>
  </si>
  <si>
    <t>Anti-stigma and discrimination campaigns in the communities where PLHIV experience stigma and discrimination (LaoPHA/APL+)</t>
  </si>
  <si>
    <t>Support poor PLHIV without family or neglected by family - Cost Support for the poor HIV children without family or neglected by family in 8 provinces; CPS, SVK, KM, VTC, LPB, LNT, BK and HP</t>
  </si>
  <si>
    <t>Annual technical meeting at Provincial level (LaoPHA and PCCA)</t>
  </si>
  <si>
    <t>Bi-Annual monitoring and supervision by LaoPHA and APL+</t>
  </si>
  <si>
    <t xml:space="preserve">Salary for LaoPHA+APL+, staff at Central level </t>
  </si>
  <si>
    <t>Salary for LaoPHA+APL+, provincial coordinators</t>
  </si>
  <si>
    <t>Salary for PE of MSM for LaoPHA in total; 3 KM and 5 VTP</t>
  </si>
  <si>
    <t>Salary Peer counsellors 19 in ART centers</t>
  </si>
  <si>
    <t>Office running costs</t>
  </si>
  <si>
    <t xml:space="preserve">Annual Peers Training on Test and Treat, BCC and IPC technics at Provincial level </t>
  </si>
  <si>
    <t>Referral of FSW to HTC for PSI - Travel cost to refer target group for HIV testing</t>
  </si>
  <si>
    <t>Organise community Test and Treat events with mobile testing on hot spots for PSI</t>
  </si>
  <si>
    <t>Refer HIV positive case to ART sites for PSI (FSW) - Travel cost to ARV site</t>
  </si>
  <si>
    <t>Selection of PE (PSI)</t>
  </si>
  <si>
    <t>Bi-Annual monitoring and supervision to provinces by central (PSI)</t>
  </si>
  <si>
    <t>Regular community events to promote HIV testing and stigma reduction among FSW on hot spots for PSI</t>
  </si>
  <si>
    <t>Referral of FSW to TB site for PSI - Travel cost to refer FSW target group for TB testing and treatment</t>
  </si>
  <si>
    <t>Reward Snowballing net work for FSW testing</t>
  </si>
  <si>
    <t>Annual experience sharing meeting on HIV and TB with SW peers at provincial level</t>
  </si>
  <si>
    <t xml:space="preserve">Salary for PSI staff at Central level </t>
  </si>
  <si>
    <t xml:space="preserve">Salary for PSI staff at provincial level </t>
  </si>
  <si>
    <t xml:space="preserve">Salary for PE for FSW for PSI </t>
  </si>
  <si>
    <t>Office related cost PSI</t>
  </si>
  <si>
    <t>Maintenance for office equipment and utilities</t>
  </si>
  <si>
    <t>Vehicle insurance for PSI office</t>
  </si>
  <si>
    <t>Indirect costs PSI - 5%</t>
  </si>
  <si>
    <t>Bi-annual technical coordination meeting with project partners at Provincial level (PEDA/PCCA/DIC staff/PE)</t>
  </si>
  <si>
    <t>Referral of FSW to HTC for PEDA - Travel cost to refer target group for HIV testing</t>
  </si>
  <si>
    <t>Organise community Test and Treat events with mobile testing on hot spots for PEDA</t>
  </si>
  <si>
    <t>Referral of FSW to STI for PEDA - Travel cost to refer target group for STI testing</t>
  </si>
  <si>
    <t>Refer HIV positive case to ART sites for PEDA (FSW)</t>
  </si>
  <si>
    <t>Bi-Annual monitoring and supervision to provinces by central (PEDA)</t>
  </si>
  <si>
    <t>Regular community events to promote HIV testing and stigma reduction among FSW on hot spots for PEDA</t>
  </si>
  <si>
    <t>Organise events to promote HIV testing and stigma reduction at the drop in centre in KM, SVK, CPS for PEDA</t>
  </si>
  <si>
    <t>Reward Snowballing net work for FSW testing for HIV and also Tested positive</t>
  </si>
  <si>
    <t xml:space="preserve">Salary for PEDA staff at Central level </t>
  </si>
  <si>
    <t>Provincial coordinators for PEDA (3 Provinces)</t>
  </si>
  <si>
    <t>Salary for PE of PEDA (2 SVK, 3 KM, 3 CPS FSW)</t>
  </si>
  <si>
    <t>Office related cost PEDA</t>
  </si>
  <si>
    <t>Vehicle insurance for PEDA office</t>
  </si>
  <si>
    <t>12.5 Other LSCTP costs</t>
  </si>
  <si>
    <t>2.4 Meeting/Advocacy related per diems/transport/other costs</t>
  </si>
  <si>
    <t>2.5 Other Transportation costs</t>
  </si>
  <si>
    <t>1.1 Salaries - program management</t>
  </si>
  <si>
    <t>1.4 Other HR Costs</t>
  </si>
  <si>
    <t>11.1 Office related costs</t>
  </si>
  <si>
    <t>9.4 Maintenance and service costs non-health equipment</t>
  </si>
  <si>
    <t>9.1 IT - Computers, computer equipment, Software and applications</t>
  </si>
  <si>
    <t>3.4 Other external professional services</t>
  </si>
  <si>
    <t>3.1 TA Fees - Consultants</t>
  </si>
  <si>
    <t>3.3 External audit fees</t>
  </si>
  <si>
    <t>2.3 Supervision/surveys/data collection related per diems/transport/other costs</t>
  </si>
  <si>
    <t>4.1 Antiretroviral medicines</t>
  </si>
  <si>
    <t>7.7 Other PSM costs</t>
  </si>
  <si>
    <t>4.5 Opportunistic infections and STI medicines</t>
  </si>
  <si>
    <t>6.1 CD4 analyser/accessories</t>
  </si>
  <si>
    <t>6.2 HIV Viral Load analyser/accessories</t>
  </si>
  <si>
    <t>5.4 Rapid Diagnostic Test</t>
  </si>
  <si>
    <t>7.4 In-country distribution costs</t>
  </si>
  <si>
    <t>7.6 PSM Customs Clearance</t>
  </si>
  <si>
    <t>1.2 Salaries - outreach workers, medical staff and other service providers</t>
  </si>
  <si>
    <t>2.1 Training related per diems/transport/other costs</t>
  </si>
  <si>
    <t>13.0 Payment for Results</t>
  </si>
  <si>
    <t>11.4 Other PA costs</t>
  </si>
  <si>
    <t>11.3 Indirect cost recovery (ICR) - % based</t>
  </si>
  <si>
    <t>PPM</t>
  </si>
  <si>
    <t>3rd party – Other Procurement Agent</t>
  </si>
  <si>
    <t>Nationwide</t>
  </si>
  <si>
    <t>Provincial</t>
  </si>
  <si>
    <t>District</t>
  </si>
  <si>
    <t>Community</t>
  </si>
  <si>
    <t>Regional</t>
  </si>
  <si>
    <t>Gross salary per month (LAK)</t>
  </si>
  <si>
    <t>Gross salary per quarter (LAK)</t>
  </si>
  <si>
    <t>Level of Effort (%)</t>
  </si>
  <si>
    <t>Number of persons</t>
  </si>
  <si>
    <t>Total Cost per quarter</t>
  </si>
  <si>
    <t>Salaries of contracted staff by CHAS programme</t>
  </si>
  <si>
    <t>Project finance officer</t>
  </si>
  <si>
    <t>Project accountant and compliance</t>
  </si>
  <si>
    <t>Project accountant</t>
  </si>
  <si>
    <t>Driver</t>
  </si>
  <si>
    <t>Cleaner</t>
  </si>
  <si>
    <t>Total cost</t>
  </si>
  <si>
    <t>Cost per person per quarter (LAK)</t>
  </si>
  <si>
    <t>Salary of provincial contracted finance, 1x province</t>
  </si>
  <si>
    <t>Accountant</t>
  </si>
  <si>
    <t>Salary for cleaners at ARV sites</t>
  </si>
  <si>
    <t>Cleaner at ART sites</t>
  </si>
  <si>
    <t>42</t>
  </si>
  <si>
    <t>No. people</t>
  </si>
  <si>
    <t>No. of facilities</t>
  </si>
  <si>
    <t>Total per month</t>
  </si>
  <si>
    <t>LaoPHA Director 25%</t>
  </si>
  <si>
    <t>LaoPHA M&amp;E full time</t>
  </si>
  <si>
    <t>Admin officer (30%)</t>
  </si>
  <si>
    <t>Total:</t>
  </si>
  <si>
    <t xml:space="preserve">Salary for LaoPHA+APL+, at Provincial level </t>
  </si>
  <si>
    <t>43</t>
  </si>
  <si>
    <t>Transportation allowance for PC ; 3 PC for LaoPHA and 1 PC for APL+</t>
  </si>
  <si>
    <t>Transportation allowance for (for KM and VTP: MSM+Care and support). The travel cost increased 20$ for support both components</t>
  </si>
  <si>
    <t>44</t>
  </si>
  <si>
    <t>Transportation allowance for PE, 3 KM and 5 VTP</t>
  </si>
  <si>
    <t>Communication allowance for PE, 3 KM and 5 VTP</t>
  </si>
  <si>
    <t>45</t>
  </si>
  <si>
    <t>Transportation cost allowance for Peer counsellors 26  in ART centre. VTC: 5 Setth, 3 MOS, 1 H150, 3 CPS, 5 SVK, 2 KHM, 2 LPB, 1 LNT, 2 BK and 1 HP</t>
  </si>
  <si>
    <t>Communication allowance for Peer counsellors26  in ART centre. VTC: 5 Setth, 3 MOS, 1 H150, 3 CPS, 5 SVK, 2 KHM, 2 LPB, 1 LNT, 2 BK and 1 HP</t>
  </si>
  <si>
    <t>Unit Cost</t>
  </si>
  <si>
    <t>57</t>
  </si>
  <si>
    <t>At 50%</t>
  </si>
  <si>
    <t>Director (25%)</t>
  </si>
  <si>
    <t>Project Coordinator (50%)</t>
  </si>
  <si>
    <t>M&amp;E officer full time</t>
  </si>
  <si>
    <t>Finance officer 30%</t>
  </si>
  <si>
    <t>Accountant officer 30%</t>
  </si>
  <si>
    <t>Admin officer 30%</t>
  </si>
  <si>
    <t>Salary for PSI staff at Provincial level</t>
  </si>
  <si>
    <t>58</t>
  </si>
  <si>
    <t>Provincial coordinator for PSI (1 VTP, 1 VTC) FSW</t>
  </si>
  <si>
    <t>Transportation allowance for PC of PSI (FSW), VTC &amp; VTP</t>
  </si>
  <si>
    <t>59</t>
  </si>
  <si>
    <t>Salary for PE for FSW for PSI (5 VTP, 5 VTC FSW)</t>
  </si>
  <si>
    <t>Transportation allowance for PSI PE (FSW) VTC,VTP</t>
  </si>
  <si>
    <t>Communication allowance for PSI PE (FSW) VTC,VTP</t>
  </si>
  <si>
    <t>73</t>
  </si>
  <si>
    <t>Salary for PEDA staff at Provincial level Y1-3</t>
  </si>
  <si>
    <t>74</t>
  </si>
  <si>
    <t>Provincial coordinatorS for PEDA (3 Provinces)</t>
  </si>
  <si>
    <t xml:space="preserve">Transportation allowance for PC of PEDA </t>
  </si>
  <si>
    <t>75</t>
  </si>
  <si>
    <t>Transportation allowance for PEDA PE (FSW) KM,SVK,CPS</t>
  </si>
  <si>
    <t>Communication allowance for PEDA PE (FSW) KM,SVK,CPS</t>
  </si>
  <si>
    <t xml:space="preserve">Annual review meeting of National Programme </t>
  </si>
  <si>
    <t>Perdiem with overnight for VTC health department</t>
  </si>
  <si>
    <t>Perdiem with out overnight for VTC health department</t>
  </si>
  <si>
    <t>Perdiem with overnight for drivers for VTC health department</t>
  </si>
  <si>
    <t>3 participants are from VTC Health Department
18 participants are from BK, LNT, PSL, HP &amp; ATP province
34 participants are from ODX, LPB, SYL ,XK, BKX, KM, SVK, CPS, SLV, SK province
25 participants are from CHAS
1 Minister from MOH
1 Safeguard of Minister from MOH
14 participants from lines ministry of MOH
8 participants from Central Hospitals
4 participants from PR office
10 participants from other centers
4 participants from LNTV &amp; newspapers
7 participants from CSOs
6 participants from NGOs
3 participants are from VTP province</t>
  </si>
  <si>
    <t>Perdiem with out overnight for drivers for VTC health department</t>
  </si>
  <si>
    <t>Perdiem with overnight for BK, LNT, PSL, HP &amp; ATP province</t>
  </si>
  <si>
    <t>Perdiem with out overnight for BK, LNT, PSL, HP &amp; ATP province</t>
  </si>
  <si>
    <t>Perdiem with overnight for drivers for BK, LNT, PSL, HP &amp; ATP province</t>
  </si>
  <si>
    <t>Perdiem with out overnight for drivers for BK, LNT, PSL, HP &amp; ATP province</t>
  </si>
  <si>
    <t>Perdiem with overnight for ODX, LPB, SYL ,XK, BKX, KM, SVK, CPS, SLV, SK province</t>
  </si>
  <si>
    <t>Perdiem with out overnight for ODX, LPB, SYL ,XK, BKX, KM, SVK, CPS, SLV, SK province</t>
  </si>
  <si>
    <t>Perdiem with overnight for drivers for ODX, LPB, SYL ,XK, BKX, KM, SVK, CPS, SLV, SK province</t>
  </si>
  <si>
    <t>Perdiem with out overnight for drivers for ODX, LPB, SYL ,XK, BKX, KM, SVK, CPS, SLV, SK province</t>
  </si>
  <si>
    <t>Perdiem with overnight for staff from CHAS</t>
  </si>
  <si>
    <t>Perdiem with out overnight for staff from CHAS</t>
  </si>
  <si>
    <t>Perdiem with overnight for drivers from CHAS</t>
  </si>
  <si>
    <t>Perdiem with out overnight for drivers from CHAS</t>
  </si>
  <si>
    <t>Perdiem with overnight for minister of MOH</t>
  </si>
  <si>
    <t>Perdiem with out overnight for minister of MOH</t>
  </si>
  <si>
    <t>Perdiem with over night for driver &amp; safeguard of minister MOH</t>
  </si>
  <si>
    <t>Perdiem with out over night for driver &amp; safeguard of minister MOH</t>
  </si>
  <si>
    <t>Perdiem with overnight for participants from line ministry of MOH</t>
  </si>
  <si>
    <t>Perdiem with out overnight for participants from line ministry of MOH</t>
  </si>
  <si>
    <t>Perdiem with overnight for drivers from line ministry of MOH</t>
  </si>
  <si>
    <t>Perdiem with out overnight for drivers from line ministry of MOH</t>
  </si>
  <si>
    <t>Perdiem with overnight for participants from central hospital</t>
  </si>
  <si>
    <t>Perdiem with out overnight for participants from central hospital</t>
  </si>
  <si>
    <t>Perdiem with overnight for drivers from central hospital</t>
  </si>
  <si>
    <t>Perdiem with out overnight for drivers from central hospital</t>
  </si>
  <si>
    <t>Perdiem with overnight for participants from PR office</t>
  </si>
  <si>
    <t>Perdiem with out overnight for participants from PR office</t>
  </si>
  <si>
    <t>Perdiem with overnight for drivers from PR office</t>
  </si>
  <si>
    <t>Perdiem with out overnight for drivers from PR office</t>
  </si>
  <si>
    <t>Perdiem with overnight for participants from other centers</t>
  </si>
  <si>
    <t>Perdiem with out overnight for participants from other centers</t>
  </si>
  <si>
    <t>Perdiem with overnight for drivers from other centers</t>
  </si>
  <si>
    <t>Perdiem with out overnight for drivers from other centers</t>
  </si>
  <si>
    <t>Perdiem with overnight for participants from LNTV &amp; newspapers</t>
  </si>
  <si>
    <t>Perdiem with out overnight for participants from LNTV &amp; newspapers</t>
  </si>
  <si>
    <t>Perdiem with overnight for drivers from LNTV &amp; newspapers</t>
  </si>
  <si>
    <t>Perdiem with out overnight for drivers from LNTV &amp; newspapers</t>
  </si>
  <si>
    <t>Perdiem with overnight for participants from CSOs</t>
  </si>
  <si>
    <t>Perdiem with out overnight for participants from CSOs</t>
  </si>
  <si>
    <t>Gasoline for VTC province (distance=71+15=86 Km)</t>
  </si>
  <si>
    <t>Gasoline for BK province (distance=893-56=837 Km)</t>
  </si>
  <si>
    <t>Gasoline for LNT province (distance=699-56=643 Km)</t>
  </si>
  <si>
    <t>Gasoline for PSL province (distance=816-56=760 Km)</t>
  </si>
  <si>
    <t>Gasoline for ODX province (distance=584-56=528 Km)</t>
  </si>
  <si>
    <t>Gasoline for HP province (distance=640-56=584 Km)</t>
  </si>
  <si>
    <t>Gasoline for LPB province (distance=387-56=331 Km)</t>
  </si>
  <si>
    <t>Gasoline for VTP province (in local)</t>
  </si>
  <si>
    <t>Gasoline for KM province (distance=353+86=439 Km)</t>
  </si>
  <si>
    <t>Gasoline for SVK province (distance=469+86=555 Km)</t>
  </si>
  <si>
    <t>Gasoline for CPS province (distance=675+86=761 Km)</t>
  </si>
  <si>
    <t>Gasoline for SYL province (distance=459-56=403 Km)</t>
  </si>
  <si>
    <t>Gasoline for XK province (distance=390-56=334 Km)</t>
  </si>
  <si>
    <t>Gasoline for BKX province (distance=150+86=236 Km)</t>
  </si>
  <si>
    <t>Gasoline for SLV province (distance=683+86=769 Km)</t>
  </si>
  <si>
    <t>Gasoline for SK province (distance=814+86=900 Km)</t>
  </si>
  <si>
    <t>Gasoline for ATP province (distance=838+86=924 Km)</t>
  </si>
  <si>
    <t>Gasoline for CHAS (distance=71+15=86 Km)</t>
  </si>
  <si>
    <t>Gasoline for minister of MOH (distance=71+15=86 Km)</t>
  </si>
  <si>
    <t>Gasoline for MOH (distance=71+15=86 Km)</t>
  </si>
  <si>
    <t>Gasoline for Hospitals in VTC (distance=71+15=86 Km)</t>
  </si>
  <si>
    <t>Gasoline for PR Office (distance=71+15=86 Km)</t>
  </si>
  <si>
    <t>Gasoline for Other Centre of MOH (distance=71+15=86 Km)</t>
  </si>
  <si>
    <t>Gasoline for LNTV &amp; newspapers (distance=71+15=86 Km)</t>
  </si>
  <si>
    <t>Gasoline for CSOs (distance=71+15=86 Km)</t>
  </si>
  <si>
    <t>Gasoline for meeting service</t>
  </si>
  <si>
    <t>Room rental</t>
  </si>
  <si>
    <t>Coffee break for participants</t>
  </si>
  <si>
    <t>Stationery</t>
  </si>
  <si>
    <t>Cost per person per day (LAK)</t>
  </si>
  <si>
    <t>Budget line No.</t>
  </si>
  <si>
    <t>Unit cost</t>
  </si>
  <si>
    <t>No. of persons</t>
  </si>
  <si>
    <t>Duration</t>
  </si>
  <si>
    <t>Total in LAK</t>
  </si>
  <si>
    <t>Conduct lost follow up by peer cousellors for the cases whose did not come to the continuation of medication  treatment (5 days per quarter per province, 3 people)</t>
  </si>
  <si>
    <t xml:space="preserve">DSA for over night stay for peer counsellors team in self support group </t>
  </si>
  <si>
    <t xml:space="preserve">DSA for return day  peer counsellors team peer counsellors team in self support group </t>
  </si>
  <si>
    <t>Travel cost for team</t>
  </si>
  <si>
    <t>Total per follow up</t>
  </si>
  <si>
    <t>Average cost per person per day</t>
  </si>
  <si>
    <t xml:space="preserve"> Duration (days)</t>
  </si>
  <si>
    <t xml:space="preserve"> Referral of MSM/TGs to HTC </t>
  </si>
  <si>
    <t>2 Provinces: VTP and KHM</t>
  </si>
  <si>
    <t>Travel cost to refer target group for HIV testing in KM and VTP with target group avaregare 836 per year and MSM and TG (Target 70%)</t>
  </si>
  <si>
    <t>Total Act: 1</t>
  </si>
  <si>
    <t xml:space="preserve"> Organise community events for HIV prevention and testing for MSM/TG in 2 provinces KM and VTP</t>
  </si>
  <si>
    <t xml:space="preserve">Travel cost for LaoPHA staffs from VTC to KM provinces </t>
  </si>
  <si>
    <t xml:space="preserve">Rate of location renting for meeting room </t>
  </si>
  <si>
    <t>Rate of Coffee break</t>
  </si>
  <si>
    <t xml:space="preserve">Sport event, Q&amp;A for test and treat, VDO show in 13 districts </t>
  </si>
  <si>
    <t>Total Act: 2</t>
  </si>
  <si>
    <t>Referral of MSM/TGs to STI testing</t>
  </si>
  <si>
    <t>Travel cost to refer target group for STI testing and treatment;  Y1-Y3 836 ; MSM and TG. KM and VTP</t>
  </si>
  <si>
    <t>Total: 3</t>
  </si>
  <si>
    <t>Refer HIV positive case to ART sites for (MSM and TG)</t>
  </si>
  <si>
    <t>Travel cost for HIV positive of MSM and TG  to ARV site (KM and VTP). Year1: 744</t>
  </si>
  <si>
    <t>Total: 4</t>
  </si>
  <si>
    <t xml:space="preserve">Total HIV Prevention and Testing MSM/TG: </t>
  </si>
  <si>
    <t>8 Provinces: CPS, SVK, KM, VTC, LPB, LNT, BK and HP</t>
  </si>
  <si>
    <t xml:space="preserve">Travel cost for  Team overnight (Peer ART ) </t>
  </si>
  <si>
    <t>Gasoline for team returning day</t>
  </si>
  <si>
    <t>Total: 1</t>
  </si>
  <si>
    <t>8 Provinces: CPS, SVK, KM, VTC, LPB,LNT, BK and HP</t>
  </si>
  <si>
    <t>Travel cost ( Mini bus rental)</t>
  </si>
  <si>
    <t>Petrol for coordination and selection place</t>
  </si>
  <si>
    <t>Snack refresher for all participants 50 people per each session</t>
  </si>
  <si>
    <t>Material for campaigns activity, including evaluation form, stationaries, flip chart and markers</t>
  </si>
  <si>
    <t>Total: 2</t>
  </si>
  <si>
    <t>Support poor PLHIV without family or neglected by family</t>
  </si>
  <si>
    <t>Cost Support for the poor HIV children without family or neglected by family in 8 provinces; CPS, SVK, KM, VTC, LPB, LNT, BK and HP</t>
  </si>
  <si>
    <t>Total Act: 3</t>
  </si>
  <si>
    <t xml:space="preserve">Total Care and Support: </t>
  </si>
  <si>
    <t>DSA over night stay for LaoPHA and APL+ project manager attend the provincial meeting (6 provinces namely; CPS, SVK, KM, VTP, LPB and HP)</t>
  </si>
  <si>
    <t>DSA return day for LaoPHA and APL+ project manager attend the provincial meeting (6 provinces namely; CPS, SVK, KM, VTP, LPB and HP)</t>
  </si>
  <si>
    <t>DSA for 5 MSM/TG PE, 5 Peer PLHIV both in ART and Self support group PLIHIV, 3Health care 2providers and PCCA;  CPS, SVK, KM, VTC, VTP, LPB and HP</t>
  </si>
  <si>
    <t>Travel cost for 5 MSM/TG PE, 5 Peer PLHIV both in ART and Self support group PLIHIV, 3Health care 2providers and PCCA;   CPS, SVK, KM, VTC, VTP, LPB and HP</t>
  </si>
  <si>
    <t>Meeting room</t>
  </si>
  <si>
    <t xml:space="preserve">Gasoline for meeting service and local coordination </t>
  </si>
  <si>
    <t>Rate of Material/time</t>
  </si>
  <si>
    <t xml:space="preserve">Total: </t>
  </si>
  <si>
    <t xml:space="preserve">8 Provinces for care: CPS, SVK, KM, VTC, LPB, LNT, BK and HP; 2 provinces of MSM/TG: KM and VTP </t>
  </si>
  <si>
    <t>DSA for over night stay for 2 LaoPHA, 1 M and E, 1 Manager and 1 APL+ staffs</t>
  </si>
  <si>
    <t>DSA for over night stay for provincial coordinator and PCCA; 1 PC and 1 PCCA</t>
  </si>
  <si>
    <t>DSA for returning day for 2 LaoPHA, 1 M and E, 1 Manager and 1 APL+ staffs</t>
  </si>
  <si>
    <t>DSA for returning day for provincial coordinator and PCCA; 1 PC and 1 PCCA</t>
  </si>
  <si>
    <t>Total: M and E</t>
  </si>
  <si>
    <t>Act. No.</t>
  </si>
  <si>
    <t>DSA for over night stay for central staff</t>
  </si>
  <si>
    <t>DSA for returning day</t>
  </si>
  <si>
    <t>Trainers fee</t>
  </si>
  <si>
    <t>Travel cost per person per time for central staff to Luangprabang</t>
  </si>
  <si>
    <t>Travel cost per person per time for central staff to Vientiane province</t>
  </si>
  <si>
    <t>DSA for over night stay for Peers (Vangvieng 3)</t>
  </si>
  <si>
    <t>DSA for returning day for Peers travelling more than 50KM (Vangvieng)</t>
  </si>
  <si>
    <t>DSA for Training day for Peers and Coordinators travelling less than 50KM: Peers 8, Coordinators 2, PCCA 2</t>
  </si>
  <si>
    <t>Travel cost per person from province per time for VTC Peers 5, Coordinator 1, PCCA 2</t>
  </si>
  <si>
    <t>Travel cost per person from province per time for Luangprabang (LPB, Chomphet, Xiengeagn) Peers 7, Coordinator 1, PCCA 2</t>
  </si>
  <si>
    <t>Travel cost per person from province per time for Luangprabang (Numbak) Peers 1</t>
  </si>
  <si>
    <t>Travel cost per person from province per time for Vientiane province (Phonehong, Keoudom, Viengkham, Thoulakhom) Peer 3, Coordinator 1, PCCA 2</t>
  </si>
  <si>
    <t>Travel cost per person from province per time for Vientiane province (Vangvieng) DCCA 1, Peers 2</t>
  </si>
  <si>
    <t>Rate of Coffee break (Province 45 + PSI 1)</t>
  </si>
  <si>
    <t>Referral of FSW to HTC for PSI</t>
  </si>
  <si>
    <t>Travel cost to refer target group for HIV testing</t>
  </si>
  <si>
    <t>Travel cost per person per time for Luangprabang</t>
  </si>
  <si>
    <t>Travel cost per person per time for Vientiane province</t>
  </si>
  <si>
    <t>DSA for over night stay for Provincial to district Staffs (Vangvieng, Numbak) PCCA 2, Doctor 1, PSI 2</t>
  </si>
  <si>
    <t>DSA for returning day for district staffs travelling more than 50KM (Vangvieng, Numbak) PCCA 2, Doctor 1, PSI 2</t>
  </si>
  <si>
    <t>DSA for provincial team go to district (travelling less than 50KM)
1. LPB: Chomphet, Xiengeun, and LPB districts.
2. VTP: Viengkham, Thoulakhom, Keoudom, Phonhong
3. VTC: Sikhottabong, Sisattanak, Xaysettha, Chanthabouly, Xaythany, Hadsayfong</t>
  </si>
  <si>
    <t>Travel cost for district staffs travelling less than 50KM
1. LPB: Chomphet, Xiengeun, Numbak and LPB districts.
2. VTP: Viengkham, Thoulakhom, Keoudom, Phonhong
3. VTC: Sikhottabong, Sisattanak, Xaysettha, Chanthabouly, Xaythany, Hadsayfong</t>
  </si>
  <si>
    <t xml:space="preserve">Travel cost per person from province per time for Luangprabang (Numbak) </t>
  </si>
  <si>
    <t>Travel cost for provincial team go to district (travelling less than 50KM)
1. LPB: Chomphet, Xiengeun, and LPB districts.
2. VTP: Viengkham, Thoulakhom, Keoudom, Phonhong</t>
  </si>
  <si>
    <t>Travel cost per person from province per time for Vientiane province (Vangvieng)</t>
  </si>
  <si>
    <t>Travel cost per person from province per time for VTC (Sikhottabong, Sisattanak, Xaysettha, Chanthabouly, Xaythany)</t>
  </si>
  <si>
    <t>Rate of location renting in 14 districts</t>
  </si>
  <si>
    <t>Rate of snack for 20 people at one event x 14 districts</t>
  </si>
  <si>
    <t xml:space="preserve">Sport event, Q&amp;A for test and treat in 14 districts </t>
  </si>
  <si>
    <t>Refer HIV positive case to ART sites for PSI (FSW)</t>
  </si>
  <si>
    <t>Travel cost to ARV site</t>
  </si>
  <si>
    <t>DSA for over night stay for provincial coordinator (PC) and PCCA</t>
  </si>
  <si>
    <t>Travel cost per person from province per time for VTEC (Sikhottabong, Sisattanak, Xaysettha, Chanthabouly, Xaythany)</t>
  </si>
  <si>
    <t xml:space="preserve">Travel cost per person from province per time for Vientiane province (Phonehong, Keoudom, Viengkham) </t>
  </si>
  <si>
    <t xml:space="preserve">Travel cost per person from province per time for Vientiane province (Vangvieng) </t>
  </si>
  <si>
    <t>DSA for over night stay for provincial coordinators and PCCA</t>
  </si>
  <si>
    <t>DSA for returning day for central staff</t>
  </si>
  <si>
    <t>DSA for returning day for Provincial staff</t>
  </si>
  <si>
    <t>Travel cost per person from province per time for VTC = 1 persons x 5 districts</t>
  </si>
  <si>
    <t>Travel cost per person from province per time for Vientiane province = 1 persons x 3 districts</t>
  </si>
  <si>
    <t>This community event is aiming to  raise awareness around HIV testing and at the same time team will conduct the activity to reduce the stigma in the hot spots such as beer shops, hair salons at communities. (1 time per Q per province x 3 provinces)</t>
  </si>
  <si>
    <t xml:space="preserve">DSA for over night stay for Provincial to district Staffs VTP </t>
  </si>
  <si>
    <t>DSA for returning day for district staffs travelling more than 50KM  (Vangvieng, Tonpeung and Numbak) 1 VTP PC, 1 LPB PC, 1 BK PC, PCCA 1, PHD 1 x 3 districts</t>
  </si>
  <si>
    <t xml:space="preserve">DSA per person from province per time for VTC (Sikhottabong, Sisattanak, Xaysettha, Chanthabouly, Xaythany) DCCA 1, PCCA 2, PSI 2 in 5 districts. </t>
  </si>
  <si>
    <t xml:space="preserve">Travel cost per person from province per time for VTC (Sikhottabong, Sisattanak, Xaysettha, Chanthabouly, Xaythany) DCCA 1, PCCA 2, PSI 2 in 5 districts. </t>
  </si>
  <si>
    <t>DSA per person from province per time for Vientiane province (Phonehong, Keoudom, Viengkham, Thoulakhom) DCCA 1, PCCA 2, PSI 2</t>
  </si>
  <si>
    <t>Travel cost per person from province per time for Vientiane province (Phonehong, Keoudom, Viengkham, Thoulakhom) DCCA 1, PCCA 2, PSI 2</t>
  </si>
  <si>
    <t>Travel cost per person from province per time for Vientiane province (Vangvieng) DCCA 1, PCCA 2, PSI 2</t>
  </si>
  <si>
    <t>Water and snack for 20 people (including DCCA, PCCA, PHD, PCs, Community people) One time/ Q in one district x 8 districts</t>
  </si>
  <si>
    <t>Referral of FSW to TB site for PSI</t>
  </si>
  <si>
    <t>Travel cost to refer FSW target group for TB testing and treatment</t>
  </si>
  <si>
    <t>Non-monitary Reward Snowballing net work for testing for HIV (1 HIV positive refer 10 persons)</t>
  </si>
  <si>
    <t>Reward Snowballing net work for FSW Tested positive (1% of totall tested)</t>
  </si>
  <si>
    <t>DSA for over night stay for central staff (in 2 provinces not include VTC)</t>
  </si>
  <si>
    <t>Travel cost per person from province per time for VTEC (Sikhottabong, Sisattanak, Xaysettha, Chanthabouly, Xaythany, Hadsayfong) PE 15, PC 1, DCCA 6, PCCA 2, PHD 1, TB team 5</t>
  </si>
  <si>
    <t>Travel cost per person from province per time for Vientiane province (Phonehong, Keoudom, Viengkham, Thoulakhom) (PE 4, PC 1, DCCA 4, PCCA 1, PHD 1, TB team 2)</t>
  </si>
  <si>
    <t>Travel cost per person from province per time for Vientiane province (Vangvieng) (PE 1, DCCA 1)</t>
  </si>
  <si>
    <t>DSA for over night stay for District Staffs (Vangvieng 3, Numbak 2)</t>
  </si>
  <si>
    <t>DSA for returning day for district staffs travelling more than 50KM</t>
  </si>
  <si>
    <t>Package for meeting room</t>
  </si>
  <si>
    <t>Rate of Coffee break for 54 people (including 2 CSO HQ and 5 District staff)</t>
  </si>
  <si>
    <t>Lunch</t>
  </si>
  <si>
    <t>Materials &amp; photocopies per person/time</t>
  </si>
  <si>
    <t>Referral of FSW to HTC for PEDA</t>
  </si>
  <si>
    <t>DSA for over night stay for PEDA central staff (CPS=Pakse, Bachieng, Phonthong; SVK=Kaysone, Outhumphone, KM=Thakak, Hinboun, Nongbok, Sebangfai)</t>
  </si>
  <si>
    <t>DSA for returning day for PEDA central staff</t>
  </si>
  <si>
    <t>Travel cost per person per time for KM</t>
  </si>
  <si>
    <t>Travel cost per person per time for SVK</t>
  </si>
  <si>
    <t>Travel cost per person per time for CPS</t>
  </si>
  <si>
    <t>Rate of location renting</t>
  </si>
  <si>
    <t>Tea for participants</t>
  </si>
  <si>
    <t>Referral of FSW to STI for PEDA</t>
  </si>
  <si>
    <t>Travel cost to refer target group for STI testing</t>
  </si>
  <si>
    <t>DSA for over night stay for Provincial</t>
  </si>
  <si>
    <t>Local transportation</t>
  </si>
  <si>
    <t>These events are aiming to promote the services provided by the drop in centre to target groups and also to community.</t>
  </si>
  <si>
    <t xml:space="preserve">Non-monitary Reward Snowballing net work for testing for HIV </t>
  </si>
  <si>
    <t>Reward Snowballing net work for FSW Tested positive (1% of tested)</t>
  </si>
  <si>
    <t>Unit Cost/Unit cost per quarter</t>
  </si>
  <si>
    <t>Number of quarters/ year</t>
  </si>
  <si>
    <t>Total Cost in LAK</t>
  </si>
  <si>
    <t>Office supplies</t>
  </si>
  <si>
    <t>Communication</t>
  </si>
  <si>
    <t>Average Cost per quarter (LAK)</t>
  </si>
  <si>
    <t>Fuel for vehicles</t>
  </si>
  <si>
    <t>Insurance for vehicles</t>
  </si>
  <si>
    <t>Vehicle maintenance</t>
  </si>
  <si>
    <t>Office supplies and communication</t>
  </si>
  <si>
    <t>Cost per quarter</t>
  </si>
  <si>
    <t>Monthly</t>
  </si>
  <si>
    <t>46</t>
  </si>
  <si>
    <t>Office related cost</t>
  </si>
  <si>
    <t>Office renting, sharing with APL+</t>
  </si>
  <si>
    <t>Office utilities</t>
  </si>
  <si>
    <t>Office communication</t>
  </si>
  <si>
    <t>Fuel for office administration</t>
  </si>
  <si>
    <t>Consumables cost for 7 project provinces ( 8 self help  groups+ 2 MSM)</t>
  </si>
  <si>
    <t>40%</t>
  </si>
  <si>
    <t>60</t>
  </si>
  <si>
    <t>Office renting</t>
  </si>
  <si>
    <t>Consumables cost for project provinces</t>
  </si>
  <si>
    <t>61</t>
  </si>
  <si>
    <t>62</t>
  </si>
  <si>
    <t>30%</t>
  </si>
  <si>
    <t>79</t>
  </si>
  <si>
    <t>80</t>
  </si>
  <si>
    <t>09</t>
  </si>
  <si>
    <t>communication, fuel, insurance, utilities, rental</t>
  </si>
  <si>
    <t>Telephone and internet</t>
  </si>
  <si>
    <t>office rental</t>
  </si>
  <si>
    <t>Cars and equipement insurances</t>
  </si>
  <si>
    <t>office suplies</t>
  </si>
  <si>
    <t>fuel</t>
  </si>
  <si>
    <t>coffee and drinking water</t>
  </si>
  <si>
    <t>security</t>
  </si>
  <si>
    <t>Total cost per year</t>
  </si>
  <si>
    <t>vehicle and equipment maintenance</t>
  </si>
  <si>
    <t>Car maintenance</t>
  </si>
  <si>
    <t xml:space="preserve">computer maintenance  </t>
  </si>
  <si>
    <t>other equipement maintenance</t>
  </si>
  <si>
    <t>Total cost per year (USD)</t>
  </si>
  <si>
    <t>Internal audit once every two year (USD) (Y1 and Y3)</t>
  </si>
  <si>
    <t xml:space="preserve">DSA for 1 DCCA </t>
  </si>
  <si>
    <t xml:space="preserve">DSA for 1 PCCA overnight </t>
  </si>
  <si>
    <t xml:space="preserve">DSA for 1 PCCA without overnight </t>
  </si>
  <si>
    <t>76</t>
  </si>
  <si>
    <t>LaoPHA Project coordinator (100%)</t>
  </si>
  <si>
    <t>APL+ Project coordinator Assistant-APL+ full time LOE (100%)</t>
  </si>
  <si>
    <t>LaoPHA Finance officer 35% LOE</t>
  </si>
  <si>
    <t>LOE</t>
  </si>
  <si>
    <t>U. cost/ quarter</t>
  </si>
  <si>
    <t>Average</t>
  </si>
  <si>
    <t>APL+ Finance assistant full time LOE (100%)</t>
  </si>
  <si>
    <t>LaoPHA Provincial coordinator (for KM and VTP: MSM+Care and support) full time LOE. The PC working on two components and LOE increased 100$ (including Transportation allowance $100)</t>
  </si>
  <si>
    <t>Provincial coordinator for 3 PC LaoPHA: CPS, SVK and VTC and 1 APL+; LPB  full time LOE ((including Transportation allowance $80)</t>
  </si>
  <si>
    <t>Salary for PE of MSM for LaoPHA in total; 3 KM, 5 VTP (including Transportation allowance $60 and communication $20)</t>
  </si>
  <si>
    <t>Salary Peer counsellors in ART centre (including Transportation allowance $60 and communication $20)</t>
  </si>
  <si>
    <t>DSA overnight stay for participant(PE)</t>
  </si>
  <si>
    <t xml:space="preserve">DSA for returning day for 3 districts &gt; 50 Km </t>
  </si>
  <si>
    <t>Travel cost per person per time</t>
  </si>
  <si>
    <t>DSA &amp; Travel cost per person ( 6PE)</t>
  </si>
  <si>
    <t>Rate of Coffee break (3PEDA staff, 10PE, 1PCCA,2DIC medical doctor, 1 PC)</t>
  </si>
  <si>
    <t>average cost/person/day</t>
  </si>
  <si>
    <t>Local transportation (Vehicle rental)</t>
  </si>
  <si>
    <t>average cost per person/day</t>
  </si>
  <si>
    <t>Director (20%)</t>
  </si>
  <si>
    <t>GF Project Coordinator (33%)</t>
  </si>
  <si>
    <t>Finance officer  (33%)</t>
  </si>
  <si>
    <t>Accountant officer (44%)</t>
  </si>
  <si>
    <t>Average/quarter</t>
  </si>
  <si>
    <t>Unit Cost per quarter</t>
  </si>
  <si>
    <t xml:space="preserve">DSA for over night for LaoPHA project coordinator  attend and supervise the event </t>
  </si>
  <si>
    <t xml:space="preserve">DSA for return day LaoPHA project coordinator  attend and supervise the event </t>
  </si>
  <si>
    <t xml:space="preserve">DSA for over night stay for 4peer, 1PCCA, 1Facilitator and 2HIV testing team.  </t>
  </si>
  <si>
    <t xml:space="preserve">DSA for returning day for 4peer, 1PCCA, 1Facilitator and 2HIV testing team.  </t>
  </si>
  <si>
    <t xml:space="preserve">Travel cost for LaoPHA staffs from VTC to VTP provinces </t>
  </si>
  <si>
    <t>Travel cost  4peer, 1PCCA, 1Facilitator and 2HIV testing team in province to districts</t>
  </si>
  <si>
    <t>DSA for over night stay for peer counsellors team in self support group and ARV clinic from  CPS, SVK, KM, VTC, LPB, LNT, BK and HP</t>
  </si>
  <si>
    <t>DSA for return day  for peer counsellors team in self support group and ARV clinic from  CPS, SVK, KM, VTC, LPB, LNT, BK and HP</t>
  </si>
  <si>
    <t>DSA for over night stay provincial coordinator</t>
  </si>
  <si>
    <t>DSA for return day  for provincial coordinator</t>
  </si>
  <si>
    <t xml:space="preserve">DSA for over night stay for LaoPHA's provincial coordinator and PCCA.  </t>
  </si>
  <si>
    <t xml:space="preserve">DSA for return day for LaoPHA's provincial coordinator and PCCA.  </t>
  </si>
  <si>
    <t xml:space="preserve">DSA for over night stay for PLHIV community advocacy team  </t>
  </si>
  <si>
    <t xml:space="preserve">DSA for return day for PLHIV community advocacy team  </t>
  </si>
  <si>
    <t>DSA for DCCA and village coordinator</t>
  </si>
  <si>
    <t xml:space="preserve">Travel cost for LaoPHA and APL+ manager to attend the meeting in provincial level ( VTC to (  CPS, SVK, KHM, VTP, LPB, HPH, BK and LNT )) by Bus and Tuk Tuk for Local transportation </t>
  </si>
  <si>
    <t xml:space="preserve">Travel cost for 2 LaoPHA, 1 M and E, 1 Manager and 1 APL+ staffs from VTC to(  CPS, SVK, KHM, VTP, LPB, HPH, BK and LNT ) by Bus and Tuk Tuk for Local transportation </t>
  </si>
  <si>
    <t>Local transportation for Monitoring and Evaluation team; car rental</t>
  </si>
  <si>
    <t>Level of effort</t>
  </si>
  <si>
    <t>Total salary per quarter</t>
  </si>
  <si>
    <t>1 PMU manager</t>
  </si>
  <si>
    <t>1 Finance Manger</t>
  </si>
  <si>
    <t>2 finance officers</t>
  </si>
  <si>
    <t>1 accountant</t>
  </si>
  <si>
    <t>1 National Procurement specialist</t>
  </si>
  <si>
    <t>1 National logistic officer</t>
  </si>
  <si>
    <t>1 National M&amp;E officer  (50% cost sharing TB &amp; HIV)</t>
  </si>
  <si>
    <t>1 Driver</t>
  </si>
  <si>
    <t>1 Administrative stafficer</t>
  </si>
  <si>
    <t>Total salary per quarter (LAK)</t>
  </si>
  <si>
    <t>Office cleaning</t>
  </si>
  <si>
    <t>25% cost sharing</t>
  </si>
  <si>
    <t>Snack and refreshment for participants attending forcus group discussion, game play and video show session</t>
  </si>
  <si>
    <t>Sample and test critical ARVs post delivery and Post distribution</t>
  </si>
  <si>
    <t>Procure OI/STI drugs</t>
  </si>
  <si>
    <t>CD4 testing (excluding sample transport cost)</t>
  </si>
  <si>
    <t>In-country distribution</t>
  </si>
  <si>
    <t>Budget Line No</t>
  </si>
  <si>
    <t>Budget</t>
  </si>
  <si>
    <t>National survey (IBBS among FSW):</t>
  </si>
  <si>
    <t>#</t>
  </si>
  <si>
    <t>Advocacy meeting on FSW and MSM survey in Vientiane  Capital:</t>
  </si>
  <si>
    <t xml:space="preserve">Opening remark </t>
  </si>
  <si>
    <t>DSA for over night stay (CPS, SVK, LPB)</t>
  </si>
  <si>
    <t>DSA for over night stay (LNT, BK)</t>
  </si>
  <si>
    <t xml:space="preserve">DSA for not over night stay </t>
  </si>
  <si>
    <t>Travel cost for LNT province (by car)</t>
  </si>
  <si>
    <t>Travel cost for BK province (by car)</t>
  </si>
  <si>
    <t>Travel cost for LPB province (by car)</t>
  </si>
  <si>
    <t>Travel cost for SVK province (by car)</t>
  </si>
  <si>
    <t>Travel cost for CPS province (by car)</t>
  </si>
  <si>
    <t>Rate of Meeting room</t>
  </si>
  <si>
    <t>Rate of Coffee break for participant</t>
  </si>
  <si>
    <t>Rate of Material</t>
  </si>
  <si>
    <t xml:space="preserve">Miscellaneous </t>
  </si>
  <si>
    <t>Total: 60 participants</t>
  </si>
  <si>
    <t>Total cost :</t>
  </si>
  <si>
    <t>Advocacy meeting on FSW in provincial lavel:</t>
  </si>
  <si>
    <t>Vientiane Capital:</t>
  </si>
  <si>
    <t>Organize PCCA</t>
  </si>
  <si>
    <t>Survey team</t>
  </si>
  <si>
    <t>Partner : District, Police, Women union, Owner and other…</t>
  </si>
  <si>
    <t>CPS province:</t>
  </si>
  <si>
    <t>SVK province:</t>
  </si>
  <si>
    <t>LPB province:</t>
  </si>
  <si>
    <t>LTN province:</t>
  </si>
  <si>
    <t>BK province:</t>
  </si>
  <si>
    <t>Number of participants:</t>
  </si>
  <si>
    <t>Meeting room Package (Room rental; Lunch &amp; Coffee break).</t>
  </si>
  <si>
    <t>Total: 270 participants</t>
  </si>
  <si>
    <t>Mapping for FSW:</t>
  </si>
  <si>
    <t>DSA for over night stay for CHAS at CPS, SVK, LPB, LNT &amp; BK</t>
  </si>
  <si>
    <t>DSA for over night stay for PCCA of LPB</t>
  </si>
  <si>
    <t>DSA for not over night stay for CHAS and PCCA of LPB</t>
  </si>
  <si>
    <t>Travel cost Air ticket VTC-CPS</t>
  </si>
  <si>
    <t>Travel cost Air ticket VTC-SVK</t>
  </si>
  <si>
    <t>Travel cost Air ticket VTC-LPB</t>
  </si>
  <si>
    <t>Travel cost Air ticket VTC-LNT</t>
  </si>
  <si>
    <t>Travel cost Air ticket VTC-BK</t>
  </si>
  <si>
    <t>Travel cost tuktuk</t>
  </si>
  <si>
    <t>Rantal van cost for CPS</t>
  </si>
  <si>
    <t>Rantal van cost for SVK</t>
  </si>
  <si>
    <t>Rantal van cost for VTC</t>
  </si>
  <si>
    <t>Rantal van cost for LPB</t>
  </si>
  <si>
    <t>Rantal van cost for LNT</t>
  </si>
  <si>
    <t>Rantal van cost for BK</t>
  </si>
  <si>
    <t>Total: 12 participants</t>
  </si>
  <si>
    <t>Training staff data collection for FSW (at Thalat, Vientiane province):</t>
  </si>
  <si>
    <t>DSA for over night stay for (CHAS, PCCA vientiane and partner)</t>
  </si>
  <si>
    <t>DSA for over night stay for (CPS, SVK, LPB)+Driver</t>
  </si>
  <si>
    <t>DSA for over night stay for (LNT, BK)+Driver</t>
  </si>
  <si>
    <t>DSA for not over night stay for all</t>
  </si>
  <si>
    <t>Gasoline for (CHAS, PCCA vientiane and partner) to Thalat (distance=71+15=86 Km/8)</t>
  </si>
  <si>
    <t>Gasoline for LNT to Thalat (distance=699-56=643 Km/6)</t>
  </si>
  <si>
    <t>Gasoline for BK to Thalat (distance=893-56=837 Km/6)</t>
  </si>
  <si>
    <t>Gasoline for LPB to Thalat (distance=387-56=331 Km/6)</t>
  </si>
  <si>
    <t>Gasoline for SVK to Thalat (distance=469+86=555 Km/8)</t>
  </si>
  <si>
    <t>Gasoline for CPS to Thalat (distance=675+86=761 Km/8)</t>
  </si>
  <si>
    <t>Gasoline for meeting service (in local)</t>
  </si>
  <si>
    <t>Ethical fee</t>
  </si>
  <si>
    <t>Miscellaneous</t>
  </si>
  <si>
    <t>Total: 100 participants</t>
  </si>
  <si>
    <t>Equiment for FSW:</t>
  </si>
  <si>
    <t>Copy questionnaire form for FSW</t>
  </si>
  <si>
    <t>Purchas equipment and drug (Vacutainer, Seryn, Cotton, First aid kit…..)</t>
  </si>
  <si>
    <t>PCR-STI testing for FSW</t>
  </si>
  <si>
    <t>Transport sample from airport to Merieux</t>
  </si>
  <si>
    <t>Field work data collection for FSW (for Central level):</t>
  </si>
  <si>
    <t>Vientiane Capital for CHAS team:</t>
  </si>
  <si>
    <t>DSA CHAS team</t>
  </si>
  <si>
    <t>DSA Advisor</t>
  </si>
  <si>
    <t>To LNT &amp; BK province for Advisor of CHAS</t>
  </si>
  <si>
    <t>DSA for over night stay for advisor of CHAS + driver</t>
  </si>
  <si>
    <t>DSA for not over night stay for  advisor of CHAS + driver</t>
  </si>
  <si>
    <t>SVK, CPS province for Advisor of CHAS</t>
  </si>
  <si>
    <t>LPB province for Advisor of CHAS</t>
  </si>
  <si>
    <t>SVK, CPS, LPB, LNT &amp; BK province for CHAS team &amp; NCLE:</t>
  </si>
  <si>
    <t>DSA for over night stay for CHAS and NCLE team</t>
  </si>
  <si>
    <t>DSA for not over night stay for CHAS and NCLE team</t>
  </si>
  <si>
    <t>Gasoline for CHAS team</t>
  </si>
  <si>
    <t>Gasoline for advisor</t>
  </si>
  <si>
    <t>Travel cost for LNT province (by plane)</t>
  </si>
  <si>
    <t>Travel cost for BK province (by plane)</t>
  </si>
  <si>
    <t>Travel cost for LPB province (by plane)</t>
  </si>
  <si>
    <t>Travel cost for SVK province (by plane)</t>
  </si>
  <si>
    <t>Travel cost for CPS province (by plane)</t>
  </si>
  <si>
    <t>Gasoline VTC-LNT province (by car)= 699 Km/6</t>
  </si>
  <si>
    <t>Gasoline LNT-BK province (by car)= 195 Km/6</t>
  </si>
  <si>
    <t>Gasoline BK-VTC province (by car)= 893 Km/6</t>
  </si>
  <si>
    <t>Gasoline in local LNT &amp; BK</t>
  </si>
  <si>
    <t>Gasoline VTC-LPB-VTC province (by car)= 387 Km/6</t>
  </si>
  <si>
    <t>Gasoline in local LPB</t>
  </si>
  <si>
    <t>Gasoline VTC-SVK province (by car)= 469 Km/8</t>
  </si>
  <si>
    <t>Gasoline SVK-CPS province (by car)= 248 Km/8</t>
  </si>
  <si>
    <t>Gasoline CPS-VTC province (by car)= 675 Km/8</t>
  </si>
  <si>
    <t>Gasoline in local SVK &amp; CPS</t>
  </si>
  <si>
    <t>Transport cost for specimen</t>
  </si>
  <si>
    <t>Total: 35 participants</t>
  </si>
  <si>
    <t>Field work data collection for FSW (for Provincial level):</t>
  </si>
  <si>
    <t xml:space="preserve">Rate of room </t>
  </si>
  <si>
    <t>Gift</t>
  </si>
  <si>
    <t>Gasoline for PCCA</t>
  </si>
  <si>
    <t xml:space="preserve">DSA for over night stay </t>
  </si>
  <si>
    <t>Total: 1,500 participants</t>
  </si>
  <si>
    <t>Data management for FSW:</t>
  </si>
  <si>
    <t>Edit report</t>
  </si>
  <si>
    <t>Translate report Lao to English</t>
  </si>
  <si>
    <t>Printing report Lao and English</t>
  </si>
  <si>
    <t>Concensus first result of FSW :</t>
  </si>
  <si>
    <t>CHAS team</t>
  </si>
  <si>
    <t>Partner</t>
  </si>
  <si>
    <t>Total: 40 participants</t>
  </si>
  <si>
    <t>Dissemination of FSW:</t>
  </si>
  <si>
    <t>DSA for over night stay (CPS, SVK, LPB)+Driver</t>
  </si>
  <si>
    <t>DSA for over night stay (LNT, BK)+driver</t>
  </si>
  <si>
    <t>DSA for not over night stay +Driver</t>
  </si>
  <si>
    <t>CHAS, PCCA vientiane Capital and partner</t>
  </si>
  <si>
    <t>Gasoline VTC-BK province (by car)= 893 Km/6</t>
  </si>
  <si>
    <t>Gasoline VTC-LPB province (by car)= 387 Km/6</t>
  </si>
  <si>
    <t>Gasoline VTC-CPS province (by car)= 675 Km/8</t>
  </si>
  <si>
    <t>Total: 70 participants</t>
  </si>
  <si>
    <t>Dissemination of FSW (at Thalat, Vientiane province):</t>
  </si>
  <si>
    <t>DSA for over night stay for CHAS</t>
  </si>
  <si>
    <t>DSA for returning day for CHAS</t>
  </si>
  <si>
    <t>DSA for over night stay (for Driver) for CHAS</t>
  </si>
  <si>
    <t>DSA for returning day (for Driver) for CHAS</t>
  </si>
  <si>
    <t>DSA for over night stay for VTC</t>
  </si>
  <si>
    <t>DSA for returning day for VTC</t>
  </si>
  <si>
    <t>DSA for over night stay (for Driver) for VTC</t>
  </si>
  <si>
    <t>DSA for returning day (for Driver) for VTC</t>
  </si>
  <si>
    <t>DSA for over night stay for BK province</t>
  </si>
  <si>
    <t>DSA for returning day for BK province</t>
  </si>
  <si>
    <t>DSA for over night stay (for Driver) for BK province</t>
  </si>
  <si>
    <t>DSA for returning day (for Driver) for BK province</t>
  </si>
  <si>
    <t>DSA for over night stay for LNT province</t>
  </si>
  <si>
    <t>DSA for returning day for LNT province</t>
  </si>
  <si>
    <t>DSA for over night stay (for Driver) for LNT province</t>
  </si>
  <si>
    <t>DSA for returning day (for Driver) for LNT province</t>
  </si>
  <si>
    <t>DSA for over night stay for LPB province</t>
  </si>
  <si>
    <t>DSA for returning day for LPB province</t>
  </si>
  <si>
    <t>DSA for over night stay (for Driver) for LPB province</t>
  </si>
  <si>
    <t>DSA for returning day (for Driver) for LPB province</t>
  </si>
  <si>
    <t>DSA for over night stay for SVK province</t>
  </si>
  <si>
    <t>DSA for returning day for SVK province</t>
  </si>
  <si>
    <t>DSA for over night stay (for Driver) for SVK province</t>
  </si>
  <si>
    <t>DSA for returning day (for Driver) for SVK province</t>
  </si>
  <si>
    <t>DSA for over night stay for CPS province</t>
  </si>
  <si>
    <t>DSA for returning day for CPS province</t>
  </si>
  <si>
    <t>DSA for over night stay (for Driver) for CPS province</t>
  </si>
  <si>
    <t>DSA for returning day (for Driver) for CPS province</t>
  </si>
  <si>
    <t>CDC Thai team</t>
  </si>
  <si>
    <t>WHO+USCDC Lao</t>
  </si>
  <si>
    <t>Gasoline for CHAS to Thalat (distance=71+15=86 Km/8)</t>
  </si>
  <si>
    <t>Gasoline for VTC to Thalat (distance=71+15=86 Km/8)</t>
  </si>
  <si>
    <t>Total cost for National survey (IBBS among FSW):</t>
  </si>
  <si>
    <t>Average cost per person per day (LAK):</t>
  </si>
  <si>
    <t>National survey (IBBS among MSM):</t>
  </si>
  <si>
    <t>Training staff data collection for MSM:</t>
  </si>
  <si>
    <t>Equiment for MSM:</t>
  </si>
  <si>
    <t>Copy questionnaire form for MSM</t>
  </si>
  <si>
    <t>Copy coupon and form</t>
  </si>
  <si>
    <t>Purchas equipment and drug</t>
  </si>
  <si>
    <t>PCR-STI testing for MSM</t>
  </si>
  <si>
    <t>Field work data collection for MSM (for Central level):</t>
  </si>
  <si>
    <t>SVK, CPS &amp; LPB province for CHAS team &amp; NCLE:</t>
  </si>
  <si>
    <t>Total: 25 participants</t>
  </si>
  <si>
    <t>Field work data collection for MSM (for Provincial level):</t>
  </si>
  <si>
    <t>Transport for seed</t>
  </si>
  <si>
    <t>Transport for participant</t>
  </si>
  <si>
    <t>Total: 1,140 participants</t>
  </si>
  <si>
    <t>Data management for MSM:</t>
  </si>
  <si>
    <t>Concensus first result of MSM :</t>
  </si>
  <si>
    <t>Dissemination of MSM:</t>
  </si>
  <si>
    <t>TA for IBBS reports writing for FSW &amp; MSM 2020:</t>
  </si>
  <si>
    <t>Daily rate (TA fee)</t>
  </si>
  <si>
    <t xml:space="preserve">Int'l Airfare </t>
  </si>
  <si>
    <t>Daily DSA at VTC</t>
  </si>
  <si>
    <t>Total cost for National survey (IBBS among MSM):</t>
  </si>
  <si>
    <t>National survey (IBBS among FSW)</t>
  </si>
  <si>
    <t>National survey (IBBS among MSM)</t>
  </si>
  <si>
    <t xml:space="preserve">Viral Load testing
EID testing
MDR testing
</t>
  </si>
  <si>
    <t>7.2 Freight and insurance costs (Health products)</t>
  </si>
  <si>
    <t>7.5 Quality assurance and quality control costs (QA/QC)</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</si>
</sst>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_-* #,##0.00_-;\-* #,##0.00_-;_-* &quot;-&quot;??_-;_-@_-"/>
    <numFmt numFmtId="165" formatCode="0.000000"/>
    <numFmt numFmtId="166" formatCode="0.0"/>
    <numFmt numFmtId="167" formatCode="_(* #,##0_);_(* \(#,##0\);_(@_)"/>
    <numFmt numFmtId="168" formatCode="_(* #,##0_);_(* \(#,##0\);_(* &quot;-&quot;??_);_(@_)"/>
    <numFmt numFmtId="169" formatCode="_-* #,##0_-;\-* #,##0_-;_-* &quot;-&quot;??_-;_-@_-"/>
  </numFmts>
  <fonts count="11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1"/>
      <color theme="1"/>
      <name val="Arial"/>
      <family val="2"/>
    </font>
    <font>
      <sz val="11"/>
      <color theme="1"/>
      <name val="Arial"/>
      <family val="2"/>
    </font>
    <font>
      <sz val="10"/>
      <name val="Arial"/>
      <family val="2"/>
    </font>
    <font>
      <sz val="10"/>
      <color indexed="8"/>
      <name val="Arial"/>
      <family val="2"/>
    </font>
    <font>
      <sz val="8"/>
      <name val="Verdana"/>
      <family val="2"/>
    </font>
    <font>
      <sz val="10"/>
      <name val="Arial"/>
      <family val="2"/>
      <charset val="204"/>
    </font>
    <font>
      <b/>
      <sz val="14"/>
      <name val="Arial"/>
      <family val="2"/>
    </font>
    <font>
      <sz val="12"/>
      <color theme="1"/>
      <name val="Calibri"/>
      <family val="2"/>
      <scheme val="minor"/>
    </font>
    <font>
      <sz val="11"/>
      <color theme="1"/>
      <name val="Arial"/>
      <family val="2"/>
    </font>
    <font>
      <b/>
      <sz val="11"/>
      <color theme="1"/>
      <name val="Arial"/>
      <family val="2"/>
    </font>
    <font>
      <b/>
      <sz val="12"/>
      <color theme="1"/>
      <name val="Calibri"/>
      <family val="2"/>
      <scheme val="minor"/>
    </font>
    <font>
      <sz val="10"/>
      <color theme="1"/>
      <name val="Calibri"/>
      <family val="2"/>
      <scheme val="minor"/>
    </font>
    <font>
      <sz val="11"/>
      <color theme="1"/>
      <name val="Helvetica"/>
    </font>
    <font>
      <b/>
      <sz val="11"/>
      <color theme="1"/>
      <name val="Helvetica"/>
    </font>
    <font>
      <sz val="9"/>
      <color theme="1"/>
      <name val="Calibri"/>
      <family val="2"/>
      <scheme val="minor"/>
    </font>
    <font>
      <sz val="9"/>
      <color theme="1"/>
      <name val="Arial"/>
      <family val="2"/>
    </font>
    <font>
      <b/>
      <sz val="12"/>
      <name val="Arial"/>
      <family val="2"/>
    </font>
    <font>
      <sz val="11"/>
      <name val="Helvetica"/>
    </font>
    <font>
      <b/>
      <sz val="10"/>
      <name val="Arial"/>
      <family val="2"/>
    </font>
    <font>
      <b/>
      <sz val="18"/>
      <color theme="3"/>
      <name val="Cambria"/>
      <family val="2"/>
      <scheme val="maj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10"/>
      <color theme="1"/>
      <name val="Arial"/>
      <family val="2"/>
    </font>
    <font>
      <b/>
      <sz val="12"/>
      <color theme="1"/>
      <name val="Arial"/>
      <family val="2"/>
    </font>
    <font>
      <b/>
      <sz val="11"/>
      <name val="Arial"/>
      <family val="2"/>
    </font>
    <font>
      <b/>
      <sz val="12"/>
      <color theme="1"/>
      <name val="Helvetica"/>
    </font>
    <font>
      <b/>
      <sz val="14"/>
      <color theme="1"/>
      <name val="Arial"/>
      <family val="2"/>
    </font>
    <font>
      <b/>
      <sz val="10"/>
      <color theme="1"/>
      <name val="Arial"/>
      <family val="2"/>
    </font>
    <font>
      <sz val="10"/>
      <color rgb="FF000000"/>
      <name val="Arial"/>
      <family val="2"/>
    </font>
    <font>
      <b/>
      <sz val="8"/>
      <name val="Arial"/>
      <family val="2"/>
    </font>
    <font>
      <sz val="10"/>
      <name val="Calibri"/>
      <family val="2"/>
      <scheme val="minor"/>
    </font>
    <font>
      <b/>
      <sz val="10"/>
      <color theme="0"/>
      <name val="Arial"/>
      <family val="2"/>
    </font>
    <font>
      <sz val="10"/>
      <color rgb="FFFF0000"/>
      <name val="Calibri"/>
      <family val="2"/>
      <scheme val="minor"/>
    </font>
    <font>
      <sz val="10"/>
      <color theme="1"/>
      <name val="Georgia"/>
      <family val="1"/>
    </font>
    <font>
      <sz val="14"/>
      <color rgb="FFFF0000"/>
      <name val="Arial"/>
      <family val="2"/>
    </font>
    <font>
      <sz val="14"/>
      <color rgb="FFFF0000"/>
      <name val="Cambria"/>
      <family val="1"/>
      <scheme val="major"/>
    </font>
    <font>
      <b/>
      <sz val="12"/>
      <color rgb="FFFF0000"/>
      <name val="Calibri"/>
      <family val="2"/>
      <scheme val="minor"/>
    </font>
    <font>
      <sz val="11"/>
      <color theme="1"/>
      <name val="Georgia"/>
      <family val="1"/>
    </font>
    <font>
      <sz val="11"/>
      <color rgb="FF44546A"/>
      <name val="Georgia"/>
      <family val="1"/>
    </font>
    <font>
      <b/>
      <sz val="11"/>
      <color theme="1"/>
      <name val="Georgia"/>
      <family val="1"/>
    </font>
    <font>
      <sz val="11"/>
      <color rgb="FF1F497D"/>
      <name val="Georgia"/>
      <family val="1"/>
    </font>
    <font>
      <b/>
      <sz val="10"/>
      <color theme="5"/>
      <name val="Arial"/>
      <family val="2"/>
    </font>
    <font>
      <sz val="10"/>
      <color theme="0"/>
      <name val="Arial"/>
      <family val="2"/>
    </font>
    <font>
      <b/>
      <sz val="12"/>
      <color theme="1"/>
      <name val="Georgia"/>
      <family val="1"/>
    </font>
    <font>
      <sz val="18"/>
      <color theme="1"/>
      <name val="Georgia"/>
      <family val="1"/>
    </font>
    <font>
      <b/>
      <sz val="18"/>
      <color theme="1"/>
      <name val="Georgia"/>
      <family val="1"/>
    </font>
    <font>
      <sz val="16"/>
      <color theme="1"/>
      <name val="Calibri"/>
      <family val="2"/>
      <scheme val="minor"/>
    </font>
    <font>
      <sz val="12"/>
      <name val="Arial"/>
      <family val="2"/>
    </font>
    <font>
      <sz val="12"/>
      <color theme="1"/>
      <name val="Arial"/>
      <family val="2"/>
    </font>
    <font>
      <b/>
      <sz val="18"/>
      <name val="Arial"/>
      <family val="2"/>
    </font>
    <font>
      <i/>
      <sz val="11"/>
      <color theme="1"/>
      <name val="Calibri"/>
      <family val="2"/>
      <scheme val="minor"/>
    </font>
    <font>
      <sz val="9"/>
      <color indexed="81"/>
      <name val="Tahoma"/>
      <family val="2"/>
    </font>
    <font>
      <sz val="11"/>
      <color rgb="FFFF0000"/>
      <name val="Helvetica"/>
    </font>
    <font>
      <sz val="11"/>
      <name val="Calibri"/>
      <family val="2"/>
      <scheme val="minor"/>
    </font>
    <font>
      <b/>
      <sz val="12"/>
      <color rgb="FFFF0000"/>
      <name val="Arial"/>
      <family val="2"/>
    </font>
    <font>
      <sz val="12"/>
      <color rgb="FFFF0000"/>
      <name val="Calibri"/>
      <family val="2"/>
      <scheme val="minor"/>
    </font>
    <font>
      <b/>
      <sz val="11"/>
      <color rgb="FFFF0000"/>
      <name val="Arial"/>
      <family val="2"/>
    </font>
    <font>
      <b/>
      <sz val="14"/>
      <color rgb="FFFF0000"/>
      <name val="Arial"/>
      <family val="2"/>
    </font>
    <font>
      <b/>
      <sz val="12"/>
      <color rgb="FFFF0000"/>
      <name val="Helvetica"/>
    </font>
    <font>
      <sz val="12"/>
      <color rgb="FFFF0000"/>
      <name val="Arial"/>
      <family val="2"/>
    </font>
    <font>
      <b/>
      <sz val="9"/>
      <name val="Calibri"/>
      <family val="2"/>
    </font>
    <font>
      <sz val="9"/>
      <name val="Calibri"/>
      <family val="2"/>
    </font>
    <font>
      <sz val="9"/>
      <color theme="1"/>
      <name val="Calibri"/>
      <family val="2"/>
    </font>
    <font>
      <b/>
      <sz val="8"/>
      <name val="Calibri"/>
      <family val="2"/>
    </font>
    <font>
      <b/>
      <sz val="9"/>
      <color theme="1"/>
      <name val="Calibri"/>
      <family val="2"/>
    </font>
    <font>
      <b/>
      <sz val="10"/>
      <name val="Calibri"/>
      <family val="2"/>
      <scheme val="minor"/>
    </font>
    <font>
      <i/>
      <sz val="10"/>
      <name val="Calibri"/>
      <family val="2"/>
      <scheme val="minor"/>
    </font>
    <font>
      <b/>
      <sz val="10"/>
      <color theme="1"/>
      <name val="Calibri"/>
      <family val="2"/>
      <scheme val="minor"/>
    </font>
    <font>
      <sz val="10"/>
      <color rgb="FF000000"/>
      <name val="Calibri"/>
      <family val="2"/>
      <scheme val="minor"/>
    </font>
    <font>
      <b/>
      <sz val="10"/>
      <color rgb="FF0000FF"/>
      <name val="Calibri"/>
      <family val="2"/>
      <scheme val="minor"/>
    </font>
    <font>
      <b/>
      <sz val="10"/>
      <color rgb="FFFF0000"/>
      <name val="Calibri"/>
      <family val="2"/>
      <scheme val="minor"/>
    </font>
    <font>
      <b/>
      <sz val="9"/>
      <color indexed="81"/>
      <name val="Tahoma"/>
      <family val="2"/>
    </font>
    <font>
      <b/>
      <sz val="10"/>
      <name val="Calibri"/>
      <family val="2"/>
    </font>
    <font>
      <b/>
      <sz val="10"/>
      <color theme="1"/>
      <name val="Calibri"/>
      <family val="2"/>
    </font>
    <font>
      <sz val="10"/>
      <name val="Calibri"/>
      <family val="2"/>
    </font>
    <font>
      <b/>
      <sz val="9"/>
      <color rgb="FF0000FF"/>
      <name val="Calibri"/>
      <family val="2"/>
    </font>
    <font>
      <b/>
      <sz val="10"/>
      <color rgb="FF0000FF"/>
      <name val="Calibri"/>
      <family val="2"/>
    </font>
    <font>
      <sz val="10"/>
      <color indexed="8"/>
      <name val="Calibri"/>
      <family val="2"/>
      <scheme val="minor"/>
    </font>
    <font>
      <b/>
      <u val="double"/>
      <sz val="10"/>
      <name val="Calibri"/>
      <family val="2"/>
    </font>
    <font>
      <b/>
      <u val="double"/>
      <sz val="10"/>
      <name val="Calibri"/>
      <family val="2"/>
      <scheme val="minor"/>
    </font>
    <font>
      <b/>
      <u val="double"/>
      <sz val="9"/>
      <name val="Calibri"/>
      <family val="2"/>
    </font>
    <font>
      <sz val="12"/>
      <color theme="1"/>
      <name val="Calibri"/>
      <family val="2"/>
    </font>
    <font>
      <sz val="10"/>
      <color theme="1"/>
      <name val="Calibri"/>
      <family val="2"/>
    </font>
    <font>
      <b/>
      <sz val="12"/>
      <color theme="1"/>
      <name val="Calibri"/>
      <family val="2"/>
    </font>
    <font>
      <sz val="9"/>
      <color indexed="8"/>
      <name val="Calibri"/>
      <family val="2"/>
    </font>
    <font>
      <b/>
      <u val="double"/>
      <sz val="9"/>
      <color theme="1"/>
      <name val="Calibri"/>
      <family val="2"/>
    </font>
    <font>
      <sz val="9"/>
      <color rgb="FF0000FF"/>
      <name val="Calibri"/>
      <family val="2"/>
    </font>
    <font>
      <b/>
      <sz val="10"/>
      <color rgb="FF00B0F0"/>
      <name val="Calibri"/>
      <family val="2"/>
      <scheme val="minor"/>
    </font>
    <font>
      <sz val="10"/>
      <color rgb="FF00B0F0"/>
      <name val="Calibri"/>
      <family val="2"/>
      <scheme val="minor"/>
    </font>
    <font>
      <sz val="10"/>
      <color indexed="81"/>
      <name val="Tahoma"/>
      <family val="2"/>
    </font>
  </fonts>
  <fills count="68">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6337778862885"/>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24994659260841701"/>
        <bgColor indexed="64"/>
      </patternFill>
    </fill>
    <fill>
      <patternFill patternType="solid">
        <fgColor rgb="FFFFFF00"/>
        <bgColor indexed="64"/>
      </patternFill>
    </fill>
    <fill>
      <patternFill patternType="solid">
        <fgColor rgb="FFB6E4E6"/>
        <bgColor indexed="64"/>
      </patternFill>
    </fill>
    <fill>
      <patternFill patternType="solid">
        <fgColor rgb="FFFFFFCC"/>
        <bgColor indexed="64"/>
      </patternFill>
    </fill>
    <fill>
      <patternFill patternType="solid">
        <fgColor rgb="FFFF0000"/>
        <bgColor indexed="64"/>
      </patternFill>
    </fill>
    <fill>
      <patternFill patternType="solid">
        <fgColor theme="6" tint="0.39997558519241921"/>
        <bgColor indexed="64"/>
      </patternFill>
    </fill>
    <fill>
      <patternFill patternType="solid">
        <fgColor rgb="FFC1F4BA"/>
        <bgColor indexed="64"/>
      </patternFill>
    </fill>
    <fill>
      <patternFill patternType="solid">
        <fgColor rgb="FFD9D9D9"/>
        <bgColor indexed="64"/>
      </patternFill>
    </fill>
    <fill>
      <patternFill patternType="solid">
        <fgColor rgb="FF8DB4E2"/>
        <bgColor indexed="64"/>
      </patternFill>
    </fill>
    <fill>
      <patternFill patternType="solid">
        <fgColor theme="0" tint="-4.9989318521683403E-2"/>
        <bgColor indexed="64"/>
      </patternFill>
    </fill>
    <fill>
      <patternFill patternType="solid">
        <fgColor theme="0"/>
        <bgColor theme="4" tint="0.79998168889431442"/>
      </patternFill>
    </fill>
    <fill>
      <patternFill patternType="solid">
        <fgColor theme="6" tint="0.59999389629810485"/>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rgb="FFC4D79B"/>
        <bgColor rgb="FF000000"/>
      </patternFill>
    </fill>
    <fill>
      <patternFill patternType="solid">
        <fgColor theme="9" tint="0.79998168889431442"/>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2" tint="-9.9978637043366805E-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dotted">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auto="1"/>
      </top>
      <bottom/>
      <diagonal/>
    </border>
    <border>
      <left/>
      <right style="thin">
        <color auto="1"/>
      </right>
      <top style="thin">
        <color auto="1"/>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indexed="65"/>
      </left>
      <right/>
      <top style="thin">
        <color indexed="65"/>
      </top>
      <bottom/>
      <diagonal/>
    </border>
    <border>
      <left style="thin">
        <color indexed="65"/>
      </left>
      <right style="thin">
        <color rgb="FFABABAB"/>
      </right>
      <top style="thin">
        <color indexed="65"/>
      </top>
      <bottom/>
      <diagonal/>
    </border>
    <border>
      <left style="thin">
        <color rgb="FFABABAB"/>
      </left>
      <right/>
      <top style="thin">
        <color indexed="65"/>
      </top>
      <bottom style="thin">
        <color rgb="FFABABAB"/>
      </bottom>
      <diagonal/>
    </border>
    <border>
      <left style="thin">
        <color indexed="65"/>
      </left>
      <right/>
      <top style="thin">
        <color indexed="65"/>
      </top>
      <bottom style="thin">
        <color rgb="FFABABAB"/>
      </bottom>
      <diagonal/>
    </border>
    <border>
      <left style="thin">
        <color indexed="65"/>
      </left>
      <right style="thin">
        <color rgb="FFABABAB"/>
      </right>
      <top style="thin">
        <color indexed="65"/>
      </top>
      <bottom style="thin">
        <color rgb="FFABABAB"/>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diagonal/>
    </border>
    <border>
      <left/>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diagonal/>
    </border>
    <border>
      <left style="medium">
        <color indexed="64"/>
      </left>
      <right/>
      <top/>
      <bottom/>
      <diagonal/>
    </border>
    <border>
      <left style="medium">
        <color indexed="64"/>
      </left>
      <right/>
      <top/>
      <bottom style="thin">
        <color indexed="64"/>
      </bottom>
      <diagonal/>
    </border>
    <border>
      <left/>
      <right/>
      <top style="medium">
        <color indexed="64"/>
      </top>
      <bottom style="thin">
        <color auto="1"/>
      </bottom>
      <diagonal/>
    </border>
    <border>
      <left/>
      <right style="thin">
        <color auto="1"/>
      </right>
      <top style="medium">
        <color indexed="64"/>
      </top>
      <bottom/>
      <diagonal/>
    </border>
    <border>
      <left/>
      <right style="thin">
        <color auto="1"/>
      </right>
      <top style="medium">
        <color indexed="64"/>
      </top>
      <bottom style="thin">
        <color auto="1"/>
      </bottom>
      <diagonal/>
    </border>
    <border>
      <left/>
      <right/>
      <top/>
      <bottom style="thin">
        <color indexed="64"/>
      </bottom>
      <diagonal/>
    </border>
    <border>
      <left style="hair">
        <color theme="8"/>
      </left>
      <right style="hair">
        <color theme="8"/>
      </right>
      <top style="hair">
        <color theme="8"/>
      </top>
      <bottom style="hair">
        <color theme="8"/>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auto="1"/>
      </top>
      <bottom style="medium">
        <color indexed="64"/>
      </bottom>
      <diagonal/>
    </border>
    <border>
      <left style="hair">
        <color auto="1"/>
      </left>
      <right style="hair">
        <color indexed="64"/>
      </right>
      <top style="hair">
        <color auto="1"/>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bottom/>
      <diagonal/>
    </border>
    <border>
      <left style="thin">
        <color auto="1"/>
      </left>
      <right/>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auto="1"/>
      </left>
      <right style="thin">
        <color auto="1"/>
      </right>
      <top style="hair">
        <color auto="1"/>
      </top>
      <bottom/>
      <diagonal/>
    </border>
    <border>
      <left style="thin">
        <color indexed="64"/>
      </left>
      <right/>
      <top style="medium">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s>
  <cellStyleXfs count="105">
    <xf numFmtId="0" fontId="0" fillId="0" borderId="0"/>
    <xf numFmtId="43" fontId="14" fillId="0" borderId="0" applyFont="0" applyFill="0" applyBorder="0" applyAlignment="0" applyProtection="0"/>
    <xf numFmtId="0" fontId="12" fillId="0" borderId="0"/>
    <xf numFmtId="0" fontId="9" fillId="0" borderId="0"/>
    <xf numFmtId="0" fontId="15" fillId="0" borderId="0"/>
    <xf numFmtId="9" fontId="14" fillId="0" borderId="0" applyFont="0" applyFill="0" applyBorder="0" applyAlignment="0" applyProtection="0"/>
    <xf numFmtId="0" fontId="8" fillId="0" borderId="0"/>
    <xf numFmtId="0" fontId="9" fillId="0" borderId="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6" borderId="0" applyNumberFormat="0" applyBorder="0" applyAlignment="0" applyProtection="0"/>
    <xf numFmtId="0" fontId="28" fillId="40"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7" borderId="0" applyNumberFormat="0" applyBorder="0" applyAlignment="0" applyProtection="0"/>
    <xf numFmtId="0" fontId="29" fillId="11" borderId="0" applyNumberFormat="0" applyBorder="0" applyAlignment="0" applyProtection="0"/>
    <xf numFmtId="0" fontId="30" fillId="14" borderId="10" applyNumberFormat="0" applyAlignment="0" applyProtection="0"/>
    <xf numFmtId="0" fontId="31" fillId="15" borderId="1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32" fillId="0" borderId="0" applyNumberFormat="0" applyFill="0" applyBorder="0" applyAlignment="0" applyProtection="0"/>
    <xf numFmtId="0" fontId="33" fillId="10" borderId="0" applyNumberFormat="0" applyBorder="0" applyAlignment="0" applyProtection="0"/>
    <xf numFmtId="0" fontId="34" fillId="0" borderId="7" applyNumberFormat="0" applyFill="0" applyAlignment="0" applyProtection="0"/>
    <xf numFmtId="0" fontId="35" fillId="0" borderId="8" applyNumberFormat="0" applyFill="0" applyAlignment="0" applyProtection="0"/>
    <xf numFmtId="0" fontId="36" fillId="0" borderId="9" applyNumberFormat="0" applyFill="0" applyAlignment="0" applyProtection="0"/>
    <xf numFmtId="0" fontId="36" fillId="0" borderId="0" applyNumberFormat="0" applyFill="0" applyBorder="0" applyAlignment="0" applyProtection="0"/>
    <xf numFmtId="0" fontId="37" fillId="13" borderId="10" applyNumberFormat="0" applyAlignment="0" applyProtection="0"/>
    <xf numFmtId="0" fontId="38" fillId="0" borderId="12" applyNumberFormat="0" applyFill="0" applyAlignment="0" applyProtection="0"/>
    <xf numFmtId="0" fontId="39" fillId="12" borderId="0" applyNumberFormat="0" applyBorder="0" applyAlignment="0" applyProtection="0"/>
    <xf numFmtId="0" fontId="9" fillId="0" borderId="0"/>
    <xf numFmtId="0" fontId="9" fillId="0" borderId="0"/>
    <xf numFmtId="0" fontId="27" fillId="16" borderId="14" applyNumberFormat="0" applyFont="0" applyAlignment="0" applyProtection="0"/>
    <xf numFmtId="0" fontId="27" fillId="16" borderId="14" applyNumberFormat="0" applyFont="0" applyAlignment="0" applyProtection="0"/>
    <xf numFmtId="0" fontId="27" fillId="16" borderId="14" applyNumberFormat="0" applyFont="0" applyAlignment="0" applyProtection="0"/>
    <xf numFmtId="0" fontId="27" fillId="16" borderId="14" applyNumberFormat="0" applyFont="0" applyAlignment="0" applyProtection="0"/>
    <xf numFmtId="0" fontId="40" fillId="14"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26" fillId="0" borderId="0" applyNumberFormat="0" applyFill="0" applyBorder="0" applyAlignment="0" applyProtection="0"/>
    <xf numFmtId="0" fontId="41" fillId="0" borderId="15" applyNumberFormat="0" applyFill="0" applyAlignment="0" applyProtection="0"/>
    <xf numFmtId="0" fontId="42" fillId="0" borderId="0" applyNumberFormat="0" applyFill="0" applyBorder="0" applyAlignment="0" applyProtection="0"/>
    <xf numFmtId="0" fontId="9" fillId="0" borderId="0"/>
    <xf numFmtId="0" fontId="8" fillId="0" borderId="0"/>
    <xf numFmtId="0" fontId="8" fillId="0" borderId="0"/>
    <xf numFmtId="0" fontId="7" fillId="0" borderId="0"/>
    <xf numFmtId="0" fontId="14" fillId="0" borderId="0"/>
    <xf numFmtId="0" fontId="6" fillId="0" borderId="0"/>
    <xf numFmtId="0" fontId="4" fillId="0" borderId="0"/>
    <xf numFmtId="0" fontId="3" fillId="0" borderId="0"/>
    <xf numFmtId="0" fontId="2" fillId="0" borderId="0"/>
    <xf numFmtId="43" fontId="1" fillId="0" borderId="0" applyFont="0" applyFill="0" applyBorder="0" applyAlignment="0" applyProtection="0"/>
  </cellStyleXfs>
  <cellXfs count="960">
    <xf numFmtId="0" fontId="0" fillId="0" borderId="0" xfId="0"/>
    <xf numFmtId="0" fontId="17" fillId="0" borderId="0" xfId="0" applyFont="1"/>
    <xf numFmtId="0" fontId="18" fillId="0" borderId="0" xfId="0" applyFont="1"/>
    <xf numFmtId="0" fontId="18" fillId="0" borderId="0" xfId="0" applyFont="1" applyAlignment="1">
      <alignment wrapText="1"/>
    </xf>
    <xf numFmtId="0" fontId="0" fillId="0" borderId="0" xfId="0" applyFill="1"/>
    <xf numFmtId="0" fontId="21" fillId="0" borderId="0" xfId="0" applyFont="1" applyFill="1"/>
    <xf numFmtId="0" fontId="22" fillId="0" borderId="0" xfId="4" applyFont="1" applyFill="1"/>
    <xf numFmtId="0" fontId="21" fillId="0" borderId="0" xfId="0" applyFont="1" applyFill="1" applyAlignment="1">
      <alignment wrapText="1"/>
    </xf>
    <xf numFmtId="0" fontId="17" fillId="0" borderId="0" xfId="0" applyNumberFormat="1" applyFont="1"/>
    <xf numFmtId="0" fontId="0" fillId="0" borderId="0" xfId="0" applyNumberFormat="1"/>
    <xf numFmtId="0" fontId="44" fillId="7" borderId="0" xfId="0" applyFont="1" applyFill="1" applyBorder="1" applyAlignment="1" applyProtection="1">
      <alignment horizontal="right" vertical="center" wrapText="1"/>
    </xf>
    <xf numFmtId="0" fontId="17" fillId="0" borderId="0" xfId="0" applyFont="1" applyAlignment="1">
      <alignment horizontal="right"/>
    </xf>
    <xf numFmtId="0" fontId="9" fillId="0" borderId="0" xfId="3"/>
    <xf numFmtId="0" fontId="51" fillId="0" borderId="0" xfId="0" applyFont="1"/>
    <xf numFmtId="0" fontId="18" fillId="5" borderId="1" xfId="0" applyFont="1" applyFill="1" applyBorder="1" applyAlignment="1" applyProtection="1">
      <alignment horizontal="left" vertical="top" wrapText="1"/>
    </xf>
    <xf numFmtId="0" fontId="18" fillId="0" borderId="0" xfId="0" applyNumberFormat="1" applyFont="1" applyProtection="1"/>
    <xf numFmtId="0" fontId="18" fillId="5" borderId="1" xfId="0" applyFont="1" applyFill="1" applyBorder="1" applyAlignment="1" applyProtection="1">
      <alignment horizontal="left" vertical="top" wrapText="1"/>
      <protection locked="0"/>
    </xf>
    <xf numFmtId="0" fontId="18" fillId="0" borderId="1" xfId="0" applyFont="1" applyBorder="1" applyAlignment="1" applyProtection="1">
      <alignment horizontal="left" vertical="top" wrapText="1"/>
    </xf>
    <xf numFmtId="0" fontId="18" fillId="0" borderId="2"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wrapText="1"/>
      <protection locked="0"/>
    </xf>
    <xf numFmtId="0" fontId="51" fillId="5" borderId="1" xfId="0" applyFont="1" applyFill="1" applyBorder="1" applyAlignment="1" applyProtection="1">
      <alignment horizontal="left" vertical="top" wrapText="1"/>
      <protection locked="0"/>
    </xf>
    <xf numFmtId="0" fontId="51" fillId="0" borderId="0" xfId="99" applyFont="1"/>
    <xf numFmtId="0" fontId="51" fillId="0" borderId="0" xfId="99" applyFont="1" applyFill="1"/>
    <xf numFmtId="0" fontId="51" fillId="0" borderId="0" xfId="99" applyFont="1" applyAlignment="1">
      <alignment vertical="top" wrapText="1"/>
    </xf>
    <xf numFmtId="0" fontId="18" fillId="0" borderId="0" xfId="0" applyFont="1" applyBorder="1" applyAlignment="1" applyProtection="1">
      <alignment horizontal="left" vertical="top" wrapText="1"/>
      <protection locked="0"/>
    </xf>
    <xf numFmtId="0" fontId="51" fillId="0" borderId="0" xfId="99" applyFont="1" applyBorder="1" applyAlignment="1" applyProtection="1">
      <alignment horizontal="left" vertical="top" wrapText="1"/>
      <protection locked="0"/>
    </xf>
    <xf numFmtId="0" fontId="51" fillId="6" borderId="0" xfId="99" applyFont="1" applyFill="1" applyBorder="1" applyAlignment="1" applyProtection="1">
      <alignment horizontal="left" vertical="top" wrapText="1"/>
      <protection locked="0"/>
    </xf>
    <xf numFmtId="0" fontId="18" fillId="0" borderId="24" xfId="0" applyFont="1" applyBorder="1" applyAlignment="1" applyProtection="1">
      <alignment horizontal="left" vertical="top" wrapText="1"/>
      <protection locked="0"/>
    </xf>
    <xf numFmtId="0" fontId="51" fillId="0" borderId="24" xfId="99" applyFont="1" applyBorder="1" applyAlignment="1" applyProtection="1">
      <alignment horizontal="left" vertical="top" wrapText="1"/>
      <protection locked="0"/>
    </xf>
    <xf numFmtId="0" fontId="18" fillId="0" borderId="17" xfId="0" applyFont="1" applyBorder="1" applyAlignment="1" applyProtection="1">
      <alignment horizontal="left" vertical="top" wrapText="1"/>
    </xf>
    <xf numFmtId="0" fontId="18" fillId="0" borderId="0" xfId="0" applyFont="1" applyFill="1" applyAlignment="1">
      <alignment wrapText="1"/>
    </xf>
    <xf numFmtId="0" fontId="51" fillId="0" borderId="0" xfId="0" applyFont="1" applyAlignment="1">
      <alignment wrapText="1"/>
    </xf>
    <xf numFmtId="0" fontId="43" fillId="0" borderId="0" xfId="0" applyFont="1" applyProtection="1">
      <protection locked="0"/>
    </xf>
    <xf numFmtId="0" fontId="44" fillId="7" borderId="0" xfId="0" applyFont="1" applyFill="1" applyBorder="1" applyAlignment="1" applyProtection="1">
      <alignment horizontal="right" vertical="center" wrapText="1"/>
      <protection locked="0"/>
    </xf>
    <xf numFmtId="3" fontId="43" fillId="0" borderId="0" xfId="0" applyNumberFormat="1" applyFont="1" applyProtection="1">
      <protection locked="0"/>
    </xf>
    <xf numFmtId="0" fontId="43" fillId="0" borderId="0" xfId="0" applyFont="1" applyProtection="1"/>
    <xf numFmtId="3" fontId="43" fillId="0" borderId="0" xfId="0" applyNumberFormat="1" applyFont="1" applyProtection="1"/>
    <xf numFmtId="0" fontId="47" fillId="0" borderId="0" xfId="0" applyFont="1" applyProtection="1"/>
    <xf numFmtId="3" fontId="47" fillId="0" borderId="0" xfId="0" applyNumberFormat="1" applyFont="1" applyProtection="1"/>
    <xf numFmtId="0" fontId="48" fillId="0" borderId="0" xfId="0" applyFont="1" applyProtection="1"/>
    <xf numFmtId="0" fontId="48" fillId="43" borderId="17" xfId="0" applyFont="1" applyFill="1" applyBorder="1" applyProtection="1"/>
    <xf numFmtId="3" fontId="48" fillId="43" borderId="17" xfId="0" applyNumberFormat="1" applyFont="1" applyFill="1" applyBorder="1" applyAlignment="1" applyProtection="1">
      <alignment horizontal="center"/>
    </xf>
    <xf numFmtId="0" fontId="9" fillId="0" borderId="0" xfId="3" applyFont="1" applyProtection="1"/>
    <xf numFmtId="0" fontId="9" fillId="0" borderId="17" xfId="3" applyFont="1" applyBorder="1" applyAlignment="1" applyProtection="1">
      <alignment wrapText="1"/>
    </xf>
    <xf numFmtId="3" fontId="43" fillId="0" borderId="17" xfId="0" applyNumberFormat="1" applyFont="1" applyBorder="1" applyProtection="1"/>
    <xf numFmtId="3" fontId="43" fillId="42" borderId="17" xfId="0" applyNumberFormat="1" applyFont="1" applyFill="1" applyBorder="1" applyProtection="1"/>
    <xf numFmtId="0" fontId="48" fillId="43" borderId="17" xfId="0" applyFont="1" applyFill="1" applyBorder="1" applyAlignment="1" applyProtection="1">
      <alignment horizontal="right"/>
    </xf>
    <xf numFmtId="3" fontId="48" fillId="0" borderId="17" xfId="0" applyNumberFormat="1" applyFont="1" applyBorder="1" applyProtection="1"/>
    <xf numFmtId="3" fontId="48" fillId="42" borderId="17" xfId="0" applyNumberFormat="1" applyFont="1" applyFill="1" applyBorder="1" applyProtection="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18" fillId="45" borderId="1" xfId="0" applyFont="1" applyFill="1" applyBorder="1" applyAlignment="1" applyProtection="1">
      <alignment horizontal="left" vertical="top" wrapText="1"/>
    </xf>
    <xf numFmtId="0" fontId="18" fillId="45" borderId="0" xfId="0" applyFont="1" applyFill="1"/>
    <xf numFmtId="0" fontId="51" fillId="45" borderId="0" xfId="99" applyFont="1" applyFill="1"/>
    <xf numFmtId="49" fontId="18" fillId="45" borderId="0" xfId="0" applyNumberFormat="1" applyFont="1" applyFill="1"/>
    <xf numFmtId="0" fontId="53" fillId="45" borderId="0" xfId="99" applyFont="1" applyFill="1"/>
    <xf numFmtId="0" fontId="18" fillId="45" borderId="2" xfId="0" applyFont="1" applyFill="1" applyBorder="1" applyAlignment="1" applyProtection="1">
      <alignment horizontal="left" vertical="top" wrapText="1"/>
      <protection locked="0"/>
    </xf>
    <xf numFmtId="0" fontId="18" fillId="45" borderId="0" xfId="0" applyFont="1" applyFill="1" applyBorder="1" applyAlignment="1" applyProtection="1">
      <alignment horizontal="left" vertical="top" wrapText="1"/>
      <protection locked="0"/>
    </xf>
    <xf numFmtId="0" fontId="51" fillId="45" borderId="0" xfId="99" applyFont="1" applyFill="1" applyAlignment="1">
      <alignment vertical="top" wrapText="1"/>
    </xf>
    <xf numFmtId="49" fontId="18" fillId="45" borderId="0" xfId="0" applyNumberFormat="1" applyFont="1" applyFill="1" applyBorder="1" applyAlignment="1" applyProtection="1">
      <alignment horizontal="left" vertical="top" wrapText="1"/>
      <protection locked="0"/>
    </xf>
    <xf numFmtId="0" fontId="53" fillId="45" borderId="0" xfId="99" applyFont="1" applyFill="1" applyAlignment="1">
      <alignment vertical="top" wrapText="1"/>
    </xf>
    <xf numFmtId="49" fontId="51" fillId="45" borderId="0" xfId="0" applyNumberFormat="1" applyFont="1" applyFill="1" applyBorder="1" applyAlignment="1" applyProtection="1">
      <alignment horizontal="left" vertical="top" wrapText="1"/>
      <protection locked="0"/>
    </xf>
    <xf numFmtId="0" fontId="51" fillId="45" borderId="0" xfId="0" applyFont="1" applyFill="1"/>
    <xf numFmtId="0" fontId="54" fillId="45" borderId="0" xfId="0" applyFont="1" applyFill="1" applyAlignment="1">
      <alignment vertical="center"/>
    </xf>
    <xf numFmtId="0" fontId="51" fillId="45" borderId="0" xfId="0" applyFont="1" applyFill="1" applyAlignment="1">
      <alignment vertical="center"/>
    </xf>
    <xf numFmtId="0" fontId="51" fillId="45" borderId="0" xfId="0" applyFont="1" applyFill="1" applyBorder="1" applyAlignment="1" applyProtection="1">
      <alignment horizontal="left" vertical="top" wrapText="1"/>
      <protection locked="0"/>
    </xf>
    <xf numFmtId="3" fontId="16" fillId="41" borderId="6" xfId="0" applyNumberFormat="1" applyFont="1" applyFill="1" applyBorder="1" applyProtection="1"/>
    <xf numFmtId="3" fontId="48" fillId="0" borderId="0" xfId="0" applyNumberFormat="1" applyFont="1" applyBorder="1" applyProtection="1"/>
    <xf numFmtId="0" fontId="55" fillId="0" borderId="0" xfId="0" applyFont="1" applyProtection="1"/>
    <xf numFmtId="0" fontId="16" fillId="0" borderId="17" xfId="0" applyFont="1" applyBorder="1" applyProtection="1"/>
    <xf numFmtId="0" fontId="16" fillId="43" borderId="17" xfId="0" applyFont="1" applyFill="1" applyBorder="1" applyAlignment="1">
      <alignment horizontal="left" vertical="top"/>
    </xf>
    <xf numFmtId="3" fontId="16" fillId="43" borderId="17" xfId="0" applyNumberFormat="1" applyFont="1" applyFill="1" applyBorder="1" applyAlignment="1">
      <alignment horizontal="center"/>
    </xf>
    <xf numFmtId="0" fontId="5" fillId="0" borderId="0" xfId="0" applyFont="1"/>
    <xf numFmtId="0" fontId="56" fillId="0" borderId="0" xfId="0" applyFont="1" applyProtection="1"/>
    <xf numFmtId="0" fontId="16" fillId="0" borderId="0" xfId="0" applyFont="1" applyProtection="1"/>
    <xf numFmtId="0" fontId="16" fillId="43" borderId="17" xfId="0" applyFont="1" applyFill="1" applyBorder="1" applyProtection="1"/>
    <xf numFmtId="3" fontId="16" fillId="43" borderId="17" xfId="0" applyNumberFormat="1" applyFont="1" applyFill="1" applyBorder="1" applyAlignment="1" applyProtection="1">
      <alignment horizontal="center"/>
    </xf>
    <xf numFmtId="3" fontId="17" fillId="0" borderId="17" xfId="0" applyNumberFormat="1" applyFont="1" applyBorder="1"/>
    <xf numFmtId="165" fontId="0" fillId="0" borderId="0" xfId="0" applyNumberFormat="1" applyProtection="1">
      <protection locked="0"/>
    </xf>
    <xf numFmtId="165" fontId="23" fillId="0" borderId="0" xfId="0" applyNumberFormat="1" applyFont="1" applyFill="1" applyBorder="1" applyAlignment="1" applyProtection="1">
      <alignment horizontal="left" vertical="center"/>
      <protection locked="0"/>
    </xf>
    <xf numFmtId="165" fontId="23" fillId="0" borderId="0" xfId="0" applyNumberFormat="1" applyFont="1" applyFill="1" applyBorder="1" applyAlignment="1" applyProtection="1">
      <alignment horizontal="right" vertical="center"/>
      <protection locked="0"/>
    </xf>
    <xf numFmtId="165" fontId="45" fillId="0" borderId="0" xfId="0" applyNumberFormat="1" applyFont="1" applyFill="1" applyBorder="1" applyAlignment="1" applyProtection="1">
      <alignment horizontal="left" vertical="center"/>
      <protection locked="0"/>
    </xf>
    <xf numFmtId="165" fontId="13" fillId="0" borderId="0" xfId="0" applyNumberFormat="1" applyFont="1" applyFill="1" applyBorder="1" applyAlignment="1" applyProtection="1">
      <alignment horizontal="left" vertical="center"/>
      <protection locked="0"/>
    </xf>
    <xf numFmtId="165" fontId="46" fillId="0" borderId="0" xfId="0" applyNumberFormat="1" applyFont="1" applyFill="1" applyBorder="1" applyAlignment="1" applyProtection="1">
      <alignment vertical="center"/>
      <protection locked="0"/>
    </xf>
    <xf numFmtId="165" fontId="23" fillId="0" borderId="0" xfId="0" applyNumberFormat="1" applyFont="1" applyFill="1" applyBorder="1" applyAlignment="1" applyProtection="1">
      <alignment horizontal="left" vertical="center"/>
    </xf>
    <xf numFmtId="165" fontId="19" fillId="0" borderId="0" xfId="0" applyNumberFormat="1" applyFont="1" applyFill="1" applyBorder="1" applyAlignment="1" applyProtection="1">
      <alignment vertical="center"/>
      <protection locked="0"/>
    </xf>
    <xf numFmtId="165" fontId="20" fillId="0" borderId="0" xfId="0" applyNumberFormat="1" applyFont="1" applyFill="1" applyBorder="1" applyAlignment="1" applyProtection="1">
      <alignment vertical="center"/>
      <protection locked="0"/>
    </xf>
    <xf numFmtId="165" fontId="19" fillId="0" borderId="0" xfId="0" applyNumberFormat="1" applyFont="1" applyFill="1" applyBorder="1" applyAlignment="1" applyProtection="1">
      <alignment vertical="center"/>
      <protection hidden="1"/>
    </xf>
    <xf numFmtId="0" fontId="57" fillId="0" borderId="0" xfId="0" applyFont="1"/>
    <xf numFmtId="0" fontId="0" fillId="47" borderId="0" xfId="0" applyNumberFormat="1" applyFont="1" applyFill="1" applyAlignment="1">
      <alignment wrapText="1"/>
    </xf>
    <xf numFmtId="1" fontId="0" fillId="9" borderId="4" xfId="0" applyNumberFormat="1" applyFont="1" applyFill="1" applyBorder="1" applyAlignment="1" applyProtection="1">
      <alignment horizontal="center" vertical="center" wrapText="1"/>
      <protection locked="0"/>
    </xf>
    <xf numFmtId="1" fontId="18" fillId="0" borderId="0" xfId="0" applyNumberFormat="1" applyFont="1" applyProtection="1">
      <protection locked="0"/>
    </xf>
    <xf numFmtId="1" fontId="9" fillId="6" borderId="1" xfId="0" applyNumberFormat="1" applyFont="1" applyFill="1" applyBorder="1" applyAlignment="1" applyProtection="1">
      <alignment horizontal="center" vertical="center"/>
      <protection locked="0"/>
    </xf>
    <xf numFmtId="1" fontId="18" fillId="0" borderId="0" xfId="0" applyNumberFormat="1" applyFont="1"/>
    <xf numFmtId="1" fontId="9" fillId="44" borderId="17" xfId="0" applyNumberFormat="1" applyFont="1" applyFill="1" applyBorder="1" applyAlignment="1" applyProtection="1">
      <alignment vertical="center" wrapText="1"/>
    </xf>
    <xf numFmtId="1" fontId="18" fillId="0" borderId="0" xfId="0" applyNumberFormat="1" applyFont="1" applyAlignment="1" applyProtection="1">
      <alignment wrapText="1"/>
    </xf>
    <xf numFmtId="1" fontId="43" fillId="44" borderId="17" xfId="0" applyNumberFormat="1" applyFont="1" applyFill="1" applyBorder="1" applyAlignment="1" applyProtection="1">
      <alignment vertical="center" wrapText="1"/>
    </xf>
    <xf numFmtId="1" fontId="9" fillId="0" borderId="0" xfId="0" applyNumberFormat="1" applyFont="1" applyFill="1" applyBorder="1" applyAlignment="1" applyProtection="1">
      <alignment horizontal="center" vertical="center" wrapText="1"/>
    </xf>
    <xf numFmtId="1" fontId="9" fillId="44" borderId="17" xfId="0" applyNumberFormat="1" applyFont="1" applyFill="1" applyBorder="1" applyAlignment="1" applyProtection="1">
      <alignment horizontal="left" vertical="center"/>
    </xf>
    <xf numFmtId="1" fontId="10" fillId="2" borderId="1" xfId="0" applyNumberFormat="1" applyFont="1" applyFill="1" applyBorder="1" applyAlignment="1" applyProtection="1">
      <alignment vertical="center" wrapText="1"/>
    </xf>
    <xf numFmtId="1" fontId="9" fillId="6" borderId="17" xfId="0" applyNumberFormat="1" applyFont="1" applyFill="1" applyBorder="1" applyAlignment="1" applyProtection="1">
      <alignment vertical="center" wrapText="1"/>
      <protection locked="0"/>
    </xf>
    <xf numFmtId="1" fontId="9" fillId="44" borderId="17" xfId="0" applyNumberFormat="1" applyFont="1" applyFill="1" applyBorder="1" applyAlignment="1" applyProtection="1">
      <alignment horizontal="center" vertical="center"/>
    </xf>
    <xf numFmtId="1" fontId="10" fillId="4" borderId="1" xfId="0" applyNumberFormat="1" applyFont="1" applyFill="1" applyBorder="1" applyAlignment="1" applyProtection="1">
      <alignment vertical="center" wrapText="1"/>
    </xf>
    <xf numFmtId="1" fontId="9" fillId="5" borderId="1" xfId="0" applyNumberFormat="1" applyFont="1" applyFill="1" applyBorder="1" applyAlignment="1" applyProtection="1">
      <alignment horizontal="center" vertical="center"/>
    </xf>
    <xf numFmtId="1" fontId="9" fillId="6" borderId="17" xfId="1" applyNumberFormat="1" applyFont="1" applyFill="1" applyBorder="1" applyAlignment="1" applyProtection="1">
      <alignment horizontal="right" vertical="center"/>
      <protection locked="0"/>
    </xf>
    <xf numFmtId="1" fontId="9" fillId="0" borderId="0" xfId="0" applyNumberFormat="1" applyFont="1" applyFill="1" applyBorder="1" applyAlignment="1" applyProtection="1">
      <alignment vertical="center"/>
      <protection locked="0"/>
    </xf>
    <xf numFmtId="1" fontId="18" fillId="0" borderId="0" xfId="0" applyNumberFormat="1" applyFont="1" applyProtection="1"/>
    <xf numFmtId="1" fontId="18" fillId="0" borderId="0" xfId="0" applyNumberFormat="1" applyFont="1" applyAlignment="1">
      <alignment wrapText="1"/>
    </xf>
    <xf numFmtId="1" fontId="51" fillId="0" borderId="0" xfId="0" applyNumberFormat="1" applyFont="1"/>
    <xf numFmtId="1" fontId="18" fillId="6" borderId="0" xfId="0" applyNumberFormat="1" applyFont="1" applyFill="1" applyAlignment="1" applyProtection="1">
      <alignment horizontal="center" wrapText="1"/>
    </xf>
    <xf numFmtId="1" fontId="18" fillId="0" borderId="0" xfId="0" applyNumberFormat="1" applyFont="1" applyAlignment="1" applyProtection="1">
      <alignment horizontal="center"/>
    </xf>
    <xf numFmtId="1" fontId="18" fillId="0" borderId="0" xfId="0" applyNumberFormat="1" applyFont="1" applyFill="1" applyProtection="1"/>
    <xf numFmtId="0" fontId="59" fillId="0" borderId="35" xfId="0" applyFont="1" applyBorder="1" applyAlignment="1">
      <alignment vertical="center" wrapText="1"/>
    </xf>
    <xf numFmtId="0" fontId="61" fillId="0" borderId="35" xfId="0" applyFont="1" applyBorder="1" applyAlignment="1">
      <alignment vertical="center" wrapText="1"/>
    </xf>
    <xf numFmtId="0" fontId="61" fillId="0" borderId="0" xfId="0" applyFont="1"/>
    <xf numFmtId="9" fontId="43" fillId="0" borderId="17" xfId="5" applyFont="1" applyBorder="1" applyProtection="1"/>
    <xf numFmtId="9" fontId="48" fillId="42" borderId="17" xfId="5" applyFont="1" applyFill="1" applyBorder="1" applyProtection="1"/>
    <xf numFmtId="10" fontId="43" fillId="0" borderId="17" xfId="5" applyNumberFormat="1" applyFont="1" applyBorder="1" applyProtection="1"/>
    <xf numFmtId="0" fontId="47" fillId="0" borderId="0" xfId="0" applyFont="1" applyProtection="1">
      <protection locked="0"/>
    </xf>
    <xf numFmtId="0" fontId="48" fillId="0" borderId="0" xfId="0" applyFont="1" applyProtection="1">
      <protection locked="0"/>
    </xf>
    <xf numFmtId="0" fontId="16" fillId="0" borderId="0" xfId="0" applyFont="1" applyProtection="1">
      <protection locked="0"/>
    </xf>
    <xf numFmtId="0" fontId="0" fillId="0" borderId="0" xfId="0" applyProtection="1">
      <protection locked="0"/>
    </xf>
    <xf numFmtId="0" fontId="5" fillId="0" borderId="0" xfId="0" applyFont="1" applyProtection="1">
      <protection locked="0"/>
    </xf>
    <xf numFmtId="3" fontId="62" fillId="0" borderId="0" xfId="0" applyNumberFormat="1" applyFont="1" applyProtection="1"/>
    <xf numFmtId="3" fontId="63" fillId="0" borderId="0" xfId="0" applyNumberFormat="1" applyFont="1" applyProtection="1"/>
    <xf numFmtId="0" fontId="4" fillId="0" borderId="0" xfId="101"/>
    <xf numFmtId="0" fontId="60" fillId="0" borderId="17" xfId="101" applyFont="1" applyBorder="1" applyAlignment="1">
      <alignment horizontal="left" vertical="top" wrapText="1"/>
    </xf>
    <xf numFmtId="0" fontId="58" fillId="0" borderId="17" xfId="101" applyFont="1" applyBorder="1" applyAlignment="1">
      <alignment horizontal="left" vertical="top" wrapText="1"/>
    </xf>
    <xf numFmtId="0" fontId="64" fillId="43" borderId="17" xfId="101" applyFont="1" applyFill="1" applyBorder="1" applyAlignment="1">
      <alignment horizontal="center" vertical="center" wrapText="1"/>
    </xf>
    <xf numFmtId="0" fontId="64" fillId="50" borderId="17" xfId="101" applyFont="1" applyFill="1" applyBorder="1" applyAlignment="1">
      <alignment horizontal="center" vertical="center" wrapText="1"/>
    </xf>
    <xf numFmtId="0" fontId="60" fillId="51" borderId="18" xfId="101" applyFont="1" applyFill="1" applyBorder="1" applyAlignment="1">
      <alignment vertical="center" wrapText="1"/>
    </xf>
    <xf numFmtId="0" fontId="65" fillId="0" borderId="0" xfId="101" applyFont="1" applyAlignment="1">
      <alignment horizontal="justify" vertical="center"/>
    </xf>
    <xf numFmtId="0" fontId="65" fillId="0" borderId="0" xfId="101" applyFont="1" applyAlignment="1">
      <alignment vertical="center"/>
    </xf>
    <xf numFmtId="0" fontId="65" fillId="0" borderId="0" xfId="101" applyFont="1" applyAlignment="1">
      <alignment horizontal="left" vertical="center"/>
    </xf>
    <xf numFmtId="0" fontId="67" fillId="6" borderId="0" xfId="0" applyFont="1" applyFill="1" applyBorder="1" applyAlignment="1">
      <alignment horizontal="center" vertical="center"/>
    </xf>
    <xf numFmtId="165" fontId="19" fillId="6" borderId="0" xfId="0" applyNumberFormat="1" applyFont="1" applyFill="1" applyBorder="1" applyAlignment="1" applyProtection="1">
      <alignment horizontal="right" vertical="center"/>
    </xf>
    <xf numFmtId="165" fontId="46" fillId="6" borderId="0" xfId="0" applyNumberFormat="1" applyFont="1" applyFill="1" applyBorder="1" applyAlignment="1" applyProtection="1">
      <alignment vertical="center"/>
      <protection locked="0"/>
    </xf>
    <xf numFmtId="165" fontId="24" fillId="6" borderId="0" xfId="0" applyNumberFormat="1" applyFont="1" applyFill="1" applyBorder="1" applyAlignment="1" applyProtection="1">
      <alignment horizontal="center" vertical="center"/>
    </xf>
    <xf numFmtId="165" fontId="24" fillId="6" borderId="0" xfId="0" applyNumberFormat="1" applyFont="1" applyFill="1" applyBorder="1" applyAlignment="1" applyProtection="1">
      <alignment horizontal="center" vertical="center"/>
      <protection locked="0"/>
    </xf>
    <xf numFmtId="165" fontId="24" fillId="6" borderId="0" xfId="0" applyNumberFormat="1" applyFont="1" applyFill="1" applyBorder="1" applyAlignment="1" applyProtection="1">
      <alignment vertical="center"/>
      <protection hidden="1"/>
    </xf>
    <xf numFmtId="165" fontId="23" fillId="6" borderId="0" xfId="0" applyNumberFormat="1" applyFont="1" applyFill="1" applyBorder="1" applyAlignment="1" applyProtection="1">
      <alignment horizontal="left" vertical="center" indent="1"/>
    </xf>
    <xf numFmtId="165" fontId="23" fillId="52" borderId="37" xfId="0" applyNumberFormat="1" applyFont="1" applyFill="1" applyBorder="1" applyAlignment="1" applyProtection="1">
      <alignment horizontal="left" vertical="center"/>
    </xf>
    <xf numFmtId="165" fontId="23" fillId="52" borderId="22" xfId="0" applyNumberFormat="1" applyFont="1" applyFill="1" applyBorder="1" applyAlignment="1" applyProtection="1">
      <alignment horizontal="left" vertical="center"/>
    </xf>
    <xf numFmtId="165" fontId="23" fillId="52" borderId="23" xfId="0" applyNumberFormat="1" applyFont="1" applyFill="1" applyBorder="1" applyAlignment="1" applyProtection="1">
      <alignment horizontal="left" vertical="center"/>
    </xf>
    <xf numFmtId="165" fontId="44" fillId="6" borderId="0" xfId="0" applyNumberFormat="1" applyFont="1" applyFill="1" applyBorder="1" applyAlignment="1" applyProtection="1">
      <alignment vertical="center"/>
      <protection locked="0"/>
    </xf>
    <xf numFmtId="165" fontId="44" fillId="0" borderId="0" xfId="0" applyNumberFormat="1" applyFont="1" applyFill="1" applyBorder="1" applyAlignment="1" applyProtection="1">
      <alignment vertical="center"/>
      <protection locked="0"/>
    </xf>
    <xf numFmtId="165" fontId="68" fillId="6" borderId="0" xfId="0" applyNumberFormat="1" applyFont="1" applyFill="1" applyBorder="1" applyAlignment="1" applyProtection="1">
      <alignment horizontal="right" vertical="center"/>
      <protection locked="0"/>
    </xf>
    <xf numFmtId="165" fontId="69" fillId="6" borderId="0" xfId="0" applyNumberFormat="1" applyFont="1" applyFill="1" applyBorder="1" applyAlignment="1" applyProtection="1">
      <alignment horizontal="center" vertical="center" wrapText="1"/>
      <protection locked="0"/>
    </xf>
    <xf numFmtId="165" fontId="69" fillId="0" borderId="40" xfId="0" applyNumberFormat="1" applyFont="1" applyFill="1" applyBorder="1" applyAlignment="1" applyProtection="1">
      <alignment vertical="center"/>
      <protection locked="0"/>
    </xf>
    <xf numFmtId="165" fontId="69" fillId="0" borderId="0" xfId="0" applyNumberFormat="1" applyFont="1" applyFill="1" applyBorder="1" applyAlignment="1" applyProtection="1">
      <alignment vertical="center"/>
      <protection hidden="1"/>
    </xf>
    <xf numFmtId="165" fontId="69" fillId="0" borderId="0" xfId="0" applyNumberFormat="1" applyFont="1" applyFill="1" applyBorder="1" applyAlignment="1" applyProtection="1">
      <alignment vertical="center"/>
      <protection locked="0"/>
    </xf>
    <xf numFmtId="0" fontId="69" fillId="6" borderId="0" xfId="0" applyFont="1" applyFill="1" applyBorder="1" applyAlignment="1">
      <alignment horizontal="center" vertical="center"/>
    </xf>
    <xf numFmtId="165" fontId="69" fillId="0" borderId="41" xfId="0" applyNumberFormat="1" applyFont="1" applyFill="1" applyBorder="1" applyAlignment="1" applyProtection="1">
      <alignment vertical="center"/>
      <protection locked="0"/>
    </xf>
    <xf numFmtId="165" fontId="44" fillId="52" borderId="37" xfId="0" applyNumberFormat="1" applyFont="1" applyFill="1" applyBorder="1" applyAlignment="1" applyProtection="1">
      <alignment horizontal="right" vertical="center"/>
    </xf>
    <xf numFmtId="165" fontId="44" fillId="6" borderId="0" xfId="0" applyNumberFormat="1" applyFont="1" applyFill="1" applyBorder="1" applyAlignment="1" applyProtection="1">
      <alignment vertical="center"/>
      <protection hidden="1"/>
    </xf>
    <xf numFmtId="165" fontId="68" fillId="6" borderId="17" xfId="0" applyNumberFormat="1" applyFont="1" applyFill="1" applyBorder="1" applyAlignment="1" applyProtection="1">
      <alignment horizontal="center" vertical="center"/>
      <protection locked="0"/>
    </xf>
    <xf numFmtId="165" fontId="68" fillId="4" borderId="40" xfId="0" applyNumberFormat="1" applyFont="1" applyFill="1" applyBorder="1" applyAlignment="1" applyProtection="1">
      <alignment horizontal="center" vertical="center"/>
    </xf>
    <xf numFmtId="165" fontId="68" fillId="4" borderId="17" xfId="0" applyNumberFormat="1" applyFont="1" applyFill="1" applyBorder="1" applyAlignment="1" applyProtection="1">
      <alignment horizontal="center" vertical="center"/>
    </xf>
    <xf numFmtId="165" fontId="68" fillId="0" borderId="40" xfId="0" applyNumberFormat="1" applyFont="1" applyFill="1" applyBorder="1" applyAlignment="1" applyProtection="1">
      <alignment horizontal="right" vertical="center"/>
      <protection locked="0"/>
    </xf>
    <xf numFmtId="165" fontId="23" fillId="6" borderId="0" xfId="0" applyNumberFormat="1" applyFont="1" applyFill="1" applyBorder="1" applyAlignment="1" applyProtection="1">
      <alignment vertical="top" wrapText="1"/>
      <protection hidden="1"/>
    </xf>
    <xf numFmtId="165" fontId="23" fillId="0" borderId="0" xfId="0" applyNumberFormat="1" applyFont="1" applyFill="1" applyBorder="1" applyAlignment="1" applyProtection="1">
      <alignment vertical="center"/>
      <protection locked="0"/>
    </xf>
    <xf numFmtId="165" fontId="69" fillId="0" borderId="17" xfId="0" applyNumberFormat="1" applyFont="1" applyFill="1" applyBorder="1" applyAlignment="1" applyProtection="1">
      <alignment horizontal="left" vertical="center" wrapText="1"/>
      <protection locked="0"/>
    </xf>
    <xf numFmtId="165" fontId="69" fillId="0" borderId="40" xfId="0" applyNumberFormat="1" applyFont="1" applyFill="1" applyBorder="1" applyAlignment="1" applyProtection="1">
      <alignment horizontal="left" vertical="center" wrapText="1"/>
      <protection locked="0"/>
    </xf>
    <xf numFmtId="15" fontId="19" fillId="6" borderId="16" xfId="0" applyNumberFormat="1" applyFont="1" applyFill="1" applyBorder="1" applyAlignment="1" applyProtection="1">
      <alignment horizontal="center" vertical="center"/>
      <protection locked="0"/>
    </xf>
    <xf numFmtId="165" fontId="20" fillId="52" borderId="48" xfId="0" applyNumberFormat="1" applyFont="1" applyFill="1" applyBorder="1" applyAlignment="1" applyProtection="1">
      <alignment horizontal="center" vertical="center"/>
    </xf>
    <xf numFmtId="165" fontId="20" fillId="52" borderId="37" xfId="0" applyNumberFormat="1" applyFont="1" applyFill="1" applyBorder="1" applyAlignment="1" applyProtection="1">
      <alignment horizontal="center" vertical="center"/>
    </xf>
    <xf numFmtId="165" fontId="20" fillId="52" borderId="23" xfId="0" applyNumberFormat="1" applyFont="1" applyFill="1" applyBorder="1" applyAlignment="1" applyProtection="1">
      <alignment horizontal="center" vertical="center"/>
    </xf>
    <xf numFmtId="1" fontId="20" fillId="52" borderId="49" xfId="0" applyNumberFormat="1" applyFont="1" applyFill="1" applyBorder="1" applyAlignment="1" applyProtection="1">
      <alignment horizontal="center" vertical="center"/>
    </xf>
    <xf numFmtId="165" fontId="20" fillId="52" borderId="49" xfId="0" applyNumberFormat="1" applyFont="1" applyFill="1" applyBorder="1" applyAlignment="1" applyProtection="1">
      <alignment horizontal="center" vertical="center"/>
    </xf>
    <xf numFmtId="165" fontId="20" fillId="52" borderId="49" xfId="0" applyNumberFormat="1" applyFont="1" applyFill="1" applyBorder="1" applyAlignment="1" applyProtection="1">
      <alignment horizontal="center" vertical="center" wrapText="1"/>
    </xf>
    <xf numFmtId="1" fontId="20" fillId="52" borderId="49" xfId="0" applyNumberFormat="1" applyFont="1" applyFill="1" applyBorder="1" applyAlignment="1" applyProtection="1">
      <alignment horizontal="center" vertical="center" wrapText="1"/>
    </xf>
    <xf numFmtId="1" fontId="20" fillId="52" borderId="50" xfId="0" applyNumberFormat="1" applyFont="1" applyFill="1" applyBorder="1" applyAlignment="1" applyProtection="1">
      <alignment horizontal="center" vertical="center"/>
    </xf>
    <xf numFmtId="165" fontId="20" fillId="52" borderId="38" xfId="0" applyNumberFormat="1" applyFont="1" applyFill="1" applyBorder="1" applyAlignment="1" applyProtection="1">
      <alignment horizontal="center" vertical="center"/>
    </xf>
    <xf numFmtId="165" fontId="20" fillId="52" borderId="16" xfId="0" applyNumberFormat="1" applyFont="1" applyFill="1" applyBorder="1" applyAlignment="1" applyProtection="1">
      <alignment horizontal="center" vertical="center"/>
    </xf>
    <xf numFmtId="165" fontId="44" fillId="52" borderId="22" xfId="0" applyNumberFormat="1" applyFont="1" applyFill="1" applyBorder="1" applyAlignment="1" applyProtection="1">
      <alignment horizontal="left" vertical="center" wrapText="1"/>
    </xf>
    <xf numFmtId="165" fontId="44" fillId="52" borderId="38" xfId="0" applyNumberFormat="1" applyFont="1" applyFill="1" applyBorder="1" applyAlignment="1" applyProtection="1">
      <alignment horizontal="center" vertical="center"/>
    </xf>
    <xf numFmtId="165" fontId="44" fillId="52" borderId="39" xfId="0" applyNumberFormat="1" applyFont="1" applyFill="1" applyBorder="1" applyAlignment="1" applyProtection="1">
      <alignment vertical="center" wrapText="1"/>
    </xf>
    <xf numFmtId="15" fontId="23" fillId="6" borderId="40" xfId="0" applyNumberFormat="1" applyFont="1" applyFill="1" applyBorder="1" applyAlignment="1" applyProtection="1">
      <alignment horizontal="center" vertical="center"/>
      <protection locked="0"/>
    </xf>
    <xf numFmtId="1" fontId="44" fillId="0" borderId="43" xfId="0" applyNumberFormat="1" applyFont="1" applyBorder="1" applyProtection="1"/>
    <xf numFmtId="1" fontId="44" fillId="0" borderId="43" xfId="0" applyNumberFormat="1" applyFont="1" applyBorder="1" applyAlignment="1">
      <alignment wrapText="1"/>
    </xf>
    <xf numFmtId="1" fontId="44" fillId="0" borderId="43" xfId="0" applyNumberFormat="1" applyFont="1" applyBorder="1" applyAlignment="1" applyProtection="1">
      <alignment wrapText="1"/>
    </xf>
    <xf numFmtId="1" fontId="44" fillId="0" borderId="43" xfId="0" applyNumberFormat="1" applyFont="1" applyBorder="1"/>
    <xf numFmtId="1" fontId="23" fillId="0" borderId="43" xfId="0" applyNumberFormat="1" applyFont="1" applyBorder="1"/>
    <xf numFmtId="1" fontId="44" fillId="6" borderId="43" xfId="0" applyNumberFormat="1" applyFont="1" applyFill="1" applyBorder="1" applyAlignment="1" applyProtection="1">
      <alignment horizontal="center" wrapText="1"/>
    </xf>
    <xf numFmtId="1" fontId="44" fillId="0" borderId="43" xfId="0" applyNumberFormat="1" applyFont="1" applyBorder="1" applyAlignment="1" applyProtection="1">
      <alignment horizontal="center"/>
    </xf>
    <xf numFmtId="1" fontId="44" fillId="0" borderId="43" xfId="0" applyNumberFormat="1" applyFont="1" applyFill="1" applyBorder="1" applyProtection="1"/>
    <xf numFmtId="165" fontId="23" fillId="6" borderId="0" xfId="0" applyNumberFormat="1" applyFont="1" applyFill="1" applyBorder="1" applyAlignment="1" applyProtection="1">
      <alignment horizontal="center" vertical="center"/>
      <protection locked="0"/>
    </xf>
    <xf numFmtId="1" fontId="9" fillId="6" borderId="1" xfId="0" applyNumberFormat="1" applyFont="1" applyFill="1" applyBorder="1" applyAlignment="1" applyProtection="1">
      <alignment horizontal="center" vertical="center" wrapText="1"/>
      <protection locked="0"/>
    </xf>
    <xf numFmtId="1" fontId="9" fillId="2" borderId="1" xfId="0" applyNumberFormat="1" applyFont="1" applyFill="1" applyBorder="1" applyAlignment="1" applyProtection="1">
      <alignment horizontal="center" vertical="center" wrapText="1"/>
    </xf>
    <xf numFmtId="15" fontId="43" fillId="0" borderId="0" xfId="0" applyNumberFormat="1" applyFont="1" applyProtection="1">
      <protection locked="0"/>
    </xf>
    <xf numFmtId="15" fontId="43" fillId="0" borderId="0" xfId="0" applyNumberFormat="1" applyFont="1" applyProtection="1"/>
    <xf numFmtId="15" fontId="48" fillId="52" borderId="37" xfId="0" applyNumberFormat="1" applyFont="1" applyFill="1" applyBorder="1" applyAlignment="1" applyProtection="1">
      <alignment horizontal="center" vertical="center"/>
    </xf>
    <xf numFmtId="15" fontId="48" fillId="52" borderId="38" xfId="0" applyNumberFormat="1" applyFont="1" applyFill="1" applyBorder="1" applyAlignment="1" applyProtection="1">
      <alignment horizontal="center" vertical="center"/>
    </xf>
    <xf numFmtId="15" fontId="48" fillId="52" borderId="23" xfId="0" applyNumberFormat="1" applyFont="1" applyFill="1" applyBorder="1" applyAlignment="1" applyProtection="1">
      <alignment horizontal="center" vertical="center"/>
    </xf>
    <xf numFmtId="15" fontId="48" fillId="52" borderId="16" xfId="0" applyNumberFormat="1" applyFont="1" applyFill="1" applyBorder="1" applyAlignment="1" applyProtection="1">
      <alignment horizontal="center" vertical="center"/>
    </xf>
    <xf numFmtId="15" fontId="48" fillId="52" borderId="39" xfId="0" applyNumberFormat="1" applyFont="1" applyFill="1" applyBorder="1" applyAlignment="1" applyProtection="1">
      <alignment horizontal="center" vertical="center"/>
    </xf>
    <xf numFmtId="15" fontId="48" fillId="52" borderId="41" xfId="0" applyNumberFormat="1" applyFont="1" applyFill="1" applyBorder="1" applyAlignment="1" applyProtection="1">
      <alignment horizontal="center" vertical="center"/>
    </xf>
    <xf numFmtId="15" fontId="43" fillId="0" borderId="0" xfId="0" applyNumberFormat="1" applyFont="1" applyBorder="1" applyProtection="1"/>
    <xf numFmtId="0" fontId="69" fillId="0" borderId="0" xfId="0" applyFont="1" applyFill="1" applyBorder="1" applyAlignment="1">
      <alignment horizontal="center" vertical="center"/>
    </xf>
    <xf numFmtId="165" fontId="23" fillId="52" borderId="54" xfId="0" applyNumberFormat="1" applyFont="1" applyFill="1" applyBorder="1" applyAlignment="1" applyProtection="1">
      <alignment horizontal="left" vertical="center"/>
    </xf>
    <xf numFmtId="165" fontId="44" fillId="52" borderId="5" xfId="0" applyNumberFormat="1" applyFont="1" applyFill="1" applyBorder="1" applyAlignment="1" applyProtection="1">
      <alignment horizontal="left" vertical="center" wrapText="1"/>
    </xf>
    <xf numFmtId="165" fontId="23" fillId="52" borderId="5" xfId="0" applyNumberFormat="1" applyFont="1" applyFill="1" applyBorder="1" applyAlignment="1" applyProtection="1">
      <alignment horizontal="left" vertical="center"/>
    </xf>
    <xf numFmtId="165" fontId="20" fillId="52" borderId="55" xfId="0" applyNumberFormat="1" applyFont="1" applyFill="1" applyBorder="1" applyAlignment="1" applyProtection="1">
      <alignment horizontal="center" vertical="center"/>
    </xf>
    <xf numFmtId="165" fontId="20" fillId="52" borderId="56" xfId="0" applyNumberFormat="1" applyFont="1" applyFill="1" applyBorder="1" applyAlignment="1" applyProtection="1">
      <alignment horizontal="center" vertical="center"/>
    </xf>
    <xf numFmtId="165" fontId="20" fillId="52" borderId="21" xfId="0" applyNumberFormat="1" applyFont="1" applyFill="1" applyBorder="1" applyAlignment="1" applyProtection="1">
      <alignment horizontal="center" vertical="center"/>
    </xf>
    <xf numFmtId="165" fontId="44" fillId="52" borderId="56" xfId="0" applyNumberFormat="1" applyFont="1" applyFill="1" applyBorder="1" applyAlignment="1" applyProtection="1">
      <alignment horizontal="right" vertical="center"/>
    </xf>
    <xf numFmtId="165" fontId="69" fillId="6" borderId="6" xfId="0" applyNumberFormat="1" applyFont="1" applyFill="1" applyBorder="1" applyAlignment="1" applyProtection="1">
      <alignment horizontal="right" vertical="center"/>
    </xf>
    <xf numFmtId="165" fontId="69" fillId="6" borderId="21" xfId="0" applyNumberFormat="1" applyFont="1" applyFill="1" applyBorder="1" applyAlignment="1" applyProtection="1">
      <alignment horizontal="right" vertical="center"/>
    </xf>
    <xf numFmtId="165" fontId="44" fillId="52" borderId="56" xfId="0" applyNumberFormat="1" applyFont="1" applyFill="1" applyBorder="1" applyAlignment="1" applyProtection="1">
      <alignment vertical="center" wrapText="1"/>
    </xf>
    <xf numFmtId="165" fontId="69" fillId="0" borderId="6" xfId="0" applyNumberFormat="1" applyFont="1" applyFill="1" applyBorder="1" applyAlignment="1" applyProtection="1">
      <alignment horizontal="left" vertical="center" wrapText="1"/>
      <protection locked="0"/>
    </xf>
    <xf numFmtId="49" fontId="0" fillId="0" borderId="0" xfId="0" applyNumberFormat="1"/>
    <xf numFmtId="165" fontId="69" fillId="0" borderId="22" xfId="0" quotePrefix="1" applyNumberFormat="1" applyFont="1" applyFill="1" applyBorder="1" applyAlignment="1" applyProtection="1">
      <alignment horizontal="left" vertical="center" wrapText="1"/>
      <protection locked="0"/>
    </xf>
    <xf numFmtId="0" fontId="49" fillId="0" borderId="0" xfId="0" applyFont="1"/>
    <xf numFmtId="0" fontId="9" fillId="0" borderId="0" xfId="3" applyNumberFormat="1" applyBorder="1"/>
    <xf numFmtId="0" fontId="9" fillId="0" borderId="0" xfId="3" applyNumberFormat="1"/>
    <xf numFmtId="15" fontId="9" fillId="0" borderId="0" xfId="3" applyNumberFormat="1" applyBorder="1"/>
    <xf numFmtId="14" fontId="9" fillId="0" borderId="0" xfId="3" applyNumberFormat="1" applyBorder="1"/>
    <xf numFmtId="14" fontId="44" fillId="0" borderId="0" xfId="0" applyNumberFormat="1" applyFont="1" applyFill="1" applyBorder="1" applyAlignment="1" applyProtection="1">
      <alignment vertical="center"/>
      <protection locked="0"/>
    </xf>
    <xf numFmtId="0" fontId="9" fillId="0" borderId="17" xfId="3" applyNumberFormat="1" applyBorder="1"/>
    <xf numFmtId="0" fontId="25" fillId="0" borderId="17" xfId="3" applyNumberFormat="1" applyFont="1" applyBorder="1"/>
    <xf numFmtId="0" fontId="25" fillId="0" borderId="0" xfId="3" applyFont="1" applyAlignment="1">
      <alignment horizontal="center" vertical="center"/>
    </xf>
    <xf numFmtId="0" fontId="9" fillId="0" borderId="0" xfId="3" applyAlignment="1">
      <alignment vertical="center"/>
    </xf>
    <xf numFmtId="0" fontId="9" fillId="0" borderId="17" xfId="3" applyBorder="1" applyAlignment="1">
      <alignment vertical="center"/>
    </xf>
    <xf numFmtId="15" fontId="9" fillId="0" borderId="17" xfId="3" applyNumberFormat="1" applyBorder="1" applyAlignment="1">
      <alignment vertical="center"/>
    </xf>
    <xf numFmtId="165" fontId="69" fillId="0" borderId="17" xfId="0" applyNumberFormat="1" applyFont="1" applyFill="1" applyBorder="1" applyAlignment="1" applyProtection="1">
      <alignment horizontal="center" vertical="center" wrapText="1"/>
      <protection locked="0"/>
    </xf>
    <xf numFmtId="1" fontId="6" fillId="0" borderId="3" xfId="0" applyNumberFormat="1" applyFont="1" applyBorder="1" applyProtection="1"/>
    <xf numFmtId="1" fontId="43" fillId="0" borderId="0" xfId="0" applyNumberFormat="1" applyFont="1" applyAlignment="1" applyProtection="1">
      <alignment horizontal="left"/>
    </xf>
    <xf numFmtId="166" fontId="6" fillId="0" borderId="3" xfId="0" applyNumberFormat="1" applyFont="1" applyBorder="1" applyProtection="1"/>
    <xf numFmtId="0" fontId="3" fillId="0" borderId="0" xfId="102"/>
    <xf numFmtId="0" fontId="3" fillId="0" borderId="0" xfId="102" applyAlignment="1">
      <alignment vertical="top"/>
    </xf>
    <xf numFmtId="0" fontId="3" fillId="0" borderId="0" xfId="102" applyAlignment="1">
      <alignment vertical="top" wrapText="1"/>
    </xf>
    <xf numFmtId="0" fontId="41" fillId="0" borderId="0" xfId="102" applyFont="1" applyAlignment="1">
      <alignment vertical="top" wrapText="1"/>
    </xf>
    <xf numFmtId="0" fontId="41" fillId="5" borderId="57" xfId="102" applyFont="1" applyFill="1" applyBorder="1" applyAlignment="1">
      <alignment wrapText="1"/>
    </xf>
    <xf numFmtId="0" fontId="3" fillId="0" borderId="0" xfId="102" applyAlignment="1">
      <alignment wrapText="1"/>
    </xf>
    <xf numFmtId="0" fontId="25" fillId="0" borderId="58" xfId="3" applyFont="1" applyFill="1" applyBorder="1" applyAlignment="1">
      <alignment horizontal="center" vertical="center"/>
    </xf>
    <xf numFmtId="1" fontId="9" fillId="0" borderId="0" xfId="3" applyNumberFormat="1"/>
    <xf numFmtId="165" fontId="69" fillId="0" borderId="21" xfId="0" applyNumberFormat="1" applyFont="1" applyFill="1" applyBorder="1" applyAlignment="1" applyProtection="1">
      <alignment horizontal="left" vertical="center" wrapText="1"/>
      <protection locked="0"/>
    </xf>
    <xf numFmtId="165" fontId="69" fillId="0" borderId="16" xfId="0" applyNumberFormat="1" applyFont="1" applyFill="1" applyBorder="1" applyAlignment="1" applyProtection="1">
      <alignment horizontal="left" vertical="center" wrapText="1"/>
      <protection locked="0"/>
    </xf>
    <xf numFmtId="165" fontId="69" fillId="0" borderId="16" xfId="0" applyNumberFormat="1" applyFont="1" applyFill="1" applyBorder="1" applyAlignment="1" applyProtection="1">
      <alignment horizontal="center" vertical="center" wrapText="1"/>
      <protection locked="0"/>
    </xf>
    <xf numFmtId="165" fontId="69" fillId="0" borderId="41" xfId="0" applyNumberFormat="1" applyFont="1" applyFill="1" applyBorder="1" applyAlignment="1" applyProtection="1">
      <alignment horizontal="left" vertical="center" wrapText="1"/>
      <protection locked="0"/>
    </xf>
    <xf numFmtId="1" fontId="44" fillId="8" borderId="43" xfId="0" applyNumberFormat="1" applyFont="1" applyFill="1" applyBorder="1" applyProtection="1"/>
    <xf numFmtId="1" fontId="9" fillId="6" borderId="17" xfId="0" applyNumberFormat="1" applyFont="1" applyFill="1" applyBorder="1" applyAlignment="1" applyProtection="1">
      <alignment horizontal="center" vertical="center" wrapText="1"/>
      <protection locked="0"/>
    </xf>
    <xf numFmtId="1" fontId="9" fillId="6" borderId="17" xfId="0" applyNumberFormat="1" applyFont="1" applyFill="1" applyBorder="1" applyAlignment="1" applyProtection="1">
      <alignment vertical="center" wrapText="1"/>
    </xf>
    <xf numFmtId="166" fontId="9" fillId="3" borderId="1" xfId="0" applyNumberFormat="1" applyFont="1" applyFill="1" applyBorder="1" applyAlignment="1" applyProtection="1">
      <alignment vertical="center" wrapText="1"/>
    </xf>
    <xf numFmtId="1" fontId="51" fillId="0" borderId="0" xfId="0" applyNumberFormat="1" applyFont="1" applyAlignment="1">
      <alignment wrapText="1"/>
    </xf>
    <xf numFmtId="1" fontId="23" fillId="0" borderId="43" xfId="0" applyNumberFormat="1" applyFont="1" applyBorder="1" applyAlignment="1">
      <alignment wrapText="1"/>
    </xf>
    <xf numFmtId="43" fontId="18" fillId="0" borderId="0" xfId="1" applyFont="1"/>
    <xf numFmtId="43" fontId="44" fillId="0" borderId="43" xfId="1" applyFont="1" applyBorder="1"/>
    <xf numFmtId="43" fontId="12" fillId="9" borderId="1" xfId="1" applyFont="1" applyFill="1" applyBorder="1" applyAlignment="1" applyProtection="1">
      <alignment horizontal="right" vertical="center"/>
      <protection locked="0"/>
    </xf>
    <xf numFmtId="43" fontId="9" fillId="4" borderId="1" xfId="1" applyFont="1" applyFill="1" applyBorder="1" applyAlignment="1" applyProtection="1">
      <alignment horizontal="right" vertical="center"/>
    </xf>
    <xf numFmtId="43" fontId="18" fillId="0" borderId="0" xfId="1" applyFont="1" applyProtection="1"/>
    <xf numFmtId="43" fontId="9" fillId="2" borderId="1" xfId="1" applyFont="1" applyFill="1" applyBorder="1" applyAlignment="1" applyProtection="1">
      <alignment horizontal="right" vertical="center"/>
    </xf>
    <xf numFmtId="43" fontId="43" fillId="4" borderId="19" xfId="1" applyFont="1" applyFill="1" applyBorder="1" applyAlignment="1" applyProtection="1">
      <alignment horizontal="right" vertical="center" wrapText="1"/>
    </xf>
    <xf numFmtId="43" fontId="18" fillId="0" borderId="0" xfId="1" applyFont="1" applyAlignment="1">
      <alignment horizontal="right"/>
    </xf>
    <xf numFmtId="43" fontId="44" fillId="0" borderId="43" xfId="1" applyFont="1" applyBorder="1" applyAlignment="1">
      <alignment horizontal="right"/>
    </xf>
    <xf numFmtId="43" fontId="43" fillId="9" borderId="4" xfId="1" applyFont="1" applyFill="1" applyBorder="1" applyAlignment="1" applyProtection="1">
      <alignment horizontal="right" vertical="center" wrapText="1"/>
      <protection locked="0"/>
    </xf>
    <xf numFmtId="43" fontId="44" fillId="0" borderId="43" xfId="1" applyFont="1" applyBorder="1" applyProtection="1"/>
    <xf numFmtId="43" fontId="44" fillId="6" borderId="43" xfId="1" applyFont="1" applyFill="1" applyBorder="1" applyProtection="1"/>
    <xf numFmtId="43" fontId="44" fillId="0" borderId="43" xfId="1" applyFont="1" applyBorder="1" applyProtection="1">
      <protection locked="0"/>
    </xf>
    <xf numFmtId="43" fontId="12" fillId="46" borderId="1" xfId="1" applyFont="1" applyFill="1" applyBorder="1" applyAlignment="1" applyProtection="1">
      <alignment horizontal="right" vertical="center"/>
      <protection locked="0"/>
    </xf>
    <xf numFmtId="43" fontId="9" fillId="6" borderId="17" xfId="1" applyFont="1" applyFill="1" applyBorder="1" applyAlignment="1" applyProtection="1">
      <alignment horizontal="right" vertical="center"/>
      <protection locked="0"/>
    </xf>
    <xf numFmtId="43" fontId="9" fillId="46" borderId="1" xfId="1" applyFont="1" applyFill="1" applyBorder="1" applyAlignment="1" applyProtection="1">
      <alignment horizontal="right" vertical="center"/>
      <protection locked="0"/>
    </xf>
    <xf numFmtId="43" fontId="18" fillId="6" borderId="0" xfId="1" applyFont="1" applyFill="1" applyProtection="1"/>
    <xf numFmtId="43" fontId="18" fillId="0" borderId="0" xfId="1" applyFont="1" applyProtection="1">
      <protection locked="0"/>
    </xf>
    <xf numFmtId="1" fontId="18" fillId="0" borderId="0" xfId="0" applyNumberFormat="1" applyFont="1" applyAlignment="1" applyProtection="1">
      <alignment horizontal="center" vertical="center"/>
      <protection locked="0"/>
    </xf>
    <xf numFmtId="1" fontId="23" fillId="8" borderId="42" xfId="0" applyNumberFormat="1" applyFont="1" applyFill="1" applyBorder="1" applyAlignment="1" applyProtection="1">
      <alignment horizontal="left" vertical="center"/>
    </xf>
    <xf numFmtId="1" fontId="43" fillId="9" borderId="4" xfId="0" applyNumberFormat="1" applyFont="1" applyFill="1" applyBorder="1" applyAlignment="1" applyProtection="1">
      <alignment horizontal="left" vertical="top" wrapText="1"/>
      <protection locked="0"/>
    </xf>
    <xf numFmtId="1" fontId="18" fillId="0" borderId="0" xfId="0" applyNumberFormat="1" applyFont="1" applyAlignment="1">
      <alignment horizontal="left" vertical="top" wrapText="1"/>
    </xf>
    <xf numFmtId="1" fontId="44" fillId="8" borderId="43" xfId="0" applyNumberFormat="1" applyFont="1" applyFill="1" applyBorder="1" applyAlignment="1">
      <alignment horizontal="left" vertical="top" wrapText="1"/>
    </xf>
    <xf numFmtId="1" fontId="9" fillId="6" borderId="17" xfId="0" applyNumberFormat="1" applyFont="1" applyFill="1" applyBorder="1" applyAlignment="1" applyProtection="1">
      <alignment horizontal="left" vertical="top" wrapText="1"/>
      <protection locked="0"/>
    </xf>
    <xf numFmtId="1" fontId="18" fillId="0" borderId="0" xfId="0" applyNumberFormat="1" applyFont="1" applyAlignment="1" applyProtection="1">
      <alignment horizontal="left" vertical="top" wrapText="1"/>
      <protection locked="0"/>
    </xf>
    <xf numFmtId="1" fontId="44" fillId="0" borderId="43" xfId="0" applyNumberFormat="1" applyFont="1" applyBorder="1" applyAlignment="1" applyProtection="1">
      <alignment horizontal="left" vertical="top" wrapText="1"/>
      <protection locked="0"/>
    </xf>
    <xf numFmtId="1" fontId="43" fillId="0" borderId="17" xfId="0" applyNumberFormat="1" applyFont="1" applyFill="1" applyBorder="1" applyAlignment="1" applyProtection="1">
      <alignment horizontal="left" vertical="top" wrapText="1"/>
      <protection locked="0"/>
    </xf>
    <xf numFmtId="1" fontId="44" fillId="0" borderId="43" xfId="0" applyNumberFormat="1" applyFont="1" applyBorder="1" applyAlignment="1">
      <alignment horizontal="left" vertical="top" wrapText="1"/>
    </xf>
    <xf numFmtId="1" fontId="10" fillId="6" borderId="1" xfId="0" applyNumberFormat="1" applyFont="1" applyFill="1" applyBorder="1" applyAlignment="1" applyProtection="1">
      <alignment horizontal="left" vertical="top" wrapText="1"/>
      <protection locked="0"/>
    </xf>
    <xf numFmtId="1" fontId="9" fillId="9" borderId="1" xfId="0" applyNumberFormat="1" applyFont="1" applyFill="1" applyBorder="1" applyAlignment="1" applyProtection="1">
      <alignment horizontal="left" vertical="top" wrapText="1"/>
      <protection locked="0"/>
    </xf>
    <xf numFmtId="1" fontId="9" fillId="0" borderId="17" xfId="0" applyNumberFormat="1" applyFont="1" applyFill="1" applyBorder="1" applyAlignment="1" applyProtection="1">
      <alignment horizontal="left" vertical="top"/>
      <protection locked="0"/>
    </xf>
    <xf numFmtId="1" fontId="18" fillId="0" borderId="17" xfId="0" applyNumberFormat="1" applyFont="1" applyBorder="1" applyAlignment="1" applyProtection="1">
      <alignment horizontal="left" vertical="top"/>
      <protection locked="0"/>
    </xf>
    <xf numFmtId="1" fontId="44" fillId="0" borderId="43" xfId="0" applyNumberFormat="1" applyFont="1" applyBorder="1" applyAlignment="1">
      <alignment horizontal="left" vertical="top"/>
    </xf>
    <xf numFmtId="1" fontId="51" fillId="0" borderId="0" xfId="0" applyNumberFormat="1" applyFont="1" applyAlignment="1">
      <alignment horizontal="left" vertical="top" wrapText="1"/>
    </xf>
    <xf numFmtId="1" fontId="23" fillId="0" borderId="43" xfId="0" applyNumberFormat="1" applyFont="1" applyBorder="1" applyAlignment="1">
      <alignment horizontal="left" vertical="top" wrapText="1"/>
    </xf>
    <xf numFmtId="1" fontId="18" fillId="0" borderId="0" xfId="0" applyNumberFormat="1" applyFont="1" applyBorder="1" applyAlignment="1" applyProtection="1">
      <alignment horizontal="left" vertical="top"/>
      <protection locked="0"/>
    </xf>
    <xf numFmtId="1" fontId="23" fillId="8" borderId="59" xfId="0" applyNumberFormat="1" applyFont="1" applyFill="1" applyBorder="1" applyAlignment="1" applyProtection="1">
      <alignment horizontal="center" vertical="center"/>
    </xf>
    <xf numFmtId="43" fontId="44" fillId="8" borderId="60" xfId="1" applyFont="1" applyFill="1" applyBorder="1" applyAlignment="1" applyProtection="1">
      <alignment horizontal="center" vertical="center"/>
    </xf>
    <xf numFmtId="43" fontId="44" fillId="0" borderId="47" xfId="1" applyFont="1" applyBorder="1"/>
    <xf numFmtId="43" fontId="44" fillId="0" borderId="47" xfId="1" applyFont="1" applyBorder="1" applyProtection="1"/>
    <xf numFmtId="3" fontId="44" fillId="0" borderId="47" xfId="0" applyNumberFormat="1" applyFont="1" applyBorder="1" applyProtection="1"/>
    <xf numFmtId="43" fontId="23" fillId="8" borderId="60" xfId="1" applyFont="1" applyFill="1" applyBorder="1" applyAlignment="1" applyProtection="1">
      <alignment horizontal="center" vertical="center"/>
    </xf>
    <xf numFmtId="43" fontId="23" fillId="8" borderId="47" xfId="1" applyFont="1" applyFill="1" applyBorder="1" applyAlignment="1" applyProtection="1">
      <alignment horizontal="center" vertical="center"/>
    </xf>
    <xf numFmtId="43" fontId="44" fillId="6" borderId="47" xfId="1" applyFont="1" applyFill="1" applyBorder="1" applyProtection="1"/>
    <xf numFmtId="43" fontId="44" fillId="0" borderId="47" xfId="1" applyFont="1" applyBorder="1" applyProtection="1">
      <protection locked="0"/>
    </xf>
    <xf numFmtId="1" fontId="25" fillId="52" borderId="57" xfId="0" applyNumberFormat="1" applyFont="1" applyFill="1" applyBorder="1" applyAlignment="1" applyProtection="1">
      <alignment horizontal="center" vertical="center" wrapText="1"/>
    </xf>
    <xf numFmtId="1" fontId="25" fillId="8" borderId="57" xfId="0" applyNumberFormat="1" applyFont="1" applyFill="1" applyBorder="1" applyAlignment="1" applyProtection="1">
      <alignment horizontal="center" vertical="center" wrapText="1"/>
    </xf>
    <xf numFmtId="1" fontId="25" fillId="44" borderId="57" xfId="0" applyNumberFormat="1" applyFont="1" applyFill="1" applyBorder="1" applyAlignment="1" applyProtection="1">
      <alignment horizontal="center" vertical="center" wrapText="1"/>
    </xf>
    <xf numFmtId="1" fontId="25" fillId="44" borderId="57" xfId="0" quotePrefix="1" applyNumberFormat="1" applyFont="1" applyFill="1" applyBorder="1" applyAlignment="1" applyProtection="1">
      <alignment horizontal="center" vertical="center" wrapText="1"/>
    </xf>
    <xf numFmtId="1" fontId="25" fillId="4" borderId="57" xfId="0" applyNumberFormat="1" applyFont="1" applyFill="1" applyBorder="1" applyAlignment="1" applyProtection="1">
      <alignment horizontal="center" vertical="center" wrapText="1"/>
    </xf>
    <xf numFmtId="43" fontId="25" fillId="8" borderId="57" xfId="1" applyFont="1" applyFill="1" applyBorder="1" applyAlignment="1" applyProtection="1">
      <alignment horizontal="center" vertical="center" wrapText="1"/>
    </xf>
    <xf numFmtId="1" fontId="52" fillId="6" borderId="57" xfId="0" applyNumberFormat="1" applyFont="1" applyFill="1" applyBorder="1" applyAlignment="1" applyProtection="1">
      <alignment horizontal="center" vertical="center" wrapText="1"/>
    </xf>
    <xf numFmtId="43" fontId="52" fillId="6" borderId="57" xfId="1" applyFont="1" applyFill="1" applyBorder="1" applyAlignment="1" applyProtection="1">
      <alignment horizontal="center" vertical="center" wrapText="1"/>
    </xf>
    <xf numFmtId="1" fontId="25" fillId="0" borderId="57" xfId="0" applyNumberFormat="1" applyFont="1" applyFill="1" applyBorder="1" applyAlignment="1" applyProtection="1">
      <alignment horizontal="center" vertical="center" wrapText="1"/>
    </xf>
    <xf numFmtId="1" fontId="50" fillId="0" borderId="57" xfId="0" applyNumberFormat="1" applyFont="1" applyFill="1" applyBorder="1" applyAlignment="1" applyProtection="1">
      <alignment horizontal="center" vertical="center" wrapText="1"/>
    </xf>
    <xf numFmtId="1" fontId="25" fillId="49" borderId="61" xfId="0" applyNumberFormat="1" applyFont="1" applyFill="1" applyBorder="1" applyAlignment="1" applyProtection="1">
      <alignment horizontal="center" vertical="center" wrapText="1"/>
    </xf>
    <xf numFmtId="1" fontId="25" fillId="0" borderId="57" xfId="0" applyNumberFormat="1" applyFont="1" applyFill="1" applyBorder="1" applyAlignment="1" applyProtection="1">
      <alignment horizontal="left" vertical="center" wrapText="1"/>
      <protection locked="0"/>
    </xf>
    <xf numFmtId="1" fontId="44" fillId="0" borderId="0" xfId="0" applyNumberFormat="1" applyFont="1" applyBorder="1"/>
    <xf numFmtId="1" fontId="18" fillId="0" borderId="47" xfId="0" applyNumberFormat="1" applyFont="1" applyBorder="1" applyProtection="1"/>
    <xf numFmtId="1" fontId="18" fillId="0" borderId="47" xfId="0" applyNumberFormat="1" applyFont="1" applyBorder="1" applyAlignment="1">
      <alignment horizontal="left" vertical="top" wrapText="1"/>
    </xf>
    <xf numFmtId="1" fontId="18" fillId="0" borderId="47" xfId="0" applyNumberFormat="1" applyFont="1" applyBorder="1" applyAlignment="1" applyProtection="1">
      <alignment wrapText="1"/>
    </xf>
    <xf numFmtId="1" fontId="18" fillId="0" borderId="47" xfId="0" applyNumberFormat="1" applyFont="1" applyBorder="1" applyAlignment="1" applyProtection="1">
      <alignment horizontal="left" vertical="top" wrapText="1"/>
      <protection locked="0"/>
    </xf>
    <xf numFmtId="1" fontId="18" fillId="0" borderId="47" xfId="0" applyNumberFormat="1" applyFont="1" applyBorder="1" applyAlignment="1">
      <alignment wrapText="1"/>
    </xf>
    <xf numFmtId="1" fontId="18" fillId="0" borderId="47" xfId="0" applyNumberFormat="1" applyFont="1" applyBorder="1"/>
    <xf numFmtId="1" fontId="51" fillId="0" borderId="47" xfId="0" applyNumberFormat="1" applyFont="1" applyBorder="1" applyAlignment="1">
      <alignment wrapText="1"/>
    </xf>
    <xf numFmtId="1" fontId="51" fillId="0" borderId="47" xfId="0" applyNumberFormat="1" applyFont="1" applyBorder="1" applyAlignment="1">
      <alignment horizontal="left" vertical="top" wrapText="1"/>
    </xf>
    <xf numFmtId="1" fontId="51" fillId="0" borderId="47" xfId="0" applyNumberFormat="1" applyFont="1" applyBorder="1"/>
    <xf numFmtId="1" fontId="18" fillId="6" borderId="47" xfId="0" applyNumberFormat="1" applyFont="1" applyFill="1" applyBorder="1" applyAlignment="1" applyProtection="1">
      <alignment horizontal="center" wrapText="1"/>
    </xf>
    <xf numFmtId="1" fontId="18" fillId="0" borderId="47" xfId="0" applyNumberFormat="1" applyFont="1" applyBorder="1" applyAlignment="1" applyProtection="1">
      <alignment horizontal="center"/>
    </xf>
    <xf numFmtId="1" fontId="18" fillId="0" borderId="47" xfId="0" applyNumberFormat="1" applyFont="1" applyFill="1" applyBorder="1" applyProtection="1"/>
    <xf numFmtId="43" fontId="18" fillId="0" borderId="47" xfId="1" applyFont="1" applyBorder="1"/>
    <xf numFmtId="43" fontId="18" fillId="0" borderId="47" xfId="1" applyFont="1" applyBorder="1" applyAlignment="1">
      <alignment horizontal="right"/>
    </xf>
    <xf numFmtId="1" fontId="18" fillId="0" borderId="47" xfId="0" applyNumberFormat="1" applyFont="1" applyBorder="1" applyAlignment="1">
      <alignment horizontal="left" vertical="top"/>
    </xf>
    <xf numFmtId="1" fontId="18" fillId="0" borderId="45" xfId="0" applyNumberFormat="1" applyFont="1" applyBorder="1" applyAlignment="1">
      <alignment horizontal="left" vertical="top"/>
    </xf>
    <xf numFmtId="1" fontId="44" fillId="0" borderId="44" xfId="0" applyNumberFormat="1" applyFont="1" applyBorder="1" applyAlignment="1">
      <alignment horizontal="left" vertical="top"/>
    </xf>
    <xf numFmtId="0" fontId="41" fillId="5" borderId="37" xfId="102" applyFont="1" applyFill="1" applyBorder="1" applyAlignment="1">
      <alignment wrapText="1"/>
    </xf>
    <xf numFmtId="0" fontId="41" fillId="5" borderId="38" xfId="102" applyFont="1" applyFill="1" applyBorder="1" applyAlignment="1">
      <alignment wrapText="1"/>
    </xf>
    <xf numFmtId="0" fontId="41" fillId="5" borderId="39" xfId="102" applyFont="1" applyFill="1" applyBorder="1" applyAlignment="1">
      <alignment wrapText="1"/>
    </xf>
    <xf numFmtId="0" fontId="71" fillId="0" borderId="22" xfId="102" applyFont="1" applyBorder="1" applyAlignment="1">
      <alignment vertical="top" wrapText="1"/>
    </xf>
    <xf numFmtId="0" fontId="71" fillId="0" borderId="23" xfId="102" applyFont="1" applyBorder="1" applyAlignment="1">
      <alignment vertical="top" wrapText="1"/>
    </xf>
    <xf numFmtId="0" fontId="71" fillId="0" borderId="17" xfId="102" applyFont="1" applyBorder="1" applyAlignment="1" applyProtection="1">
      <alignment vertical="top" wrapText="1"/>
      <protection locked="0"/>
    </xf>
    <xf numFmtId="0" fontId="71" fillId="0" borderId="40" xfId="102" applyFont="1" applyBorder="1" applyAlignment="1" applyProtection="1">
      <alignment vertical="top" wrapText="1"/>
      <protection locked="0"/>
    </xf>
    <xf numFmtId="0" fontId="3" fillId="0" borderId="17" xfId="102" applyBorder="1" applyAlignment="1" applyProtection="1">
      <alignment wrapText="1"/>
      <protection locked="0"/>
    </xf>
    <xf numFmtId="0" fontId="3" fillId="0" borderId="40" xfId="102" applyBorder="1" applyAlignment="1" applyProtection="1">
      <alignment wrapText="1"/>
      <protection locked="0"/>
    </xf>
    <xf numFmtId="0" fontId="3" fillId="0" borderId="17" xfId="102" applyBorder="1" applyAlignment="1">
      <alignment wrapText="1"/>
    </xf>
    <xf numFmtId="0" fontId="3" fillId="0" borderId="40" xfId="102" applyBorder="1" applyAlignment="1">
      <alignment wrapText="1"/>
    </xf>
    <xf numFmtId="0" fontId="3" fillId="0" borderId="16" xfId="102" applyBorder="1" applyAlignment="1">
      <alignment wrapText="1"/>
    </xf>
    <xf numFmtId="0" fontId="3" fillId="0" borderId="41" xfId="102" applyBorder="1" applyAlignment="1">
      <alignment wrapText="1"/>
    </xf>
    <xf numFmtId="165" fontId="23" fillId="0" borderId="0" xfId="0" applyNumberFormat="1" applyFont="1" applyFill="1" applyBorder="1" applyAlignment="1" applyProtection="1">
      <alignment vertical="center"/>
    </xf>
    <xf numFmtId="165" fontId="44" fillId="52" borderId="37" xfId="0" quotePrefix="1" applyNumberFormat="1" applyFont="1" applyFill="1" applyBorder="1" applyAlignment="1" applyProtection="1">
      <alignment horizontal="left" vertical="center" wrapText="1"/>
    </xf>
    <xf numFmtId="165" fontId="44" fillId="52" borderId="38" xfId="0" quotePrefix="1" applyNumberFormat="1" applyFont="1" applyFill="1" applyBorder="1" applyAlignment="1" applyProtection="1">
      <alignment horizontal="left" vertical="center" wrapText="1"/>
    </xf>
    <xf numFmtId="165" fontId="69" fillId="0" borderId="23" xfId="0" quotePrefix="1" applyNumberFormat="1" applyFont="1" applyFill="1" applyBorder="1" applyAlignment="1" applyProtection="1">
      <alignment horizontal="left" vertical="center" wrapText="1"/>
      <protection locked="0"/>
    </xf>
    <xf numFmtId="165" fontId="44" fillId="52" borderId="62" xfId="0" applyNumberFormat="1" applyFont="1" applyFill="1" applyBorder="1" applyAlignment="1" applyProtection="1">
      <alignment vertical="center" wrapText="1"/>
    </xf>
    <xf numFmtId="165" fontId="69" fillId="0" borderId="63" xfId="0" applyNumberFormat="1" applyFont="1" applyFill="1" applyBorder="1" applyAlignment="1" applyProtection="1">
      <alignment horizontal="left" vertical="center" wrapText="1"/>
      <protection locked="0"/>
    </xf>
    <xf numFmtId="15" fontId="19" fillId="6" borderId="41" xfId="0" applyNumberFormat="1" applyFont="1" applyFill="1" applyBorder="1" applyAlignment="1" applyProtection="1">
      <alignment horizontal="center" vertical="center"/>
      <protection locked="0"/>
    </xf>
    <xf numFmtId="165" fontId="23" fillId="52" borderId="37" xfId="0" quotePrefix="1" applyNumberFormat="1" applyFont="1" applyFill="1" applyBorder="1" applyAlignment="1" applyProtection="1">
      <alignment horizontal="left" vertical="center" wrapText="1"/>
    </xf>
    <xf numFmtId="165" fontId="23" fillId="52" borderId="23" xfId="0" quotePrefix="1" applyNumberFormat="1" applyFont="1" applyFill="1" applyBorder="1" applyAlignment="1" applyProtection="1">
      <alignment horizontal="left" vertical="center" wrapText="1"/>
    </xf>
    <xf numFmtId="165" fontId="23" fillId="52" borderId="65" xfId="0" applyNumberFormat="1" applyFont="1" applyFill="1" applyBorder="1" applyAlignment="1" applyProtection="1">
      <alignment horizontal="left" vertical="center"/>
    </xf>
    <xf numFmtId="15" fontId="44" fillId="8" borderId="36" xfId="1" applyNumberFormat="1" applyFont="1" applyFill="1" applyBorder="1" applyAlignment="1" applyProtection="1">
      <alignment horizontal="center" vertical="center"/>
    </xf>
    <xf numFmtId="15" fontId="23" fillId="8" borderId="36" xfId="1" applyNumberFormat="1" applyFont="1" applyFill="1" applyBorder="1" applyAlignment="1" applyProtection="1">
      <alignment horizontal="center" vertical="center"/>
    </xf>
    <xf numFmtId="0" fontId="58" fillId="0" borderId="17" xfId="101" applyFont="1" applyBorder="1" applyAlignment="1" applyProtection="1">
      <alignment horizontal="center" vertical="top" wrapText="1"/>
      <protection locked="0"/>
    </xf>
    <xf numFmtId="0" fontId="60" fillId="0" borderId="17" xfId="101" applyFont="1" applyBorder="1" applyAlignment="1" applyProtection="1">
      <alignment horizontal="left" vertical="top" wrapText="1"/>
      <protection locked="0"/>
    </xf>
    <xf numFmtId="1" fontId="44" fillId="0" borderId="0" xfId="0" applyNumberFormat="1" applyFont="1" applyBorder="1" applyProtection="1"/>
    <xf numFmtId="1" fontId="9" fillId="0" borderId="0" xfId="0" applyNumberFormat="1" applyFont="1" applyFill="1" applyBorder="1" applyAlignment="1" applyProtection="1">
      <alignment vertical="center"/>
    </xf>
    <xf numFmtId="16" fontId="23" fillId="6" borderId="40" xfId="0" applyNumberFormat="1" applyFont="1" applyFill="1" applyBorder="1" applyAlignment="1" applyProtection="1">
      <alignment horizontal="center" vertical="center"/>
      <protection locked="0"/>
    </xf>
    <xf numFmtId="16" fontId="23" fillId="6" borderId="41" xfId="0" applyNumberFormat="1" applyFont="1" applyFill="1" applyBorder="1" applyAlignment="1" applyProtection="1">
      <alignment horizontal="center" vertical="center"/>
      <protection locked="0"/>
    </xf>
    <xf numFmtId="165" fontId="68" fillId="6" borderId="16" xfId="0" applyNumberFormat="1" applyFont="1" applyFill="1" applyBorder="1" applyAlignment="1" applyProtection="1">
      <alignment horizontal="center" vertical="center"/>
      <protection locked="0"/>
    </xf>
    <xf numFmtId="165" fontId="69" fillId="4" borderId="22" xfId="0" applyNumberFormat="1" applyFont="1" applyFill="1" applyBorder="1" applyAlignment="1" applyProtection="1">
      <alignment horizontal="right" vertical="center"/>
    </xf>
    <xf numFmtId="15" fontId="19" fillId="4" borderId="38" xfId="0" applyNumberFormat="1" applyFont="1" applyFill="1" applyBorder="1" applyAlignment="1" applyProtection="1">
      <alignment horizontal="center" vertical="center"/>
    </xf>
    <xf numFmtId="15" fontId="19" fillId="4" borderId="38" xfId="0" applyNumberFormat="1" applyFont="1" applyFill="1" applyBorder="1" applyAlignment="1" applyProtection="1">
      <alignment horizontal="center" vertical="center" wrapText="1"/>
    </xf>
    <xf numFmtId="15" fontId="19" fillId="4" borderId="39" xfId="0" applyNumberFormat="1" applyFont="1" applyFill="1" applyBorder="1" applyAlignment="1" applyProtection="1">
      <alignment horizontal="center" vertical="center"/>
    </xf>
    <xf numFmtId="165" fontId="44" fillId="4" borderId="40" xfId="0" applyNumberFormat="1" applyFont="1" applyFill="1" applyBorder="1" applyAlignment="1" applyProtection="1">
      <alignment horizontal="center" vertical="center" wrapText="1"/>
    </xf>
    <xf numFmtId="165" fontId="69" fillId="4" borderId="23" xfId="0" applyNumberFormat="1" applyFont="1" applyFill="1" applyBorder="1" applyAlignment="1" applyProtection="1">
      <alignment horizontal="right" vertical="center"/>
    </xf>
    <xf numFmtId="165" fontId="44" fillId="52" borderId="39" xfId="0" quotePrefix="1" applyNumberFormat="1" applyFont="1" applyFill="1" applyBorder="1" applyAlignment="1" applyProtection="1">
      <alignment horizontal="left" vertical="center" wrapText="1"/>
    </xf>
    <xf numFmtId="0" fontId="44" fillId="7" borderId="37" xfId="0" applyFont="1" applyFill="1" applyBorder="1" applyAlignment="1" applyProtection="1">
      <alignment horizontal="right" vertical="center" wrapText="1"/>
    </xf>
    <xf numFmtId="0" fontId="44" fillId="7" borderId="22" xfId="0" applyFont="1" applyFill="1" applyBorder="1" applyAlignment="1" applyProtection="1">
      <alignment horizontal="right" vertical="center" wrapText="1"/>
    </xf>
    <xf numFmtId="0" fontId="44" fillId="7" borderId="22" xfId="0" applyFont="1" applyFill="1" applyBorder="1" applyAlignment="1" applyProtection="1">
      <alignment horizontal="right" vertical="center" wrapText="1"/>
      <protection locked="0"/>
    </xf>
    <xf numFmtId="0" fontId="44" fillId="7" borderId="23" xfId="0" applyFont="1" applyFill="1" applyBorder="1" applyAlignment="1" applyProtection="1">
      <alignment horizontal="right" vertical="center" wrapText="1"/>
    </xf>
    <xf numFmtId="3" fontId="43" fillId="0" borderId="17" xfId="0" applyNumberFormat="1" applyFont="1" applyBorder="1" applyAlignment="1" applyProtection="1">
      <alignment wrapText="1"/>
    </xf>
    <xf numFmtId="0" fontId="43" fillId="0" borderId="17" xfId="0" applyFont="1" applyBorder="1" applyAlignment="1" applyProtection="1">
      <alignment wrapText="1"/>
    </xf>
    <xf numFmtId="0" fontId="2" fillId="0" borderId="0" xfId="103"/>
    <xf numFmtId="0" fontId="17" fillId="0" borderId="0" xfId="103" applyFont="1"/>
    <xf numFmtId="0" fontId="2" fillId="0" borderId="0" xfId="103" applyFont="1" applyFill="1" applyAlignment="1">
      <alignment wrapText="1"/>
    </xf>
    <xf numFmtId="0" fontId="2" fillId="0" borderId="0" xfId="103" applyFont="1"/>
    <xf numFmtId="0" fontId="2" fillId="0" borderId="0" xfId="103" applyFont="1" applyFill="1"/>
    <xf numFmtId="0" fontId="2" fillId="48" borderId="0" xfId="103" applyFont="1" applyFill="1"/>
    <xf numFmtId="0" fontId="17" fillId="48" borderId="0" xfId="103" applyFont="1" applyFill="1"/>
    <xf numFmtId="0" fontId="14" fillId="0" borderId="0" xfId="100" applyFont="1" applyFill="1"/>
    <xf numFmtId="0" fontId="2" fillId="48" borderId="0" xfId="103" applyFill="1"/>
    <xf numFmtId="0" fontId="74" fillId="54" borderId="22" xfId="103" applyFont="1" applyFill="1" applyBorder="1" applyAlignment="1">
      <alignment horizontal="left" vertical="center" wrapText="1"/>
    </xf>
    <xf numFmtId="0" fontId="74" fillId="6" borderId="22" xfId="103" applyFont="1" applyFill="1" applyBorder="1" applyAlignment="1">
      <alignment horizontal="left" vertical="center" wrapText="1"/>
    </xf>
    <xf numFmtId="0" fontId="2" fillId="0" borderId="0" xfId="103"/>
    <xf numFmtId="0" fontId="17" fillId="0" borderId="0" xfId="103" applyFont="1"/>
    <xf numFmtId="165" fontId="44" fillId="4" borderId="39" xfId="0" applyNumberFormat="1" applyFont="1" applyFill="1" applyBorder="1" applyAlignment="1" applyProtection="1">
      <alignment horizontal="center" vertical="center" wrapText="1"/>
    </xf>
    <xf numFmtId="165" fontId="69" fillId="0" borderId="64" xfId="0" applyNumberFormat="1" applyFont="1" applyFill="1" applyBorder="1" applyAlignment="1" applyProtection="1">
      <alignment horizontal="left" vertical="center" wrapText="1"/>
      <protection locked="0"/>
    </xf>
    <xf numFmtId="165" fontId="75" fillId="7" borderId="36" xfId="0" applyNumberFormat="1" applyFont="1" applyFill="1" applyBorder="1" applyAlignment="1" applyProtection="1">
      <alignment horizontal="right" vertical="center"/>
    </xf>
    <xf numFmtId="165" fontId="76" fillId="0" borderId="0" xfId="0" applyNumberFormat="1" applyFont="1" applyProtection="1">
      <protection locked="0"/>
    </xf>
    <xf numFmtId="165" fontId="75" fillId="4" borderId="36" xfId="0" applyNumberFormat="1" applyFont="1" applyFill="1" applyBorder="1" applyAlignment="1" applyProtection="1">
      <alignment horizontal="center" vertical="center"/>
    </xf>
    <xf numFmtId="165" fontId="75" fillId="0" borderId="0" xfId="0" applyNumberFormat="1" applyFont="1" applyFill="1" applyBorder="1" applyAlignment="1" applyProtection="1">
      <alignment horizontal="left" vertical="center"/>
      <protection locked="0"/>
    </xf>
    <xf numFmtId="165" fontId="77" fillId="0" borderId="0" xfId="0" applyNumberFormat="1" applyFont="1" applyFill="1" applyBorder="1" applyAlignment="1" applyProtection="1">
      <alignment horizontal="left" vertical="center"/>
      <protection locked="0"/>
    </xf>
    <xf numFmtId="165" fontId="75" fillId="6" borderId="0" xfId="0" applyNumberFormat="1" applyFont="1" applyFill="1" applyBorder="1" applyAlignment="1" applyProtection="1">
      <alignment horizontal="center" vertical="center" wrapText="1"/>
      <protection locked="0"/>
    </xf>
    <xf numFmtId="165" fontId="78" fillId="0" borderId="0" xfId="0" applyNumberFormat="1" applyFont="1" applyFill="1" applyBorder="1" applyAlignment="1" applyProtection="1">
      <alignment horizontal="left" vertical="center"/>
      <protection locked="0"/>
    </xf>
    <xf numFmtId="165" fontId="75" fillId="0" borderId="0" xfId="0" applyNumberFormat="1" applyFont="1" applyFill="1" applyBorder="1" applyAlignment="1" applyProtection="1">
      <alignment vertical="center"/>
      <protection locked="0"/>
    </xf>
    <xf numFmtId="165" fontId="79" fillId="0" borderId="0" xfId="0" applyNumberFormat="1" applyFont="1" applyFill="1" applyBorder="1" applyAlignment="1" applyProtection="1">
      <alignment vertical="center"/>
      <protection locked="0"/>
    </xf>
    <xf numFmtId="165" fontId="80" fillId="0" borderId="0" xfId="0" applyNumberFormat="1" applyFont="1" applyFill="1" applyBorder="1" applyAlignment="1" applyProtection="1">
      <alignment vertical="center"/>
      <protection locked="0"/>
    </xf>
    <xf numFmtId="165" fontId="73" fillId="0" borderId="0" xfId="0" applyNumberFormat="1" applyFont="1" applyFill="1" applyBorder="1" applyAlignment="1" applyProtection="1">
      <alignment vertical="center"/>
      <protection locked="0"/>
    </xf>
    <xf numFmtId="49" fontId="9" fillId="0" borderId="0" xfId="3" applyNumberFormat="1" applyBorder="1"/>
    <xf numFmtId="49" fontId="9" fillId="0" borderId="17" xfId="3" applyNumberFormat="1" applyBorder="1"/>
    <xf numFmtId="165" fontId="44" fillId="52" borderId="58" xfId="0" applyNumberFormat="1" applyFont="1" applyFill="1" applyBorder="1" applyAlignment="1" applyProtection="1">
      <alignment vertical="center" wrapText="1"/>
    </xf>
    <xf numFmtId="49" fontId="69" fillId="4" borderId="58" xfId="0" applyNumberFormat="1" applyFont="1" applyFill="1" applyBorder="1" applyAlignment="1">
      <alignment vertical="center"/>
    </xf>
    <xf numFmtId="0" fontId="69" fillId="4" borderId="58" xfId="0" applyFont="1" applyFill="1" applyBorder="1" applyAlignment="1">
      <alignment vertical="center"/>
    </xf>
    <xf numFmtId="0" fontId="9" fillId="0" borderId="66" xfId="3" applyFill="1" applyBorder="1"/>
    <xf numFmtId="49" fontId="9" fillId="0" borderId="66" xfId="3" quotePrefix="1" applyNumberFormat="1" applyFill="1" applyBorder="1"/>
    <xf numFmtId="0" fontId="9" fillId="0" borderId="66" xfId="3" quotePrefix="1" applyFill="1" applyBorder="1"/>
    <xf numFmtId="49" fontId="9" fillId="0" borderId="66" xfId="3" applyNumberFormat="1" applyFill="1" applyBorder="1"/>
    <xf numFmtId="0" fontId="9" fillId="0" borderId="58" xfId="3" applyFill="1" applyBorder="1"/>
    <xf numFmtId="0" fontId="25" fillId="0" borderId="58" xfId="3" applyNumberFormat="1" applyFont="1" applyFill="1" applyBorder="1"/>
    <xf numFmtId="0" fontId="9" fillId="0" borderId="58" xfId="3" applyNumberFormat="1" applyFill="1" applyBorder="1"/>
    <xf numFmtId="49" fontId="9" fillId="0" borderId="58" xfId="3" applyNumberFormat="1" applyFill="1" applyBorder="1"/>
    <xf numFmtId="167" fontId="9" fillId="0" borderId="58" xfId="3" applyNumberFormat="1" applyFill="1" applyBorder="1"/>
    <xf numFmtId="166" fontId="9" fillId="0" borderId="58" xfId="3" applyNumberFormat="1" applyFill="1" applyBorder="1"/>
    <xf numFmtId="1" fontId="9" fillId="0" borderId="17" xfId="0" applyNumberFormat="1" applyFont="1" applyFill="1" applyBorder="1" applyAlignment="1" applyProtection="1">
      <alignment horizontal="left" vertical="top" wrapText="1"/>
      <protection locked="0"/>
    </xf>
    <xf numFmtId="1" fontId="9" fillId="6" borderId="17" xfId="0" applyNumberFormat="1" applyFont="1" applyFill="1" applyBorder="1" applyAlignment="1" applyProtection="1">
      <alignment horizontal="center" vertical="center"/>
      <protection locked="0"/>
    </xf>
    <xf numFmtId="0" fontId="81" fillId="55" borderId="67" xfId="0" applyFont="1" applyFill="1" applyBorder="1" applyAlignment="1" applyProtection="1">
      <alignment horizontal="center" vertical="center" wrapText="1"/>
    </xf>
    <xf numFmtId="0" fontId="81" fillId="55" borderId="68" xfId="0" applyFont="1" applyFill="1" applyBorder="1" applyAlignment="1" applyProtection="1">
      <alignment horizontal="center" vertical="center" wrapText="1"/>
    </xf>
    <xf numFmtId="0" fontId="81" fillId="55" borderId="69" xfId="0" applyFont="1" applyFill="1" applyBorder="1" applyAlignment="1" applyProtection="1">
      <alignment horizontal="center" vertical="center" wrapText="1"/>
    </xf>
    <xf numFmtId="0" fontId="81" fillId="0" borderId="59" xfId="0" applyFont="1" applyFill="1" applyBorder="1" applyAlignment="1" applyProtection="1">
      <alignment horizontal="center" vertical="center"/>
      <protection locked="0"/>
    </xf>
    <xf numFmtId="0" fontId="81" fillId="56" borderId="47" xfId="0" applyNumberFormat="1" applyFont="1" applyFill="1" applyBorder="1" applyAlignment="1" applyProtection="1">
      <alignment horizontal="left" vertical="center" wrapText="1"/>
    </xf>
    <xf numFmtId="0" fontId="82" fillId="0" borderId="47" xfId="0" applyNumberFormat="1" applyFont="1" applyFill="1" applyBorder="1" applyAlignment="1" applyProtection="1">
      <alignment horizontal="left" vertical="center"/>
      <protection locked="0"/>
    </xf>
    <xf numFmtId="4" fontId="82" fillId="0" borderId="47" xfId="1" applyNumberFormat="1" applyFont="1" applyFill="1" applyBorder="1" applyAlignment="1" applyProtection="1">
      <alignment horizontal="right" vertical="center"/>
      <protection locked="0"/>
    </xf>
    <xf numFmtId="10" fontId="82" fillId="0" borderId="47" xfId="5" applyNumberFormat="1" applyFont="1" applyFill="1" applyBorder="1" applyAlignment="1" applyProtection="1">
      <alignment horizontal="right" vertical="center"/>
      <protection locked="0"/>
    </xf>
    <xf numFmtId="4" fontId="82" fillId="0" borderId="47" xfId="1" applyNumberFormat="1" applyFont="1" applyFill="1" applyBorder="1" applyAlignment="1" applyProtection="1">
      <alignment horizontal="center" vertical="center"/>
      <protection locked="0"/>
    </xf>
    <xf numFmtId="4" fontId="82" fillId="0" borderId="45" xfId="1" applyNumberFormat="1" applyFont="1" applyFill="1" applyBorder="1" applyAlignment="1" applyProtection="1">
      <alignment horizontal="center" vertical="center"/>
      <protection locked="0"/>
    </xf>
    <xf numFmtId="0" fontId="82" fillId="0" borderId="52" xfId="0" applyFont="1" applyFill="1" applyBorder="1" applyAlignment="1" applyProtection="1">
      <alignment horizontal="center" vertical="center"/>
      <protection locked="0"/>
    </xf>
    <xf numFmtId="0" fontId="82" fillId="0" borderId="0" xfId="0" applyNumberFormat="1" applyFont="1" applyFill="1" applyBorder="1" applyAlignment="1" applyProtection="1">
      <alignment horizontal="left" vertical="center"/>
    </xf>
    <xf numFmtId="0" fontId="82" fillId="0" borderId="0" xfId="0" applyNumberFormat="1" applyFont="1" applyFill="1" applyBorder="1" applyAlignment="1" applyProtection="1">
      <alignment horizontal="left" vertical="center"/>
      <protection locked="0"/>
    </xf>
    <xf numFmtId="4" fontId="82" fillId="0" borderId="0" xfId="1" applyNumberFormat="1" applyFont="1" applyFill="1" applyBorder="1" applyAlignment="1" applyProtection="1">
      <alignment horizontal="right" vertical="center"/>
      <protection locked="0"/>
    </xf>
    <xf numFmtId="10" fontId="82" fillId="0" borderId="0" xfId="5" applyNumberFormat="1" applyFont="1" applyFill="1" applyBorder="1" applyAlignment="1" applyProtection="1">
      <alignment horizontal="right" vertical="center"/>
      <protection locked="0"/>
    </xf>
    <xf numFmtId="4" fontId="82" fillId="0" borderId="0" xfId="1" applyNumberFormat="1" applyFont="1" applyFill="1" applyBorder="1" applyAlignment="1" applyProtection="1">
      <alignment horizontal="center" vertical="center"/>
      <protection locked="0"/>
    </xf>
    <xf numFmtId="4" fontId="82" fillId="0" borderId="70" xfId="1" applyNumberFormat="1" applyFont="1" applyFill="1" applyBorder="1" applyAlignment="1" applyProtection="1">
      <alignment horizontal="center" vertical="center"/>
      <protection locked="0"/>
    </xf>
    <xf numFmtId="4" fontId="83" fillId="0" borderId="52" xfId="0" applyNumberFormat="1" applyFont="1" applyBorder="1" applyAlignment="1">
      <alignment vertical="center"/>
    </xf>
    <xf numFmtId="4" fontId="83" fillId="0" borderId="0" xfId="0" applyNumberFormat="1" applyFont="1" applyBorder="1" applyAlignment="1">
      <alignment vertical="center"/>
    </xf>
    <xf numFmtId="4" fontId="83" fillId="0" borderId="70" xfId="0" applyNumberFormat="1" applyFont="1" applyBorder="1" applyAlignment="1">
      <alignment vertical="center"/>
    </xf>
    <xf numFmtId="0" fontId="81" fillId="0" borderId="52" xfId="0" applyFont="1" applyFill="1" applyBorder="1" applyAlignment="1" applyProtection="1">
      <alignment horizontal="center" vertical="center"/>
      <protection locked="0"/>
    </xf>
    <xf numFmtId="0" fontId="81" fillId="0" borderId="0" xfId="0" applyNumberFormat="1" applyFont="1" applyFill="1" applyBorder="1" applyAlignment="1" applyProtection="1">
      <alignment horizontal="left" vertical="center" wrapText="1"/>
    </xf>
    <xf numFmtId="0" fontId="81" fillId="0" borderId="0" xfId="0" applyNumberFormat="1" applyFont="1" applyFill="1" applyBorder="1" applyAlignment="1" applyProtection="1">
      <alignment horizontal="left" vertical="center" wrapText="1"/>
      <protection locked="0"/>
    </xf>
    <xf numFmtId="4" fontId="81" fillId="0" borderId="0" xfId="1" applyNumberFormat="1" applyFont="1" applyFill="1" applyBorder="1" applyAlignment="1" applyProtection="1">
      <alignment horizontal="right" vertical="center"/>
      <protection locked="0"/>
    </xf>
    <xf numFmtId="4" fontId="81" fillId="0" borderId="0" xfId="1" applyNumberFormat="1" applyFont="1" applyFill="1" applyBorder="1" applyAlignment="1" applyProtection="1">
      <alignment horizontal="center" vertical="center"/>
      <protection locked="0"/>
    </xf>
    <xf numFmtId="4" fontId="81" fillId="0" borderId="70" xfId="1" applyNumberFormat="1" applyFont="1" applyFill="1" applyBorder="1" applyAlignment="1" applyProtection="1">
      <alignment horizontal="center" vertical="center"/>
      <protection locked="0"/>
    </xf>
    <xf numFmtId="0" fontId="82" fillId="0" borderId="71" xfId="0" applyFont="1" applyFill="1" applyBorder="1" applyAlignment="1">
      <alignment vertical="center"/>
    </xf>
    <xf numFmtId="0" fontId="82" fillId="0" borderId="72" xfId="0" applyFont="1" applyBorder="1" applyAlignment="1">
      <alignment vertical="center"/>
    </xf>
    <xf numFmtId="0" fontId="82" fillId="0" borderId="72" xfId="0" applyNumberFormat="1" applyFont="1" applyFill="1" applyBorder="1" applyAlignment="1" applyProtection="1">
      <alignment horizontal="left" vertical="center" wrapText="1"/>
      <protection locked="0"/>
    </xf>
    <xf numFmtId="4" fontId="82" fillId="0" borderId="72" xfId="1" applyNumberFormat="1" applyFont="1" applyFill="1" applyBorder="1" applyAlignment="1" applyProtection="1">
      <alignment horizontal="right" vertical="center"/>
      <protection locked="0"/>
    </xf>
    <xf numFmtId="10" fontId="82" fillId="0" borderId="72" xfId="5" applyNumberFormat="1" applyFont="1" applyFill="1" applyBorder="1" applyAlignment="1" applyProtection="1">
      <alignment horizontal="right" vertical="center"/>
      <protection locked="0"/>
    </xf>
    <xf numFmtId="4" fontId="82" fillId="0" borderId="72" xfId="1" applyNumberFormat="1" applyFont="1" applyFill="1" applyBorder="1" applyAlignment="1" applyProtection="1">
      <alignment horizontal="center" vertical="center"/>
      <protection locked="0"/>
    </xf>
    <xf numFmtId="4" fontId="82" fillId="0" borderId="35" xfId="1" applyNumberFormat="1" applyFont="1" applyFill="1" applyBorder="1" applyAlignment="1" applyProtection="1">
      <alignment horizontal="center" vertical="center"/>
      <protection locked="0"/>
    </xf>
    <xf numFmtId="4" fontId="83" fillId="0" borderId="0" xfId="0" applyNumberFormat="1" applyFont="1" applyAlignment="1">
      <alignment vertical="center"/>
    </xf>
    <xf numFmtId="0" fontId="85" fillId="0" borderId="59" xfId="0" applyFont="1" applyFill="1" applyBorder="1" applyAlignment="1">
      <alignment horizontal="center" vertical="center"/>
    </xf>
    <xf numFmtId="0" fontId="81" fillId="56" borderId="47" xfId="0" applyFont="1" applyFill="1" applyBorder="1" applyAlignment="1" applyProtection="1">
      <alignment horizontal="left" vertical="center" wrapText="1"/>
      <protection locked="0"/>
    </xf>
    <xf numFmtId="4" fontId="83" fillId="0" borderId="71" xfId="0" applyNumberFormat="1" applyFont="1" applyBorder="1" applyAlignment="1">
      <alignment vertical="center"/>
    </xf>
    <xf numFmtId="4" fontId="83" fillId="0" borderId="72" xfId="0" applyNumberFormat="1" applyFont="1" applyBorder="1" applyAlignment="1">
      <alignment vertical="center"/>
    </xf>
    <xf numFmtId="4" fontId="83" fillId="0" borderId="35" xfId="0" applyNumberFormat="1" applyFont="1" applyBorder="1" applyAlignment="1">
      <alignment vertical="center"/>
    </xf>
    <xf numFmtId="0" fontId="81" fillId="56" borderId="47" xfId="0" applyNumberFormat="1" applyFont="1" applyFill="1" applyBorder="1" applyAlignment="1" applyProtection="1">
      <alignment horizontal="left" vertical="center"/>
    </xf>
    <xf numFmtId="0" fontId="82" fillId="0" borderId="47" xfId="0" applyNumberFormat="1" applyFont="1" applyFill="1" applyBorder="1" applyAlignment="1" applyProtection="1">
      <alignment horizontal="left" vertical="center" wrapText="1"/>
      <protection locked="0"/>
    </xf>
    <xf numFmtId="0" fontId="18" fillId="0" borderId="59" xfId="0" applyFont="1" applyBorder="1"/>
    <xf numFmtId="0" fontId="18" fillId="0" borderId="47" xfId="0" applyFont="1" applyBorder="1" applyAlignment="1">
      <alignment wrapText="1"/>
    </xf>
    <xf numFmtId="0" fontId="18" fillId="0" borderId="47" xfId="0" applyFont="1" applyBorder="1"/>
    <xf numFmtId="43" fontId="18" fillId="0" borderId="45" xfId="1" applyFont="1" applyBorder="1"/>
    <xf numFmtId="0" fontId="86" fillId="0" borderId="59" xfId="0" applyNumberFormat="1" applyFont="1" applyFill="1" applyBorder="1" applyAlignment="1">
      <alignment horizontal="center" vertical="center" wrapText="1"/>
    </xf>
    <xf numFmtId="4" fontId="86" fillId="56" borderId="47" xfId="0" applyNumberFormat="1" applyFont="1" applyFill="1" applyBorder="1" applyAlignment="1">
      <alignment vertical="center" wrapText="1"/>
    </xf>
    <xf numFmtId="4" fontId="51" fillId="6" borderId="47" xfId="0" applyNumberFormat="1" applyFont="1" applyFill="1" applyBorder="1" applyAlignment="1">
      <alignment vertical="center"/>
    </xf>
    <xf numFmtId="4" fontId="51" fillId="6" borderId="45" xfId="0" applyNumberFormat="1" applyFont="1" applyFill="1" applyBorder="1" applyAlignment="1">
      <alignment vertical="center"/>
    </xf>
    <xf numFmtId="0" fontId="51" fillId="6" borderId="52" xfId="0" applyNumberFormat="1" applyFont="1" applyFill="1" applyBorder="1" applyAlignment="1">
      <alignment horizontal="center" vertical="center" wrapText="1"/>
    </xf>
    <xf numFmtId="4" fontId="51" fillId="6" borderId="0" xfId="0" applyNumberFormat="1" applyFont="1" applyFill="1" applyBorder="1" applyAlignment="1">
      <alignment vertical="center"/>
    </xf>
    <xf numFmtId="4" fontId="51" fillId="6" borderId="70" xfId="0" applyNumberFormat="1" applyFont="1" applyFill="1" applyBorder="1" applyAlignment="1">
      <alignment vertical="center"/>
    </xf>
    <xf numFmtId="4" fontId="87" fillId="6" borderId="0" xfId="0" applyNumberFormat="1" applyFont="1" applyFill="1" applyBorder="1" applyAlignment="1">
      <alignment vertical="center"/>
    </xf>
    <xf numFmtId="4" fontId="87" fillId="6" borderId="0" xfId="0" applyNumberFormat="1" applyFont="1" applyFill="1" applyBorder="1" applyAlignment="1">
      <alignment vertical="center" wrapText="1"/>
    </xf>
    <xf numFmtId="0" fontId="86" fillId="6" borderId="52" xfId="0" applyNumberFormat="1" applyFont="1" applyFill="1" applyBorder="1" applyAlignment="1">
      <alignment horizontal="center" vertical="center" wrapText="1"/>
    </xf>
    <xf numFmtId="4" fontId="86" fillId="6" borderId="0" xfId="0" applyNumberFormat="1" applyFont="1" applyFill="1" applyBorder="1" applyAlignment="1">
      <alignment vertical="center"/>
    </xf>
    <xf numFmtId="4" fontId="86" fillId="6" borderId="70" xfId="0" applyNumberFormat="1" applyFont="1" applyFill="1" applyBorder="1" applyAlignment="1">
      <alignment vertical="center"/>
    </xf>
    <xf numFmtId="0" fontId="51" fillId="6" borderId="71" xfId="0" applyNumberFormat="1" applyFont="1" applyFill="1" applyBorder="1" applyAlignment="1">
      <alignment horizontal="center" vertical="center" wrapText="1"/>
    </xf>
    <xf numFmtId="4" fontId="86" fillId="6" borderId="72" xfId="0" applyNumberFormat="1" applyFont="1" applyFill="1" applyBorder="1" applyAlignment="1">
      <alignment horizontal="right" vertical="center"/>
    </xf>
    <xf numFmtId="4" fontId="86" fillId="6" borderId="72" xfId="0" applyNumberFormat="1" applyFont="1" applyFill="1" applyBorder="1" applyAlignment="1">
      <alignment vertical="center"/>
    </xf>
    <xf numFmtId="4" fontId="51" fillId="6" borderId="72" xfId="0" applyNumberFormat="1" applyFont="1" applyFill="1" applyBorder="1" applyAlignment="1">
      <alignment vertical="center"/>
    </xf>
    <xf numFmtId="4" fontId="86" fillId="0" borderId="35" xfId="0" applyNumberFormat="1" applyFont="1" applyFill="1" applyBorder="1" applyAlignment="1">
      <alignment vertical="center"/>
    </xf>
    <xf numFmtId="3" fontId="88" fillId="55" borderId="59" xfId="0" applyNumberFormat="1" applyFont="1" applyFill="1" applyBorder="1" applyAlignment="1">
      <alignment horizontal="center" vertical="center" wrapText="1"/>
    </xf>
    <xf numFmtId="0" fontId="18" fillId="0" borderId="52" xfId="0" applyFont="1" applyBorder="1"/>
    <xf numFmtId="0" fontId="18" fillId="0" borderId="0" xfId="0" applyFont="1" applyBorder="1"/>
    <xf numFmtId="0" fontId="18" fillId="0" borderId="70" xfId="0" applyFont="1" applyBorder="1"/>
    <xf numFmtId="168" fontId="88" fillId="0" borderId="70" xfId="1" applyNumberFormat="1" applyFont="1" applyBorder="1"/>
    <xf numFmtId="0" fontId="18" fillId="0" borderId="71" xfId="0" applyFont="1" applyBorder="1"/>
    <xf numFmtId="0" fontId="18" fillId="0" borderId="72" xfId="0" applyFont="1" applyBorder="1"/>
    <xf numFmtId="3" fontId="86" fillId="55" borderId="0" xfId="0" applyNumberFormat="1" applyFont="1" applyFill="1" applyAlignment="1">
      <alignment horizontal="center" vertical="center" wrapText="1"/>
    </xf>
    <xf numFmtId="3" fontId="88" fillId="55" borderId="17" xfId="0" applyNumberFormat="1" applyFont="1" applyFill="1" applyBorder="1" applyAlignment="1">
      <alignment horizontal="center" vertical="center" wrapText="1"/>
    </xf>
    <xf numFmtId="3" fontId="86" fillId="0" borderId="0" xfId="0" applyNumberFormat="1" applyFont="1" applyFill="1" applyAlignment="1">
      <alignment horizontal="center" vertical="center"/>
    </xf>
    <xf numFmtId="3" fontId="18" fillId="0" borderId="0" xfId="0" applyNumberFormat="1" applyFont="1" applyAlignment="1">
      <alignment vertical="center" wrapText="1"/>
    </xf>
    <xf numFmtId="3" fontId="18" fillId="0" borderId="0" xfId="0" applyNumberFormat="1" applyFont="1" applyAlignment="1">
      <alignment vertical="center"/>
    </xf>
    <xf numFmtId="3" fontId="86" fillId="57" borderId="0" xfId="0" applyNumberFormat="1" applyFont="1" applyFill="1" applyAlignment="1">
      <alignment horizontal="center" vertical="center"/>
    </xf>
    <xf numFmtId="3" fontId="86" fillId="59" borderId="0" xfId="0" applyNumberFormat="1" applyFont="1" applyFill="1" applyAlignment="1">
      <alignment vertical="center" wrapText="1"/>
    </xf>
    <xf numFmtId="3" fontId="18" fillId="43" borderId="0" xfId="0" applyNumberFormat="1" applyFont="1" applyFill="1" applyAlignment="1">
      <alignment horizontal="right" vertical="center"/>
    </xf>
    <xf numFmtId="3" fontId="86" fillId="0" borderId="0" xfId="0" applyNumberFormat="1" applyFont="1" applyAlignment="1">
      <alignment horizontal="center" vertical="center"/>
    </xf>
    <xf numFmtId="3" fontId="18" fillId="0" borderId="17" xfId="0" applyNumberFormat="1" applyFont="1" applyFill="1" applyBorder="1" applyAlignment="1">
      <alignment vertical="center" wrapText="1"/>
    </xf>
    <xf numFmtId="3" fontId="18" fillId="0" borderId="17" xfId="0" applyNumberFormat="1" applyFont="1" applyFill="1" applyBorder="1" applyAlignment="1">
      <alignment vertical="center"/>
    </xf>
    <xf numFmtId="3" fontId="18" fillId="0" borderId="17" xfId="0" applyNumberFormat="1" applyFont="1" applyBorder="1" applyAlignment="1">
      <alignment vertical="center"/>
    </xf>
    <xf numFmtId="3" fontId="51" fillId="0" borderId="17" xfId="0" applyNumberFormat="1" applyFont="1" applyFill="1" applyBorder="1" applyAlignment="1">
      <alignment vertical="center" wrapText="1"/>
    </xf>
    <xf numFmtId="3" fontId="51" fillId="0" borderId="17" xfId="0" applyNumberFormat="1" applyFont="1" applyFill="1" applyBorder="1" applyAlignment="1">
      <alignment vertical="center"/>
    </xf>
    <xf numFmtId="3" fontId="51" fillId="0" borderId="17" xfId="0" applyNumberFormat="1" applyFont="1" applyBorder="1" applyAlignment="1">
      <alignment vertical="center"/>
    </xf>
    <xf numFmtId="3" fontId="51" fillId="0" borderId="17" xfId="0" applyNumberFormat="1" applyFont="1" applyBorder="1" applyAlignment="1">
      <alignment vertical="center" wrapText="1"/>
    </xf>
    <xf numFmtId="3" fontId="18" fillId="0" borderId="17" xfId="0" applyNumberFormat="1" applyFont="1" applyBorder="1" applyAlignment="1">
      <alignment vertical="center" wrapText="1"/>
    </xf>
    <xf numFmtId="3" fontId="18" fillId="56" borderId="17" xfId="0" applyNumberFormat="1" applyFont="1" applyFill="1" applyBorder="1" applyAlignment="1">
      <alignment vertical="center" wrapText="1"/>
    </xf>
    <xf numFmtId="3" fontId="18" fillId="56" borderId="17" xfId="0" applyNumberFormat="1" applyFont="1" applyFill="1" applyBorder="1" applyAlignment="1">
      <alignment vertical="center"/>
    </xf>
    <xf numFmtId="3" fontId="18" fillId="56" borderId="18" xfId="0" applyNumberFormat="1" applyFont="1" applyFill="1" applyBorder="1" applyAlignment="1">
      <alignment vertical="center" wrapText="1"/>
    </xf>
    <xf numFmtId="3" fontId="18" fillId="56" borderId="18" xfId="0" applyNumberFormat="1" applyFont="1" applyFill="1" applyBorder="1" applyAlignment="1">
      <alignment vertical="center"/>
    </xf>
    <xf numFmtId="3" fontId="18" fillId="0" borderId="24" xfId="0" applyNumberFormat="1" applyFont="1" applyBorder="1" applyAlignment="1">
      <alignment vertical="center" wrapText="1"/>
    </xf>
    <xf numFmtId="3" fontId="18" fillId="0" borderId="24" xfId="0" applyNumberFormat="1" applyFont="1" applyBorder="1" applyAlignment="1">
      <alignment vertical="center"/>
    </xf>
    <xf numFmtId="3" fontId="18" fillId="0" borderId="25" xfId="0" applyNumberFormat="1" applyFont="1" applyBorder="1" applyAlignment="1">
      <alignment horizontal="right" vertical="center"/>
    </xf>
    <xf numFmtId="3" fontId="88" fillId="0" borderId="6" xfId="0" applyNumberFormat="1" applyFont="1" applyBorder="1" applyAlignment="1">
      <alignment vertical="center"/>
    </xf>
    <xf numFmtId="3" fontId="18" fillId="0" borderId="0" xfId="0" applyNumberFormat="1" applyFont="1" applyBorder="1" applyAlignment="1">
      <alignment vertical="center" wrapText="1"/>
    </xf>
    <xf numFmtId="3" fontId="18" fillId="0" borderId="0" xfId="0" applyNumberFormat="1" applyFont="1" applyBorder="1" applyAlignment="1">
      <alignment vertical="center"/>
    </xf>
    <xf numFmtId="3" fontId="18" fillId="0" borderId="0" xfId="0" applyNumberFormat="1" applyFont="1" applyBorder="1" applyAlignment="1">
      <alignment horizontal="right" vertical="center"/>
    </xf>
    <xf numFmtId="3" fontId="88" fillId="0" borderId="57" xfId="0" applyNumberFormat="1" applyFont="1" applyBorder="1" applyAlignment="1">
      <alignment horizontal="center" vertical="center" wrapText="1"/>
    </xf>
    <xf numFmtId="3" fontId="88" fillId="0" borderId="57" xfId="0" applyNumberFormat="1" applyFont="1" applyFill="1" applyBorder="1" applyAlignment="1">
      <alignment horizontal="center" vertical="center" wrapText="1"/>
    </xf>
    <xf numFmtId="3" fontId="18" fillId="0" borderId="61" xfId="0" applyNumberFormat="1" applyFont="1" applyFill="1" applyBorder="1" applyAlignment="1">
      <alignment vertical="center"/>
    </xf>
    <xf numFmtId="3" fontId="18" fillId="0" borderId="61" xfId="0" applyNumberFormat="1" applyFont="1" applyBorder="1" applyAlignment="1">
      <alignment vertical="center"/>
    </xf>
    <xf numFmtId="49" fontId="86" fillId="0" borderId="0" xfId="0" applyNumberFormat="1" applyFont="1" applyFill="1" applyAlignment="1">
      <alignment horizontal="center" vertical="center"/>
    </xf>
    <xf numFmtId="3" fontId="88" fillId="59" borderId="0" xfId="0" applyNumberFormat="1" applyFont="1" applyFill="1" applyAlignment="1">
      <alignment vertical="center" wrapText="1"/>
    </xf>
    <xf numFmtId="3" fontId="88" fillId="0" borderId="17" xfId="0" applyNumberFormat="1" applyFont="1" applyBorder="1" applyAlignment="1">
      <alignment horizontal="center" vertical="center" wrapText="1"/>
    </xf>
    <xf numFmtId="0" fontId="51" fillId="9" borderId="17" xfId="0" applyFont="1" applyFill="1" applyBorder="1" applyAlignment="1">
      <alignment wrapText="1"/>
    </xf>
    <xf numFmtId="3" fontId="51" fillId="9" borderId="17" xfId="0" applyNumberFormat="1" applyFont="1" applyFill="1" applyBorder="1" applyAlignment="1">
      <alignment vertical="center"/>
    </xf>
    <xf numFmtId="3" fontId="86" fillId="0" borderId="0" xfId="0" applyNumberFormat="1" applyFont="1" applyFill="1" applyAlignment="1">
      <alignment horizontal="left" vertical="center"/>
    </xf>
    <xf numFmtId="3" fontId="51" fillId="9" borderId="17" xfId="0" applyNumberFormat="1" applyFont="1" applyFill="1" applyBorder="1" applyAlignment="1">
      <alignment vertical="center" wrapText="1"/>
    </xf>
    <xf numFmtId="3" fontId="51" fillId="9" borderId="18" xfId="0" applyNumberFormat="1" applyFont="1" applyFill="1" applyBorder="1" applyAlignment="1">
      <alignment vertical="center" wrapText="1"/>
    </xf>
    <xf numFmtId="3" fontId="51" fillId="9" borderId="18" xfId="0" applyNumberFormat="1" applyFont="1" applyFill="1" applyBorder="1" applyAlignment="1">
      <alignment vertical="center"/>
    </xf>
    <xf numFmtId="49" fontId="51" fillId="0" borderId="0" xfId="0" applyNumberFormat="1" applyFont="1" applyAlignment="1">
      <alignment horizontal="center" vertical="center"/>
    </xf>
    <xf numFmtId="3" fontId="18" fillId="0" borderId="25" xfId="0" applyNumberFormat="1" applyFont="1" applyBorder="1" applyAlignment="1">
      <alignment vertical="center"/>
    </xf>
    <xf numFmtId="3" fontId="18" fillId="0" borderId="61" xfId="0" applyNumberFormat="1" applyFont="1" applyFill="1" applyBorder="1" applyAlignment="1">
      <alignment vertical="center" wrapText="1"/>
    </xf>
    <xf numFmtId="3" fontId="18" fillId="0" borderId="18" xfId="0" applyNumberFormat="1" applyFont="1" applyBorder="1" applyAlignment="1">
      <alignment vertical="center"/>
    </xf>
    <xf numFmtId="3" fontId="18" fillId="0" borderId="3" xfId="0" applyNumberFormat="1" applyFont="1" applyBorder="1" applyAlignment="1">
      <alignment vertical="center"/>
    </xf>
    <xf numFmtId="3" fontId="86" fillId="6" borderId="0" xfId="0" applyNumberFormat="1" applyFont="1" applyFill="1" applyAlignment="1">
      <alignment horizontal="center" vertical="center"/>
    </xf>
    <xf numFmtId="3" fontId="51" fillId="0" borderId="0" xfId="0" applyNumberFormat="1" applyFont="1" applyFill="1" applyAlignment="1">
      <alignment horizontal="left" vertical="center"/>
    </xf>
    <xf numFmtId="3" fontId="51" fillId="0" borderId="0" xfId="0" applyNumberFormat="1" applyFont="1" applyFill="1" applyAlignment="1">
      <alignment horizontal="center" vertical="center"/>
    </xf>
    <xf numFmtId="3" fontId="18" fillId="6" borderId="61" xfId="0" applyNumberFormat="1" applyFont="1" applyFill="1" applyBorder="1" applyAlignment="1">
      <alignment vertical="center"/>
    </xf>
    <xf numFmtId="3" fontId="18" fillId="6" borderId="17" xfId="0" applyNumberFormat="1" applyFont="1" applyFill="1" applyBorder="1" applyAlignment="1">
      <alignment vertical="center"/>
    </xf>
    <xf numFmtId="3" fontId="88" fillId="0" borderId="25" xfId="0" applyNumberFormat="1" applyFont="1" applyBorder="1" applyAlignment="1">
      <alignment vertical="center"/>
    </xf>
    <xf numFmtId="3" fontId="18" fillId="0" borderId="24" xfId="0" applyNumberFormat="1" applyFont="1" applyFill="1" applyBorder="1" applyAlignment="1">
      <alignment vertical="center" wrapText="1"/>
    </xf>
    <xf numFmtId="3" fontId="18" fillId="0" borderId="24" xfId="0" applyNumberFormat="1" applyFont="1" applyFill="1" applyBorder="1" applyAlignment="1">
      <alignment vertical="center"/>
    </xf>
    <xf numFmtId="3" fontId="18" fillId="0" borderId="25" xfId="0" applyNumberFormat="1" applyFont="1" applyFill="1" applyBorder="1" applyAlignment="1">
      <alignment vertical="center"/>
    </xf>
    <xf numFmtId="3" fontId="88" fillId="0" borderId="24" xfId="0" applyNumberFormat="1" applyFont="1" applyFill="1" applyBorder="1" applyAlignment="1">
      <alignment vertical="center"/>
    </xf>
    <xf numFmtId="3" fontId="51" fillId="6" borderId="0" xfId="0" applyNumberFormat="1" applyFont="1" applyFill="1" applyAlignment="1">
      <alignment vertical="center" wrapText="1"/>
    </xf>
    <xf numFmtId="3" fontId="51" fillId="6" borderId="0" xfId="0" applyNumberFormat="1" applyFont="1" applyFill="1" applyAlignment="1">
      <alignment vertical="center"/>
    </xf>
    <xf numFmtId="3" fontId="51" fillId="6" borderId="17" xfId="0" applyNumberFormat="1" applyFont="1" applyFill="1" applyBorder="1" applyAlignment="1">
      <alignment vertical="center" wrapText="1"/>
    </xf>
    <xf numFmtId="3" fontId="51" fillId="6" borderId="17" xfId="0" applyNumberFormat="1" applyFont="1" applyFill="1" applyBorder="1" applyAlignment="1">
      <alignment vertical="center"/>
    </xf>
    <xf numFmtId="3" fontId="51" fillId="56" borderId="17" xfId="0" applyNumberFormat="1" applyFont="1" applyFill="1" applyBorder="1" applyAlignment="1">
      <alignment vertical="center" wrapText="1"/>
    </xf>
    <xf numFmtId="0" fontId="51" fillId="56" borderId="17" xfId="0" applyFont="1" applyFill="1" applyBorder="1" applyAlignment="1">
      <alignment wrapText="1"/>
    </xf>
    <xf numFmtId="3" fontId="18" fillId="56" borderId="0" xfId="0" applyNumberFormat="1" applyFont="1" applyFill="1" applyAlignment="1">
      <alignment vertical="center"/>
    </xf>
    <xf numFmtId="3" fontId="88" fillId="55" borderId="0" xfId="0" applyNumberFormat="1" applyFont="1" applyFill="1" applyAlignment="1">
      <alignment horizontal="center" vertical="center" wrapText="1"/>
    </xf>
    <xf numFmtId="3" fontId="88" fillId="62" borderId="0" xfId="0" applyNumberFormat="1" applyFont="1" applyFill="1" applyAlignment="1">
      <alignment horizontal="center" vertical="center"/>
    </xf>
    <xf numFmtId="3" fontId="88" fillId="0" borderId="0" xfId="0" applyNumberFormat="1" applyFont="1" applyAlignment="1">
      <alignment horizontal="center" vertical="center"/>
    </xf>
    <xf numFmtId="0" fontId="51" fillId="6" borderId="17" xfId="0" applyFont="1" applyFill="1" applyBorder="1" applyAlignment="1">
      <alignment wrapText="1"/>
    </xf>
    <xf numFmtId="3" fontId="88" fillId="0" borderId="0" xfId="0" applyNumberFormat="1" applyFont="1" applyFill="1" applyAlignment="1">
      <alignment horizontal="center" vertical="center"/>
    </xf>
    <xf numFmtId="3" fontId="51" fillId="56" borderId="17" xfId="0" applyNumberFormat="1" applyFont="1" applyFill="1" applyBorder="1" applyAlignment="1">
      <alignment vertical="center"/>
    </xf>
    <xf numFmtId="49" fontId="88" fillId="0" borderId="0" xfId="0" applyNumberFormat="1" applyFont="1" applyFill="1" applyAlignment="1">
      <alignment horizontal="center" vertical="center"/>
    </xf>
    <xf numFmtId="3" fontId="90" fillId="45" borderId="0" xfId="0" applyNumberFormat="1" applyFont="1" applyFill="1" applyAlignment="1">
      <alignment horizontal="center" vertical="center"/>
    </xf>
    <xf numFmtId="3" fontId="88" fillId="0" borderId="0" xfId="0" applyNumberFormat="1" applyFont="1" applyFill="1" applyAlignment="1">
      <alignment horizontal="left" vertical="center"/>
    </xf>
    <xf numFmtId="3" fontId="51" fillId="0" borderId="18" xfId="0" applyNumberFormat="1" applyFont="1" applyFill="1" applyBorder="1" applyAlignment="1">
      <alignment vertical="center" wrapText="1"/>
    </xf>
    <xf numFmtId="3" fontId="51" fillId="0" borderId="18" xfId="0" applyNumberFormat="1" applyFont="1" applyFill="1" applyBorder="1" applyAlignment="1">
      <alignment vertical="center"/>
    </xf>
    <xf numFmtId="3" fontId="88" fillId="0" borderId="17" xfId="0" applyNumberFormat="1" applyFont="1" applyFill="1" applyBorder="1" applyAlignment="1">
      <alignment vertical="center"/>
    </xf>
    <xf numFmtId="3" fontId="88" fillId="0" borderId="17" xfId="0" applyNumberFormat="1" applyFont="1" applyBorder="1" applyAlignment="1">
      <alignment vertical="center"/>
    </xf>
    <xf numFmtId="3" fontId="91" fillId="6" borderId="0" xfId="0" applyNumberFormat="1" applyFont="1" applyFill="1" applyAlignment="1">
      <alignment horizontal="center" vertical="center"/>
    </xf>
    <xf numFmtId="0" fontId="89" fillId="0" borderId="3" xfId="0" applyFont="1" applyBorder="1" applyAlignment="1">
      <alignment vertical="center" wrapText="1"/>
    </xf>
    <xf numFmtId="0" fontId="89" fillId="0" borderId="5" xfId="0" applyFont="1" applyBorder="1" applyAlignment="1">
      <alignment vertical="center" wrapText="1"/>
    </xf>
    <xf numFmtId="3" fontId="91" fillId="0" borderId="0" xfId="0" applyNumberFormat="1" applyFont="1" applyAlignment="1">
      <alignment horizontal="center" vertical="center"/>
    </xf>
    <xf numFmtId="164" fontId="88" fillId="0" borderId="0" xfId="0" applyNumberFormat="1" applyFont="1"/>
    <xf numFmtId="43" fontId="18" fillId="0" borderId="0" xfId="1" applyFont="1" applyBorder="1"/>
    <xf numFmtId="43" fontId="18" fillId="0" borderId="70" xfId="1" applyFont="1" applyBorder="1"/>
    <xf numFmtId="0" fontId="88" fillId="0" borderId="0" xfId="0" applyFont="1" applyBorder="1"/>
    <xf numFmtId="43" fontId="88" fillId="0" borderId="0" xfId="1" applyFont="1" applyBorder="1"/>
    <xf numFmtId="43" fontId="88" fillId="0" borderId="70" xfId="1" applyFont="1" applyBorder="1"/>
    <xf numFmtId="0" fontId="88" fillId="0" borderId="72" xfId="0" applyFont="1" applyBorder="1"/>
    <xf numFmtId="43" fontId="88" fillId="0" borderId="72" xfId="1" applyFont="1" applyBorder="1"/>
    <xf numFmtId="43" fontId="88" fillId="0" borderId="35" xfId="1" applyFont="1" applyBorder="1"/>
    <xf numFmtId="43" fontId="12" fillId="9" borderId="17" xfId="1" applyFont="1" applyFill="1" applyBorder="1" applyAlignment="1" applyProtection="1">
      <alignment horizontal="right" vertical="center"/>
      <protection locked="0"/>
    </xf>
    <xf numFmtId="0" fontId="18" fillId="0" borderId="17" xfId="0" applyFont="1" applyBorder="1"/>
    <xf numFmtId="0" fontId="18" fillId="0" borderId="61" xfId="0" applyFont="1" applyBorder="1"/>
    <xf numFmtId="0" fontId="18" fillId="6" borderId="0" xfId="0" applyFont="1" applyFill="1" applyBorder="1"/>
    <xf numFmtId="0" fontId="18" fillId="0" borderId="74" xfId="0" applyFont="1" applyBorder="1"/>
    <xf numFmtId="0" fontId="18" fillId="0" borderId="73" xfId="0" applyFont="1" applyBorder="1"/>
    <xf numFmtId="0" fontId="18" fillId="6" borderId="73" xfId="0" applyFont="1" applyFill="1" applyBorder="1"/>
    <xf numFmtId="3" fontId="51" fillId="45" borderId="17" xfId="0" applyNumberFormat="1" applyFont="1" applyFill="1" applyBorder="1" applyAlignment="1">
      <alignment vertical="center"/>
    </xf>
    <xf numFmtId="4" fontId="88" fillId="63" borderId="0" xfId="0" applyNumberFormat="1" applyFont="1" applyFill="1" applyBorder="1" applyAlignment="1" applyProtection="1">
      <alignment horizontal="right"/>
      <protection locked="0"/>
    </xf>
    <xf numFmtId="3" fontId="88" fillId="0" borderId="0" xfId="0" applyNumberFormat="1" applyFont="1" applyBorder="1" applyAlignment="1">
      <alignment vertical="center"/>
    </xf>
    <xf numFmtId="0" fontId="88" fillId="0" borderId="0" xfId="0" applyFont="1"/>
    <xf numFmtId="43" fontId="82" fillId="0" borderId="47" xfId="1" applyFont="1" applyFill="1" applyBorder="1" applyAlignment="1" applyProtection="1">
      <alignment horizontal="left" vertical="center" wrapText="1"/>
      <protection locked="0"/>
    </xf>
    <xf numFmtId="43" fontId="82" fillId="0" borderId="45" xfId="1" applyFont="1" applyFill="1" applyBorder="1" applyAlignment="1" applyProtection="1">
      <alignment horizontal="left" vertical="center" wrapText="1"/>
      <protection locked="0"/>
    </xf>
    <xf numFmtId="0" fontId="95" fillId="0" borderId="0" xfId="0" applyNumberFormat="1" applyFont="1" applyFill="1" applyBorder="1" applyAlignment="1" applyProtection="1">
      <alignment horizontal="left" vertical="center" wrapText="1"/>
      <protection locked="0"/>
    </xf>
    <xf numFmtId="4" fontId="95" fillId="0" borderId="0" xfId="1" applyNumberFormat="1" applyFont="1" applyFill="1" applyBorder="1" applyAlignment="1" applyProtection="1">
      <alignment horizontal="right" vertical="center"/>
      <protection locked="0"/>
    </xf>
    <xf numFmtId="10" fontId="95" fillId="0" borderId="0" xfId="5" applyNumberFormat="1" applyFont="1" applyFill="1" applyBorder="1" applyAlignment="1" applyProtection="1">
      <alignment horizontal="right" vertical="center"/>
      <protection locked="0"/>
    </xf>
    <xf numFmtId="43" fontId="94" fillId="0" borderId="70" xfId="1" applyFont="1" applyFill="1" applyBorder="1"/>
    <xf numFmtId="0" fontId="94" fillId="0" borderId="0" xfId="0" applyFont="1" applyFill="1" applyBorder="1"/>
    <xf numFmtId="0" fontId="95" fillId="0" borderId="72" xfId="0" applyNumberFormat="1" applyFont="1" applyFill="1" applyBorder="1" applyAlignment="1" applyProtection="1">
      <alignment horizontal="left" vertical="center" wrapText="1"/>
      <protection locked="0"/>
    </xf>
    <xf numFmtId="4" fontId="95" fillId="0" borderId="72" xfId="1" applyNumberFormat="1" applyFont="1" applyFill="1" applyBorder="1" applyAlignment="1" applyProtection="1">
      <alignment horizontal="right" vertical="center"/>
      <protection locked="0"/>
    </xf>
    <xf numFmtId="10" fontId="95" fillId="0" borderId="72" xfId="5" applyNumberFormat="1" applyFont="1" applyFill="1" applyBorder="1" applyAlignment="1" applyProtection="1">
      <alignment horizontal="right" vertical="center"/>
      <protection locked="0"/>
    </xf>
    <xf numFmtId="4" fontId="95" fillId="0" borderId="35" xfId="1" applyNumberFormat="1" applyFont="1" applyFill="1" applyBorder="1" applyAlignment="1" applyProtection="1">
      <alignment horizontal="right" vertical="center"/>
      <protection locked="0"/>
    </xf>
    <xf numFmtId="3" fontId="93" fillId="55" borderId="67" xfId="0" applyNumberFormat="1" applyFont="1" applyFill="1" applyBorder="1" applyAlignment="1">
      <alignment horizontal="center" vertical="center" wrapText="1"/>
    </xf>
    <xf numFmtId="3" fontId="93" fillId="55" borderId="68" xfId="0" applyNumberFormat="1" applyFont="1" applyFill="1" applyBorder="1" applyAlignment="1">
      <alignment horizontal="center" vertical="center" wrapText="1"/>
    </xf>
    <xf numFmtId="3" fontId="93" fillId="55" borderId="69" xfId="0" applyNumberFormat="1" applyFont="1" applyFill="1" applyBorder="1" applyAlignment="1">
      <alignment horizontal="center" vertical="center" wrapText="1"/>
    </xf>
    <xf numFmtId="3" fontId="93" fillId="6" borderId="59" xfId="0" applyNumberFormat="1" applyFont="1" applyFill="1" applyBorder="1" applyAlignment="1">
      <alignment horizontal="center" vertical="center" wrapText="1"/>
    </xf>
    <xf numFmtId="3" fontId="97" fillId="56" borderId="18" xfId="0" applyNumberFormat="1" applyFont="1" applyFill="1" applyBorder="1" applyAlignment="1">
      <alignment vertical="center" wrapText="1"/>
    </xf>
    <xf numFmtId="3" fontId="95" fillId="6" borderId="75" xfId="0" applyNumberFormat="1" applyFont="1" applyFill="1" applyBorder="1" applyAlignment="1">
      <alignment vertical="center"/>
    </xf>
    <xf numFmtId="3" fontId="95" fillId="6" borderId="76" xfId="0" applyNumberFormat="1" applyFont="1" applyFill="1" applyBorder="1" applyAlignment="1">
      <alignment vertical="center"/>
    </xf>
    <xf numFmtId="3" fontId="95" fillId="6" borderId="73" xfId="0" applyNumberFormat="1" applyFont="1" applyFill="1" applyBorder="1" applyAlignment="1">
      <alignment vertical="center"/>
    </xf>
    <xf numFmtId="3" fontId="95" fillId="6" borderId="61" xfId="0" applyNumberFormat="1" applyFont="1" applyFill="1" applyBorder="1" applyAlignment="1">
      <alignment vertical="center"/>
    </xf>
    <xf numFmtId="3" fontId="93" fillId="6" borderId="17" xfId="0" applyNumberFormat="1" applyFont="1" applyFill="1" applyBorder="1" applyAlignment="1">
      <alignment vertical="center"/>
    </xf>
    <xf numFmtId="3" fontId="93" fillId="6" borderId="61" xfId="0" applyNumberFormat="1" applyFont="1" applyFill="1" applyBorder="1" applyAlignment="1">
      <alignment vertical="center"/>
    </xf>
    <xf numFmtId="3" fontId="95" fillId="6" borderId="17" xfId="0" applyNumberFormat="1" applyFont="1" applyFill="1" applyBorder="1" applyAlignment="1">
      <alignment vertical="center"/>
    </xf>
    <xf numFmtId="3" fontId="93" fillId="6" borderId="52" xfId="0" applyNumberFormat="1" applyFont="1" applyFill="1" applyBorder="1" applyAlignment="1">
      <alignment horizontal="center" vertical="center" wrapText="1"/>
    </xf>
    <xf numFmtId="3" fontId="93" fillId="6" borderId="0" xfId="0" applyNumberFormat="1" applyFont="1" applyFill="1" applyBorder="1" applyAlignment="1">
      <alignment horizontal="center" vertical="center" wrapText="1"/>
    </xf>
    <xf numFmtId="3" fontId="93" fillId="6" borderId="70" xfId="0" applyNumberFormat="1" applyFont="1" applyFill="1" applyBorder="1" applyAlignment="1">
      <alignment horizontal="center" vertical="center" wrapText="1"/>
    </xf>
    <xf numFmtId="3" fontId="97" fillId="56" borderId="47" xfId="0" applyNumberFormat="1" applyFont="1" applyFill="1" applyBorder="1" applyAlignment="1">
      <alignment vertical="center" wrapText="1"/>
    </xf>
    <xf numFmtId="3" fontId="95" fillId="6" borderId="47" xfId="0" applyNumberFormat="1" applyFont="1" applyFill="1" applyBorder="1" applyAlignment="1">
      <alignment vertical="center"/>
    </xf>
    <xf numFmtId="3" fontId="95" fillId="6" borderId="45" xfId="0" applyNumberFormat="1" applyFont="1" applyFill="1" applyBorder="1" applyAlignment="1">
      <alignment vertical="center"/>
    </xf>
    <xf numFmtId="3" fontId="95" fillId="6" borderId="52" xfId="0" applyNumberFormat="1" applyFont="1" applyFill="1" applyBorder="1" applyAlignment="1">
      <alignment horizontal="center" vertical="center" wrapText="1"/>
    </xf>
    <xf numFmtId="3" fontId="95" fillId="6" borderId="0" xfId="0" applyNumberFormat="1" applyFont="1" applyFill="1" applyBorder="1" applyAlignment="1">
      <alignment vertical="center"/>
    </xf>
    <xf numFmtId="3" fontId="95" fillId="6" borderId="70" xfId="0" applyNumberFormat="1" applyFont="1" applyFill="1" applyBorder="1" applyAlignment="1">
      <alignment vertical="center"/>
    </xf>
    <xf numFmtId="3" fontId="93" fillId="6" borderId="0" xfId="0" applyNumberFormat="1" applyFont="1" applyFill="1" applyBorder="1" applyAlignment="1">
      <alignment vertical="center"/>
    </xf>
    <xf numFmtId="3" fontId="93" fillId="6" borderId="70" xfId="0" applyNumberFormat="1" applyFont="1" applyFill="1" applyBorder="1" applyAlignment="1">
      <alignment vertical="center"/>
    </xf>
    <xf numFmtId="3" fontId="95" fillId="6" borderId="71" xfId="0" applyNumberFormat="1" applyFont="1" applyFill="1" applyBorder="1" applyAlignment="1">
      <alignment horizontal="center" vertical="center" wrapText="1"/>
    </xf>
    <xf numFmtId="3" fontId="95" fillId="6" borderId="72" xfId="0" applyNumberFormat="1" applyFont="1" applyFill="1" applyBorder="1" applyAlignment="1">
      <alignment vertical="center"/>
    </xf>
    <xf numFmtId="3" fontId="95" fillId="6" borderId="35" xfId="0" applyNumberFormat="1" applyFont="1" applyFill="1" applyBorder="1" applyAlignment="1">
      <alignment vertical="center"/>
    </xf>
    <xf numFmtId="3" fontId="88" fillId="0" borderId="0" xfId="0" applyNumberFormat="1" applyFont="1" applyFill="1" applyAlignment="1">
      <alignment horizontal="center" vertical="center" wrapText="1"/>
    </xf>
    <xf numFmtId="3" fontId="88" fillId="57" borderId="17" xfId="0" applyNumberFormat="1" applyFont="1" applyFill="1" applyBorder="1" applyAlignment="1">
      <alignment horizontal="center" vertical="center"/>
    </xf>
    <xf numFmtId="3" fontId="88" fillId="57" borderId="17" xfId="0" applyNumberFormat="1" applyFont="1" applyFill="1" applyBorder="1" applyAlignment="1">
      <alignment horizontal="center" vertical="center" wrapText="1"/>
    </xf>
    <xf numFmtId="49" fontId="88" fillId="0" borderId="0" xfId="7" applyNumberFormat="1" applyFont="1" applyFill="1" applyAlignment="1">
      <alignment horizontal="center" vertical="center"/>
    </xf>
    <xf numFmtId="0" fontId="88" fillId="0" borderId="2" xfId="7" applyFont="1" applyFill="1" applyBorder="1" applyAlignment="1">
      <alignment vertical="center"/>
    </xf>
    <xf numFmtId="9" fontId="88" fillId="0" borderId="0" xfId="7" quotePrefix="1" applyNumberFormat="1" applyFont="1" applyBorder="1" applyAlignment="1">
      <alignment horizontal="center" vertical="center"/>
    </xf>
    <xf numFmtId="0" fontId="88" fillId="0" borderId="0" xfId="7" applyFont="1" applyBorder="1" applyAlignment="1">
      <alignment horizontal="center" vertical="center"/>
    </xf>
    <xf numFmtId="0" fontId="18" fillId="0" borderId="0" xfId="7" applyFont="1" applyBorder="1" applyAlignment="1">
      <alignment vertical="center"/>
    </xf>
    <xf numFmtId="49" fontId="88" fillId="0" borderId="0" xfId="73" applyNumberFormat="1" applyFont="1" applyFill="1" applyAlignment="1">
      <alignment horizontal="center" vertical="center"/>
    </xf>
    <xf numFmtId="0" fontId="86" fillId="57" borderId="17" xfId="7" applyFont="1" applyFill="1" applyBorder="1" applyAlignment="1">
      <alignment horizontal="left" vertical="center"/>
    </xf>
    <xf numFmtId="0" fontId="98" fillId="0" borderId="17" xfId="7" applyFont="1" applyBorder="1" applyAlignment="1">
      <alignment vertical="center"/>
    </xf>
    <xf numFmtId="3" fontId="98" fillId="0" borderId="17" xfId="7" applyNumberFormat="1" applyFont="1" applyBorder="1" applyAlignment="1">
      <alignment vertical="center"/>
    </xf>
    <xf numFmtId="3" fontId="18" fillId="0" borderId="17" xfId="7" applyNumberFormat="1" applyFont="1" applyBorder="1" applyAlignment="1">
      <alignment vertical="center"/>
    </xf>
    <xf numFmtId="0" fontId="98" fillId="0" borderId="17" xfId="7" applyFont="1" applyBorder="1" applyAlignment="1">
      <alignment vertical="center" wrapText="1"/>
    </xf>
    <xf numFmtId="3" fontId="51" fillId="6" borderId="17" xfId="7" applyNumberFormat="1" applyFont="1" applyFill="1" applyBorder="1" applyAlignment="1">
      <alignment vertical="center"/>
    </xf>
    <xf numFmtId="3" fontId="88" fillId="0" borderId="17" xfId="7" applyNumberFormat="1" applyFont="1" applyBorder="1" applyAlignment="1">
      <alignment vertical="center"/>
    </xf>
    <xf numFmtId="3" fontId="88" fillId="57" borderId="0" xfId="0" applyNumberFormat="1" applyFont="1" applyFill="1" applyAlignment="1">
      <alignment horizontal="center" vertical="center" wrapText="1"/>
    </xf>
    <xf numFmtId="49" fontId="86" fillId="0" borderId="0" xfId="7" applyNumberFormat="1" applyFont="1" applyFill="1" applyAlignment="1">
      <alignment horizontal="center" vertical="center"/>
    </xf>
    <xf numFmtId="0" fontId="86" fillId="0" borderId="0" xfId="7" applyFont="1" applyFill="1" applyAlignment="1">
      <alignment vertical="center"/>
    </xf>
    <xf numFmtId="0" fontId="86" fillId="0" borderId="0" xfId="7" quotePrefix="1" applyFont="1" applyFill="1" applyAlignment="1">
      <alignment horizontal="center" vertical="center"/>
    </xf>
    <xf numFmtId="0" fontId="86" fillId="0" borderId="0" xfId="7" applyFont="1" applyFill="1" applyAlignment="1">
      <alignment horizontal="center" vertical="center"/>
    </xf>
    <xf numFmtId="0" fontId="51" fillId="0" borderId="0" xfId="7" applyFont="1" applyFill="1" applyAlignment="1">
      <alignment vertical="center"/>
    </xf>
    <xf numFmtId="49" fontId="86" fillId="0" borderId="0" xfId="73" applyNumberFormat="1" applyFont="1" applyFill="1" applyAlignment="1">
      <alignment horizontal="center" vertical="center"/>
    </xf>
    <xf numFmtId="0" fontId="86" fillId="59" borderId="17" xfId="7" applyFont="1" applyFill="1" applyBorder="1" applyAlignment="1">
      <alignment vertical="center"/>
    </xf>
    <xf numFmtId="0" fontId="86" fillId="0" borderId="17" xfId="0" applyFont="1" applyFill="1" applyBorder="1" applyAlignment="1">
      <alignment horizontal="center" vertical="center"/>
    </xf>
    <xf numFmtId="0" fontId="51" fillId="0" borderId="17" xfId="7" applyFont="1" applyFill="1" applyBorder="1" applyAlignment="1">
      <alignment vertical="center"/>
    </xf>
    <xf numFmtId="3" fontId="51" fillId="0" borderId="17" xfId="7" applyNumberFormat="1" applyFont="1" applyFill="1" applyBorder="1" applyAlignment="1">
      <alignment vertical="center"/>
    </xf>
    <xf numFmtId="3" fontId="86" fillId="0" borderId="17" xfId="7" applyNumberFormat="1" applyFont="1" applyFill="1" applyBorder="1" applyAlignment="1">
      <alignment vertical="center"/>
    </xf>
    <xf numFmtId="49" fontId="86" fillId="6" borderId="0" xfId="7" applyNumberFormat="1" applyFont="1" applyFill="1" applyAlignment="1">
      <alignment horizontal="center" vertical="center"/>
    </xf>
    <xf numFmtId="0" fontId="86" fillId="0" borderId="17" xfId="7" applyFont="1" applyFill="1" applyBorder="1" applyAlignment="1">
      <alignment vertical="center"/>
    </xf>
    <xf numFmtId="4" fontId="95" fillId="6" borderId="76" xfId="0" applyNumberFormat="1" applyFont="1" applyFill="1" applyBorder="1" applyAlignment="1">
      <alignment vertical="center"/>
    </xf>
    <xf numFmtId="4" fontId="95" fillId="6" borderId="73" xfId="0" applyNumberFormat="1" applyFont="1" applyFill="1" applyBorder="1" applyAlignment="1">
      <alignment vertical="center"/>
    </xf>
    <xf numFmtId="3" fontId="93" fillId="6" borderId="61" xfId="0" applyNumberFormat="1" applyFont="1" applyFill="1" applyBorder="1" applyAlignment="1">
      <alignment horizontal="right" vertical="center"/>
    </xf>
    <xf numFmtId="0" fontId="18" fillId="51" borderId="17" xfId="0" applyFont="1" applyFill="1" applyBorder="1"/>
    <xf numFmtId="3" fontId="99" fillId="51" borderId="61" xfId="0" applyNumberFormat="1" applyFont="1" applyFill="1" applyBorder="1" applyAlignment="1">
      <alignment vertical="center"/>
    </xf>
    <xf numFmtId="3" fontId="86" fillId="64" borderId="72" xfId="0" applyNumberFormat="1" applyFont="1" applyFill="1" applyBorder="1" applyAlignment="1">
      <alignment vertical="center"/>
    </xf>
    <xf numFmtId="3" fontId="100" fillId="64" borderId="72" xfId="0" applyNumberFormat="1" applyFont="1" applyFill="1" applyBorder="1" applyAlignment="1">
      <alignment vertical="center"/>
    </xf>
    <xf numFmtId="3" fontId="86" fillId="55" borderId="47" xfId="0" applyNumberFormat="1" applyFont="1" applyFill="1" applyBorder="1" applyAlignment="1">
      <alignment horizontal="center" vertical="center"/>
    </xf>
    <xf numFmtId="3" fontId="86" fillId="55" borderId="47" xfId="0" applyNumberFormat="1" applyFont="1" applyFill="1" applyBorder="1" applyAlignment="1">
      <alignment horizontal="center" vertical="center" wrapText="1"/>
    </xf>
    <xf numFmtId="3" fontId="86" fillId="55" borderId="38" xfId="0" applyNumberFormat="1" applyFont="1" applyFill="1" applyBorder="1" applyAlignment="1">
      <alignment horizontal="center" vertical="center" wrapText="1"/>
    </xf>
    <xf numFmtId="3" fontId="86" fillId="55" borderId="45" xfId="0" applyNumberFormat="1" applyFont="1" applyFill="1" applyBorder="1" applyAlignment="1">
      <alignment horizontal="center" vertical="center" wrapText="1"/>
    </xf>
    <xf numFmtId="3" fontId="51" fillId="0" borderId="52" xfId="0" applyNumberFormat="1" applyFont="1" applyBorder="1" applyAlignment="1">
      <alignment horizontal="center" vertical="center"/>
    </xf>
    <xf numFmtId="3" fontId="51" fillId="0" borderId="0" xfId="0" applyNumberFormat="1" applyFont="1" applyBorder="1" applyAlignment="1">
      <alignment horizontal="left" vertical="center" wrapText="1"/>
    </xf>
    <xf numFmtId="3" fontId="51" fillId="0" borderId="0" xfId="0" applyNumberFormat="1" applyFont="1" applyBorder="1" applyAlignment="1">
      <alignment vertical="center" wrapText="1"/>
    </xf>
    <xf numFmtId="3" fontId="51" fillId="0" borderId="0" xfId="0" applyNumberFormat="1" applyFont="1" applyBorder="1" applyAlignment="1">
      <alignment vertical="center"/>
    </xf>
    <xf numFmtId="3" fontId="51" fillId="6" borderId="0" xfId="0" applyNumberFormat="1" applyFont="1" applyFill="1" applyBorder="1" applyAlignment="1">
      <alignment vertical="center"/>
    </xf>
    <xf numFmtId="3" fontId="51" fillId="0" borderId="70" xfId="0" applyNumberFormat="1" applyFont="1" applyBorder="1" applyAlignment="1">
      <alignment vertical="center"/>
    </xf>
    <xf numFmtId="3" fontId="51" fillId="0" borderId="0" xfId="0" applyNumberFormat="1" applyFont="1" applyBorder="1" applyAlignment="1">
      <alignment horizontal="center" vertical="center"/>
    </xf>
    <xf numFmtId="3" fontId="51" fillId="64" borderId="72" xfId="0" applyNumberFormat="1" applyFont="1" applyFill="1" applyBorder="1" applyAlignment="1">
      <alignment vertical="center"/>
    </xf>
    <xf numFmtId="3" fontId="86" fillId="55" borderId="17" xfId="0" applyNumberFormat="1" applyFont="1" applyFill="1" applyBorder="1" applyAlignment="1">
      <alignment horizontal="center" vertical="center"/>
    </xf>
    <xf numFmtId="3" fontId="86" fillId="55" borderId="17" xfId="0" applyNumberFormat="1" applyFont="1" applyFill="1" applyBorder="1" applyAlignment="1">
      <alignment horizontal="center" vertical="center" wrapText="1"/>
    </xf>
    <xf numFmtId="3" fontId="86" fillId="57" borderId="0" xfId="0" applyNumberFormat="1" applyFont="1" applyFill="1" applyAlignment="1">
      <alignment vertical="center" wrapText="1"/>
    </xf>
    <xf numFmtId="3" fontId="51" fillId="49" borderId="0" xfId="0" applyNumberFormat="1" applyFont="1" applyFill="1" applyAlignment="1">
      <alignment vertical="center"/>
    </xf>
    <xf numFmtId="3" fontId="51" fillId="0" borderId="0" xfId="0" applyNumberFormat="1" applyFont="1" applyAlignment="1">
      <alignment vertical="center"/>
    </xf>
    <xf numFmtId="3" fontId="86" fillId="0" borderId="17" xfId="0" applyNumberFormat="1" applyFont="1" applyBorder="1" applyAlignment="1">
      <alignment horizontal="center" vertical="center" wrapText="1"/>
    </xf>
    <xf numFmtId="3" fontId="86" fillId="0" borderId="17" xfId="0" applyNumberFormat="1" applyFont="1" applyBorder="1" applyAlignment="1">
      <alignment vertical="center"/>
    </xf>
    <xf numFmtId="3" fontId="51" fillId="0" borderId="0" xfId="0" applyNumberFormat="1" applyFont="1" applyAlignment="1">
      <alignment horizontal="center" vertical="center"/>
    </xf>
    <xf numFmtId="3" fontId="51" fillId="0" borderId="0" xfId="0" applyNumberFormat="1" applyFont="1" applyAlignment="1">
      <alignment vertical="center" wrapText="1"/>
    </xf>
    <xf numFmtId="3" fontId="86" fillId="0" borderId="57" xfId="0" applyNumberFormat="1" applyFont="1" applyFill="1" applyBorder="1" applyAlignment="1">
      <alignment vertical="center" wrapText="1"/>
    </xf>
    <xf numFmtId="3" fontId="51" fillId="6" borderId="0" xfId="0" applyNumberFormat="1" applyFont="1" applyFill="1" applyAlignment="1">
      <alignment horizontal="center" vertical="center"/>
    </xf>
    <xf numFmtId="3" fontId="86" fillId="0" borderId="17" xfId="0" applyNumberFormat="1" applyFont="1" applyFill="1" applyBorder="1" applyAlignment="1">
      <alignment vertical="center"/>
    </xf>
    <xf numFmtId="3" fontId="51" fillId="56" borderId="18" xfId="0" applyNumberFormat="1" applyFont="1" applyFill="1" applyBorder="1" applyAlignment="1">
      <alignment vertical="center" wrapText="1"/>
    </xf>
    <xf numFmtId="3" fontId="51" fillId="56" borderId="18" xfId="0" applyNumberFormat="1" applyFont="1" applyFill="1" applyBorder="1" applyAlignment="1">
      <alignment vertical="center"/>
    </xf>
    <xf numFmtId="3" fontId="51" fillId="0" borderId="24" xfId="0" applyNumberFormat="1" applyFont="1" applyBorder="1" applyAlignment="1">
      <alignment vertical="center" wrapText="1"/>
    </xf>
    <xf numFmtId="3" fontId="86" fillId="58" borderId="17" xfId="0" applyNumberFormat="1" applyFont="1" applyFill="1" applyBorder="1" applyAlignment="1">
      <alignment vertical="center"/>
    </xf>
    <xf numFmtId="3" fontId="51" fillId="64" borderId="0" xfId="0" applyNumberFormat="1" applyFont="1" applyFill="1" applyAlignment="1">
      <alignment horizontal="right" vertical="center"/>
    </xf>
    <xf numFmtId="3" fontId="51" fillId="64" borderId="0" xfId="0" applyNumberFormat="1" applyFont="1" applyFill="1" applyAlignment="1">
      <alignment vertical="center"/>
    </xf>
    <xf numFmtId="3" fontId="100" fillId="64" borderId="0" xfId="0" applyNumberFormat="1" applyFont="1" applyFill="1" applyAlignment="1">
      <alignment vertical="center"/>
    </xf>
    <xf numFmtId="3" fontId="53" fillId="0" borderId="0" xfId="0" applyNumberFormat="1" applyFont="1" applyAlignment="1">
      <alignment horizontal="right" vertical="center"/>
    </xf>
    <xf numFmtId="3" fontId="53" fillId="0" borderId="0" xfId="0" applyNumberFormat="1" applyFont="1" applyAlignment="1">
      <alignment vertical="center"/>
    </xf>
    <xf numFmtId="3" fontId="51" fillId="61" borderId="0" xfId="0" applyNumberFormat="1" applyFont="1" applyFill="1" applyAlignment="1">
      <alignment vertical="center"/>
    </xf>
    <xf numFmtId="3" fontId="86" fillId="0" borderId="0" xfId="0" applyNumberFormat="1" applyFont="1" applyAlignment="1">
      <alignment vertical="center"/>
    </xf>
    <xf numFmtId="4" fontId="51" fillId="0" borderId="17" xfId="0" applyNumberFormat="1" applyFont="1" applyBorder="1" applyAlignment="1">
      <alignment vertical="center"/>
    </xf>
    <xf numFmtId="3" fontId="86" fillId="6" borderId="0" xfId="0" applyNumberFormat="1" applyFont="1" applyFill="1" applyAlignment="1">
      <alignment vertical="center" wrapText="1"/>
    </xf>
    <xf numFmtId="3" fontId="86" fillId="0" borderId="17" xfId="0" applyNumberFormat="1" applyFont="1" applyBorder="1" applyAlignment="1">
      <alignment vertical="center" wrapText="1"/>
    </xf>
    <xf numFmtId="3" fontId="86" fillId="6" borderId="0" xfId="0" applyNumberFormat="1" applyFont="1" applyFill="1" applyBorder="1" applyAlignment="1">
      <alignment vertical="center" wrapText="1"/>
    </xf>
    <xf numFmtId="3" fontId="86" fillId="0" borderId="0" xfId="0" applyNumberFormat="1" applyFont="1" applyBorder="1" applyAlignment="1">
      <alignment horizontal="center" vertical="center"/>
    </xf>
    <xf numFmtId="3" fontId="86" fillId="64" borderId="0" xfId="0" applyNumberFormat="1" applyFont="1" applyFill="1" applyAlignment="1">
      <alignment horizontal="right" vertical="center"/>
    </xf>
    <xf numFmtId="3" fontId="86" fillId="64" borderId="0" xfId="0" applyNumberFormat="1" applyFont="1" applyFill="1" applyAlignment="1">
      <alignment vertical="center"/>
    </xf>
    <xf numFmtId="3" fontId="51" fillId="0" borderId="0" xfId="0" applyNumberFormat="1" applyFont="1" applyAlignment="1">
      <alignment horizontal="left" vertical="center"/>
    </xf>
    <xf numFmtId="3" fontId="86" fillId="0" borderId="0" xfId="0" applyNumberFormat="1" applyFont="1" applyBorder="1" applyAlignment="1">
      <alignment vertical="center"/>
    </xf>
    <xf numFmtId="3" fontId="86" fillId="57" borderId="57" xfId="0" applyNumberFormat="1" applyFont="1" applyFill="1" applyBorder="1" applyAlignment="1">
      <alignment horizontal="left" vertical="center" wrapText="1"/>
    </xf>
    <xf numFmtId="0" fontId="86" fillId="57" borderId="0" xfId="0" applyNumberFormat="1" applyFont="1" applyFill="1" applyBorder="1" applyAlignment="1">
      <alignment horizontal="left" vertical="center" wrapText="1"/>
    </xf>
    <xf numFmtId="3" fontId="86" fillId="45" borderId="0" xfId="0" applyNumberFormat="1" applyFont="1" applyFill="1" applyAlignment="1">
      <alignment horizontal="center" vertical="center"/>
    </xf>
    <xf numFmtId="3" fontId="86" fillId="0" borderId="0" xfId="0" applyNumberFormat="1" applyFont="1" applyFill="1" applyAlignment="1">
      <alignment vertical="center" wrapText="1"/>
    </xf>
    <xf numFmtId="3" fontId="86" fillId="0" borderId="0" xfId="0" applyNumberFormat="1" applyFont="1" applyBorder="1" applyAlignment="1">
      <alignment horizontal="left" vertical="center" wrapText="1"/>
    </xf>
    <xf numFmtId="0" fontId="88" fillId="0" borderId="0" xfId="0" applyFont="1" applyAlignment="1">
      <alignment wrapText="1"/>
    </xf>
    <xf numFmtId="0" fontId="81" fillId="0" borderId="37" xfId="0" applyFont="1" applyFill="1" applyBorder="1" applyAlignment="1" applyProtection="1">
      <alignment horizontal="center" vertical="center" wrapText="1"/>
    </xf>
    <xf numFmtId="0" fontId="81" fillId="0" borderId="38" xfId="0" applyFont="1" applyFill="1" applyBorder="1" applyAlignment="1" applyProtection="1">
      <alignment horizontal="center" vertical="center" wrapText="1"/>
    </xf>
    <xf numFmtId="0" fontId="81" fillId="0" borderId="39" xfId="0" applyFont="1" applyFill="1" applyBorder="1" applyAlignment="1" applyProtection="1">
      <alignment horizontal="center" vertical="center" wrapText="1"/>
    </xf>
    <xf numFmtId="9" fontId="82" fillId="0" borderId="47" xfId="5" applyFont="1" applyFill="1" applyBorder="1" applyAlignment="1" applyProtection="1">
      <alignment horizontal="center" vertical="center" wrapText="1"/>
      <protection locked="0"/>
    </xf>
    <xf numFmtId="4" fontId="84" fillId="64" borderId="0" xfId="0" applyNumberFormat="1" applyFont="1" applyFill="1" applyBorder="1" applyAlignment="1">
      <alignment vertical="center"/>
    </xf>
    <xf numFmtId="4" fontId="81" fillId="64" borderId="0" xfId="1" applyNumberFormat="1" applyFont="1" applyFill="1" applyBorder="1" applyAlignment="1" applyProtection="1">
      <alignment horizontal="right" vertical="center"/>
      <protection locked="0"/>
    </xf>
    <xf numFmtId="10" fontId="82" fillId="64" borderId="0" xfId="5" applyNumberFormat="1" applyFont="1" applyFill="1" applyBorder="1" applyAlignment="1" applyProtection="1">
      <alignment horizontal="right" vertical="center"/>
      <protection locked="0"/>
    </xf>
    <xf numFmtId="4" fontId="81" fillId="64" borderId="0" xfId="1" applyNumberFormat="1" applyFont="1" applyFill="1" applyBorder="1" applyAlignment="1" applyProtection="1">
      <alignment horizontal="center" vertical="center"/>
      <protection locked="0"/>
    </xf>
    <xf numFmtId="4" fontId="101" fillId="64" borderId="70" xfId="1" applyNumberFormat="1" applyFont="1" applyFill="1" applyBorder="1" applyAlignment="1" applyProtection="1">
      <alignment horizontal="center" vertical="center"/>
      <protection locked="0"/>
    </xf>
    <xf numFmtId="0" fontId="81" fillId="0" borderId="0" xfId="0" applyNumberFormat="1" applyFont="1" applyFill="1" applyBorder="1" applyAlignment="1" applyProtection="1">
      <alignment horizontal="right" vertical="center" wrapText="1"/>
      <protection locked="0"/>
    </xf>
    <xf numFmtId="0" fontId="82" fillId="0" borderId="49" xfId="0" applyNumberFormat="1" applyFont="1" applyFill="1" applyBorder="1" applyAlignment="1" applyProtection="1">
      <alignment horizontal="left" vertical="center" wrapText="1"/>
      <protection locked="0"/>
    </xf>
    <xf numFmtId="0" fontId="102" fillId="0" borderId="0" xfId="0" applyFont="1"/>
    <xf numFmtId="164" fontId="102" fillId="0" borderId="0" xfId="0" applyNumberFormat="1" applyFont="1"/>
    <xf numFmtId="0" fontId="103" fillId="0" borderId="0" xfId="0" applyFont="1" applyFill="1" applyBorder="1"/>
    <xf numFmtId="0" fontId="95" fillId="0" borderId="0" xfId="0" applyFont="1" applyFill="1" applyBorder="1" applyAlignment="1" applyProtection="1">
      <alignment horizontal="center" vertical="center"/>
      <protection locked="0"/>
    </xf>
    <xf numFmtId="0" fontId="95" fillId="0" borderId="0" xfId="0" applyNumberFormat="1" applyFont="1" applyFill="1" applyBorder="1" applyAlignment="1" applyProtection="1">
      <alignment horizontal="left" vertical="center" wrapText="1"/>
    </xf>
    <xf numFmtId="0" fontId="95" fillId="0" borderId="77" xfId="0" applyFont="1" applyFill="1" applyBorder="1" applyAlignment="1" applyProtection="1">
      <alignment horizontal="center" vertical="center"/>
      <protection locked="0"/>
    </xf>
    <xf numFmtId="0" fontId="95" fillId="0" borderId="52" xfId="0" applyFont="1" applyFill="1" applyBorder="1" applyAlignment="1" applyProtection="1">
      <alignment horizontal="center" vertical="center"/>
      <protection locked="0"/>
    </xf>
    <xf numFmtId="0" fontId="95" fillId="0" borderId="71" xfId="0" applyFont="1" applyFill="1" applyBorder="1" applyAlignment="1" applyProtection="1">
      <alignment horizontal="center" vertical="center"/>
      <protection locked="0"/>
    </xf>
    <xf numFmtId="0" fontId="95" fillId="0" borderId="72" xfId="0" applyNumberFormat="1" applyFont="1" applyFill="1" applyBorder="1" applyAlignment="1" applyProtection="1">
      <alignment horizontal="left" vertical="center" wrapText="1"/>
    </xf>
    <xf numFmtId="0" fontId="104" fillId="0" borderId="0" xfId="0" applyFont="1"/>
    <xf numFmtId="49" fontId="81" fillId="6" borderId="59" xfId="73" applyNumberFormat="1" applyFont="1" applyFill="1" applyBorder="1" applyAlignment="1">
      <alignment horizontal="center" vertical="center"/>
    </xf>
    <xf numFmtId="0" fontId="81" fillId="57" borderId="49" xfId="0" applyFont="1" applyFill="1" applyBorder="1" applyAlignment="1">
      <alignment horizontal="center" vertical="center" wrapText="1"/>
    </xf>
    <xf numFmtId="0" fontId="81" fillId="57" borderId="78" xfId="0" applyFont="1" applyFill="1" applyBorder="1" applyAlignment="1">
      <alignment horizontal="center" vertical="center" wrapText="1"/>
    </xf>
    <xf numFmtId="0" fontId="81" fillId="57" borderId="39" xfId="0" applyFont="1" applyFill="1" applyBorder="1" applyAlignment="1">
      <alignment horizontal="center" vertical="center" wrapText="1"/>
    </xf>
    <xf numFmtId="49" fontId="81" fillId="6" borderId="52" xfId="7" applyNumberFormat="1" applyFont="1" applyFill="1" applyBorder="1" applyAlignment="1">
      <alignment horizontal="center" vertical="center"/>
    </xf>
    <xf numFmtId="43" fontId="82" fillId="0" borderId="17" xfId="1" applyFont="1" applyBorder="1" applyAlignment="1">
      <alignment horizontal="center" vertical="center"/>
    </xf>
    <xf numFmtId="9" fontId="82" fillId="0" borderId="17" xfId="5" applyFont="1" applyBorder="1" applyAlignment="1">
      <alignment horizontal="center" vertical="center"/>
    </xf>
    <xf numFmtId="43" fontId="81" fillId="0" borderId="17" xfId="0" applyNumberFormat="1" applyFont="1" applyFill="1" applyBorder="1" applyAlignment="1">
      <alignment horizontal="center" vertical="center" wrapText="1"/>
    </xf>
    <xf numFmtId="0" fontId="102" fillId="0" borderId="0" xfId="0" applyFont="1" applyBorder="1"/>
    <xf numFmtId="0" fontId="81" fillId="0" borderId="0" xfId="0" applyFont="1" applyFill="1" applyBorder="1" applyAlignment="1">
      <alignment horizontal="center" vertical="center"/>
    </xf>
    <xf numFmtId="43" fontId="81" fillId="0" borderId="0" xfId="1" applyFont="1" applyFill="1" applyBorder="1" applyAlignment="1">
      <alignment vertical="center"/>
    </xf>
    <xf numFmtId="3" fontId="81" fillId="0" borderId="0" xfId="0" applyNumberFormat="1" applyFont="1" applyFill="1" applyBorder="1" applyAlignment="1">
      <alignment vertical="center"/>
    </xf>
    <xf numFmtId="0" fontId="81" fillId="0" borderId="0" xfId="0" applyFont="1" applyFill="1" applyBorder="1" applyAlignment="1">
      <alignment horizontal="center" vertical="center" wrapText="1"/>
    </xf>
    <xf numFmtId="43" fontId="81" fillId="0" borderId="0" xfId="0" applyNumberFormat="1" applyFont="1" applyFill="1" applyBorder="1" applyAlignment="1">
      <alignment horizontal="center" vertical="center" wrapText="1"/>
    </xf>
    <xf numFmtId="3" fontId="81" fillId="0" borderId="70" xfId="0" applyNumberFormat="1" applyFont="1" applyBorder="1" applyAlignment="1">
      <alignment horizontal="right" vertical="center"/>
    </xf>
    <xf numFmtId="49" fontId="81" fillId="6" borderId="71" xfId="7" applyNumberFormat="1" applyFont="1" applyFill="1" applyBorder="1" applyAlignment="1">
      <alignment horizontal="center" vertical="center"/>
    </xf>
    <xf numFmtId="0" fontId="81" fillId="0" borderId="72" xfId="0" applyFont="1" applyFill="1" applyBorder="1" applyAlignment="1">
      <alignment horizontal="center" vertical="center"/>
    </xf>
    <xf numFmtId="49" fontId="81" fillId="6" borderId="0" xfId="7" applyNumberFormat="1" applyFont="1" applyFill="1" applyBorder="1" applyAlignment="1">
      <alignment horizontal="center" vertical="center"/>
    </xf>
    <xf numFmtId="9" fontId="81" fillId="0" borderId="0" xfId="0" applyNumberFormat="1" applyFont="1" applyFill="1" applyBorder="1" applyAlignment="1">
      <alignment horizontal="center" vertical="center" wrapText="1"/>
    </xf>
    <xf numFmtId="3" fontId="81" fillId="0" borderId="0" xfId="0" applyNumberFormat="1" applyFont="1" applyBorder="1" applyAlignment="1">
      <alignment horizontal="right" vertical="center"/>
    </xf>
    <xf numFmtId="49" fontId="81" fillId="6" borderId="0" xfId="7" applyNumberFormat="1" applyFont="1" applyFill="1" applyAlignment="1">
      <alignment horizontal="center" vertical="center"/>
    </xf>
    <xf numFmtId="0" fontId="82" fillId="0" borderId="0" xfId="7" applyFont="1" applyAlignment="1">
      <alignment vertical="center"/>
    </xf>
    <xf numFmtId="49" fontId="81" fillId="6" borderId="0" xfId="73" applyNumberFormat="1" applyFont="1" applyFill="1" applyAlignment="1">
      <alignment horizontal="center" vertical="center"/>
    </xf>
    <xf numFmtId="0" fontId="81" fillId="57" borderId="17" xfId="0" applyFont="1" applyFill="1" applyBorder="1" applyAlignment="1">
      <alignment vertical="center"/>
    </xf>
    <xf numFmtId="0" fontId="81" fillId="57" borderId="18" xfId="0" applyFont="1" applyFill="1" applyBorder="1" applyAlignment="1">
      <alignment horizontal="center" vertical="center" wrapText="1"/>
    </xf>
    <xf numFmtId="0" fontId="81" fillId="57" borderId="19" xfId="0" applyFont="1" applyFill="1" applyBorder="1" applyAlignment="1">
      <alignment horizontal="center" vertical="center" wrapText="1"/>
    </xf>
    <xf numFmtId="0" fontId="81" fillId="57" borderId="17" xfId="0" applyFont="1" applyFill="1" applyBorder="1" applyAlignment="1">
      <alignment horizontal="center" vertical="center" wrapText="1"/>
    </xf>
    <xf numFmtId="3" fontId="81" fillId="6" borderId="17" xfId="0" applyNumberFormat="1" applyFont="1" applyFill="1" applyBorder="1" applyAlignment="1">
      <alignment horizontal="left" vertical="center" wrapText="1"/>
    </xf>
    <xf numFmtId="3" fontId="82" fillId="0" borderId="17" xfId="0" applyNumberFormat="1" applyFont="1" applyFill="1" applyBorder="1" applyAlignment="1">
      <alignment horizontal="center" vertical="center"/>
    </xf>
    <xf numFmtId="3" fontId="82" fillId="6" borderId="17" xfId="0" applyNumberFormat="1" applyFont="1" applyFill="1" applyBorder="1" applyAlignment="1">
      <alignment horizontal="center" vertical="center"/>
    </xf>
    <xf numFmtId="3" fontId="82" fillId="0" borderId="17" xfId="0" applyNumberFormat="1" applyFont="1" applyBorder="1" applyAlignment="1">
      <alignment vertical="center"/>
    </xf>
    <xf numFmtId="3" fontId="82" fillId="6" borderId="17" xfId="0" applyNumberFormat="1" applyFont="1" applyFill="1" applyBorder="1" applyAlignment="1">
      <alignment horizontal="left" vertical="center"/>
    </xf>
    <xf numFmtId="3" fontId="82" fillId="6" borderId="17" xfId="0" applyNumberFormat="1" applyFont="1" applyFill="1" applyBorder="1" applyAlignment="1">
      <alignment horizontal="left" vertical="center" wrapText="1"/>
    </xf>
    <xf numFmtId="3" fontId="81" fillId="0" borderId="17" xfId="0" applyNumberFormat="1" applyFont="1" applyBorder="1" applyAlignment="1">
      <alignment horizontal="right" vertical="center"/>
    </xf>
    <xf numFmtId="0" fontId="81" fillId="6" borderId="17" xfId="0" applyNumberFormat="1" applyFont="1" applyFill="1" applyBorder="1" applyAlignment="1">
      <alignment horizontal="left" vertical="center" wrapText="1"/>
    </xf>
    <xf numFmtId="3" fontId="102" fillId="0" borderId="0" xfId="0" applyNumberFormat="1" applyFont="1"/>
    <xf numFmtId="3" fontId="85" fillId="57" borderId="0" xfId="0" applyNumberFormat="1" applyFont="1" applyFill="1" applyAlignment="1">
      <alignment horizontal="center" vertical="center" wrapText="1"/>
    </xf>
    <xf numFmtId="3" fontId="85" fillId="57" borderId="17" xfId="0" applyNumberFormat="1" applyFont="1" applyFill="1" applyBorder="1" applyAlignment="1">
      <alignment horizontal="center" vertical="center"/>
    </xf>
    <xf numFmtId="3" fontId="85" fillId="57" borderId="17" xfId="0" applyNumberFormat="1" applyFont="1" applyFill="1" applyBorder="1" applyAlignment="1">
      <alignment horizontal="center" vertical="center" wrapText="1"/>
    </xf>
    <xf numFmtId="0" fontId="85" fillId="57" borderId="17" xfId="0" applyFont="1" applyFill="1" applyBorder="1" applyAlignment="1">
      <alignment horizontal="center" vertical="center" wrapText="1"/>
    </xf>
    <xf numFmtId="3" fontId="85" fillId="0" borderId="0" xfId="0" applyNumberFormat="1" applyFont="1" applyFill="1" applyAlignment="1">
      <alignment horizontal="center" vertical="center"/>
    </xf>
    <xf numFmtId="3" fontId="83" fillId="0" borderId="0" xfId="0" applyNumberFormat="1" applyFont="1" applyAlignment="1">
      <alignment vertical="center"/>
    </xf>
    <xf numFmtId="49" fontId="85" fillId="58" borderId="0" xfId="73" applyNumberFormat="1" applyFont="1" applyFill="1" applyAlignment="1">
      <alignment horizontal="center" vertical="center"/>
    </xf>
    <xf numFmtId="0" fontId="85" fillId="59" borderId="17" xfId="0" applyFont="1" applyFill="1" applyBorder="1" applyAlignment="1">
      <alignment vertical="center"/>
    </xf>
    <xf numFmtId="0" fontId="85" fillId="58" borderId="17" xfId="7" applyFont="1" applyFill="1" applyBorder="1" applyAlignment="1">
      <alignment horizontal="center" vertical="center"/>
    </xf>
    <xf numFmtId="0" fontId="83" fillId="58" borderId="17" xfId="7" applyFont="1" applyFill="1" applyBorder="1" applyAlignment="1">
      <alignment horizontal="center" vertical="center"/>
    </xf>
    <xf numFmtId="3" fontId="83" fillId="58" borderId="17" xfId="0" applyNumberFormat="1" applyFont="1" applyFill="1" applyBorder="1" applyAlignment="1">
      <alignment horizontal="center" vertical="center"/>
    </xf>
    <xf numFmtId="49" fontId="85" fillId="0" borderId="0" xfId="7" applyNumberFormat="1" applyFont="1" applyFill="1" applyAlignment="1">
      <alignment horizontal="center" vertical="center"/>
    </xf>
    <xf numFmtId="0" fontId="105" fillId="0" borderId="17" xfId="7" applyFont="1" applyFill="1" applyBorder="1" applyAlignment="1">
      <alignment vertical="center"/>
    </xf>
    <xf numFmtId="0" fontId="105" fillId="0" borderId="17" xfId="7" applyFont="1" applyBorder="1" applyAlignment="1">
      <alignment horizontal="center" vertical="center"/>
    </xf>
    <xf numFmtId="0" fontId="83" fillId="0" borderId="17" xfId="7" applyFont="1" applyBorder="1" applyAlignment="1">
      <alignment horizontal="center" vertical="center"/>
    </xf>
    <xf numFmtId="3" fontId="83" fillId="0" borderId="17" xfId="0" applyNumberFormat="1" applyFont="1" applyBorder="1" applyAlignment="1">
      <alignment vertical="center"/>
    </xf>
    <xf numFmtId="0" fontId="83" fillId="0" borderId="17" xfId="0" applyFont="1" applyFill="1" applyBorder="1" applyAlignment="1">
      <alignment horizontal="center" vertical="center"/>
    </xf>
    <xf numFmtId="3" fontId="83" fillId="0" borderId="5" xfId="0" applyNumberFormat="1" applyFont="1" applyFill="1" applyBorder="1" applyAlignment="1">
      <alignment vertical="center"/>
    </xf>
    <xf numFmtId="0" fontId="83" fillId="0" borderId="17" xfId="0" applyFont="1" applyFill="1" applyBorder="1" applyAlignment="1">
      <alignment horizontal="center" vertical="center" wrapText="1"/>
    </xf>
    <xf numFmtId="3" fontId="85" fillId="0" borderId="17" xfId="0" applyNumberFormat="1" applyFont="1" applyBorder="1" applyAlignment="1">
      <alignment horizontal="right" vertical="center"/>
    </xf>
    <xf numFmtId="0" fontId="83" fillId="0" borderId="0" xfId="0" applyFont="1"/>
    <xf numFmtId="49" fontId="81" fillId="0" borderId="0" xfId="73" applyNumberFormat="1" applyFont="1" applyFill="1" applyAlignment="1">
      <alignment horizontal="center" vertical="center"/>
    </xf>
    <xf numFmtId="0" fontId="82" fillId="0" borderId="0" xfId="0" applyFont="1"/>
    <xf numFmtId="49" fontId="82" fillId="58" borderId="0" xfId="7" applyNumberFormat="1" applyFont="1" applyFill="1" applyBorder="1" applyAlignment="1">
      <alignment horizontal="center" vertical="center"/>
    </xf>
    <xf numFmtId="3" fontId="82" fillId="59" borderId="17" xfId="0" applyNumberFormat="1" applyFont="1" applyFill="1" applyBorder="1" applyAlignment="1">
      <alignment horizontal="left" vertical="center" wrapText="1"/>
    </xf>
    <xf numFmtId="3" fontId="82" fillId="58" borderId="17" xfId="0" applyNumberFormat="1" applyFont="1" applyFill="1" applyBorder="1" applyAlignment="1">
      <alignment horizontal="center" vertical="center"/>
    </xf>
    <xf numFmtId="3" fontId="82" fillId="58" borderId="17" xfId="0" applyNumberFormat="1" applyFont="1" applyFill="1" applyBorder="1" applyAlignment="1">
      <alignment vertical="center"/>
    </xf>
    <xf numFmtId="49" fontId="82" fillId="0" borderId="0" xfId="7" applyNumberFormat="1" applyFont="1" applyFill="1" applyBorder="1" applyAlignment="1">
      <alignment horizontal="center" vertical="center"/>
    </xf>
    <xf numFmtId="3" fontId="82" fillId="56" borderId="17" xfId="0" applyNumberFormat="1" applyFont="1" applyFill="1" applyBorder="1" applyAlignment="1">
      <alignment horizontal="left" vertical="center" wrapText="1"/>
    </xf>
    <xf numFmtId="3" fontId="82" fillId="56" borderId="17" xfId="0" applyNumberFormat="1" applyFont="1" applyFill="1" applyBorder="1" applyAlignment="1">
      <alignment horizontal="center" vertical="center"/>
    </xf>
    <xf numFmtId="3" fontId="82" fillId="0" borderId="17" xfId="0" applyNumberFormat="1" applyFont="1" applyFill="1" applyBorder="1" applyAlignment="1">
      <alignment vertical="center"/>
    </xf>
    <xf numFmtId="49" fontId="82" fillId="6" borderId="0" xfId="7" applyNumberFormat="1" applyFont="1" applyFill="1" applyBorder="1" applyAlignment="1">
      <alignment horizontal="center" vertical="center"/>
    </xf>
    <xf numFmtId="49" fontId="85" fillId="0" borderId="0" xfId="7" applyNumberFormat="1" applyFont="1" applyFill="1" applyBorder="1" applyAlignment="1">
      <alignment horizontal="center" vertical="center"/>
    </xf>
    <xf numFmtId="0" fontId="83" fillId="0" borderId="18" xfId="0" applyFont="1" applyFill="1" applyBorder="1" applyAlignment="1">
      <alignment horizontal="center" vertical="center"/>
    </xf>
    <xf numFmtId="3" fontId="83" fillId="0" borderId="24" xfId="0" applyNumberFormat="1" applyFont="1" applyFill="1" applyBorder="1" applyAlignment="1">
      <alignment vertical="center"/>
    </xf>
    <xf numFmtId="0" fontId="83" fillId="0" borderId="18" xfId="0" applyFont="1" applyFill="1" applyBorder="1" applyAlignment="1">
      <alignment horizontal="center" vertical="center" wrapText="1"/>
    </xf>
    <xf numFmtId="3" fontId="85" fillId="0" borderId="18" xfId="0" applyNumberFormat="1" applyFont="1" applyBorder="1" applyAlignment="1">
      <alignment horizontal="right" vertical="center"/>
    </xf>
    <xf numFmtId="3" fontId="85" fillId="60" borderId="0" xfId="0" applyNumberFormat="1" applyFont="1" applyFill="1" applyAlignment="1">
      <alignment horizontal="center" vertical="center"/>
    </xf>
    <xf numFmtId="0" fontId="85" fillId="58" borderId="17" xfId="0" applyFont="1" applyFill="1" applyBorder="1" applyAlignment="1">
      <alignment vertical="center"/>
    </xf>
    <xf numFmtId="9" fontId="83" fillId="0" borderId="17" xfId="5" applyFont="1" applyBorder="1" applyAlignment="1">
      <alignment horizontal="center" vertical="center"/>
    </xf>
    <xf numFmtId="43" fontId="105" fillId="0" borderId="17" xfId="1" applyFont="1" applyBorder="1" applyAlignment="1">
      <alignment horizontal="center" vertical="center"/>
    </xf>
    <xf numFmtId="0" fontId="85" fillId="0" borderId="17" xfId="0" applyFont="1" applyFill="1" applyBorder="1" applyAlignment="1">
      <alignment horizontal="center" vertical="center" wrapText="1"/>
    </xf>
    <xf numFmtId="0" fontId="83" fillId="0" borderId="0" xfId="0" applyFont="1" applyFill="1" applyBorder="1" applyAlignment="1">
      <alignment horizontal="center" vertical="center"/>
    </xf>
    <xf numFmtId="3" fontId="83" fillId="0" borderId="0" xfId="0" applyNumberFormat="1" applyFont="1" applyFill="1" applyBorder="1" applyAlignment="1">
      <alignment vertical="center"/>
    </xf>
    <xf numFmtId="0" fontId="83" fillId="0" borderId="0" xfId="0" applyFont="1" applyFill="1" applyBorder="1" applyAlignment="1">
      <alignment horizontal="center" vertical="center" wrapText="1"/>
    </xf>
    <xf numFmtId="0" fontId="85" fillId="0" borderId="0" xfId="0" applyFont="1" applyFill="1" applyBorder="1" applyAlignment="1">
      <alignment horizontal="center" vertical="center" wrapText="1"/>
    </xf>
    <xf numFmtId="3" fontId="106" fillId="0" borderId="0" xfId="0" applyNumberFormat="1" applyFont="1" applyBorder="1" applyAlignment="1">
      <alignment horizontal="right" vertical="center"/>
    </xf>
    <xf numFmtId="49" fontId="81" fillId="58" borderId="0" xfId="7" applyNumberFormat="1" applyFont="1" applyFill="1" applyBorder="1" applyAlignment="1">
      <alignment horizontal="center" vertical="center"/>
    </xf>
    <xf numFmtId="3" fontId="81" fillId="58" borderId="17" xfId="0" applyNumberFormat="1" applyFont="1" applyFill="1" applyBorder="1" applyAlignment="1">
      <alignment horizontal="left" vertical="center"/>
    </xf>
    <xf numFmtId="0" fontId="83" fillId="0" borderId="17" xfId="0" applyFont="1" applyBorder="1"/>
    <xf numFmtId="49" fontId="96" fillId="0" borderId="0" xfId="7" applyNumberFormat="1" applyFont="1" applyFill="1" applyBorder="1" applyAlignment="1">
      <alignment horizontal="center" vertical="center"/>
    </xf>
    <xf numFmtId="3" fontId="107" fillId="56" borderId="17" xfId="0" applyNumberFormat="1" applyFont="1" applyFill="1" applyBorder="1" applyAlignment="1">
      <alignment horizontal="left" vertical="center" wrapText="1"/>
    </xf>
    <xf numFmtId="3" fontId="107" fillId="0" borderId="17" xfId="0" applyNumberFormat="1" applyFont="1" applyFill="1" applyBorder="1" applyAlignment="1">
      <alignment horizontal="center" vertical="center"/>
    </xf>
    <xf numFmtId="3" fontId="107" fillId="56" borderId="17" xfId="0" applyNumberFormat="1" applyFont="1" applyFill="1" applyBorder="1" applyAlignment="1">
      <alignment horizontal="center" vertical="center"/>
    </xf>
    <xf numFmtId="3" fontId="107" fillId="0" borderId="17" xfId="0" applyNumberFormat="1" applyFont="1" applyFill="1" applyBorder="1" applyAlignment="1">
      <alignment vertical="center"/>
    </xf>
    <xf numFmtId="3" fontId="85" fillId="0" borderId="17" xfId="0" applyNumberFormat="1" applyFont="1" applyBorder="1"/>
    <xf numFmtId="3" fontId="81" fillId="58" borderId="17" xfId="0" applyNumberFormat="1" applyFont="1" applyFill="1" applyBorder="1" applyAlignment="1">
      <alignment horizontal="left" vertical="center" wrapText="1"/>
    </xf>
    <xf numFmtId="49" fontId="81" fillId="0" borderId="0" xfId="7" applyNumberFormat="1" applyFont="1" applyFill="1" applyBorder="1" applyAlignment="1">
      <alignment horizontal="center" vertical="center"/>
    </xf>
    <xf numFmtId="0" fontId="83" fillId="0" borderId="24" xfId="0" applyFont="1" applyFill="1" applyBorder="1" applyAlignment="1">
      <alignment horizontal="center" vertical="center"/>
    </xf>
    <xf numFmtId="0" fontId="83" fillId="0" borderId="24" xfId="0" applyFont="1" applyFill="1" applyBorder="1" applyAlignment="1">
      <alignment horizontal="center" vertical="center" wrapText="1"/>
    </xf>
    <xf numFmtId="3" fontId="85" fillId="0" borderId="24" xfId="0" applyNumberFormat="1" applyFont="1" applyBorder="1" applyAlignment="1">
      <alignment horizontal="right" vertical="center"/>
    </xf>
    <xf numFmtId="0" fontId="82" fillId="0" borderId="0" xfId="0" applyNumberFormat="1" applyFont="1" applyFill="1" applyBorder="1" applyAlignment="1" applyProtection="1">
      <alignment horizontal="left" vertical="center" wrapText="1"/>
      <protection locked="0"/>
    </xf>
    <xf numFmtId="43" fontId="82" fillId="0" borderId="0" xfId="1" applyFont="1" applyFill="1" applyBorder="1" applyAlignment="1" applyProtection="1">
      <alignment horizontal="left" vertical="center" wrapText="1"/>
      <protection locked="0"/>
    </xf>
    <xf numFmtId="9" fontId="82" fillId="0" borderId="0" xfId="5" applyFont="1" applyFill="1" applyBorder="1" applyAlignment="1" applyProtection="1">
      <alignment horizontal="center" vertical="center" wrapText="1"/>
      <protection locked="0"/>
    </xf>
    <xf numFmtId="43" fontId="82" fillId="0" borderId="46" xfId="1" applyFont="1" applyFill="1" applyBorder="1" applyAlignment="1" applyProtection="1">
      <alignment horizontal="left" vertical="center" wrapText="1"/>
      <protection locked="0"/>
    </xf>
    <xf numFmtId="43" fontId="103" fillId="0" borderId="46" xfId="1" applyFont="1" applyFill="1" applyBorder="1"/>
    <xf numFmtId="0" fontId="82" fillId="0" borderId="0" xfId="0" applyNumberFormat="1" applyFont="1" applyFill="1" applyBorder="1" applyAlignment="1" applyProtection="1">
      <alignment horizontal="left" vertical="center" wrapText="1"/>
    </xf>
    <xf numFmtId="43" fontId="85" fillId="0" borderId="46" xfId="1" applyFont="1" applyFill="1" applyBorder="1"/>
    <xf numFmtId="0" fontId="102" fillId="0" borderId="46" xfId="0" applyFont="1" applyBorder="1"/>
    <xf numFmtId="0" fontId="81" fillId="0" borderId="18" xfId="0" applyFont="1" applyFill="1" applyBorder="1" applyAlignment="1">
      <alignment horizontal="center" vertical="center"/>
    </xf>
    <xf numFmtId="43" fontId="81" fillId="0" borderId="24" xfId="1" applyFont="1" applyFill="1" applyBorder="1" applyAlignment="1">
      <alignment vertical="center"/>
    </xf>
    <xf numFmtId="3" fontId="81" fillId="0" borderId="24" xfId="0" applyNumberFormat="1" applyFont="1" applyFill="1" applyBorder="1" applyAlignment="1">
      <alignment vertical="center"/>
    </xf>
    <xf numFmtId="43" fontId="81" fillId="0" borderId="18" xfId="0" applyNumberFormat="1" applyFont="1" applyFill="1" applyBorder="1" applyAlignment="1">
      <alignment horizontal="center" vertical="center" wrapText="1"/>
    </xf>
    <xf numFmtId="3" fontId="81" fillId="0" borderId="79" xfId="0" applyNumberFormat="1" applyFont="1" applyBorder="1" applyAlignment="1">
      <alignment horizontal="right" vertical="center"/>
    </xf>
    <xf numFmtId="9" fontId="82" fillId="0" borderId="0" xfId="5" applyFont="1" applyFill="1" applyBorder="1" applyAlignment="1" applyProtection="1">
      <alignment vertical="center" wrapText="1"/>
      <protection locked="0"/>
    </xf>
    <xf numFmtId="0" fontId="82" fillId="0" borderId="19" xfId="7" applyFont="1" applyFill="1" applyBorder="1" applyAlignment="1">
      <alignment vertical="center"/>
    </xf>
    <xf numFmtId="43" fontId="82" fillId="0" borderId="24" xfId="1" applyFont="1" applyBorder="1" applyAlignment="1">
      <alignment horizontal="center" vertical="center"/>
    </xf>
    <xf numFmtId="9" fontId="82" fillId="0" borderId="24" xfId="5" applyFont="1" applyBorder="1" applyAlignment="1">
      <alignment vertical="center"/>
    </xf>
    <xf numFmtId="3" fontId="82" fillId="0" borderId="80" xfId="0" applyNumberFormat="1" applyFont="1" applyBorder="1" applyAlignment="1">
      <alignment vertical="center"/>
    </xf>
    <xf numFmtId="1" fontId="82" fillId="0" borderId="24" xfId="5" applyNumberFormat="1" applyFont="1" applyBorder="1" applyAlignment="1">
      <alignment vertical="center"/>
    </xf>
    <xf numFmtId="0" fontId="88" fillId="41" borderId="17" xfId="0" applyFont="1" applyFill="1" applyBorder="1" applyAlignment="1">
      <alignment horizontal="center" vertical="center" wrapText="1"/>
    </xf>
    <xf numFmtId="168" fontId="88" fillId="41" borderId="17" xfId="104" applyNumberFormat="1" applyFont="1" applyFill="1" applyBorder="1" applyAlignment="1">
      <alignment horizontal="center" vertical="center" wrapText="1"/>
    </xf>
    <xf numFmtId="168" fontId="86" fillId="41" borderId="17" xfId="104" applyNumberFormat="1" applyFont="1" applyFill="1" applyBorder="1" applyAlignment="1">
      <alignment horizontal="center" vertical="center" wrapText="1"/>
    </xf>
    <xf numFmtId="169" fontId="88" fillId="41" borderId="17" xfId="1" applyNumberFormat="1" applyFont="1" applyFill="1" applyBorder="1" applyAlignment="1">
      <alignment horizontal="center" vertical="center" wrapText="1"/>
    </xf>
    <xf numFmtId="49" fontId="18" fillId="65" borderId="17" xfId="1" applyNumberFormat="1" applyFont="1" applyFill="1" applyBorder="1" applyAlignment="1">
      <alignment horizontal="center" vertical="center"/>
    </xf>
    <xf numFmtId="1" fontId="43" fillId="65" borderId="4" xfId="0" applyNumberFormat="1" applyFont="1" applyFill="1" applyBorder="1" applyAlignment="1" applyProtection="1">
      <alignment horizontal="left" vertical="center"/>
      <protection locked="0"/>
    </xf>
    <xf numFmtId="0" fontId="18" fillId="65" borderId="17" xfId="0" applyFont="1" applyFill="1" applyBorder="1" applyAlignment="1">
      <alignment vertical="center"/>
    </xf>
    <xf numFmtId="168" fontId="18" fillId="65" borderId="17" xfId="104" applyNumberFormat="1" applyFont="1" applyFill="1" applyBorder="1" applyAlignment="1">
      <alignment vertical="center"/>
    </xf>
    <xf numFmtId="168" fontId="51" fillId="65" borderId="17" xfId="104" applyNumberFormat="1" applyFont="1" applyFill="1" applyBorder="1" applyAlignment="1">
      <alignment vertical="center"/>
    </xf>
    <xf numFmtId="169" fontId="18" fillId="65" borderId="17" xfId="1" applyNumberFormat="1" applyFont="1" applyFill="1" applyBorder="1" applyAlignment="1">
      <alignment vertical="center"/>
    </xf>
    <xf numFmtId="0" fontId="18" fillId="0" borderId="17" xfId="0" applyFont="1" applyBorder="1" applyAlignment="1">
      <alignment horizontal="center" vertical="center"/>
    </xf>
    <xf numFmtId="168" fontId="18" fillId="6" borderId="17" xfId="104" applyNumberFormat="1" applyFont="1" applyFill="1" applyBorder="1" applyAlignment="1">
      <alignment vertical="center"/>
    </xf>
    <xf numFmtId="168" fontId="51" fillId="6" borderId="17" xfId="104" applyNumberFormat="1" applyFont="1" applyFill="1" applyBorder="1" applyAlignment="1">
      <alignment vertical="center"/>
    </xf>
    <xf numFmtId="169" fontId="18" fillId="6" borderId="17" xfId="1" applyNumberFormat="1" applyFont="1" applyFill="1" applyBorder="1" applyAlignment="1">
      <alignment vertical="center"/>
    </xf>
    <xf numFmtId="0" fontId="18" fillId="0" borderId="17" xfId="0" applyFont="1" applyBorder="1" applyAlignment="1">
      <alignment vertical="center" wrapText="1"/>
    </xf>
    <xf numFmtId="0" fontId="18" fillId="0" borderId="17" xfId="0" applyFont="1" applyBorder="1" applyAlignment="1">
      <alignment vertical="center"/>
    </xf>
    <xf numFmtId="168" fontId="18" fillId="0" borderId="17" xfId="104" applyNumberFormat="1" applyFont="1" applyBorder="1" applyAlignment="1">
      <alignment vertical="center"/>
    </xf>
    <xf numFmtId="168" fontId="51" fillId="0" borderId="17" xfId="104" applyNumberFormat="1" applyFont="1" applyBorder="1" applyAlignment="1">
      <alignment vertical="center"/>
    </xf>
    <xf numFmtId="169" fontId="18" fillId="0" borderId="17" xfId="1" applyNumberFormat="1" applyFont="1" applyBorder="1" applyAlignment="1">
      <alignment vertical="center"/>
    </xf>
    <xf numFmtId="0" fontId="88" fillId="0" borderId="17" xfId="0" applyFont="1" applyBorder="1" applyAlignment="1">
      <alignment vertical="center" wrapText="1"/>
    </xf>
    <xf numFmtId="0" fontId="88" fillId="0" borderId="17" xfId="0" applyFont="1" applyBorder="1" applyAlignment="1">
      <alignment vertical="center"/>
    </xf>
    <xf numFmtId="168" fontId="88" fillId="0" borderId="17" xfId="104" applyNumberFormat="1" applyFont="1" applyBorder="1" applyAlignment="1">
      <alignment vertical="center"/>
    </xf>
    <xf numFmtId="168" fontId="86" fillId="0" borderId="17" xfId="104" applyNumberFormat="1" applyFont="1" applyBorder="1" applyAlignment="1">
      <alignment vertical="center"/>
    </xf>
    <xf numFmtId="169" fontId="88" fillId="0" borderId="17" xfId="1" applyNumberFormat="1" applyFont="1" applyBorder="1" applyAlignment="1">
      <alignment vertical="center"/>
    </xf>
    <xf numFmtId="168" fontId="88" fillId="8" borderId="17" xfId="104" applyNumberFormat="1" applyFont="1" applyFill="1" applyBorder="1" applyAlignment="1">
      <alignment vertical="center"/>
    </xf>
    <xf numFmtId="0" fontId="18" fillId="0" borderId="0" xfId="0" applyFont="1" applyAlignment="1">
      <alignment horizontal="center" vertical="center"/>
    </xf>
    <xf numFmtId="0" fontId="18" fillId="0" borderId="0" xfId="0" applyFont="1" applyAlignment="1">
      <alignment vertical="center" wrapText="1"/>
    </xf>
    <xf numFmtId="0" fontId="18" fillId="0" borderId="0" xfId="0" applyFont="1" applyAlignment="1">
      <alignment vertical="center"/>
    </xf>
    <xf numFmtId="168" fontId="18" fillId="0" borderId="0" xfId="104" applyNumberFormat="1" applyFont="1" applyAlignment="1">
      <alignment vertical="center"/>
    </xf>
    <xf numFmtId="168" fontId="51" fillId="0" borderId="0" xfId="104" applyNumberFormat="1" applyFont="1" applyAlignment="1">
      <alignment vertical="center"/>
    </xf>
    <xf numFmtId="169" fontId="18" fillId="0" borderId="0" xfId="1" applyNumberFormat="1" applyFont="1" applyAlignment="1">
      <alignment vertical="center"/>
    </xf>
    <xf numFmtId="168" fontId="18" fillId="0" borderId="17" xfId="104" applyNumberFormat="1" applyFont="1" applyBorder="1" applyAlignment="1">
      <alignment horizontal="right" vertical="center"/>
    </xf>
    <xf numFmtId="168" fontId="51" fillId="62" borderId="17" xfId="104" applyNumberFormat="1" applyFont="1" applyFill="1" applyBorder="1" applyAlignment="1">
      <alignment vertical="center"/>
    </xf>
    <xf numFmtId="168" fontId="108" fillId="6" borderId="17" xfId="104" applyNumberFormat="1" applyFont="1" applyFill="1" applyBorder="1" applyAlignment="1">
      <alignment vertical="center"/>
    </xf>
    <xf numFmtId="0" fontId="18" fillId="0" borderId="17" xfId="0" applyFont="1" applyBorder="1" applyAlignment="1">
      <alignment horizontal="left" vertical="center" wrapText="1"/>
    </xf>
    <xf numFmtId="43" fontId="18" fillId="0" borderId="17" xfId="1" applyFont="1" applyBorder="1" applyAlignment="1">
      <alignment vertical="center"/>
    </xf>
    <xf numFmtId="0" fontId="18" fillId="0" borderId="17" xfId="0" applyFont="1" applyBorder="1" applyAlignment="1">
      <alignment horizontal="left" vertical="center"/>
    </xf>
    <xf numFmtId="168" fontId="18" fillId="0" borderId="17" xfId="104" applyNumberFormat="1" applyFont="1" applyBorder="1" applyAlignment="1">
      <alignment horizontal="left" vertical="center"/>
    </xf>
    <xf numFmtId="0" fontId="18" fillId="8" borderId="17" xfId="0" applyFont="1" applyFill="1" applyBorder="1" applyAlignment="1">
      <alignment horizontal="center" vertical="center"/>
    </xf>
    <xf numFmtId="0" fontId="88" fillId="8" borderId="17" xfId="0" applyFont="1" applyFill="1" applyBorder="1" applyAlignment="1">
      <alignment vertical="center" wrapText="1"/>
    </xf>
    <xf numFmtId="0" fontId="88" fillId="8" borderId="17" xfId="0" applyFont="1" applyFill="1" applyBorder="1" applyAlignment="1">
      <alignment vertical="center"/>
    </xf>
    <xf numFmtId="168" fontId="86" fillId="8" borderId="17" xfId="104" applyNumberFormat="1" applyFont="1" applyFill="1" applyBorder="1" applyAlignment="1">
      <alignment vertical="center"/>
    </xf>
    <xf numFmtId="169" fontId="88" fillId="8" borderId="17" xfId="1" applyNumberFormat="1" applyFont="1" applyFill="1" applyBorder="1" applyAlignment="1">
      <alignment vertical="center"/>
    </xf>
    <xf numFmtId="168" fontId="88" fillId="49" borderId="17" xfId="104" applyNumberFormat="1" applyFont="1" applyFill="1" applyBorder="1" applyAlignment="1">
      <alignment vertical="center"/>
    </xf>
    <xf numFmtId="0" fontId="18" fillId="66" borderId="17" xfId="0" applyFont="1" applyFill="1" applyBorder="1" applyAlignment="1">
      <alignment horizontal="center" vertical="center"/>
    </xf>
    <xf numFmtId="1" fontId="43" fillId="66" borderId="4" xfId="0" applyNumberFormat="1" applyFont="1" applyFill="1" applyBorder="1" applyAlignment="1" applyProtection="1">
      <alignment horizontal="left" vertical="center"/>
      <protection locked="0"/>
    </xf>
    <xf numFmtId="0" fontId="18" fillId="66" borderId="17" xfId="0" applyFont="1" applyFill="1" applyBorder="1" applyAlignment="1">
      <alignment vertical="center"/>
    </xf>
    <xf numFmtId="168" fontId="18" fillId="66" borderId="17" xfId="104" applyNumberFormat="1" applyFont="1" applyFill="1" applyBorder="1" applyAlignment="1">
      <alignment vertical="center"/>
    </xf>
    <xf numFmtId="168" fontId="51" fillId="66" borderId="17" xfId="104" applyNumberFormat="1" applyFont="1" applyFill="1" applyBorder="1" applyAlignment="1">
      <alignment vertical="center"/>
    </xf>
    <xf numFmtId="169" fontId="18" fillId="66" borderId="17" xfId="1" applyNumberFormat="1" applyFont="1" applyFill="1" applyBorder="1" applyAlignment="1">
      <alignment vertical="center"/>
    </xf>
    <xf numFmtId="168" fontId="109" fillId="6" borderId="17" xfId="104" applyNumberFormat="1" applyFont="1" applyFill="1" applyBorder="1" applyAlignment="1">
      <alignment vertical="center"/>
    </xf>
    <xf numFmtId="1" fontId="43" fillId="67" borderId="4" xfId="0" applyNumberFormat="1" applyFont="1" applyFill="1" applyBorder="1" applyAlignment="1" applyProtection="1">
      <alignment horizontal="left" vertical="center"/>
      <protection locked="0"/>
    </xf>
    <xf numFmtId="0" fontId="18" fillId="67" borderId="17" xfId="0" applyFont="1" applyFill="1" applyBorder="1" applyAlignment="1">
      <alignment vertical="center"/>
    </xf>
    <xf numFmtId="0" fontId="18" fillId="6" borderId="17" xfId="0" applyFont="1" applyFill="1" applyBorder="1" applyAlignment="1">
      <alignment vertical="center"/>
    </xf>
    <xf numFmtId="0" fontId="18" fillId="6" borderId="17" xfId="0" applyFont="1" applyFill="1" applyBorder="1" applyAlignment="1">
      <alignment horizontal="center" vertical="center"/>
    </xf>
    <xf numFmtId="0" fontId="18" fillId="6" borderId="17" xfId="0" applyFont="1" applyFill="1" applyBorder="1" applyAlignment="1">
      <alignment vertical="center" wrapText="1"/>
    </xf>
    <xf numFmtId="43" fontId="18" fillId="6" borderId="0" xfId="1" applyFont="1" applyFill="1"/>
    <xf numFmtId="0" fontId="18" fillId="6" borderId="0" xfId="0" applyFont="1" applyFill="1"/>
    <xf numFmtId="43" fontId="9" fillId="46" borderId="17" xfId="1" applyFont="1" applyFill="1" applyBorder="1" applyAlignment="1" applyProtection="1">
      <alignment horizontal="right" vertical="center"/>
      <protection locked="0"/>
    </xf>
    <xf numFmtId="165" fontId="68" fillId="53" borderId="24" xfId="0" quotePrefix="1" applyNumberFormat="1" applyFont="1" applyFill="1" applyBorder="1" applyAlignment="1" applyProtection="1">
      <alignment horizontal="center" vertical="top" wrapText="1"/>
      <protection hidden="1"/>
    </xf>
    <xf numFmtId="165" fontId="68" fillId="53" borderId="25" xfId="0" quotePrefix="1" applyNumberFormat="1" applyFont="1" applyFill="1" applyBorder="1" applyAlignment="1" applyProtection="1">
      <alignment horizontal="center" vertical="top" wrapText="1"/>
      <protection hidden="1"/>
    </xf>
    <xf numFmtId="165" fontId="68" fillId="53" borderId="0" xfId="0" quotePrefix="1" applyNumberFormat="1" applyFont="1" applyFill="1" applyBorder="1" applyAlignment="1" applyProtection="1">
      <alignment horizontal="center" vertical="top" wrapText="1"/>
      <protection hidden="1"/>
    </xf>
    <xf numFmtId="165" fontId="68" fillId="53" borderId="46" xfId="0" quotePrefix="1" applyNumberFormat="1" applyFont="1" applyFill="1" applyBorder="1" applyAlignment="1" applyProtection="1">
      <alignment horizontal="center" vertical="top" wrapText="1"/>
      <protection hidden="1"/>
    </xf>
    <xf numFmtId="165" fontId="68" fillId="53" borderId="57" xfId="0" quotePrefix="1" applyNumberFormat="1" applyFont="1" applyFill="1" applyBorder="1" applyAlignment="1" applyProtection="1">
      <alignment horizontal="center" vertical="top" wrapText="1"/>
      <protection hidden="1"/>
    </xf>
    <xf numFmtId="165" fontId="68" fillId="53" borderId="20" xfId="0" quotePrefix="1" applyNumberFormat="1" applyFont="1" applyFill="1" applyBorder="1" applyAlignment="1" applyProtection="1">
      <alignment horizontal="center" vertical="top" wrapText="1"/>
      <protection hidden="1"/>
    </xf>
    <xf numFmtId="165" fontId="68" fillId="53" borderId="51" xfId="0" applyNumberFormat="1" applyFont="1" applyFill="1" applyBorder="1" applyAlignment="1" applyProtection="1">
      <alignment horizontal="center" vertical="top" wrapText="1"/>
      <protection hidden="1"/>
    </xf>
    <xf numFmtId="165" fontId="68" fillId="53" borderId="25" xfId="0" applyNumberFormat="1" applyFont="1" applyFill="1" applyBorder="1" applyAlignment="1" applyProtection="1">
      <alignment horizontal="center" vertical="top" wrapText="1"/>
      <protection hidden="1"/>
    </xf>
    <xf numFmtId="165" fontId="68" fillId="53" borderId="52" xfId="0" applyNumberFormat="1" applyFont="1" applyFill="1" applyBorder="1" applyAlignment="1" applyProtection="1">
      <alignment horizontal="center" vertical="top" wrapText="1"/>
      <protection hidden="1"/>
    </xf>
    <xf numFmtId="165" fontId="68" fillId="53" borderId="46" xfId="0" applyNumberFormat="1" applyFont="1" applyFill="1" applyBorder="1" applyAlignment="1" applyProtection="1">
      <alignment horizontal="center" vertical="top" wrapText="1"/>
      <protection hidden="1"/>
    </xf>
    <xf numFmtId="165" fontId="68" fillId="53" borderId="53" xfId="0" applyNumberFormat="1" applyFont="1" applyFill="1" applyBorder="1" applyAlignment="1" applyProtection="1">
      <alignment horizontal="center" vertical="top" wrapText="1"/>
      <protection hidden="1"/>
    </xf>
    <xf numFmtId="165" fontId="68" fillId="53" borderId="20" xfId="0" applyNumberFormat="1" applyFont="1" applyFill="1" applyBorder="1" applyAlignment="1" applyProtection="1">
      <alignment horizontal="center" vertical="top" wrapText="1"/>
      <protection hidden="1"/>
    </xf>
    <xf numFmtId="165" fontId="70" fillId="7" borderId="42" xfId="0" applyNumberFormat="1" applyFont="1" applyFill="1" applyBorder="1" applyAlignment="1" applyProtection="1">
      <alignment horizontal="center" vertical="center"/>
    </xf>
    <xf numFmtId="165" fontId="70" fillId="7" borderId="43" xfId="0" applyNumberFormat="1" applyFont="1" applyFill="1" applyBorder="1" applyAlignment="1" applyProtection="1">
      <alignment horizontal="center" vertical="center"/>
    </xf>
    <xf numFmtId="165" fontId="70" fillId="7" borderId="44" xfId="0" applyNumberFormat="1" applyFont="1" applyFill="1" applyBorder="1" applyAlignment="1" applyProtection="1">
      <alignment horizontal="center" vertical="center"/>
    </xf>
    <xf numFmtId="165" fontId="23" fillId="0" borderId="42" xfId="0" quotePrefix="1" applyNumberFormat="1" applyFont="1" applyFill="1" applyBorder="1" applyAlignment="1" applyProtection="1">
      <alignment horizontal="center" vertical="center"/>
    </xf>
    <xf numFmtId="165" fontId="23" fillId="0" borderId="43" xfId="0" applyNumberFormat="1" applyFont="1" applyFill="1" applyBorder="1" applyAlignment="1" applyProtection="1">
      <alignment horizontal="center" vertical="center"/>
    </xf>
    <xf numFmtId="165" fontId="23" fillId="0" borderId="44" xfId="0" applyNumberFormat="1" applyFont="1" applyFill="1" applyBorder="1" applyAlignment="1" applyProtection="1">
      <alignment horizontal="center" vertical="center"/>
    </xf>
    <xf numFmtId="165" fontId="73" fillId="0" borderId="0" xfId="0" applyNumberFormat="1" applyFont="1" applyFill="1" applyBorder="1" applyAlignment="1" applyProtection="1">
      <alignment horizontal="center" vertical="center" wrapText="1"/>
      <protection hidden="1"/>
    </xf>
    <xf numFmtId="0" fontId="25" fillId="0" borderId="3" xfId="3" applyNumberFormat="1" applyFont="1" applyBorder="1" applyAlignment="1">
      <alignment horizontal="center"/>
    </xf>
    <xf numFmtId="0" fontId="25" fillId="0" borderId="5" xfId="3" applyNumberFormat="1" applyFont="1" applyBorder="1" applyAlignment="1">
      <alignment horizontal="center"/>
    </xf>
    <xf numFmtId="0" fontId="25" fillId="0" borderId="6" xfId="3" applyNumberFormat="1" applyFont="1" applyBorder="1" applyAlignment="1">
      <alignment horizontal="center"/>
    </xf>
    <xf numFmtId="0" fontId="23" fillId="0" borderId="17" xfId="3" applyFont="1" applyBorder="1" applyAlignment="1">
      <alignment horizontal="center" vertical="center"/>
    </xf>
    <xf numFmtId="3" fontId="43" fillId="53" borderId="16" xfId="0" applyNumberFormat="1" applyFont="1" applyFill="1" applyBorder="1" applyAlignment="1" applyProtection="1">
      <alignment horizontal="center" vertical="center" wrapText="1"/>
    </xf>
    <xf numFmtId="3" fontId="43" fillId="53" borderId="41" xfId="0" applyNumberFormat="1" applyFont="1" applyFill="1" applyBorder="1" applyAlignment="1" applyProtection="1">
      <alignment horizontal="center" vertical="center" wrapText="1"/>
    </xf>
    <xf numFmtId="3" fontId="43" fillId="53" borderId="38" xfId="0" applyNumberFormat="1" applyFont="1" applyFill="1" applyBorder="1" applyAlignment="1" applyProtection="1">
      <alignment horizontal="center" vertical="center" wrapText="1"/>
    </xf>
    <xf numFmtId="3" fontId="43" fillId="53" borderId="39" xfId="0" applyNumberFormat="1" applyFont="1" applyFill="1" applyBorder="1" applyAlignment="1" applyProtection="1">
      <alignment horizontal="center" vertical="center" wrapText="1"/>
    </xf>
    <xf numFmtId="3" fontId="43" fillId="53" borderId="17" xfId="0" applyNumberFormat="1" applyFont="1" applyFill="1" applyBorder="1" applyAlignment="1" applyProtection="1">
      <alignment horizontal="center" vertical="center" wrapText="1"/>
    </xf>
    <xf numFmtId="3" fontId="43" fillId="53" borderId="40" xfId="0" applyNumberFormat="1" applyFont="1" applyFill="1" applyBorder="1" applyAlignment="1" applyProtection="1">
      <alignment horizontal="center" vertical="center" wrapText="1"/>
    </xf>
    <xf numFmtId="15" fontId="43" fillId="53" borderId="17" xfId="0" applyNumberFormat="1" applyFont="1" applyFill="1" applyBorder="1" applyAlignment="1" applyProtection="1">
      <alignment horizontal="center" vertical="center" wrapText="1"/>
    </xf>
    <xf numFmtId="15" fontId="43" fillId="53" borderId="40" xfId="0" applyNumberFormat="1" applyFont="1" applyFill="1" applyBorder="1" applyAlignment="1" applyProtection="1">
      <alignment horizontal="center" vertical="center" wrapText="1"/>
    </xf>
    <xf numFmtId="3" fontId="43" fillId="53" borderId="16" xfId="0" applyNumberFormat="1" applyFont="1" applyFill="1" applyBorder="1" applyAlignment="1" applyProtection="1">
      <alignment horizontal="center" wrapText="1"/>
    </xf>
    <xf numFmtId="3" fontId="43" fillId="53" borderId="41" xfId="0" applyNumberFormat="1" applyFont="1" applyFill="1" applyBorder="1" applyAlignment="1" applyProtection="1">
      <alignment horizontal="center" wrapText="1"/>
    </xf>
    <xf numFmtId="3" fontId="43" fillId="53" borderId="38" xfId="0" applyNumberFormat="1" applyFont="1" applyFill="1" applyBorder="1" applyAlignment="1" applyProtection="1">
      <alignment horizontal="center" wrapText="1"/>
    </xf>
    <xf numFmtId="3" fontId="43" fillId="53" borderId="39" xfId="0" applyNumberFormat="1" applyFont="1" applyFill="1" applyBorder="1" applyAlignment="1" applyProtection="1">
      <alignment horizontal="center" wrapText="1"/>
    </xf>
    <xf numFmtId="3" fontId="43" fillId="53" borderId="17" xfId="0" applyNumberFormat="1" applyFont="1" applyFill="1" applyBorder="1" applyAlignment="1" applyProtection="1">
      <alignment horizontal="center" wrapText="1"/>
    </xf>
    <xf numFmtId="3" fontId="43" fillId="53" borderId="40" xfId="0" applyNumberFormat="1" applyFont="1" applyFill="1" applyBorder="1" applyAlignment="1" applyProtection="1">
      <alignment horizontal="center" wrapText="1"/>
    </xf>
    <xf numFmtId="15" fontId="43" fillId="53" borderId="17" xfId="0" applyNumberFormat="1" applyFont="1" applyFill="1" applyBorder="1" applyAlignment="1" applyProtection="1">
      <alignment horizontal="center" wrapText="1"/>
    </xf>
    <xf numFmtId="15" fontId="43" fillId="53" borderId="40" xfId="0" applyNumberFormat="1" applyFont="1" applyFill="1" applyBorder="1" applyAlignment="1" applyProtection="1">
      <alignment horizontal="center" wrapText="1"/>
    </xf>
    <xf numFmtId="0" fontId="89" fillId="0" borderId="17" xfId="0" applyFont="1" applyBorder="1" applyAlignment="1">
      <alignment horizontal="left" vertical="center" wrapText="1"/>
    </xf>
    <xf numFmtId="3" fontId="86" fillId="59" borderId="57" xfId="0" applyNumberFormat="1" applyFont="1" applyFill="1" applyBorder="1" applyAlignment="1">
      <alignment vertical="center" wrapText="1"/>
    </xf>
    <xf numFmtId="0" fontId="18" fillId="0" borderId="57" xfId="0" applyFont="1" applyBorder="1" applyAlignment="1">
      <alignment vertical="center" wrapText="1"/>
    </xf>
    <xf numFmtId="3" fontId="90" fillId="6" borderId="57" xfId="0" applyNumberFormat="1" applyFont="1" applyFill="1" applyBorder="1" applyAlignment="1">
      <alignment horizontal="left" vertical="center" wrapText="1"/>
    </xf>
    <xf numFmtId="3" fontId="88" fillId="59" borderId="57" xfId="0" applyNumberFormat="1" applyFont="1" applyFill="1" applyBorder="1" applyAlignment="1">
      <alignment horizontal="left" vertical="center" wrapText="1"/>
    </xf>
    <xf numFmtId="3" fontId="86" fillId="59" borderId="57" xfId="0" applyNumberFormat="1" applyFont="1" applyFill="1" applyBorder="1" applyAlignment="1">
      <alignment horizontal="left" vertical="center" wrapText="1"/>
    </xf>
    <xf numFmtId="3" fontId="86" fillId="59" borderId="17" xfId="0" applyNumberFormat="1" applyFont="1" applyFill="1" applyBorder="1" applyAlignment="1">
      <alignment horizontal="left" vertical="center" wrapText="1"/>
    </xf>
    <xf numFmtId="4" fontId="87" fillId="6" borderId="0" xfId="0" applyNumberFormat="1" applyFont="1" applyFill="1" applyBorder="1" applyAlignment="1">
      <alignment horizontal="left" vertical="center" wrapText="1"/>
    </xf>
    <xf numFmtId="3" fontId="97" fillId="56" borderId="47" xfId="0" applyNumberFormat="1" applyFont="1" applyFill="1" applyBorder="1" applyAlignment="1">
      <alignment horizontal="left" vertical="center" wrapText="1"/>
    </xf>
    <xf numFmtId="3" fontId="97" fillId="56" borderId="0" xfId="0" applyNumberFormat="1" applyFont="1" applyFill="1" applyBorder="1" applyAlignment="1">
      <alignment horizontal="left" vertical="center" wrapText="1"/>
    </xf>
    <xf numFmtId="3" fontId="93" fillId="51" borderId="3" xfId="0" applyNumberFormat="1" applyFont="1" applyFill="1" applyBorder="1" applyAlignment="1">
      <alignment horizontal="right" vertical="center"/>
    </xf>
    <xf numFmtId="3" fontId="93" fillId="51" borderId="5" xfId="0" applyNumberFormat="1" applyFont="1" applyFill="1" applyBorder="1" applyAlignment="1">
      <alignment horizontal="right" vertical="center"/>
    </xf>
    <xf numFmtId="3" fontId="93" fillId="51" borderId="6" xfId="0" applyNumberFormat="1" applyFont="1" applyFill="1" applyBorder="1" applyAlignment="1">
      <alignment horizontal="right" vertical="center"/>
    </xf>
    <xf numFmtId="0" fontId="65" fillId="0" borderId="0" xfId="101" applyFont="1" applyAlignment="1">
      <alignment horizontal="left" vertical="center"/>
    </xf>
    <xf numFmtId="0" fontId="64" fillId="50" borderId="17" xfId="101" applyFont="1" applyFill="1" applyBorder="1" applyAlignment="1">
      <alignment horizontal="center" vertical="center" wrapText="1"/>
    </xf>
    <xf numFmtId="0" fontId="64" fillId="43" borderId="17" xfId="101" applyFont="1" applyFill="1" applyBorder="1" applyAlignment="1">
      <alignment horizontal="center" vertical="center" wrapText="1"/>
    </xf>
  </cellXfs>
  <cellStyles count="105">
    <cellStyle name="20% - Accent1 2" xfId="8"/>
    <cellStyle name="20% - Accent1 2 2" xfId="9"/>
    <cellStyle name="20% - Accent1 2 2 2" xfId="10"/>
    <cellStyle name="20% - Accent1 2 3" xfId="11"/>
    <cellStyle name="20% - Accent2 2" xfId="12"/>
    <cellStyle name="20% - Accent2 2 2" xfId="13"/>
    <cellStyle name="20% - Accent2 2 2 2" xfId="14"/>
    <cellStyle name="20% - Accent2 2 3" xfId="15"/>
    <cellStyle name="20% - Accent3 2" xfId="16"/>
    <cellStyle name="20% - Accent3 2 2" xfId="17"/>
    <cellStyle name="20% - Accent3 2 2 2" xfId="18"/>
    <cellStyle name="20% - Accent3 2 3" xfId="19"/>
    <cellStyle name="20% - Accent4 2" xfId="20"/>
    <cellStyle name="20% - Accent4 2 2" xfId="21"/>
    <cellStyle name="20% - Accent4 2 2 2" xfId="22"/>
    <cellStyle name="20% - Accent4 2 3" xfId="23"/>
    <cellStyle name="20% - Accent5 2" xfId="24"/>
    <cellStyle name="20% - Accent5 2 2" xfId="25"/>
    <cellStyle name="20% - Accent5 2 2 2" xfId="26"/>
    <cellStyle name="20% - Accent5 2 3" xfId="27"/>
    <cellStyle name="20% - Accent6 2" xfId="28"/>
    <cellStyle name="20% - Accent6 2 2" xfId="29"/>
    <cellStyle name="20% - Accent6 2 2 2" xfId="30"/>
    <cellStyle name="20% - Accent6 2 3" xfId="31"/>
    <cellStyle name="40% - Accent1 2" xfId="32"/>
    <cellStyle name="40% - Accent1 2 2" xfId="33"/>
    <cellStyle name="40% - Accent1 2 2 2" xfId="34"/>
    <cellStyle name="40% - Accent1 2 3" xfId="35"/>
    <cellStyle name="40% - Accent2 2" xfId="36"/>
    <cellStyle name="40% - Accent2 2 2" xfId="37"/>
    <cellStyle name="40% - Accent2 2 2 2" xfId="38"/>
    <cellStyle name="40% - Accent2 2 3" xfId="39"/>
    <cellStyle name="40% - Accent3 2" xfId="40"/>
    <cellStyle name="40% - Accent3 2 2" xfId="41"/>
    <cellStyle name="40% - Accent3 2 2 2" xfId="42"/>
    <cellStyle name="40% - Accent3 2 3" xfId="43"/>
    <cellStyle name="40% - Accent4 2" xfId="44"/>
    <cellStyle name="40% - Accent4 2 2" xfId="45"/>
    <cellStyle name="40% - Accent4 2 2 2" xfId="46"/>
    <cellStyle name="40% - Accent4 2 3" xfId="47"/>
    <cellStyle name="40% - Accent5 2" xfId="48"/>
    <cellStyle name="40% - Accent5 2 2" xfId="49"/>
    <cellStyle name="40% - Accent5 2 2 2" xfId="50"/>
    <cellStyle name="40% - Accent5 2 3" xfId="51"/>
    <cellStyle name="40% - Accent6 2" xfId="52"/>
    <cellStyle name="40% - Accent6 2 2" xfId="53"/>
    <cellStyle name="40% - Accent6 2 2 2" xfId="54"/>
    <cellStyle name="40% - Accent6 2 3" xfId="55"/>
    <cellStyle name="60% - Accent1 2" xfId="56"/>
    <cellStyle name="60% - Accent2 2" xfId="57"/>
    <cellStyle name="60% - Accent3 2" xfId="58"/>
    <cellStyle name="60% - Accent4 2" xfId="59"/>
    <cellStyle name="60% - Accent5 2" xfId="60"/>
    <cellStyle name="60% - Accent6 2" xfId="61"/>
    <cellStyle name="Accent1 2" xfId="62"/>
    <cellStyle name="Accent2 2" xfId="63"/>
    <cellStyle name="Accent3 2" xfId="64"/>
    <cellStyle name="Accent4 2" xfId="65"/>
    <cellStyle name="Accent5 2" xfId="66"/>
    <cellStyle name="Accent6 2" xfId="67"/>
    <cellStyle name="Bad 2" xfId="68"/>
    <cellStyle name="Calculation 2" xfId="69"/>
    <cellStyle name="Check Cell 2" xfId="70"/>
    <cellStyle name="Comma" xfId="1" builtinId="3"/>
    <cellStyle name="Comma 10" xfId="104"/>
    <cellStyle name="Comma 2" xfId="71"/>
    <cellStyle name="Comma 2 2" xfId="72"/>
    <cellStyle name="Currency 2" xfId="73"/>
    <cellStyle name="Explanatory Text 2" xfId="74"/>
    <cellStyle name="Good 2" xfId="75"/>
    <cellStyle name="Heading 1 2" xfId="76"/>
    <cellStyle name="Heading 2 2" xfId="77"/>
    <cellStyle name="Heading 3 2" xfId="78"/>
    <cellStyle name="Heading 4 2" xfId="79"/>
    <cellStyle name="Input 2" xfId="80"/>
    <cellStyle name="Įprastas 2" xfId="2"/>
    <cellStyle name="Linked Cell 2" xfId="81"/>
    <cellStyle name="Neutral 2" xfId="82"/>
    <cellStyle name="Normal" xfId="0" builtinId="0"/>
    <cellStyle name="Normal 10" xfId="3"/>
    <cellStyle name="Normal 17" xfId="99"/>
    <cellStyle name="Normal 2" xfId="83"/>
    <cellStyle name="Normal 2 2" xfId="84"/>
    <cellStyle name="Normal 3" xfId="95"/>
    <cellStyle name="Normal 4" xfId="4"/>
    <cellStyle name="Normal 4 2" xfId="97"/>
    <cellStyle name="Normal 4 2 2" xfId="98"/>
    <cellStyle name="Normal 4 3" xfId="96"/>
    <cellStyle name="Normal 4 4" xfId="100"/>
    <cellStyle name="Normal 5" xfId="7"/>
    <cellStyle name="Normal 6" xfId="6"/>
    <cellStyle name="Normal 7" xfId="101"/>
    <cellStyle name="Normal 8" xfId="102"/>
    <cellStyle name="Normal 9" xfId="103"/>
    <cellStyle name="Note 2" xfId="85"/>
    <cellStyle name="Note 2 2" xfId="86"/>
    <cellStyle name="Note 2 2 2" xfId="87"/>
    <cellStyle name="Note 2 3" xfId="88"/>
    <cellStyle name="Output 2" xfId="89"/>
    <cellStyle name="Percent" xfId="5" builtinId="5"/>
    <cellStyle name="Percent 2" xfId="91"/>
    <cellStyle name="Percent 3" xfId="90"/>
    <cellStyle name="Title 2" xfId="92"/>
    <cellStyle name="Total 2" xfId="93"/>
    <cellStyle name="Warning Text 2" xfId="94"/>
  </cellStyles>
  <dxfs count="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ont>
        <color rgb="FFFFFF00"/>
      </font>
      <fill>
        <patternFill>
          <bgColor rgb="FFC00000"/>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theme="5"/>
        </patternFill>
      </fill>
    </dxf>
    <dxf>
      <fill>
        <patternFill>
          <bgColor rgb="FFFF0000"/>
        </patternFill>
      </fill>
    </dxf>
    <dxf>
      <fill>
        <patternFill>
          <bgColor theme="5"/>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ont>
        <color rgb="FFFFFF00"/>
      </font>
      <fill>
        <patternFill>
          <bgColor rgb="FFC00000"/>
        </patternFill>
      </fill>
    </dxf>
    <dxf>
      <fill>
        <patternFill>
          <bgColor rgb="FFFF0000"/>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theme="5"/>
        </patternFill>
      </fill>
    </dxf>
    <dxf>
      <fill>
        <patternFill>
          <bgColor theme="5"/>
        </patternFill>
      </fill>
    </dxf>
    <dxf>
      <font>
        <color rgb="FFFFFF00"/>
      </font>
      <fill>
        <patternFill>
          <bgColor rgb="FFC0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s>
  <tableStyles count="0" defaultTableStyle="TableStyleMedium9" defaultPivotStyle="PivotStyleMedium4"/>
  <colors>
    <mruColors>
      <color rgb="FFD9D9D9"/>
      <color rgb="FF8DB4E2"/>
      <color rgb="FFB6E4E6"/>
      <color rgb="FF93E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 Id="rId30" Type="http://schemas.openxmlformats.org/officeDocument/2006/relationships/customXml" Target="../customXml/item3.xml"/></Relationships>
</file>

<file path=xl/drawings/_rels/vmlDrawing3.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5</xdr:col>
          <xdr:colOff>304800</xdr:colOff>
          <xdr:row>2</xdr:row>
          <xdr:rowOff>114300</xdr:rowOff>
        </xdr:to>
        <xdr:sp macro="" textlink="">
          <xdr:nvSpPr>
            <xdr:cNvPr id="4097" name="Apttus_App"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552450</xdr:colOff>
          <xdr:row>2</xdr:row>
          <xdr:rowOff>114300</xdr:rowOff>
        </xdr:to>
        <xdr:sp macro="" textlink="">
          <xdr:nvSpPr>
            <xdr:cNvPr id="4102" name="Apttus_AppData"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333375</xdr:colOff>
          <xdr:row>2</xdr:row>
          <xdr:rowOff>114300</xdr:rowOff>
        </xdr:to>
        <xdr:sp macro="" textlink="">
          <xdr:nvSpPr>
            <xdr:cNvPr id="4103" name="Apttus_AppDataTracker"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odatta\AppData\Local\Temp\X-Author%20for%20Excel\eb671b60-394c-4ac3-8f59-cccbd2a36357\Detailed%20Budget-9%20Nov-Runtime.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harma%20CI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I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 log"/>
      <sheetName val="Setup"/>
      <sheetName val="Detailed Budget"/>
      <sheetName val="Data Sheet"/>
      <sheetName val="Admin Sheet"/>
      <sheetName val="Recipient sheet"/>
      <sheetName val="Currencies"/>
      <sheetName val="Translations"/>
      <sheetName val="Budget Summary"/>
      <sheetName val="Budget Summary En"/>
      <sheetName val="Summary by Intervention"/>
      <sheetName val="CatInt"/>
      <sheetName val="Summary by Cost Input"/>
      <sheetName val="Cost Inputs"/>
      <sheetName val="Rank unique Mod-Int-PR"/>
      <sheetName val="Assumptions HR"/>
      <sheetName val="Assumptions TRC"/>
      <sheetName val="Assumptions Other"/>
      <sheetName val="Free sheet-enter what you need"/>
      <sheetName val="Free pivot table"/>
      <sheetName val="Financial Triggers - Budget"/>
      <sheetName val="Country"/>
      <sheetName val="Recipient"/>
      <sheetName val="Assumptions"/>
      <sheetName val="CatCmp"/>
      <sheetName val="CatModules"/>
      <sheetName val="ModInCmp"/>
      <sheetName val="Budget Lines"/>
      <sheetName val="ActivityConcat"/>
      <sheetName val="CostGroup"/>
      <sheetName val="apttusmeta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2">
          <cell r="AA2" t="str">
            <v>CHF</v>
          </cell>
          <cell r="AC2" t="str">
            <v>g</v>
          </cell>
        </row>
        <row r="3">
          <cell r="AC3" t="str">
            <v>mg</v>
          </cell>
        </row>
        <row r="4">
          <cell r="AC4" t="str">
            <v>ml</v>
          </cell>
        </row>
        <row r="5">
          <cell r="AC5" t="str">
            <v>tab</v>
          </cell>
        </row>
        <row r="6">
          <cell r="AC6" t="str">
            <v>supp</v>
          </cell>
        </row>
        <row r="7">
          <cell r="AC7" t="str">
            <v>Kit</v>
          </cell>
        </row>
        <row r="8">
          <cell r="AC8" t="str">
            <v>Capsule</v>
          </cell>
        </row>
        <row r="9">
          <cell r="AC9" t="str">
            <v>Injection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rma CIs"/>
      <sheetName val="CatInt"/>
      <sheetName val="Detailed Budget"/>
      <sheetName val="CatProd"/>
      <sheetName val="Setup"/>
      <sheetName val="Cost Inputs"/>
      <sheetName val="CatCmp"/>
      <sheetName val="ModInCmp"/>
      <sheetName val="Feui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s"/>
      <sheetName val="Chg log"/>
      <sheetName val="Instructions"/>
      <sheetName val="Setup"/>
      <sheetName val="Detailed Budget"/>
      <sheetName val="Currencies"/>
      <sheetName val="Assumptions TRC"/>
      <sheetName val="TRC-PIVOT"/>
      <sheetName val="Assumptions HR"/>
      <sheetName val="Assumptions Other"/>
      <sheetName val="Budget Summary"/>
      <sheetName val="Summary by Intervention"/>
      <sheetName val="Summary by Cost Input"/>
      <sheetName val="CatInt"/>
      <sheetName val="Cost Inputs"/>
      <sheetName val="Concept Note Module Budget"/>
      <sheetName val="Free sheet-enter what you need"/>
      <sheetName val="Free pivot table"/>
      <sheetName val="Rank unique Mod-Int-PR"/>
      <sheetName val="Country"/>
      <sheetName val="Recipient"/>
      <sheetName val="Assumptions"/>
      <sheetName val="CatCmp"/>
      <sheetName val="CatModules"/>
      <sheetName val="ModInCmp"/>
      <sheetName val="Budget Lines"/>
      <sheetName val="ActivityConcat"/>
      <sheetName val="Translations"/>
      <sheetName val="CostGroup"/>
      <sheetName val="Pharma CIs"/>
    </sheetNames>
    <sheetDataSet>
      <sheetData sheetId="0" refreshError="1"/>
      <sheetData sheetId="1"/>
      <sheetData sheetId="2"/>
      <sheetData sheetId="3"/>
      <sheetData sheetId="4"/>
      <sheetData sheetId="5">
        <row r="2">
          <cell r="A2" t="str">
            <v xml:space="preserve">Please remember to right click "Refresh" every time you update the data in the "Assumption" TRC sheet. </v>
          </cell>
        </row>
      </sheetData>
      <sheetData sheetId="6">
        <row r="2">
          <cell r="A2" t="str">
            <v xml:space="preserve">Please remember to right click "Refresh" every time you update the data in the "Assumption" TRC sheet. </v>
          </cell>
        </row>
      </sheetData>
      <sheetData sheetId="7">
        <row r="2">
          <cell r="A2" t="str">
            <v xml:space="preserve">Please remember to right click "Refresh" every time you update the data in the "Assumption" TRC sheet. </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Tanaka Ndowa" refreshedDate="42757.876405439813" createdVersion="5" refreshedVersion="5" minRefreshableVersion="3" recordCount="1001">
  <cacheSource type="worksheet">
    <worksheetSource ref="A4:BY1005" sheet="Detailed Budget"/>
  </cacheSource>
  <cacheFields count="77">
    <cacheField name="Budget Line No." numFmtId="1">
      <sharedItems containsNonDate="0" containsString="0" containsBlank="1"/>
    </cacheField>
    <cacheField name="Mod-Int-PR comb" numFmtId="1">
      <sharedItems/>
    </cacheField>
    <cacheField name="Module" numFmtId="1">
      <sharedItems containsNonDate="0" containsString="0" containsBlank="1"/>
    </cacheField>
    <cacheField name="Module Id" numFmtId="1">
      <sharedItems/>
    </cacheField>
    <cacheField name="Intervention" numFmtId="1">
      <sharedItems containsNonDate="0" containsString="0" containsBlank="1"/>
    </cacheField>
    <cacheField name="IntID" numFmtId="1">
      <sharedItems/>
    </cacheField>
    <cacheField name="Intervention sub ID" numFmtId="1">
      <sharedItems/>
    </cacheField>
    <cacheField name="Activity Description" numFmtId="1">
      <sharedItems containsNonDate="0" containsString="0" containsBlank="1"/>
    </cacheField>
    <cacheField name="Cost Input" numFmtId="1">
      <sharedItems containsNonDate="0" containsString="0" containsBlank="1"/>
    </cacheField>
    <cacheField name="Cost Input sub Id" numFmtId="1">
      <sharedItems/>
    </cacheField>
    <cacheField name="Cost Input Id" numFmtId="1">
      <sharedItems/>
    </cacheField>
    <cacheField name="Cost Input No" numFmtId="166">
      <sharedItems/>
    </cacheField>
    <cacheField name="Implementer" numFmtId="1">
      <sharedItems containsNonDate="0" containsString="0" containsBlank="1"/>
    </cacheField>
    <cacheField name="Geography/Location" numFmtId="1">
      <sharedItems containsNonDate="0" containsString="0" containsBlank="1"/>
    </cacheField>
    <cacheField name="3rd Party Direct Payment" numFmtId="1">
      <sharedItems containsNonDate="0" containsString="0" containsBlank="1"/>
    </cacheField>
    <cacheField name="Recipient Type" numFmtId="1">
      <sharedItems/>
    </cacheField>
    <cacheField name="Type of Implementation Entity" numFmtId="1">
      <sharedItems/>
    </cacheField>
    <cacheField name="Account Id" numFmtId="1">
      <sharedItems/>
    </cacheField>
    <cacheField name="Currency" numFmtId="1">
      <sharedItems/>
    </cacheField>
    <cacheField name="Unit of Measure" numFmtId="1">
      <sharedItems/>
    </cacheField>
    <cacheField name="Cost Grouping No" numFmtId="1">
      <sharedItems/>
    </cacheField>
    <cacheField name="Payment Currency" numFmtId="1">
      <sharedItems containsNonDate="0" containsString="0" containsBlank="1"/>
    </cacheField>
    <cacheField name="Currency2" numFmtId="1">
      <sharedItems/>
    </cacheField>
    <cacheField name="Y1 Unit Cost (Payment Currency)" numFmtId="43">
      <sharedItems containsNonDate="0" containsString="0" containsBlank="1"/>
    </cacheField>
    <cacheField name="Y1 Unit Cost (Grant Currency)" numFmtId="43">
      <sharedItems/>
    </cacheField>
    <cacheField name="Q1 Quantity" numFmtId="43">
      <sharedItems containsNonDate="0" containsString="0" containsBlank="1"/>
    </cacheField>
    <cacheField name="Q1 Cash Outflow" numFmtId="43">
      <sharedItems/>
    </cacheField>
    <cacheField name="Q2 Quantity" numFmtId="43">
      <sharedItems containsNonDate="0" containsString="0" containsBlank="1"/>
    </cacheField>
    <cacheField name="Q2 Cash Outflow" numFmtId="43">
      <sharedItems/>
    </cacheField>
    <cacheField name="Q3 Quantity" numFmtId="43">
      <sharedItems containsNonDate="0" containsString="0" containsBlank="1"/>
    </cacheField>
    <cacheField name="Q3 Cash Outflow " numFmtId="43">
      <sharedItems/>
    </cacheField>
    <cacheField name="Q4 Quantity" numFmtId="43">
      <sharedItems containsNonDate="0" containsString="0" containsBlank="1"/>
    </cacheField>
    <cacheField name="Q4 Cash Outflow" numFmtId="43">
      <sharedItems/>
    </cacheField>
    <cacheField name="Y1 Total Quantity" numFmtId="43">
      <sharedItems/>
    </cacheField>
    <cacheField name="Y1 Total Cash Outflow" numFmtId="43">
      <sharedItems/>
    </cacheField>
    <cacheField name="b" numFmtId="1">
      <sharedItems containsNonDate="0" containsString="0" containsBlank="1"/>
    </cacheField>
    <cacheField name="Y2 Unit Cost (Payment Currency)" numFmtId="43">
      <sharedItems containsNonDate="0" containsString="0" containsBlank="1"/>
    </cacheField>
    <cacheField name="Y2 Unit Cost (Grant Currency)" numFmtId="43">
      <sharedItems/>
    </cacheField>
    <cacheField name="Q5 Quantity" numFmtId="43">
      <sharedItems containsNonDate="0" containsString="0" containsBlank="1"/>
    </cacheField>
    <cacheField name="Q5 Cash Outflow" numFmtId="43">
      <sharedItems/>
    </cacheField>
    <cacheField name="Q6 Quantity" numFmtId="43">
      <sharedItems containsNonDate="0" containsString="0" containsBlank="1"/>
    </cacheField>
    <cacheField name="Q6 Cash Outflow" numFmtId="43">
      <sharedItems/>
    </cacheField>
    <cacheField name="Q7 Quantity" numFmtId="43">
      <sharedItems containsNonDate="0" containsString="0" containsBlank="1"/>
    </cacheField>
    <cacheField name="Q7 Cash Outflow" numFmtId="43">
      <sharedItems/>
    </cacheField>
    <cacheField name="Q8 Quantity" numFmtId="43">
      <sharedItems containsNonDate="0" containsString="0" containsBlank="1"/>
    </cacheField>
    <cacheField name="Q8 Cash Outflow" numFmtId="43">
      <sharedItems/>
    </cacheField>
    <cacheField name="Y2 Total Quantity" numFmtId="43">
      <sharedItems/>
    </cacheField>
    <cacheField name="Y2 Total Cash Outflow" numFmtId="43">
      <sharedItems/>
    </cacheField>
    <cacheField name="c" numFmtId="43">
      <sharedItems containsNonDate="0" containsString="0" containsBlank="1"/>
    </cacheField>
    <cacheField name="Y3 Unit Cost (Payment Currency)" numFmtId="43">
      <sharedItems containsNonDate="0" containsString="0" containsBlank="1"/>
    </cacheField>
    <cacheField name="Y3 Unit Cost (Grant Currency)" numFmtId="43">
      <sharedItems/>
    </cacheField>
    <cacheField name="Q9 Quantity" numFmtId="43">
      <sharedItems containsNonDate="0" containsString="0" containsBlank="1"/>
    </cacheField>
    <cacheField name="Q9 Cash Outflow" numFmtId="43">
      <sharedItems/>
    </cacheField>
    <cacheField name="Q10 Quantity" numFmtId="43">
      <sharedItems containsNonDate="0" containsString="0" containsBlank="1"/>
    </cacheField>
    <cacheField name="Q10 Cash Outflow" numFmtId="43">
      <sharedItems/>
    </cacheField>
    <cacheField name="Q11 Quantity" numFmtId="43">
      <sharedItems containsNonDate="0" containsString="0" containsBlank="1"/>
    </cacheField>
    <cacheField name="Q11 Cash Outflow" numFmtId="43">
      <sharedItems/>
    </cacheField>
    <cacheField name="Q12 Quantity" numFmtId="43">
      <sharedItems containsNonDate="0" containsString="0" containsBlank="1"/>
    </cacheField>
    <cacheField name="Q12 Cash Outflow" numFmtId="43">
      <sharedItems/>
    </cacheField>
    <cacheField name="Y3 Total Quantity" numFmtId="43">
      <sharedItems/>
    </cacheField>
    <cacheField name="Y3 Total Cash Outflow" numFmtId="43">
      <sharedItems/>
    </cacheField>
    <cacheField name="d" numFmtId="43">
      <sharedItems containsNonDate="0" containsString="0" containsBlank="1"/>
    </cacheField>
    <cacheField name="Y4 Unit Cost (Payment Currency)" numFmtId="43">
      <sharedItems containsNonDate="0" containsString="0" containsBlank="1"/>
    </cacheField>
    <cacheField name="Y4 Unit Cost (Grant Currency)" numFmtId="43">
      <sharedItems/>
    </cacheField>
    <cacheField name="Q13 Quantity" numFmtId="43">
      <sharedItems containsNonDate="0" containsString="0" containsBlank="1"/>
    </cacheField>
    <cacheField name="Q13 Cash Outflow" numFmtId="43">
      <sharedItems/>
    </cacheField>
    <cacheField name="Q14 Quantity" numFmtId="43">
      <sharedItems containsNonDate="0" containsString="0" containsBlank="1"/>
    </cacheField>
    <cacheField name="Q14 Cash Outflow" numFmtId="43">
      <sharedItems/>
    </cacheField>
    <cacheField name="Q15 Quantity" numFmtId="43">
      <sharedItems containsNonDate="0" containsString="0" containsBlank="1"/>
    </cacheField>
    <cacheField name="Q15 Cash Outflow" numFmtId="43">
      <sharedItems/>
    </cacheField>
    <cacheField name="Q16 Quantity" numFmtId="43">
      <sharedItems containsNonDate="0" containsString="0" containsBlank="1"/>
    </cacheField>
    <cacheField name="Q16 Cash Outflow" numFmtId="43">
      <sharedItems/>
    </cacheField>
    <cacheField name="Y4 Total Quantity" numFmtId="43">
      <sharedItems/>
    </cacheField>
    <cacheField name="Y4 Total Cash Outflow" numFmtId="43">
      <sharedItems/>
    </cacheField>
    <cacheField name="e" numFmtId="43">
      <sharedItems containsNonDate="0" containsString="0" containsBlank="1"/>
    </cacheField>
    <cacheField name="Y1-4 Total Quantity" numFmtId="43">
      <sharedItems/>
    </cacheField>
    <cacheField name="Y1-4 Total Cash Outflow" numFmtId="43">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1">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r>
    <m/>
    <s v="--"/>
    <m/>
    <s v=""/>
    <m/>
    <s v=""/>
    <s v="-"/>
    <m/>
    <m/>
    <e v="#VALUE!"/>
    <s v=""/>
    <s v=""/>
    <m/>
    <m/>
    <m/>
    <s v=""/>
    <s v=""/>
    <s v=""/>
    <s v="EUR"/>
    <s v=""/>
    <s v=""/>
    <m/>
    <e v="#N/A"/>
    <m/>
    <s v=""/>
    <m/>
    <s v=""/>
    <m/>
    <s v=""/>
    <m/>
    <s v=""/>
    <m/>
    <s v=""/>
    <s v=""/>
    <s v=""/>
    <m/>
    <m/>
    <s v=""/>
    <m/>
    <s v=""/>
    <m/>
    <s v=""/>
    <m/>
    <s v=""/>
    <m/>
    <s v=""/>
    <s v=""/>
    <s v=""/>
    <m/>
    <m/>
    <s v=""/>
    <m/>
    <s v=""/>
    <m/>
    <s v=""/>
    <m/>
    <s v=""/>
    <m/>
    <s v=""/>
    <s v=""/>
    <s v=""/>
    <m/>
    <m/>
    <s v=""/>
    <m/>
    <s v=""/>
    <m/>
    <s v=""/>
    <m/>
    <s v=""/>
    <m/>
    <s v=""/>
    <s v=""/>
    <s v=""/>
    <m/>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1"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C18" firstHeaderRow="1" firstDataRow="1" firstDataCol="0"/>
  <pivotFields count="77">
    <pivotField showAll="0"/>
    <pivotField showAll="0"/>
    <pivotField showAll="0"/>
    <pivotField showAll="0" defaultSubtota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defaultSubtota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Intervention" displayName="Intervention" ref="B28:G173" totalsRowShown="0" headerRowDxfId="37" tableBorderDxfId="36" headerRowCellStyle="Normal 10" dataCellStyle="Normal 10">
  <autoFilter ref="B28:G173"/>
  <tableColumns count="6">
    <tableColumn id="1" name="Module" dataCellStyle="Normal 10"/>
    <tableColumn id="2" name="Intervention" dataDxfId="35" dataCellStyle="Normal 10"/>
    <tableColumn id="3" name="Module2" dataCellStyle="Normal 10">
      <calculatedColumnFormula>IFERROR(INDEX('Data Sheet'!$A$3:$A$26,MATCH(B29,'Data Sheet'!$B$3:$B$26,0)),"")</calculatedColumnFormula>
    </tableColumn>
    <tableColumn id="4" name="Record ID" dataCellStyle="Normal 10"/>
    <tableColumn id="5" name="Concatenation of Intervention and Module Ids" dataCellStyle="Normal 10">
      <calculatedColumnFormula>CONCATENATE(G29,"-",E29)</calculatedColumnFormula>
    </tableColumn>
    <tableColumn id="6" name="Module Record Id" dataCellStyle="Normal 10"/>
  </tableColumns>
  <tableStyleInfo name="TableStyleLight9" showFirstColumn="0" showLastColumn="0" showRowStripes="1" showColumnStripes="0"/>
</table>
</file>

<file path=xl/tables/table2.xml><?xml version="1.0" encoding="utf-8"?>
<table xmlns="http://schemas.openxmlformats.org/spreadsheetml/2006/main" id="2" name="Module" displayName="Module" ref="A2:D25" totalsRowShown="0" headerRowDxfId="34" tableBorderDxfId="33" headerRowCellStyle="Normal 10" dataCellStyle="Normal 10">
  <autoFilter ref="A2:D25"/>
  <tableColumns count="4">
    <tableColumn id="3" name="Module Name" dataDxfId="32" dataCellStyle="Normal 10"/>
    <tableColumn id="1" name="Module" dataCellStyle="Normal 10"/>
    <tableColumn id="2" name="Name" dataCellStyle="Normal 10">
      <calculatedColumnFormula array="1">IFERROR(INDEX($A$3:$A$26, MATCH(0, COUNTIF($C$2:C2, $A$3:$A$26&amp;"") + IF($A$3:$A$26="",1,0), 0)), "")</calculatedColumnFormula>
    </tableColumn>
    <tableColumn id="4" name="Record ID" dataCellStyle="Normal 1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6.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2"/>
  </sheetPr>
  <dimension ref="A1:N91"/>
  <sheetViews>
    <sheetView showGridLines="0" topLeftCell="A29" zoomScale="80" zoomScaleNormal="80" workbookViewId="0">
      <selection activeCell="D31" sqref="D31"/>
    </sheetView>
  </sheetViews>
  <sheetFormatPr defaultColWidth="10.75" defaultRowHeight="18" customHeight="1" x14ac:dyDescent="0.25"/>
  <cols>
    <col min="1" max="1" width="37.5" style="92" customWidth="1"/>
    <col min="2" max="2" width="30.75" style="92" hidden="1" customWidth="1"/>
    <col min="3" max="3" width="30.75" style="92" bestFit="1" customWidth="1"/>
    <col min="4" max="4" width="21.25" style="94" customWidth="1"/>
    <col min="5" max="5" width="28.25" style="92" bestFit="1" customWidth="1"/>
    <col min="6" max="6" width="21" style="92" customWidth="1"/>
    <col min="7" max="7" width="20.625" style="92" customWidth="1"/>
    <col min="8" max="8" width="18" style="92" customWidth="1"/>
    <col min="9" max="9" width="18.75" style="92" customWidth="1"/>
    <col min="10" max="10" width="15.25" style="398" customWidth="1"/>
    <col min="11" max="13" width="10.75" style="398" hidden="1" customWidth="1"/>
    <col min="14" max="14" width="0" style="398" hidden="1" customWidth="1"/>
    <col min="15" max="16384" width="10.75" style="92"/>
  </cols>
  <sheetData>
    <row r="1" spans="1:14" s="85" customFormat="1" ht="24" thickBot="1" x14ac:dyDescent="0.3">
      <c r="A1" s="917" t="str">
        <f ca="1">Translations!$A$3</f>
        <v>Budget Template</v>
      </c>
      <c r="B1" s="918"/>
      <c r="C1" s="918"/>
      <c r="D1" s="918"/>
      <c r="E1" s="918"/>
      <c r="F1" s="918"/>
      <c r="G1" s="918"/>
      <c r="H1" s="918"/>
      <c r="I1" s="919"/>
      <c r="J1" s="388" t="str">
        <f ca="1">Translations!$A$35</f>
        <v>Language:</v>
      </c>
      <c r="K1" s="389"/>
      <c r="L1" s="389"/>
      <c r="M1" s="389"/>
      <c r="N1" s="389"/>
    </row>
    <row r="2" spans="1:14" s="86" customFormat="1" ht="35.25" customHeight="1" thickBot="1" x14ac:dyDescent="0.3">
      <c r="A2" s="167"/>
      <c r="B2" s="167"/>
      <c r="C2" s="167"/>
      <c r="D2" s="167"/>
      <c r="G2" s="341"/>
      <c r="J2" s="390" t="s">
        <v>739</v>
      </c>
      <c r="K2" s="391"/>
      <c r="L2" s="391"/>
      <c r="M2" s="391"/>
      <c r="N2" s="391"/>
    </row>
    <row r="3" spans="1:14" s="88" customFormat="1" ht="34.5" customHeight="1" thickBot="1" x14ac:dyDescent="0.3">
      <c r="A3" s="86"/>
      <c r="B3" s="86"/>
      <c r="C3" s="153"/>
      <c r="D3" s="154"/>
      <c r="G3" s="86"/>
      <c r="J3" s="391"/>
      <c r="K3" s="392"/>
      <c r="L3" s="393"/>
      <c r="M3" s="392"/>
      <c r="N3" s="392"/>
    </row>
    <row r="4" spans="1:14" s="89" customFormat="1" ht="31.5" x14ac:dyDescent="0.25">
      <c r="A4" s="148" t="str">
        <f ca="1">Translations!$A$8</f>
        <v>Country / Applicant:</v>
      </c>
      <c r="B4" s="206"/>
      <c r="C4" s="386" t="str">
        <f>IFERROR(IF(ISBLANK('Data Sheet'!$B$190),'Data Sheet'!$B$191,'Data Sheet'!$B$190),"")</f>
        <v>Lao (Peoples Democratic Republic)</v>
      </c>
      <c r="F4" s="86"/>
      <c r="G4" s="86"/>
      <c r="H4" s="87"/>
      <c r="I4" s="86"/>
      <c r="J4" s="391"/>
      <c r="K4" s="394"/>
      <c r="L4" s="394"/>
      <c r="M4" s="394"/>
      <c r="N4" s="394"/>
    </row>
    <row r="5" spans="1:14" s="90" customFormat="1" ht="55.5" customHeight="1" thickBot="1" x14ac:dyDescent="0.3">
      <c r="A5" s="181" t="s">
        <v>1904</v>
      </c>
      <c r="B5" s="207"/>
      <c r="C5" s="364" t="s">
        <v>2142</v>
      </c>
      <c r="F5" s="147"/>
      <c r="G5" s="152"/>
      <c r="H5" s="152"/>
      <c r="I5" s="152"/>
      <c r="J5" s="395"/>
      <c r="K5" s="396"/>
      <c r="L5" s="396"/>
      <c r="M5" s="396"/>
      <c r="N5" s="396"/>
    </row>
    <row r="6" spans="1:14" s="89" customFormat="1" ht="31.5" x14ac:dyDescent="0.25">
      <c r="A6" s="149" t="s">
        <v>1947</v>
      </c>
      <c r="B6" s="208"/>
      <c r="C6" s="184">
        <v>43101</v>
      </c>
      <c r="D6" s="348" t="s">
        <v>2055</v>
      </c>
      <c r="E6" s="184">
        <v>43101</v>
      </c>
      <c r="G6" s="86"/>
      <c r="H6" s="87"/>
      <c r="I6" s="86"/>
      <c r="J6" s="391"/>
      <c r="K6" s="394"/>
      <c r="L6" s="394"/>
      <c r="M6" s="394"/>
      <c r="N6" s="394"/>
    </row>
    <row r="7" spans="1:14" ht="31.5" customHeight="1" thickBot="1" x14ac:dyDescent="0.3">
      <c r="A7" s="149" t="s">
        <v>1948</v>
      </c>
      <c r="B7" s="208"/>
      <c r="C7" s="184">
        <v>44196</v>
      </c>
      <c r="D7" s="349" t="s">
        <v>2054</v>
      </c>
      <c r="E7" s="184">
        <v>44196</v>
      </c>
      <c r="F7" s="923" t="str">
        <f>IF(C7&gt;E7,"Please note, the Implementation Period End Date is longer than the Allocation Utilisation Period End Date"," ")</f>
        <v xml:space="preserve"> </v>
      </c>
      <c r="G7" s="923"/>
      <c r="H7" s="157"/>
      <c r="I7" s="157"/>
      <c r="J7" s="397"/>
    </row>
    <row r="8" spans="1:14" ht="18" customHeight="1" x14ac:dyDescent="0.25">
      <c r="A8" s="149" t="s">
        <v>1950</v>
      </c>
      <c r="B8" s="208"/>
      <c r="C8" s="357">
        <v>43009</v>
      </c>
      <c r="D8" s="152"/>
      <c r="E8" s="205"/>
      <c r="F8" s="923"/>
      <c r="G8" s="923"/>
      <c r="H8" s="157"/>
      <c r="I8" s="157"/>
      <c r="J8" s="397"/>
    </row>
    <row r="9" spans="1:14" ht="18" customHeight="1" thickBot="1" x14ac:dyDescent="0.3">
      <c r="A9" s="150" t="s">
        <v>1949</v>
      </c>
      <c r="B9" s="350"/>
      <c r="C9" s="358">
        <v>43008</v>
      </c>
      <c r="D9" s="152"/>
      <c r="E9" s="156"/>
      <c r="F9" s="157"/>
      <c r="G9" s="158"/>
      <c r="H9" s="157"/>
      <c r="I9" s="157"/>
      <c r="J9" s="397"/>
    </row>
    <row r="10" spans="1:14" ht="18" customHeight="1" x14ac:dyDescent="0.25">
      <c r="A10" s="91"/>
      <c r="B10" s="91"/>
      <c r="C10" s="193"/>
      <c r="D10" s="224"/>
      <c r="E10" s="156"/>
      <c r="F10" s="157"/>
      <c r="G10" s="158"/>
      <c r="H10" s="157"/>
      <c r="I10" s="157"/>
      <c r="J10" s="397"/>
    </row>
    <row r="11" spans="1:14" ht="18" customHeight="1" x14ac:dyDescent="0.25">
      <c r="A11" s="401" t="s">
        <v>2019</v>
      </c>
      <c r="B11" s="401" t="s">
        <v>1955</v>
      </c>
      <c r="C11" s="193"/>
      <c r="D11" s="224"/>
      <c r="E11" s="156"/>
      <c r="F11" s="157"/>
      <c r="G11" s="158"/>
      <c r="H11" s="157"/>
      <c r="I11" s="157"/>
      <c r="J11" s="397"/>
    </row>
    <row r="12" spans="1:14" ht="25.5" hidden="1" customHeight="1" x14ac:dyDescent="0.25">
      <c r="A12" s="402"/>
      <c r="B12" s="403" t="s">
        <v>1954</v>
      </c>
      <c r="C12" s="193"/>
      <c r="D12" s="152"/>
      <c r="E12" s="156"/>
      <c r="F12" s="157"/>
      <c r="G12" s="158"/>
      <c r="H12" s="157"/>
      <c r="I12" s="157"/>
      <c r="J12" s="397"/>
    </row>
    <row r="13" spans="1:14" ht="25.5" customHeight="1" x14ac:dyDescent="0.25">
      <c r="A13" s="402" t="s">
        <v>2147</v>
      </c>
      <c r="B13" s="403" t="s">
        <v>2147</v>
      </c>
      <c r="C13" s="193"/>
      <c r="D13" s="152"/>
      <c r="E13" s="156"/>
      <c r="F13" s="157"/>
      <c r="G13" s="158"/>
      <c r="H13" s="157"/>
      <c r="I13" s="157"/>
      <c r="J13" s="397"/>
    </row>
    <row r="14" spans="1:14" ht="18" customHeight="1" x14ac:dyDescent="0.25">
      <c r="A14" s="91"/>
      <c r="B14" s="91"/>
      <c r="C14" s="193"/>
      <c r="D14" s="224"/>
      <c r="E14" s="156"/>
      <c r="F14" s="157"/>
      <c r="G14" s="158"/>
      <c r="H14" s="157"/>
      <c r="I14" s="157"/>
      <c r="J14" s="397"/>
    </row>
    <row r="15" spans="1:14" ht="18" hidden="1" customHeight="1" x14ac:dyDescent="0.25">
      <c r="A15" s="91"/>
      <c r="B15" s="91"/>
      <c r="C15" s="193"/>
      <c r="D15" s="224"/>
      <c r="E15" s="156"/>
      <c r="F15" s="157"/>
      <c r="G15" s="158"/>
      <c r="H15" s="157"/>
      <c r="I15" s="157"/>
      <c r="J15" s="397"/>
    </row>
    <row r="16" spans="1:14" ht="4.5" hidden="1" customHeight="1" x14ac:dyDescent="0.25">
      <c r="A16" s="91"/>
      <c r="B16" s="91"/>
      <c r="C16" s="193"/>
      <c r="D16" s="224"/>
      <c r="E16" s="156"/>
      <c r="F16" s="157"/>
      <c r="G16" s="158"/>
      <c r="H16" s="157"/>
      <c r="I16" s="157"/>
      <c r="J16" s="397"/>
    </row>
    <row r="17" spans="1:14" ht="4.5" customHeight="1" thickBot="1" x14ac:dyDescent="0.3">
      <c r="A17" s="91"/>
      <c r="B17" s="91"/>
      <c r="C17" s="193"/>
      <c r="D17" s="152"/>
      <c r="E17" s="156"/>
      <c r="F17" s="157"/>
      <c r="G17" s="158"/>
      <c r="H17" s="157"/>
      <c r="I17" s="157"/>
      <c r="J17" s="397"/>
    </row>
    <row r="18" spans="1:14" ht="18" customHeight="1" thickBot="1" x14ac:dyDescent="0.3">
      <c r="A18" s="920" t="s">
        <v>2056</v>
      </c>
      <c r="B18" s="921"/>
      <c r="C18" s="921"/>
      <c r="D18" s="921"/>
      <c r="E18" s="921"/>
      <c r="F18" s="921"/>
      <c r="G18" s="921"/>
      <c r="H18" s="921"/>
      <c r="I18" s="922"/>
      <c r="J18" s="397"/>
    </row>
    <row r="19" spans="1:14" ht="18" customHeight="1" thickBot="1" x14ac:dyDescent="0.3">
      <c r="A19" s="171" t="s">
        <v>4</v>
      </c>
      <c r="B19" s="209"/>
      <c r="C19" s="174"/>
      <c r="D19" s="175" t="s">
        <v>5</v>
      </c>
      <c r="E19" s="174"/>
      <c r="F19" s="176" t="s">
        <v>6</v>
      </c>
      <c r="G19" s="177"/>
      <c r="H19" s="176" t="s">
        <v>795</v>
      </c>
      <c r="I19" s="178"/>
      <c r="J19" s="397"/>
    </row>
    <row r="20" spans="1:14" ht="18" customHeight="1" x14ac:dyDescent="0.25">
      <c r="A20" s="172" t="s">
        <v>1906</v>
      </c>
      <c r="B20" s="210"/>
      <c r="C20" s="361">
        <f>_6d661af8_29d6_4e8e_a5b0_cc84ee4eb720</f>
        <v>43101</v>
      </c>
      <c r="D20" s="179" t="s">
        <v>1907</v>
      </c>
      <c r="E20" s="361">
        <f>IF(IF(C27&lt;&gt;"",C27+1,"")&gt;C7,"",IF(C27&lt;&gt;"",C27+1,""))</f>
        <v>43466</v>
      </c>
      <c r="F20" s="179" t="s">
        <v>1908</v>
      </c>
      <c r="G20" s="362">
        <f>IF(IF(E27&lt;&gt;"",E27+1,"")&gt;C7,"",IF(E27&lt;&gt;"",E27+1,""))</f>
        <v>43831</v>
      </c>
      <c r="H20" s="179" t="s">
        <v>1909</v>
      </c>
      <c r="I20" s="363" t="str">
        <f>IF(IF(G27&lt;&gt;"",G27+1,"")&gt;C7,"",IF(G27&lt;&gt;"",G27+1,""))</f>
        <v/>
      </c>
      <c r="J20" s="397"/>
    </row>
    <row r="21" spans="1:14" ht="18" customHeight="1" thickBot="1" x14ac:dyDescent="0.3">
      <c r="A21" s="173" t="s">
        <v>1910</v>
      </c>
      <c r="B21" s="211"/>
      <c r="C21" s="170">
        <f>IF(IFERROR('Data Sheet'!B186,"")&gt;C7,"",IFERROR('Data Sheet'!B186,""))</f>
        <v>43190</v>
      </c>
      <c r="D21" s="180" t="s">
        <v>1911</v>
      </c>
      <c r="E21" s="170">
        <f>IF(IFERROR(EOMONTH(E20,2),"")&gt;C7,"",IFERROR(EOMONTH(E20,2),""))</f>
        <v>43555</v>
      </c>
      <c r="F21" s="180" t="s">
        <v>1912</v>
      </c>
      <c r="G21" s="170">
        <f>IF(IFERROR(EOMONTH(G20,2),"")&gt;C7,"",IFERROR(EOMONTH(G20,2),""))</f>
        <v>43921</v>
      </c>
      <c r="H21" s="180" t="s">
        <v>1913</v>
      </c>
      <c r="I21" s="347" t="str">
        <f>IF(IFERROR(EOMONTH(I20,2),"")&gt;C7,"",IFERROR(EOMONTH(I20,2),""))</f>
        <v/>
      </c>
      <c r="J21" s="397"/>
    </row>
    <row r="22" spans="1:14" ht="18" customHeight="1" x14ac:dyDescent="0.25">
      <c r="A22" s="172" t="s">
        <v>1914</v>
      </c>
      <c r="B22" s="210"/>
      <c r="C22" s="361">
        <f>IF(IF(C21&lt;&gt;"",C21+1,"")&gt;C7,"",IF(C21&lt;&gt;"",C21+1,""))</f>
        <v>43191</v>
      </c>
      <c r="D22" s="179" t="s">
        <v>1915</v>
      </c>
      <c r="E22" s="361">
        <f>IF(IF(E21&lt;&gt;"",E21+1,"")&gt;C7,"",IF(E21&lt;&gt;"",E21+1,""))</f>
        <v>43556</v>
      </c>
      <c r="F22" s="179" t="s">
        <v>1916</v>
      </c>
      <c r="G22" s="362">
        <f>IF(IF(G21&lt;&gt;"",G21+1,"")&gt;C7,"",IF(G21&lt;&gt;"",G21+1,""))</f>
        <v>43922</v>
      </c>
      <c r="H22" s="179" t="s">
        <v>1917</v>
      </c>
      <c r="I22" s="363" t="str">
        <f>IF(IF(I21&lt;&gt;"",I21+1,"")&gt;C7,"",IF(I21&lt;&gt;"",I21+1,""))</f>
        <v/>
      </c>
      <c r="J22" s="397"/>
    </row>
    <row r="23" spans="1:14" ht="18" customHeight="1" thickBot="1" x14ac:dyDescent="0.3">
      <c r="A23" s="173" t="s">
        <v>1918</v>
      </c>
      <c r="B23" s="211"/>
      <c r="C23" s="170">
        <f>IF(IFERROR(EOMONTH(C22,2),"")&gt;C7,"",IFERROR(EOMONTH(C22,2),""))</f>
        <v>43281</v>
      </c>
      <c r="D23" s="180" t="s">
        <v>1919</v>
      </c>
      <c r="E23" s="170">
        <f>IF(IFERROR(EOMONTH(E22,2),"")&gt;C7,"",IFERROR(EOMONTH(E22,2),""))</f>
        <v>43646</v>
      </c>
      <c r="F23" s="180" t="s">
        <v>1920</v>
      </c>
      <c r="G23" s="170">
        <f>IF(IFERROR(EOMONTH(G22,2),"")&gt;C7,"",IFERROR(EOMONTH(G22,2),""))</f>
        <v>44012</v>
      </c>
      <c r="H23" s="180" t="s">
        <v>1921</v>
      </c>
      <c r="I23" s="347" t="str">
        <f>IF(IFERROR(EOMONTH(I22,2),"")&gt;C7,"",IFERROR(EOMONTH(I22,2),""))</f>
        <v/>
      </c>
      <c r="J23" s="397"/>
    </row>
    <row r="24" spans="1:14" ht="18" customHeight="1" x14ac:dyDescent="0.25">
      <c r="A24" s="172" t="s">
        <v>1922</v>
      </c>
      <c r="B24" s="210"/>
      <c r="C24" s="361">
        <f>IF(IF(C23&lt;&gt;"",C23+1,"")&gt;C7,"",IF(C23&lt;&gt;"",C23+1,""))</f>
        <v>43282</v>
      </c>
      <c r="D24" s="179" t="s">
        <v>1923</v>
      </c>
      <c r="E24" s="361">
        <f>IF(IF(E23&lt;&gt;"",E23+1,"")&gt;C7,"",IF(E23&lt;&gt;"",E23+1,""))</f>
        <v>43647</v>
      </c>
      <c r="F24" s="179" t="s">
        <v>1924</v>
      </c>
      <c r="G24" s="362">
        <f>IF(IF(G23&lt;&gt;"",G23+1,"")&gt;C7,"",IF(G23&lt;&gt;"",G23+1,""))</f>
        <v>44013</v>
      </c>
      <c r="H24" s="179" t="s">
        <v>1925</v>
      </c>
      <c r="I24" s="363" t="str">
        <f>IF(IF(I23&lt;&gt;"",I23+1,"")&gt;C7,"",IF(I23&lt;&gt;"",I23+1,""))</f>
        <v/>
      </c>
      <c r="J24" s="397"/>
    </row>
    <row r="25" spans="1:14" ht="18" customHeight="1" thickBot="1" x14ac:dyDescent="0.3">
      <c r="A25" s="173" t="s">
        <v>1926</v>
      </c>
      <c r="B25" s="211"/>
      <c r="C25" s="170">
        <f>IF(IFERROR(EOMONTH(C24,2),"")&gt;C7,"",IFERROR(EOMONTH(C24,2),""))</f>
        <v>43373</v>
      </c>
      <c r="D25" s="180" t="s">
        <v>1927</v>
      </c>
      <c r="E25" s="170">
        <f>IF(IFERROR(EOMONTH(E24,2),"")&gt;C7,"",IFERROR(EOMONTH(E24,2),""))</f>
        <v>43738</v>
      </c>
      <c r="F25" s="180" t="s">
        <v>1928</v>
      </c>
      <c r="G25" s="170">
        <f>IF(IFERROR(EOMONTH(G24,2),"")&gt;C7,"",IFERROR(EOMONTH(G24,2),""))</f>
        <v>44104</v>
      </c>
      <c r="H25" s="180" t="s">
        <v>1929</v>
      </c>
      <c r="I25" s="347" t="str">
        <f>IF(IFERROR(EOMONTH(I24,2),"")&gt;C7,"",IFERROR(EOMONTH(I24,2),""))</f>
        <v/>
      </c>
      <c r="J25" s="397"/>
    </row>
    <row r="26" spans="1:14" ht="18" customHeight="1" x14ac:dyDescent="0.25">
      <c r="A26" s="172" t="s">
        <v>1930</v>
      </c>
      <c r="B26" s="210"/>
      <c r="C26" s="361">
        <f>IF(IF(C25&lt;&gt;"",C25+1,"")&gt;C7,"",IF(C25&lt;&gt;"",C25+1,""))</f>
        <v>43374</v>
      </c>
      <c r="D26" s="179" t="s">
        <v>1931</v>
      </c>
      <c r="E26" s="361">
        <f>IF(IF(E25&lt;&gt;"",E25+1,"")&gt;C7,"",IF(E25&lt;&gt;"",E25+1,""))</f>
        <v>43739</v>
      </c>
      <c r="F26" s="179" t="s">
        <v>1932</v>
      </c>
      <c r="G26" s="362">
        <f>IF(IF(G25&lt;&gt;"",G25+1,"")&gt;C7,"",IF(G25&lt;&gt;"",G25+1,""))</f>
        <v>44105</v>
      </c>
      <c r="H26" s="179" t="s">
        <v>1933</v>
      </c>
      <c r="I26" s="363" t="str">
        <f>IF(IF(I25&lt;&gt;"",I25+1,"")&gt;C7,"",IF(I25&lt;&gt;"",I25+1,""))</f>
        <v/>
      </c>
      <c r="J26" s="397"/>
    </row>
    <row r="27" spans="1:14" ht="18" customHeight="1" thickBot="1" x14ac:dyDescent="0.3">
      <c r="A27" s="173" t="s">
        <v>1934</v>
      </c>
      <c r="B27" s="211"/>
      <c r="C27" s="170">
        <f>IF(IFERROR(EOMONTH(C26,2),"")&gt;C7,"",IFERROR(EOMONTH(C26,2),""))</f>
        <v>43465</v>
      </c>
      <c r="D27" s="180" t="s">
        <v>1935</v>
      </c>
      <c r="E27" s="170">
        <f>IF(IFERROR(EOMONTH(E26,2),"")&gt;C7,"",IFERROR(EOMONTH(E26,2),""))</f>
        <v>43830</v>
      </c>
      <c r="F27" s="180" t="s">
        <v>1936</v>
      </c>
      <c r="G27" s="170">
        <f>IF(IFERROR(EOMONTH(G26,2),"")&gt;C7,"",IFERROR(EOMONTH(G26,2),""))</f>
        <v>44196</v>
      </c>
      <c r="H27" s="180" t="s">
        <v>1919</v>
      </c>
      <c r="I27" s="347" t="str">
        <f>IF(IFERROR(EOMONTH(I26,2),"")&gt;C7,"",IFERROR(EOMONTH(I26,2),""))</f>
        <v/>
      </c>
      <c r="J27" s="397"/>
    </row>
    <row r="28" spans="1:14" ht="18" customHeight="1" thickBot="1" x14ac:dyDescent="0.3">
      <c r="A28" s="91"/>
      <c r="B28" s="91"/>
      <c r="D28" s="93"/>
      <c r="E28" s="94"/>
      <c r="G28" s="141"/>
    </row>
    <row r="29" spans="1:14" s="90" customFormat="1" ht="31.5" x14ac:dyDescent="0.25">
      <c r="A29" s="160" t="str">
        <f ca="1">Translations!A102</f>
        <v>Payment Currency</v>
      </c>
      <c r="B29" s="212"/>
      <c r="C29" s="182" t="str">
        <f ca="1">Translations!$A$148</f>
        <v>Currency Code</v>
      </c>
      <c r="D29" s="183" t="str">
        <f ca="1">Translations!$A$147</f>
        <v>Exchange rate
(to grant currency)</v>
      </c>
      <c r="E29" s="161"/>
      <c r="F29" s="151"/>
      <c r="G29" s="143"/>
      <c r="J29" s="396"/>
      <c r="K29" s="396"/>
      <c r="L29" s="396"/>
      <c r="M29" s="396"/>
      <c r="N29" s="396"/>
    </row>
    <row r="30" spans="1:14" ht="18" customHeight="1" x14ac:dyDescent="0.25">
      <c r="A30" s="360" t="str">
        <f ca="1">Translations!$A$149</f>
        <v>Grant</v>
      </c>
      <c r="B30" s="213"/>
      <c r="C30" s="162" t="s">
        <v>8</v>
      </c>
      <c r="D30" s="163">
        <v>1</v>
      </c>
      <c r="E30" s="911" t="s">
        <v>1905</v>
      </c>
      <c r="F30" s="912"/>
    </row>
    <row r="31" spans="1:14" ht="18" customHeight="1" x14ac:dyDescent="0.25">
      <c r="A31" s="360" t="str">
        <f ca="1">Translations!$A$150</f>
        <v>Local</v>
      </c>
      <c r="B31" s="213"/>
      <c r="C31" s="164" t="str">
        <f>LocalCurrency</f>
        <v>LAK</v>
      </c>
      <c r="D31" s="155">
        <v>8181.4654</v>
      </c>
      <c r="E31" s="913"/>
      <c r="F31" s="914"/>
    </row>
    <row r="32" spans="1:14" ht="18" customHeight="1" x14ac:dyDescent="0.25">
      <c r="A32" s="360" t="str">
        <f ca="1">Translations!$A$151</f>
        <v>Other</v>
      </c>
      <c r="B32" s="213"/>
      <c r="C32" s="164" t="str">
        <f t="array" ref="C32">IF(C30="EUR","USD","EUR")</f>
        <v>EUR</v>
      </c>
      <c r="D32" s="165">
        <f>IF(C32&lt;&gt;"",IF(C$30="USD",Currencies!M1,IF(C$30="EUR",1/Currencies!M1,"- rate missing -")))</f>
        <v>0.91181374203485954</v>
      </c>
      <c r="E32" s="913"/>
      <c r="F32" s="914"/>
    </row>
    <row r="33" spans="1:13" ht="29.25" customHeight="1" x14ac:dyDescent="0.25">
      <c r="A33" s="360" t="str">
        <f ca="1">Translations!$A$151</f>
        <v>Other</v>
      </c>
      <c r="B33" s="213"/>
      <c r="C33" s="162"/>
      <c r="D33" s="155" t="str">
        <f>IF(C33&lt;&gt;"",IF(C$30="USD",ROUND(VLOOKUP(C33,Currencies!G:K,4,FALSE),6),IF(C$30="EUR",ROUND(VLOOKUP(C33,Currencies!G:K,5,FALSE),6),"- rate missing -")),"")</f>
        <v/>
      </c>
      <c r="E33" s="915"/>
      <c r="F33" s="916"/>
    </row>
    <row r="34" spans="1:13" ht="18" customHeight="1" x14ac:dyDescent="0.25">
      <c r="A34" s="360" t="str">
        <f ca="1">Translations!$A$151</f>
        <v>Other</v>
      </c>
      <c r="B34" s="213"/>
      <c r="C34" s="162"/>
      <c r="D34" s="155" t="str">
        <f>IF(C34&lt;&gt;"",IF(C$30="USD",ROUND(VLOOKUP(C34,Currencies!G:K,4,FALSE),6),IF(C$30="EUR",ROUND(VLOOKUP(C34,Currencies!G:K,5,FALSE),6),"- rate missing -")),"")</f>
        <v/>
      </c>
      <c r="E34" s="166"/>
      <c r="F34" s="166"/>
    </row>
    <row r="35" spans="1:13" ht="18" customHeight="1" x14ac:dyDescent="0.25">
      <c r="A35" s="360" t="str">
        <f ca="1">Translations!$A$151</f>
        <v>Other</v>
      </c>
      <c r="B35" s="213"/>
      <c r="C35" s="162"/>
      <c r="D35" s="155" t="str">
        <f>IF(C35&lt;&gt;"",IF(C$30="USD",ROUND(VLOOKUP(C35,Currencies!G:K,4,FALSE),6),IF(C$30="EUR",ROUND(VLOOKUP(C35,Currencies!G:K,5,FALSE),6),"- rate missing -")),"")</f>
        <v/>
      </c>
      <c r="E35" s="166"/>
      <c r="F35" s="166"/>
    </row>
    <row r="36" spans="1:13" ht="18" customHeight="1" x14ac:dyDescent="0.25">
      <c r="A36" s="360" t="str">
        <f ca="1">Translations!$A$151</f>
        <v>Other</v>
      </c>
      <c r="B36" s="213"/>
      <c r="C36" s="162"/>
      <c r="D36" s="155" t="str">
        <f>IF(C36&lt;&gt;"",IF(C$30="USD",ROUND(VLOOKUP(C36,Currencies!G:K,4,FALSE),6),IF(C$30="EUR",ROUND(VLOOKUP(C36,Currencies!G:K,5,FALSE),6),"- rate missing -")),"")</f>
        <v/>
      </c>
      <c r="E36" s="166"/>
      <c r="F36" s="166"/>
    </row>
    <row r="37" spans="1:13" ht="18" customHeight="1" x14ac:dyDescent="0.25">
      <c r="A37" s="360" t="str">
        <f ca="1">Translations!$A$151</f>
        <v>Other</v>
      </c>
      <c r="B37" s="213"/>
      <c r="C37" s="162"/>
      <c r="D37" s="155" t="str">
        <f>IF(C37&lt;&gt;"",IF(C$30="USD",ROUND(VLOOKUP(C37,Currencies!G:K,4,FALSE),6),IF(C$30="EUR",ROUND(VLOOKUP(C37,Currencies!G:K,5,FALSE),6),"- rate missing -")),"")</f>
        <v/>
      </c>
      <c r="E37" s="166"/>
      <c r="F37" s="166"/>
    </row>
    <row r="38" spans="1:13" ht="18" customHeight="1" x14ac:dyDescent="0.25">
      <c r="A38" s="360" t="str">
        <f ca="1">Translations!$A$151</f>
        <v>Other</v>
      </c>
      <c r="B38" s="213"/>
      <c r="C38" s="162"/>
      <c r="D38" s="155" t="str">
        <f>IF(C38&lt;&gt;"",IF(C$30="USD",ROUND(VLOOKUP(C38,Currencies!G:K,4,FALSE),6),IF(C$30="EUR",ROUND(VLOOKUP(C38,Currencies!G:K,5,FALSE),6),"- rate missing -")),"")</f>
        <v/>
      </c>
      <c r="E38" s="166"/>
      <c r="F38" s="166"/>
    </row>
    <row r="39" spans="1:13" ht="18" customHeight="1" x14ac:dyDescent="0.25">
      <c r="A39" s="360" t="str">
        <f ca="1">Translations!$A$151</f>
        <v>Other</v>
      </c>
      <c r="B39" s="213"/>
      <c r="C39" s="162"/>
      <c r="D39" s="155" t="str">
        <f>IF(C39&lt;&gt;"",IF(C$30="USD",ROUND(VLOOKUP(C39,Currencies!G:K,4,FALSE),6),IF(C$30="EUR",ROUND(VLOOKUP(C39,Currencies!G:K,5,FALSE),6),"- rate missing -")),"")</f>
        <v/>
      </c>
      <c r="E39" s="166"/>
      <c r="F39" s="166"/>
    </row>
    <row r="40" spans="1:13" ht="18" customHeight="1" x14ac:dyDescent="0.25">
      <c r="A40" s="360" t="str">
        <f ca="1">Translations!$A$151</f>
        <v>Other</v>
      </c>
      <c r="B40" s="213"/>
      <c r="C40" s="162"/>
      <c r="D40" s="155" t="str">
        <f>IF(C40&lt;&gt;"",IF(C$30="USD",ROUND(VLOOKUP(C40,Currencies!G:K,4,FALSE),6),IF(C$30="EUR",ROUND(VLOOKUP(C40,Currencies!G:K,5,FALSE),6),"- rate missing -")),"")</f>
        <v/>
      </c>
      <c r="E40" s="166"/>
      <c r="F40" s="166"/>
    </row>
    <row r="41" spans="1:13" ht="18" customHeight="1" thickBot="1" x14ac:dyDescent="0.3">
      <c r="A41" s="365" t="str">
        <f ca="1">Translations!$A$151</f>
        <v>Other</v>
      </c>
      <c r="B41" s="214"/>
      <c r="C41" s="359"/>
      <c r="D41" s="159" t="str">
        <f>IF(C41&lt;&gt;"",IF(C$30="USD",ROUND(VLOOKUP(C41,Currencies!G:K,4,FALSE),6),IF(C$30="EUR",ROUND(VLOOKUP(C41,Currencies!G:K,5,FALSE),6),"- rate missing -")),"")</f>
        <v/>
      </c>
      <c r="E41" s="166"/>
      <c r="F41" s="166"/>
    </row>
    <row r="42" spans="1:13" ht="18" customHeight="1" thickBot="1" x14ac:dyDescent="0.3">
      <c r="A42" s="142"/>
      <c r="B42" s="142"/>
      <c r="C42" s="144"/>
      <c r="D42" s="145"/>
      <c r="E42" s="146"/>
    </row>
    <row r="43" spans="1:13" ht="85.5" customHeight="1" x14ac:dyDescent="0.25">
      <c r="A43" s="342" t="s">
        <v>2059</v>
      </c>
      <c r="B43" s="215"/>
      <c r="C43" s="343" t="s">
        <v>2058</v>
      </c>
      <c r="D43" s="343" t="s">
        <v>2041</v>
      </c>
      <c r="E43" s="366" t="s">
        <v>1979</v>
      </c>
    </row>
    <row r="44" spans="1:13" ht="30" x14ac:dyDescent="0.25">
      <c r="A44" s="218" t="s">
        <v>2506</v>
      </c>
      <c r="B44" s="216"/>
      <c r="C44" s="168"/>
      <c r="D44" s="231" t="s">
        <v>2103</v>
      </c>
      <c r="E44" s="169" t="s">
        <v>1811</v>
      </c>
      <c r="K44" s="398" t="str">
        <f>IF(A44="",IF(C44="","",C44),A44)</f>
        <v>Ministry of Health of the Lao People's Democratic Republic</v>
      </c>
      <c r="L44" s="398" t="str">
        <f>IFERROR(VLOOKUP(A44,'Recipient sheet'!$A$1:$D$30,4,FALSE),"")</f>
        <v>0013600000xoEHUAA2</v>
      </c>
      <c r="M44" s="398" t="str">
        <f>IF(F44='Data Sheet'!$B$190,'Data Sheet'!$D$190,IFERROR(INDEX('Data Sheet'!$C$195:$C$196,MATCH(F44,'Data Sheet'!$A$195:$A$196,0))&amp;"",""))</f>
        <v/>
      </c>
    </row>
    <row r="45" spans="1:13" ht="30" x14ac:dyDescent="0.25">
      <c r="A45" s="218"/>
      <c r="B45" s="216"/>
      <c r="C45" s="168" t="s">
        <v>2657</v>
      </c>
      <c r="D45" s="231" t="s">
        <v>2104</v>
      </c>
      <c r="E45" s="169" t="s">
        <v>1811</v>
      </c>
      <c r="K45" s="398" t="str">
        <f t="shared" ref="K45:K70" si="0">IF(A45="",IF(C45="","",C45),A45)</f>
        <v>CHAS</v>
      </c>
      <c r="L45" s="398" t="str">
        <f>IFERROR(VLOOKUP(A45,'Recipient sheet'!$A$1:$D$30,4,FALSE),"")</f>
        <v/>
      </c>
      <c r="M45" s="398" t="str">
        <f>IF(F45='Data Sheet'!$B$190,'Data Sheet'!$D$190,IFERROR(INDEX('Data Sheet'!$C$195:$C$196,MATCH(F45,'Data Sheet'!$A$195:$A$196,0))&amp;"",""))</f>
        <v/>
      </c>
    </row>
    <row r="46" spans="1:13" ht="30" x14ac:dyDescent="0.25">
      <c r="A46" s="218"/>
      <c r="B46" s="216"/>
      <c r="C46" s="168" t="s">
        <v>2658</v>
      </c>
      <c r="D46" s="231" t="s">
        <v>2103</v>
      </c>
      <c r="E46" s="169" t="s">
        <v>1824</v>
      </c>
      <c r="K46" s="398" t="str">
        <f t="shared" si="0"/>
        <v>LaoPHA</v>
      </c>
      <c r="L46" s="398" t="str">
        <f>IFERROR(VLOOKUP(A46,'Recipient sheet'!$A$1:$D$30,4,FALSE),"")</f>
        <v/>
      </c>
      <c r="M46" s="398" t="str">
        <f>IF(F46='Data Sheet'!$B$190,'Data Sheet'!$D$190,IFERROR(INDEX('Data Sheet'!$C$195:$C$196,MATCH(F46,'Data Sheet'!$A$195:$A$196,0))&amp;"",""))</f>
        <v/>
      </c>
    </row>
    <row r="47" spans="1:13" ht="30" x14ac:dyDescent="0.25">
      <c r="A47" s="218"/>
      <c r="B47" s="216"/>
      <c r="C47" s="168" t="s">
        <v>2659</v>
      </c>
      <c r="D47" s="231" t="s">
        <v>2104</v>
      </c>
      <c r="E47" s="169" t="s">
        <v>1824</v>
      </c>
      <c r="K47" s="398" t="str">
        <f t="shared" si="0"/>
        <v>PEDA</v>
      </c>
      <c r="L47" s="398" t="str">
        <f>IFERROR(VLOOKUP(A47,'Recipient sheet'!$A$1:$D$30,4,FALSE),"")</f>
        <v/>
      </c>
      <c r="M47" s="398" t="str">
        <f>IF(F47='Data Sheet'!$B$190,'Data Sheet'!$D$190,IFERROR(INDEX('Data Sheet'!$C$195:$C$196,MATCH(F47,'Data Sheet'!$A$195:$A$196,0))&amp;"",""))</f>
        <v/>
      </c>
    </row>
    <row r="48" spans="1:13" ht="45" x14ac:dyDescent="0.25">
      <c r="A48" s="218"/>
      <c r="B48" s="216"/>
      <c r="C48" s="168" t="s">
        <v>2660</v>
      </c>
      <c r="D48" s="231" t="s">
        <v>2104</v>
      </c>
      <c r="E48" s="169" t="s">
        <v>1822</v>
      </c>
      <c r="K48" s="398" t="str">
        <f t="shared" si="0"/>
        <v>PSI</v>
      </c>
      <c r="L48" s="398" t="str">
        <f>IFERROR(VLOOKUP(A48,'Recipient sheet'!$A$1:$D$30,4,FALSE),"")</f>
        <v/>
      </c>
      <c r="M48" s="398" t="str">
        <f>IF(F48='Data Sheet'!$B$190,'Data Sheet'!$D$190,IFERROR(INDEX('Data Sheet'!$C$195:$C$196,MATCH(F48,'Data Sheet'!$A$195:$A$196,0))&amp;"",""))</f>
        <v/>
      </c>
    </row>
    <row r="49" spans="1:13" ht="15" x14ac:dyDescent="0.25">
      <c r="A49" s="218"/>
      <c r="B49" s="216"/>
      <c r="C49" s="168"/>
      <c r="D49" s="231"/>
      <c r="E49" s="169"/>
      <c r="K49" s="398" t="str">
        <f t="shared" si="0"/>
        <v/>
      </c>
      <c r="L49" s="398" t="str">
        <f>IFERROR(VLOOKUP(A49,'Recipient sheet'!$A$1:$D$30,4,FALSE),"")</f>
        <v/>
      </c>
      <c r="M49" s="398" t="str">
        <f>IF(F49='Data Sheet'!$B$190,'Data Sheet'!$D$190,IFERROR(INDEX('Data Sheet'!$C$195:$C$196,MATCH(F49,'Data Sheet'!$A$195:$A$196,0))&amp;"",""))</f>
        <v/>
      </c>
    </row>
    <row r="50" spans="1:13" ht="15" x14ac:dyDescent="0.25">
      <c r="A50" s="218"/>
      <c r="B50" s="216"/>
      <c r="C50" s="168"/>
      <c r="D50" s="231"/>
      <c r="E50" s="169"/>
      <c r="K50" s="398" t="str">
        <f t="shared" si="0"/>
        <v/>
      </c>
      <c r="L50" s="398" t="str">
        <f>IFERROR(VLOOKUP(A50,'Recipient sheet'!$A$1:$D$30,4,FALSE),"")</f>
        <v/>
      </c>
      <c r="M50" s="398" t="str">
        <f>IF(F50='Data Sheet'!$B$190,'Data Sheet'!$D$190,IFERROR(INDEX('Data Sheet'!$C$195:$C$196,MATCH(F50,'Data Sheet'!$A$195:$A$196,0))&amp;"",""))</f>
        <v/>
      </c>
    </row>
    <row r="51" spans="1:13" ht="15" x14ac:dyDescent="0.25">
      <c r="A51" s="218"/>
      <c r="B51" s="216"/>
      <c r="C51" s="168"/>
      <c r="D51" s="231"/>
      <c r="E51" s="169"/>
      <c r="K51" s="398" t="str">
        <f t="shared" si="0"/>
        <v/>
      </c>
      <c r="L51" s="398" t="str">
        <f>IFERROR(VLOOKUP(A51,'Recipient sheet'!$A$1:$D$30,4,FALSE),"")</f>
        <v/>
      </c>
      <c r="M51" s="398" t="str">
        <f>IF(F51='Data Sheet'!$B$190,'Data Sheet'!$D$190,IFERROR(INDEX('Data Sheet'!$C$195:$C$196,MATCH(F51,'Data Sheet'!$A$195:$A$196,0))&amp;"",""))</f>
        <v/>
      </c>
    </row>
    <row r="52" spans="1:13" ht="15" x14ac:dyDescent="0.25">
      <c r="A52" s="218"/>
      <c r="B52" s="216"/>
      <c r="C52" s="168"/>
      <c r="D52" s="231"/>
      <c r="E52" s="169"/>
      <c r="K52" s="398" t="str">
        <f t="shared" si="0"/>
        <v/>
      </c>
      <c r="L52" s="398" t="str">
        <f>IFERROR(VLOOKUP(A52,'Recipient sheet'!$A$1:$D$30,4,FALSE),"")</f>
        <v/>
      </c>
      <c r="M52" s="398" t="str">
        <f>IF(F52='Data Sheet'!$B$190,'Data Sheet'!$D$190,IFERROR(INDEX('Data Sheet'!$C$195:$C$196,MATCH(F52,'Data Sheet'!$A$195:$A$196,0))&amp;"",""))</f>
        <v/>
      </c>
    </row>
    <row r="53" spans="1:13" ht="15" x14ac:dyDescent="0.25">
      <c r="A53" s="218"/>
      <c r="B53" s="216"/>
      <c r="C53" s="168"/>
      <c r="D53" s="231"/>
      <c r="E53" s="169"/>
      <c r="K53" s="398" t="str">
        <f t="shared" si="0"/>
        <v/>
      </c>
      <c r="L53" s="398" t="str">
        <f>IFERROR(VLOOKUP(A53,'Recipient sheet'!$A$1:$D$30,4,FALSE),"")</f>
        <v/>
      </c>
      <c r="M53" s="398" t="str">
        <f>IF(F53='Data Sheet'!$B$190,'Data Sheet'!$D$190,IFERROR(INDEX('Data Sheet'!$C$195:$C$196,MATCH(F53,'Data Sheet'!$A$195:$A$196,0))&amp;"",""))</f>
        <v/>
      </c>
    </row>
    <row r="54" spans="1:13" ht="15" x14ac:dyDescent="0.25">
      <c r="A54" s="218"/>
      <c r="B54" s="216"/>
      <c r="C54" s="168"/>
      <c r="D54" s="231"/>
      <c r="E54" s="169"/>
      <c r="K54" s="398" t="str">
        <f t="shared" si="0"/>
        <v/>
      </c>
      <c r="L54" s="398" t="str">
        <f>IFERROR(VLOOKUP(A54,'Recipient sheet'!$A$1:$D$30,4,FALSE),"")</f>
        <v/>
      </c>
      <c r="M54" s="398" t="str">
        <f>IF(F54='Data Sheet'!$B$190,'Data Sheet'!$D$190,IFERROR(INDEX('Data Sheet'!$C$195:$C$196,MATCH(F54,'Data Sheet'!$A$195:$A$196,0))&amp;"",""))</f>
        <v/>
      </c>
    </row>
    <row r="55" spans="1:13" ht="15" x14ac:dyDescent="0.25">
      <c r="A55" s="218"/>
      <c r="B55" s="216"/>
      <c r="C55" s="168"/>
      <c r="D55" s="231"/>
      <c r="E55" s="169"/>
      <c r="K55" s="398" t="str">
        <f t="shared" si="0"/>
        <v/>
      </c>
      <c r="L55" s="398" t="str">
        <f>IFERROR(VLOOKUP(A55,'Recipient sheet'!$A$1:$D$30,4,FALSE),"")</f>
        <v/>
      </c>
      <c r="M55" s="398" t="str">
        <f>IF(F55='Data Sheet'!$B$190,'Data Sheet'!$D$190,IFERROR(INDEX('Data Sheet'!$C$195:$C$196,MATCH(F55,'Data Sheet'!$A$195:$A$196,0))&amp;"",""))</f>
        <v/>
      </c>
    </row>
    <row r="56" spans="1:13" ht="15" x14ac:dyDescent="0.25">
      <c r="A56" s="218"/>
      <c r="B56" s="216"/>
      <c r="C56" s="168"/>
      <c r="D56" s="231"/>
      <c r="E56" s="169"/>
      <c r="K56" s="398" t="str">
        <f t="shared" si="0"/>
        <v/>
      </c>
      <c r="L56" s="398" t="str">
        <f>IFERROR(VLOOKUP(A56,'Recipient sheet'!$A$1:$D$30,4,FALSE),"")</f>
        <v/>
      </c>
      <c r="M56" s="398" t="str">
        <f>IF(F56='Data Sheet'!$B$190,'Data Sheet'!$D$190,IFERROR(INDEX('Data Sheet'!$C$195:$C$196,MATCH(F56,'Data Sheet'!$A$195:$A$196,0))&amp;"",""))</f>
        <v/>
      </c>
    </row>
    <row r="57" spans="1:13" ht="15" x14ac:dyDescent="0.25">
      <c r="A57" s="218"/>
      <c r="B57" s="216"/>
      <c r="C57" s="168"/>
      <c r="D57" s="231"/>
      <c r="E57" s="169"/>
      <c r="K57" s="398" t="str">
        <f t="shared" si="0"/>
        <v/>
      </c>
      <c r="L57" s="398" t="str">
        <f>IFERROR(VLOOKUP(A57,'Recipient sheet'!$A$1:$D$30,4,FALSE),"")</f>
        <v/>
      </c>
      <c r="M57" s="398" t="str">
        <f>IF(F57='Data Sheet'!$B$190,'Data Sheet'!$D$190,IFERROR(INDEX('Data Sheet'!$C$195:$C$196,MATCH(F57,'Data Sheet'!$A$195:$A$196,0))&amp;"",""))</f>
        <v/>
      </c>
    </row>
    <row r="58" spans="1:13" ht="15" x14ac:dyDescent="0.25">
      <c r="A58" s="218"/>
      <c r="B58" s="216"/>
      <c r="C58" s="168"/>
      <c r="D58" s="231"/>
      <c r="E58" s="169"/>
      <c r="K58" s="398" t="str">
        <f t="shared" si="0"/>
        <v/>
      </c>
      <c r="L58" s="398" t="str">
        <f>IFERROR(VLOOKUP(A58,'Recipient sheet'!$A$1:$D$30,4,FALSE),"")</f>
        <v/>
      </c>
      <c r="M58" s="398" t="str">
        <f>IF(F58='Data Sheet'!$B$190,'Data Sheet'!$D$190,IFERROR(INDEX('Data Sheet'!$C$195:$C$196,MATCH(F58,'Data Sheet'!$A$195:$A$196,0))&amp;"",""))</f>
        <v/>
      </c>
    </row>
    <row r="59" spans="1:13" ht="15" x14ac:dyDescent="0.25">
      <c r="A59" s="218"/>
      <c r="B59" s="216"/>
      <c r="C59" s="168"/>
      <c r="D59" s="231"/>
      <c r="E59" s="169"/>
      <c r="K59" s="398" t="str">
        <f t="shared" si="0"/>
        <v/>
      </c>
      <c r="L59" s="398" t="str">
        <f>IFERROR(VLOOKUP(A59,'Recipient sheet'!$A$1:$D$30,4,FALSE),"")</f>
        <v/>
      </c>
      <c r="M59" s="398" t="str">
        <f>IF(F59='Data Sheet'!$B$190,'Data Sheet'!$D$190,IFERROR(INDEX('Data Sheet'!$C$195:$C$196,MATCH(F59,'Data Sheet'!$A$195:$A$196,0))&amp;"",""))</f>
        <v/>
      </c>
    </row>
    <row r="60" spans="1:13" ht="15" x14ac:dyDescent="0.25">
      <c r="A60" s="218"/>
      <c r="B60" s="216"/>
      <c r="C60" s="168"/>
      <c r="D60" s="231"/>
      <c r="E60" s="169"/>
      <c r="K60" s="398" t="str">
        <f t="shared" si="0"/>
        <v/>
      </c>
      <c r="L60" s="398" t="str">
        <f>IFERROR(VLOOKUP(A60,'Recipient sheet'!$A$1:$D$30,4,FALSE),"")</f>
        <v/>
      </c>
      <c r="M60" s="398" t="str">
        <f>IF(F60='Data Sheet'!$B$190,'Data Sheet'!$D$190,IFERROR(INDEX('Data Sheet'!$C$195:$C$196,MATCH(F60,'Data Sheet'!$A$195:$A$196,0))&amp;"",""))</f>
        <v/>
      </c>
    </row>
    <row r="61" spans="1:13" ht="15" x14ac:dyDescent="0.25">
      <c r="A61" s="218"/>
      <c r="B61" s="216"/>
      <c r="C61" s="168"/>
      <c r="D61" s="231"/>
      <c r="E61" s="169"/>
      <c r="K61" s="398" t="str">
        <f t="shared" si="0"/>
        <v/>
      </c>
      <c r="L61" s="398" t="str">
        <f>IFERROR(VLOOKUP(A61,'Recipient sheet'!$A$1:$D$30,4,FALSE),"")</f>
        <v/>
      </c>
      <c r="M61" s="398" t="str">
        <f>IF(F61='Data Sheet'!$B$190,'Data Sheet'!$D$190,IFERROR(INDEX('Data Sheet'!$C$195:$C$196,MATCH(F61,'Data Sheet'!$A$195:$A$196,0))&amp;"",""))</f>
        <v/>
      </c>
    </row>
    <row r="62" spans="1:13" ht="15" x14ac:dyDescent="0.25">
      <c r="A62" s="218"/>
      <c r="B62" s="216"/>
      <c r="C62" s="168"/>
      <c r="D62" s="231"/>
      <c r="E62" s="169"/>
      <c r="K62" s="398" t="str">
        <f t="shared" si="0"/>
        <v/>
      </c>
      <c r="L62" s="398" t="str">
        <f>IFERROR(VLOOKUP(A62,'Recipient sheet'!$A$1:$D$30,4,FALSE),"")</f>
        <v/>
      </c>
      <c r="M62" s="398" t="str">
        <f>IF(F62='Data Sheet'!$B$190,'Data Sheet'!$D$190,IFERROR(INDEX('Data Sheet'!$C$195:$C$196,MATCH(F62,'Data Sheet'!$A$195:$A$196,0))&amp;"",""))</f>
        <v/>
      </c>
    </row>
    <row r="63" spans="1:13" ht="15" x14ac:dyDescent="0.25">
      <c r="A63" s="218"/>
      <c r="B63" s="216"/>
      <c r="C63" s="168"/>
      <c r="D63" s="231"/>
      <c r="E63" s="169"/>
      <c r="K63" s="398" t="str">
        <f t="shared" si="0"/>
        <v/>
      </c>
      <c r="L63" s="398" t="str">
        <f>IFERROR(VLOOKUP(A63,'Recipient sheet'!$A$1:$D$30,4,FALSE),"")</f>
        <v/>
      </c>
      <c r="M63" s="398" t="str">
        <f>IF(F63='Data Sheet'!$B$190,'Data Sheet'!$D$190,IFERROR(INDEX('Data Sheet'!$C$195:$C$196,MATCH(F63,'Data Sheet'!$A$195:$A$196,0))&amp;"",""))</f>
        <v/>
      </c>
    </row>
    <row r="64" spans="1:13" ht="15" x14ac:dyDescent="0.25">
      <c r="A64" s="218"/>
      <c r="B64" s="216"/>
      <c r="C64" s="168"/>
      <c r="D64" s="231"/>
      <c r="E64" s="169"/>
      <c r="K64" s="398" t="str">
        <f t="shared" si="0"/>
        <v/>
      </c>
      <c r="L64" s="398" t="str">
        <f>IFERROR(VLOOKUP(A64,'Recipient sheet'!$A$1:$D$30,4,FALSE),"")</f>
        <v/>
      </c>
      <c r="M64" s="398" t="str">
        <f>IF(F64='Data Sheet'!$B$190,'Data Sheet'!$D$190,IFERROR(INDEX('Data Sheet'!$C$195:$C$196,MATCH(F64,'Data Sheet'!$A$195:$A$196,0))&amp;"",""))</f>
        <v/>
      </c>
    </row>
    <row r="65" spans="1:13" ht="15" x14ac:dyDescent="0.25">
      <c r="A65" s="218"/>
      <c r="B65" s="216"/>
      <c r="C65" s="168"/>
      <c r="D65" s="231"/>
      <c r="E65" s="169"/>
      <c r="K65" s="398" t="str">
        <f t="shared" si="0"/>
        <v/>
      </c>
      <c r="L65" s="398" t="str">
        <f>IFERROR(VLOOKUP(A65,'Recipient sheet'!$A$1:$D$30,4,FALSE),"")</f>
        <v/>
      </c>
      <c r="M65" s="398" t="str">
        <f>IF(F65='Data Sheet'!$B$190,'Data Sheet'!$D$190,IFERROR(INDEX('Data Sheet'!$C$195:$C$196,MATCH(F65,'Data Sheet'!$A$195:$A$196,0))&amp;"",""))</f>
        <v/>
      </c>
    </row>
    <row r="66" spans="1:13" ht="15" x14ac:dyDescent="0.25">
      <c r="A66" s="218"/>
      <c r="B66" s="216"/>
      <c r="C66" s="168"/>
      <c r="D66" s="231"/>
      <c r="E66" s="169"/>
      <c r="K66" s="398" t="str">
        <f t="shared" si="0"/>
        <v/>
      </c>
      <c r="L66" s="398" t="str">
        <f>IFERROR(VLOOKUP(A66,'Recipient sheet'!$A$1:$D$30,4,FALSE),"")</f>
        <v/>
      </c>
      <c r="M66" s="398" t="str">
        <f>IF(F66='Data Sheet'!$B$190,'Data Sheet'!$D$190,IFERROR(INDEX('Data Sheet'!$C$195:$C$196,MATCH(F66,'Data Sheet'!$A$195:$A$196,0))&amp;"",""))</f>
        <v/>
      </c>
    </row>
    <row r="67" spans="1:13" ht="15" x14ac:dyDescent="0.25">
      <c r="A67" s="218"/>
      <c r="B67" s="216"/>
      <c r="C67" s="168"/>
      <c r="D67" s="231"/>
      <c r="E67" s="169"/>
      <c r="K67" s="398" t="str">
        <f t="shared" si="0"/>
        <v/>
      </c>
      <c r="L67" s="398" t="str">
        <f>IFERROR(VLOOKUP(A67,'Recipient sheet'!$A$1:$D$30,4,FALSE),"")</f>
        <v/>
      </c>
      <c r="M67" s="398" t="str">
        <f>IF(F67='Data Sheet'!$B$190,'Data Sheet'!$D$190,IFERROR(INDEX('Data Sheet'!$C$195:$C$196,MATCH(F67,'Data Sheet'!$A$195:$A$196,0))&amp;"",""))</f>
        <v/>
      </c>
    </row>
    <row r="68" spans="1:13" ht="15" x14ac:dyDescent="0.25">
      <c r="A68" s="218"/>
      <c r="B68" s="216"/>
      <c r="C68" s="168"/>
      <c r="D68" s="231"/>
      <c r="E68" s="169"/>
      <c r="K68" s="398" t="str">
        <f t="shared" si="0"/>
        <v/>
      </c>
      <c r="L68" s="398" t="str">
        <f>IFERROR(VLOOKUP(A68,'Recipient sheet'!$A$1:$D$30,4,FALSE),"")</f>
        <v/>
      </c>
      <c r="M68" s="398" t="str">
        <f>IF(F68='Data Sheet'!$B$190,'Data Sheet'!$D$190,IFERROR(INDEX('Data Sheet'!$C$195:$C$196,MATCH(F68,'Data Sheet'!$A$195:$A$196,0))&amp;"",""))</f>
        <v/>
      </c>
    </row>
    <row r="69" spans="1:13" ht="15" x14ac:dyDescent="0.25">
      <c r="A69" s="218"/>
      <c r="B69" s="216"/>
      <c r="C69" s="168"/>
      <c r="D69" s="231"/>
      <c r="E69" s="169"/>
      <c r="K69" s="398" t="str">
        <f t="shared" si="0"/>
        <v/>
      </c>
      <c r="L69" s="398" t="str">
        <f>IFERROR(VLOOKUP(A69,'Recipient sheet'!$A$1:$D$30,4,FALSE),"")</f>
        <v/>
      </c>
      <c r="M69" s="398" t="str">
        <f>IF(F69='Data Sheet'!$B$190,'Data Sheet'!$D$190,IFERROR(INDEX('Data Sheet'!$C$195:$C$196,MATCH(F69,'Data Sheet'!$A$195:$A$196,0))&amp;"",""))</f>
        <v/>
      </c>
    </row>
    <row r="70" spans="1:13" ht="15.75" thickBot="1" x14ac:dyDescent="0.3">
      <c r="A70" s="344"/>
      <c r="B70" s="243"/>
      <c r="C70" s="244"/>
      <c r="D70" s="245"/>
      <c r="E70" s="246"/>
      <c r="K70" s="398" t="str">
        <f t="shared" si="0"/>
        <v/>
      </c>
      <c r="L70" s="398" t="str">
        <f>IFERROR(VLOOKUP(A70,'Recipient sheet'!$A$1:$D$30,4,FALSE),"")</f>
        <v/>
      </c>
      <c r="M70" s="398" t="str">
        <f>IF(F70='Data Sheet'!$B$190,'Data Sheet'!$D$190,IFERROR(INDEX('Data Sheet'!$C$195:$C$196,MATCH(F70,'Data Sheet'!$A$195:$A$196,0))&amp;"",""))</f>
        <v/>
      </c>
    </row>
    <row r="71" spans="1:13" ht="18" customHeight="1" thickBot="1" x14ac:dyDescent="0.3"/>
    <row r="72" spans="1:13" ht="30" customHeight="1" x14ac:dyDescent="0.25">
      <c r="A72" s="345" t="s">
        <v>2042</v>
      </c>
      <c r="C72" s="905" t="s">
        <v>2057</v>
      </c>
      <c r="D72" s="906"/>
    </row>
    <row r="73" spans="1:13" ht="15" x14ac:dyDescent="0.25">
      <c r="A73" s="346" t="s">
        <v>2759</v>
      </c>
      <c r="C73" s="907"/>
      <c r="D73" s="908"/>
    </row>
    <row r="74" spans="1:13" ht="15" x14ac:dyDescent="0.25">
      <c r="A74" s="346" t="s">
        <v>2760</v>
      </c>
      <c r="C74" s="907"/>
      <c r="D74" s="908"/>
    </row>
    <row r="75" spans="1:13" ht="15" x14ac:dyDescent="0.25">
      <c r="A75" s="346" t="s">
        <v>2763</v>
      </c>
      <c r="C75" s="907"/>
      <c r="D75" s="908"/>
    </row>
    <row r="76" spans="1:13" ht="15" x14ac:dyDescent="0.25">
      <c r="A76" s="346" t="s">
        <v>2761</v>
      </c>
      <c r="C76" s="909"/>
      <c r="D76" s="910"/>
    </row>
    <row r="77" spans="1:13" ht="15" x14ac:dyDescent="0.25">
      <c r="A77" s="346" t="s">
        <v>2762</v>
      </c>
    </row>
    <row r="78" spans="1:13" ht="15" x14ac:dyDescent="0.25">
      <c r="A78" s="346"/>
    </row>
    <row r="79" spans="1:13" ht="15" x14ac:dyDescent="0.25">
      <c r="A79" s="346"/>
    </row>
    <row r="80" spans="1:13" ht="15" x14ac:dyDescent="0.25">
      <c r="A80" s="346"/>
    </row>
    <row r="81" spans="1:1" ht="15" x14ac:dyDescent="0.25">
      <c r="A81" s="346"/>
    </row>
    <row r="82" spans="1:1" ht="15" x14ac:dyDescent="0.25">
      <c r="A82" s="346"/>
    </row>
    <row r="83" spans="1:1" ht="15" x14ac:dyDescent="0.25">
      <c r="A83" s="346"/>
    </row>
    <row r="84" spans="1:1" ht="15" x14ac:dyDescent="0.25">
      <c r="A84" s="346"/>
    </row>
    <row r="85" spans="1:1" ht="15" x14ac:dyDescent="0.25">
      <c r="A85" s="346"/>
    </row>
    <row r="86" spans="1:1" ht="15" x14ac:dyDescent="0.25">
      <c r="A86" s="346"/>
    </row>
    <row r="87" spans="1:1" ht="15" x14ac:dyDescent="0.25">
      <c r="A87" s="346"/>
    </row>
    <row r="88" spans="1:1" ht="15" x14ac:dyDescent="0.25">
      <c r="A88" s="346"/>
    </row>
    <row r="89" spans="1:1" ht="15" x14ac:dyDescent="0.25">
      <c r="A89" s="346"/>
    </row>
    <row r="90" spans="1:1" ht="15" x14ac:dyDescent="0.25">
      <c r="A90" s="346"/>
    </row>
    <row r="91" spans="1:1" ht="15.75" thickBot="1" x14ac:dyDescent="0.3">
      <c r="A91" s="387"/>
    </row>
  </sheetData>
  <sheetProtection algorithmName="SHA-512" hashValue="v/EA2F5icMf1v0l41C1ouzMe/4vKFtaASMLlOz8ZHqE6tEjBpQOpysQ1zOBsMWjydPt0JK3r3SogQN2MXJFpvw==" saltValue="A1JgmRepzTVD4fl40hG9wg==" spinCount="100000" sheet="1" objects="1" scenarios="1"/>
  <dataConsolidate link="1"/>
  <mergeCells count="5">
    <mergeCell ref="C72:D76"/>
    <mergeCell ref="E30:F33"/>
    <mergeCell ref="A1:I1"/>
    <mergeCell ref="A18:I18"/>
    <mergeCell ref="F7:G8"/>
  </mergeCells>
  <conditionalFormatting sqref="C7">
    <cfRule type="expression" dxfId="82" priority="6">
      <formula>$C$7&gt;$E$7</formula>
    </cfRule>
  </conditionalFormatting>
  <conditionalFormatting sqref="A44:A70 C44 C49:C70">
    <cfRule type="expression" dxfId="81" priority="5">
      <formula>AND($A44&lt;&gt;"",$C44&lt;&gt;"")</formula>
    </cfRule>
  </conditionalFormatting>
  <conditionalFormatting sqref="E44:E70">
    <cfRule type="expression" dxfId="80" priority="4">
      <formula>AND(OR($A44&lt;&gt;"",$C44&lt;&gt;""),ISBLANK($E44))</formula>
    </cfRule>
  </conditionalFormatting>
  <conditionalFormatting sqref="D44:D70">
    <cfRule type="expression" dxfId="79" priority="3">
      <formula>AND(OR($A44&lt;&gt;"",$C44&lt;&gt;""),ISBLANK($D44))</formula>
    </cfRule>
  </conditionalFormatting>
  <conditionalFormatting sqref="E7">
    <cfRule type="expression" dxfId="78" priority="2">
      <formula>$C$7&gt;$E$7</formula>
    </cfRule>
  </conditionalFormatting>
  <conditionalFormatting sqref="C45:C48">
    <cfRule type="expression" dxfId="77" priority="1">
      <formula>AND($A45&lt;&gt;"",$C45&lt;&gt;"")</formula>
    </cfRule>
  </conditionalFormatting>
  <dataValidations count="10">
    <dataValidation type="list" allowBlank="1" showInputMessage="1" showErrorMessage="1" sqref="C28">
      <formula1>Country</formula1>
    </dataValidation>
    <dataValidation allowBlank="1" showInputMessage="1" sqref="C3"/>
    <dataValidation allowBlank="1" showInputMessage="1" showErrorMessage="1" errorTitle="Disease" error="Select Disease only, you can edit or enter text." sqref="L3"/>
    <dataValidation type="list" allowBlank="1" showInputMessage="1" showErrorMessage="1" sqref="C30">
      <formula1>"EUR,USD"</formula1>
    </dataValidation>
    <dataValidation type="custom" allowBlank="1" showInputMessage="1" showErrorMessage="1" sqref="D31:D41">
      <formula1>ROUND(D31,6)=D31</formula1>
    </dataValidation>
    <dataValidation type="list" allowBlank="1" showInputMessage="1" showErrorMessage="1" sqref="D44:D70">
      <formula1>"PR, SR, LI"</formula1>
    </dataValidation>
    <dataValidation type="list" allowBlank="1" showInputMessage="1" showErrorMessage="1" sqref="A44:A70">
      <formula1>AccountRole</formula1>
    </dataValidation>
    <dataValidation allowBlank="1" showInputMessage="1" showErrorMessage="1" errorTitle="X-Author for Excel" error="Please enter a valid date." promptTitle="X-Author for Excel" sqref="C7"/>
    <dataValidation type="custom" allowBlank="1" showInputMessage="1" showErrorMessage="1" errorTitle="Start Date" error="The IP Start Date should be the first of the month." promptTitle="X-Author for Excel" sqref="C6">
      <formula1>DAY(C6)=1</formula1>
    </dataValidation>
    <dataValidation type="date" allowBlank="1" showInputMessage="1" showErrorMessage="1" errorTitle="X-Author for Excel" error="Please enter a valid date." promptTitle="X-Author for Excel" sqref="C8:C9">
      <formula1>1</formula1>
      <formula2>767376</formula2>
    </dataValidation>
  </dataValidations>
  <pageMargins left="0.75" right="0.75" top="1" bottom="1" header="0.5" footer="0.5"/>
  <pageSetup paperSize="8" scale="56" orientation="portrait" horizontalDpi="4294967292" verticalDpi="4294967292"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'Recipient sheet'!$A$32:$A$45</xm:f>
          </x14:formula1>
          <xm:sqref>E44:E70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7"/>
    <pageSetUpPr fitToPage="1"/>
  </sheetPr>
  <dimension ref="A1:BK147"/>
  <sheetViews>
    <sheetView topLeftCell="C1" zoomScale="80" zoomScaleNormal="80" workbookViewId="0">
      <selection activeCell="C107" sqref="C107"/>
    </sheetView>
  </sheetViews>
  <sheetFormatPr defaultColWidth="9" defaultRowHeight="12.75" x14ac:dyDescent="0.2"/>
  <cols>
    <col min="1" max="2" width="13.75" style="32" hidden="1" customWidth="1"/>
    <col min="3" max="3" width="37.75" style="32" customWidth="1"/>
    <col min="4" max="5" width="12.75" style="34" customWidth="1"/>
    <col min="6" max="6" width="12.25" style="34" customWidth="1"/>
    <col min="7" max="7" width="10.75" style="34" customWidth="1"/>
    <col min="8" max="8" width="21.25" style="34" customWidth="1"/>
    <col min="9" max="9" width="11.75" style="34" customWidth="1"/>
    <col min="10" max="10" width="11.25" style="34" customWidth="1"/>
    <col min="11" max="11" width="12.5" style="34" customWidth="1"/>
    <col min="12" max="12" width="11.75" style="34" customWidth="1"/>
    <col min="13" max="13" width="15.5" style="34" customWidth="1"/>
    <col min="14" max="15" width="11.25" style="34" customWidth="1"/>
    <col min="16" max="16" width="12.25" style="34" customWidth="1"/>
    <col min="17" max="17" width="13" style="34" customWidth="1"/>
    <col min="18" max="18" width="17.75" style="34" customWidth="1"/>
    <col min="19" max="19" width="12.5" style="34" hidden="1" customWidth="1"/>
    <col min="20" max="20" width="13.625" style="34" hidden="1" customWidth="1"/>
    <col min="21" max="21" width="13.75" style="34" hidden="1" customWidth="1"/>
    <col min="22" max="22" width="14.25" style="34" hidden="1" customWidth="1"/>
    <col min="23" max="23" width="16.75" style="34" hidden="1" customWidth="1"/>
    <col min="24" max="24" width="17.125" style="34" customWidth="1"/>
    <col min="25" max="16384" width="9" style="32"/>
  </cols>
  <sheetData>
    <row r="1" spans="2:63" s="35" customFormat="1" ht="15.75" x14ac:dyDescent="0.2">
      <c r="C1" s="367" t="str">
        <f>Setup!A11</f>
        <v>Component Name</v>
      </c>
      <c r="D1" s="938" t="str">
        <f>'Data Sheet'!$A$280 &amp; IF('Data Sheet'!A281 &lt;&gt; "", "," &amp; 'Data Sheet'!A281 &amp; IF('Data Sheet'!A282 &lt;&gt; "", "," &amp; 'Data Sheet'!A282 &amp; IF('Data Sheet'!A283 &lt;&gt; "", "," &amp; 'Data Sheet'!A283,""),""),"")</f>
        <v>HIV/AIDS</v>
      </c>
      <c r="E1" s="938"/>
      <c r="F1" s="939"/>
      <c r="G1" s="36"/>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row>
    <row r="2" spans="2:63" s="35" customFormat="1" ht="15.75" x14ac:dyDescent="0.2">
      <c r="C2" s="368" t="str">
        <f ca="1">Setup!A4</f>
        <v>Country / Applicant:</v>
      </c>
      <c r="D2" s="940" t="str">
        <f>Setup!C4</f>
        <v>Lao (Peoples Democratic Republic)</v>
      </c>
      <c r="E2" s="940"/>
      <c r="F2" s="941"/>
      <c r="G2" s="36"/>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row>
    <row r="3" spans="2:63" s="35" customFormat="1" ht="15.75" x14ac:dyDescent="0.2">
      <c r="C3" s="368" t="s">
        <v>1745</v>
      </c>
      <c r="D3" s="940" t="str">
        <f>IFERROR(INDEX(Setup!$K$44:$K$71,MATCH("PR",Setup!$D$44:$D$71,0)),"")</f>
        <v>Ministry of Health of the Lao People's Democratic Republic</v>
      </c>
      <c r="E3" s="940"/>
      <c r="F3" s="941"/>
      <c r="G3" s="36"/>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row>
    <row r="4" spans="2:63" ht="15.75" x14ac:dyDescent="0.2">
      <c r="C4" s="369" t="str">
        <f>Setup!A5</f>
        <v>Application/Grant Name</v>
      </c>
      <c r="D4" s="940" t="str">
        <f>Setup!C5</f>
        <v>LAO-H-GFMOH</v>
      </c>
      <c r="E4" s="940"/>
      <c r="F4" s="941"/>
    </row>
    <row r="5" spans="2:63" ht="15.75" x14ac:dyDescent="0.2">
      <c r="C5" s="369" t="str">
        <f>Setup!A6</f>
        <v>IP Start Date</v>
      </c>
      <c r="D5" s="942">
        <f>Setup!C6</f>
        <v>43101</v>
      </c>
      <c r="E5" s="942"/>
      <c r="F5" s="943"/>
    </row>
    <row r="6" spans="2:63" ht="15.75" x14ac:dyDescent="0.2">
      <c r="C6" s="369" t="str">
        <f>Setup!A7</f>
        <v>IP End Date</v>
      </c>
      <c r="D6" s="942">
        <f>Setup!C7</f>
        <v>44196</v>
      </c>
      <c r="E6" s="942"/>
      <c r="F6" s="943"/>
    </row>
    <row r="7" spans="2:63" s="35" customFormat="1" ht="16.5" thickBot="1" x14ac:dyDescent="0.25">
      <c r="C7" s="370" t="s">
        <v>1746</v>
      </c>
      <c r="D7" s="936" t="str">
        <f>Setup!C30</f>
        <v>USD</v>
      </c>
      <c r="E7" s="936"/>
      <c r="F7" s="937"/>
      <c r="G7" s="36"/>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row>
    <row r="8" spans="2:63" s="35" customFormat="1" x14ac:dyDescent="0.2">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row>
    <row r="9" spans="2:63" s="35" customFormat="1" ht="18" x14ac:dyDescent="0.25">
      <c r="C9" s="80" t="s">
        <v>1941</v>
      </c>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row>
    <row r="10" spans="2:63" s="35" customFormat="1" ht="18" x14ac:dyDescent="0.25">
      <c r="C10" s="75"/>
      <c r="D10" s="36"/>
      <c r="E10" s="36"/>
      <c r="F10" s="36"/>
      <c r="G10" s="36"/>
      <c r="H10" s="36"/>
      <c r="I10" s="36"/>
      <c r="J10" s="36"/>
      <c r="K10" s="36"/>
      <c r="L10" s="36"/>
      <c r="M10" s="36"/>
      <c r="N10" s="36"/>
      <c r="O10" s="36"/>
      <c r="P10" s="36"/>
      <c r="Q10" s="36"/>
      <c r="R10" s="36"/>
      <c r="S10" s="36"/>
      <c r="T10" s="36"/>
      <c r="U10" s="36"/>
      <c r="V10" s="36"/>
      <c r="W10" s="36"/>
      <c r="X10" s="36"/>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row>
    <row r="11" spans="2:63" s="37" customFormat="1" ht="18" x14ac:dyDescent="0.25">
      <c r="C11" s="37" t="str">
        <f ca="1">Translations!A143</f>
        <v>Budget Summary (in grant currency)</v>
      </c>
      <c r="D11" s="38"/>
      <c r="E11" s="38"/>
      <c r="F11" s="38"/>
      <c r="G11" s="38"/>
      <c r="H11" s="38"/>
      <c r="I11" s="38"/>
      <c r="J11" s="38"/>
      <c r="K11" s="38"/>
      <c r="L11" s="38"/>
      <c r="M11" s="38"/>
      <c r="N11" s="38"/>
      <c r="O11" s="38"/>
      <c r="P11" s="38"/>
      <c r="Q11" s="38"/>
      <c r="R11" s="38"/>
      <c r="S11" s="38"/>
      <c r="T11" s="38"/>
      <c r="U11" s="38"/>
      <c r="V11" s="38"/>
      <c r="W11" s="38"/>
      <c r="X11" s="38"/>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row>
    <row r="12" spans="2:63" s="37" customFormat="1" ht="18.75" thickBot="1" x14ac:dyDescent="0.3">
      <c r="D12" s="38"/>
      <c r="E12" s="38"/>
      <c r="F12" s="38"/>
      <c r="G12" s="38"/>
      <c r="H12" s="38"/>
      <c r="I12" s="38"/>
      <c r="J12" s="38"/>
      <c r="K12" s="38"/>
      <c r="L12" s="38"/>
      <c r="M12" s="38"/>
      <c r="N12" s="38"/>
      <c r="O12" s="38"/>
      <c r="P12" s="38"/>
      <c r="Q12" s="38"/>
      <c r="R12" s="38"/>
      <c r="S12" s="38"/>
      <c r="T12" s="38"/>
      <c r="U12" s="38"/>
      <c r="V12" s="38"/>
      <c r="W12" s="38"/>
      <c r="X12" s="38"/>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row>
    <row r="13" spans="2:63" s="37" customFormat="1" ht="18" x14ac:dyDescent="0.25">
      <c r="D13" s="198">
        <f>Setup!C20</f>
        <v>43101</v>
      </c>
      <c r="E13" s="199">
        <f>Setup!C22</f>
        <v>43191</v>
      </c>
      <c r="F13" s="199">
        <f>Setup!C24</f>
        <v>43282</v>
      </c>
      <c r="G13" s="202">
        <f>Setup!C26</f>
        <v>43374</v>
      </c>
      <c r="H13" s="204"/>
      <c r="I13" s="198">
        <f>Setup!E20</f>
        <v>43466</v>
      </c>
      <c r="J13" s="199">
        <f>Setup!E22</f>
        <v>43556</v>
      </c>
      <c r="K13" s="199">
        <f>Setup!E24</f>
        <v>43647</v>
      </c>
      <c r="L13" s="202">
        <f>Setup!E26</f>
        <v>43739</v>
      </c>
      <c r="M13" s="204"/>
      <c r="N13" s="198">
        <f>Setup!G20</f>
        <v>43831</v>
      </c>
      <c r="O13" s="199">
        <f>Setup!G22</f>
        <v>43922</v>
      </c>
      <c r="P13" s="199">
        <f>Setup!G24</f>
        <v>44013</v>
      </c>
      <c r="Q13" s="202">
        <f>Setup!G26</f>
        <v>44105</v>
      </c>
      <c r="R13" s="204"/>
      <c r="S13" s="198" t="str">
        <f>Setup!I20</f>
        <v/>
      </c>
      <c r="T13" s="199" t="str">
        <f>Setup!I22</f>
        <v/>
      </c>
      <c r="U13" s="199" t="str">
        <f>Setup!I24</f>
        <v/>
      </c>
      <c r="V13" s="202" t="str">
        <f>Setup!I26</f>
        <v/>
      </c>
      <c r="W13" s="38"/>
      <c r="X13" s="38"/>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row>
    <row r="14" spans="2:63" s="37" customFormat="1" ht="18.75" thickBot="1" x14ac:dyDescent="0.3">
      <c r="D14" s="200">
        <f>Setup!C21</f>
        <v>43190</v>
      </c>
      <c r="E14" s="201">
        <f>Setup!C23</f>
        <v>43281</v>
      </c>
      <c r="F14" s="201">
        <f>Setup!C25</f>
        <v>43373</v>
      </c>
      <c r="G14" s="203">
        <f>Setup!C27</f>
        <v>43465</v>
      </c>
      <c r="H14" s="204"/>
      <c r="I14" s="200">
        <f>Setup!E21</f>
        <v>43555</v>
      </c>
      <c r="J14" s="201">
        <f>Setup!E23</f>
        <v>43646</v>
      </c>
      <c r="K14" s="201">
        <f>Setup!E25</f>
        <v>43738</v>
      </c>
      <c r="L14" s="203">
        <f>Setup!E27</f>
        <v>43830</v>
      </c>
      <c r="M14" s="204"/>
      <c r="N14" s="200">
        <f>Setup!G21</f>
        <v>43921</v>
      </c>
      <c r="O14" s="201">
        <f>Setup!G23</f>
        <v>44012</v>
      </c>
      <c r="P14" s="201">
        <f>Setup!G25</f>
        <v>44104</v>
      </c>
      <c r="Q14" s="203">
        <f>Setup!G27</f>
        <v>44196</v>
      </c>
      <c r="R14" s="204"/>
      <c r="S14" s="200" t="str">
        <f>Setup!I21</f>
        <v/>
      </c>
      <c r="T14" s="201" t="str">
        <f>Setup!I23</f>
        <v/>
      </c>
      <c r="U14" s="201" t="str">
        <f>Setup!I25</f>
        <v/>
      </c>
      <c r="V14" s="203" t="str">
        <f>Setup!I27</f>
        <v/>
      </c>
      <c r="W14" s="38"/>
      <c r="X14" s="38"/>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row>
    <row r="15" spans="2:63" s="35" customFormat="1" ht="18" x14ac:dyDescent="0.25">
      <c r="C15" s="37"/>
      <c r="D15" s="36"/>
      <c r="E15" s="36"/>
      <c r="F15" s="36"/>
      <c r="G15" s="36"/>
      <c r="H15" s="36"/>
      <c r="I15" s="36"/>
      <c r="J15" s="36"/>
      <c r="K15" s="36"/>
      <c r="L15" s="36"/>
      <c r="M15" s="36"/>
      <c r="N15" s="36"/>
      <c r="O15" s="36"/>
      <c r="P15" s="36"/>
      <c r="Q15" s="36"/>
      <c r="R15" s="36"/>
      <c r="S15" s="36"/>
      <c r="T15" s="36"/>
      <c r="U15" s="36"/>
      <c r="V15" s="36"/>
      <c r="W15" s="36"/>
      <c r="X15" s="36"/>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row>
    <row r="16" spans="2:63" s="81" customFormat="1" ht="40.5" customHeight="1" x14ac:dyDescent="0.25">
      <c r="B16" s="81" t="str">
        <f>""</f>
        <v/>
      </c>
      <c r="C16" s="82" t="s">
        <v>1797</v>
      </c>
      <c r="D16" s="83" t="s">
        <v>1168</v>
      </c>
      <c r="E16" s="83" t="s">
        <v>1169</v>
      </c>
      <c r="F16" s="83" t="s">
        <v>1170</v>
      </c>
      <c r="G16" s="83" t="s">
        <v>1171</v>
      </c>
      <c r="H16" s="83" t="str">
        <f ca="1">Translations!A160</f>
        <v>Year 1</v>
      </c>
      <c r="I16" s="83" t="s">
        <v>1223</v>
      </c>
      <c r="J16" s="83" t="s">
        <v>1224</v>
      </c>
      <c r="K16" s="83" t="s">
        <v>1225</v>
      </c>
      <c r="L16" s="83" t="s">
        <v>1226</v>
      </c>
      <c r="M16" s="83" t="str">
        <f ca="1">Translations!A161</f>
        <v>Year 2</v>
      </c>
      <c r="N16" s="83" t="s">
        <v>1227</v>
      </c>
      <c r="O16" s="83" t="s">
        <v>1228</v>
      </c>
      <c r="P16" s="83" t="s">
        <v>1229</v>
      </c>
      <c r="Q16" s="83" t="s">
        <v>1230</v>
      </c>
      <c r="R16" s="83" t="str">
        <f ca="1">Translations!A162</f>
        <v>Year 3</v>
      </c>
      <c r="S16" s="83" t="s">
        <v>1231</v>
      </c>
      <c r="T16" s="83" t="s">
        <v>1232</v>
      </c>
      <c r="U16" s="83" t="s">
        <v>1233</v>
      </c>
      <c r="V16" s="83" t="s">
        <v>1234</v>
      </c>
      <c r="W16" s="83" t="str">
        <f ca="1">Translations!A163</f>
        <v>Year 4</v>
      </c>
      <c r="X16" s="83" t="str">
        <f ca="1">Translations!A174</f>
        <v>Total</v>
      </c>
      <c r="Y16" s="83" t="s">
        <v>1864</v>
      </c>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row>
    <row r="17" spans="1:63" s="35" customFormat="1" ht="39" x14ac:dyDescent="0.25">
      <c r="A17" s="42"/>
      <c r="B17" s="81" t="str">
        <f t="array" ref="B17">IFERROR(INDEX(IntIdList,MATCH(0,COUNTIF(IntIdList,"&lt;"&amp;IntIdList)-SUM(COUNTIF(IntIdList,B$16:B16)),0)),"")</f>
        <v>a1O36000001EGGbEAO</v>
      </c>
      <c r="C17" s="43" t="str">
        <f>IFERROR(INDEX('Data Sheet'!$D$29:$D$174,MATCH(B17,'Data Sheet'!$E$29:$E$174,0)) &amp; " - " &amp; INDEX('Data Sheet'!$C$29:$C$174,MATCH(B17,'Data Sheet'!$E$29:$E$174,0)),"")</f>
        <v>Comprehensive prevention programs for sex workers and their clients - HIV testing services for sex workers</v>
      </c>
      <c r="D17" s="44">
        <f>IF(SUMIF('Detailed Budget'!$F$5:$F$1005,$B17,'Detailed Budget'!$AA$5:$AA$1005)&gt;0,SUMIF('Detailed Budget'!$F$5:$F$1005,$B17,'Detailed Budget'!$AA$5:$AA$1005),"")</f>
        <v>7751.6675680129383</v>
      </c>
      <c r="E17" s="44">
        <f>IF(SUMIF('Detailed Budget'!$F$5:$F$1005,$B17,'Detailed Budget'!$AC$5:$AC$1005)&gt;0,SUMIF('Detailed Budget'!$F$5:$F$1005,$B17,'Detailed Budget'!$AC$5:$AC$1005),"")</f>
        <v>11792.508466759511</v>
      </c>
      <c r="F17" s="44">
        <f>IF(SUMIF('Detailed Budget'!$F$5:$F$1005,$B17,'Detailed Budget'!$AE$5:$AE$1005)&gt;0,SUMIF('Detailed Budget'!$F$5:$F$1005,$B17,'Detailed Budget'!$AE$5:$AE$1005),"")</f>
        <v>11792.508466759511</v>
      </c>
      <c r="G17" s="44">
        <f>IF(SUMIF('Detailed Budget'!$F$5:$F$1005,$B17,'Detailed Budget'!$AG$5:$AG$1005)&gt;0,SUMIF('Detailed Budget'!$F$5:$F$1005,$B17,'Detailed Budget'!$AG$5:$AG$1005),"")</f>
        <v>12144.523644871735</v>
      </c>
      <c r="H17" s="45">
        <f>IF(SUMIF('Detailed Budget'!$F$5:$F$1005,$B17,'Detailed Budget'!$AI$5:$AI$1005)&gt;0,SUMIF('Detailed Budget'!$F$5:$F$1005,$B17,'Detailed Budget'!$AI$5:$AI$1005),"")</f>
        <v>43481.208146403704</v>
      </c>
      <c r="I17" s="44">
        <f>IF(SUMIF('Detailed Budget'!$F$5:$F$1005,$B17,'Detailed Budget'!$AN$5:$AN$1005)&gt;0,SUMIF('Detailed Budget'!$F$5:$F$1005,$B17,'Detailed Budget'!$AN$5:$AN$1005),"")</f>
        <v>7751.6675680129383</v>
      </c>
      <c r="J17" s="44">
        <f>IF(SUMIF('Detailed Budget'!$F$5:$F$1005,$B17,'Detailed Budget'!$AP$5:$AP$1005)&gt;0,SUMIF('Detailed Budget'!$F$5:$F$1005,$B17,'Detailed Budget'!$AP$5:$AP$1005),"")</f>
        <v>11792.508466759511</v>
      </c>
      <c r="K17" s="44">
        <f>IF(SUMIF('Detailed Budget'!$F$5:$F$1005,$B17,'Detailed Budget'!$AR$5:$AR$1005)&gt;0,SUMIF('Detailed Budget'!$F$5:$F$1005,$B17,'Detailed Budget'!$AR$5:$AR$1005),"")</f>
        <v>11792.508466759511</v>
      </c>
      <c r="L17" s="44">
        <f>IF(SUMIF('Detailed Budget'!$F$5:$F$1005,$B17,'Detailed Budget'!$AT$5:$AT$1005)&gt;0,SUMIF('Detailed Budget'!$F$5:$F$1005,$B17,'Detailed Budget'!$AT$5:$AT$1005),"")</f>
        <v>12144.523644871735</v>
      </c>
      <c r="M17" s="45">
        <f>IF(SUMIF('Detailed Budget'!$F$5:$F$1005,$B17,'Detailed Budget'!$AV$5:$AV$1005)&gt;0,SUMIF('Detailed Budget'!$F$5:$F$1005,$B17,'Detailed Budget'!$AV$5:$AV$1005),"")</f>
        <v>43481.208146403704</v>
      </c>
      <c r="N17" s="44">
        <f>IF(SUMIF('Detailed Budget'!$F$5:$F$1005,$B17,'Detailed Budget'!$BA$5:$BA$1005)&gt;0,SUMIF('Detailed Budget'!$F$5:$F$1005,$B17,'Detailed Budget'!$BA$5:$BA$1005),"")</f>
        <v>7751.6675680129383</v>
      </c>
      <c r="O17" s="44">
        <f>IF(SUMIF('Detailed Budget'!$F$5:$F$1005,$B17,'Detailed Budget'!$BC$5:$BC$1005)&gt;0,SUMIF('Detailed Budget'!$F$5:$F$1005,$B17,'Detailed Budget'!$BC$5:$BC$1005),"")</f>
        <v>11792.508466759511</v>
      </c>
      <c r="P17" s="44">
        <f>IF(SUMIF('Detailed Budget'!$F$5:$F$1005,$B17,'Detailed Budget'!$BE$5:$BE$1005)&gt;0,SUMIF('Detailed Budget'!$F$5:$F$1005,$B17,'Detailed Budget'!$BE$5:$BE$1005),"")</f>
        <v>11792.508466759511</v>
      </c>
      <c r="Q17" s="44">
        <f>IF(SUMIF('Detailed Budget'!$F$5:$F$1005,$B17,'Detailed Budget'!$BG$5:$BG$1005)&gt;0,SUMIF('Detailed Budget'!$F$5:$F$1005,$B17,'Detailed Budget'!$BG$5:$BG$1005),"")</f>
        <v>12144.523644871735</v>
      </c>
      <c r="R17" s="45">
        <f>IF(SUMIF('Detailed Budget'!$F$5:$F$1005,$B17,'Detailed Budget'!$BI$5:$BI$1005)&gt;0,SUMIF('Detailed Budget'!$F$5:$F$1005,$B17,'Detailed Budget'!$BI$5:$BI$1005),"")</f>
        <v>43481.208146403704</v>
      </c>
      <c r="S17" s="44" t="str">
        <f>IF(SUMIF('Detailed Budget'!$F$5:$F$1005,$B17,'Detailed Budget'!$BN$5:$BN$1005)&gt;0,SUMIF('Detailed Budget'!$F$5:$F$1005,$B17,'Detailed Budget'!$BN$5:$BN$1005),"")</f>
        <v/>
      </c>
      <c r="T17" s="44" t="str">
        <f>IF(SUMIF('Detailed Budget'!$F$5:$F$1005,$B17,'Detailed Budget'!$BP$5:$BP$1005)&gt;0,SUMIF('Detailed Budget'!$F$5:$F$1005,$B17,'Detailed Budget'!$BP$5:$BP$1005),"")</f>
        <v/>
      </c>
      <c r="U17" s="44" t="str">
        <f>IF(SUMIF('Detailed Budget'!$F$5:$F$1005,$B17,'Detailed Budget'!$BR$5:$BR$1005)&gt;0,SUMIF('Detailed Budget'!$F$5:$F$1005,$B17,'Detailed Budget'!$BR$5:$BR$1005),"")</f>
        <v/>
      </c>
      <c r="V17" s="44" t="str">
        <f>IF(SUMIF('Detailed Budget'!$F$5:$F$1005,$B16,'Detailed Budget'!$BT$5:$BT$1005)&gt;0,SUMIF('Detailed Budget'!$F$5:$F$1005,$B16,'Detailed Budget'!$BT$5:$BT$1005),"")</f>
        <v/>
      </c>
      <c r="W17" s="45" t="str">
        <f>IF(SUMIF('Detailed Budget'!$F$5:$F$1005,$B17,'Detailed Budget'!$BV$5:$BV$1005)&gt;0,SUMIF('Detailed Budget'!$F$5:$F$1005,$B17,'Detailed Budget'!$BV$5:$BV$1005),"")</f>
        <v/>
      </c>
      <c r="X17" s="44">
        <f t="shared" ref="X17:X60" si="0">IF(SUM(H17,M17,R17,W17)&gt;0,SUM(H17,M17,R17,W17),"")</f>
        <v>130443.62443921111</v>
      </c>
      <c r="Y17" s="124">
        <f>IFERROR(X17/$X$107,"")</f>
        <v>1.8818554018933915E-2</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row>
    <row r="18" spans="1:63" s="35" customFormat="1" ht="39" x14ac:dyDescent="0.25">
      <c r="A18" s="42"/>
      <c r="B18" s="81" t="str">
        <f t="array" ref="B18">IFERROR(INDEX(IntIdList,MATCH(0,COUNTIF(IntIdList,"&lt;"&amp;IntIdList)-SUM(COUNTIF(IntIdList,B$16:B17)),0)),"")</f>
        <v>a1O36000001EGGeEAO</v>
      </c>
      <c r="C18" s="43" t="str">
        <f>IFERROR(INDEX('Data Sheet'!$D$29:$D$174,MATCH(B18,'Data Sheet'!$E$29:$E$174,0)) &amp; " - " &amp; INDEX('Data Sheet'!$C$29:$C$174,MATCH(B18,'Data Sheet'!$E$29:$E$174,0)),"")</f>
        <v>Comprehensive prevention programs for sex workers and their clients - Other intervention(s) for sex workers and their clients</v>
      </c>
      <c r="D18" s="44">
        <f>IF(SUMIF('Detailed Budget'!$F$5:$F$1005,$B18,'Detailed Budget'!$AA$5:$AA$1005)&gt;0,SUMIF('Detailed Budget'!$F$5:$F$1005,$B18,'Detailed Budget'!$AA$5:$AA$1005),"")</f>
        <v>5400.0000000000009</v>
      </c>
      <c r="E18" s="44">
        <f>IF(SUMIF('Detailed Budget'!$F$5:$F$1005,$B18,'Detailed Budget'!$AC$5:$AC$1005)&gt;0,SUMIF('Detailed Budget'!$F$5:$F$1005,$B18,'Detailed Budget'!$AC$5:$AC$1005),"")</f>
        <v>5400.0000000000009</v>
      </c>
      <c r="F18" s="44">
        <f>IF(SUMIF('Detailed Budget'!$F$5:$F$1005,$B18,'Detailed Budget'!$AE$5:$AE$1005)&gt;0,SUMIF('Detailed Budget'!$F$5:$F$1005,$B18,'Detailed Budget'!$AE$5:$AE$1005),"")</f>
        <v>5400.0000000000009</v>
      </c>
      <c r="G18" s="44">
        <f>IF(SUMIF('Detailed Budget'!$F$5:$F$1005,$B18,'Detailed Budget'!$AG$5:$AG$1005)&gt;0,SUMIF('Detailed Budget'!$F$5:$F$1005,$B18,'Detailed Budget'!$AG$5:$AG$1005),"")</f>
        <v>5400.0000000000009</v>
      </c>
      <c r="H18" s="45">
        <f>IF(SUMIF('Detailed Budget'!$F$5:$F$1005,$B18,'Detailed Budget'!$AI$5:$AI$1005)&gt;0,SUMIF('Detailed Budget'!$F$5:$F$1005,$B18,'Detailed Budget'!$AI$5:$AI$1005),"")</f>
        <v>21600.000000000004</v>
      </c>
      <c r="I18" s="44">
        <f>IF(SUMIF('Detailed Budget'!$F$5:$F$1005,$B18,'Detailed Budget'!$AN$5:$AN$1005)&gt;0,SUMIF('Detailed Budget'!$F$5:$F$1005,$B18,'Detailed Budget'!$AN$5:$AN$1005),"")</f>
        <v>5400.0000000000009</v>
      </c>
      <c r="J18" s="44">
        <f>IF(SUMIF('Detailed Budget'!$F$5:$F$1005,$B18,'Detailed Budget'!$AP$5:$AP$1005)&gt;0,SUMIF('Detailed Budget'!$F$5:$F$1005,$B18,'Detailed Budget'!$AP$5:$AP$1005),"")</f>
        <v>5400.0000000000009</v>
      </c>
      <c r="K18" s="44">
        <f>IF(SUMIF('Detailed Budget'!$F$5:$F$1005,$B18,'Detailed Budget'!$AR$5:$AR$1005)&gt;0,SUMIF('Detailed Budget'!$F$5:$F$1005,$B18,'Detailed Budget'!$AR$5:$AR$1005),"")</f>
        <v>5400.0000000000009</v>
      </c>
      <c r="L18" s="44">
        <f>IF(SUMIF('Detailed Budget'!$F$5:$F$1005,$B18,'Detailed Budget'!$AT$5:$AT$1005)&gt;0,SUMIF('Detailed Budget'!$F$5:$F$1005,$B18,'Detailed Budget'!$AT$5:$AT$1005),"")</f>
        <v>5400.0000000000009</v>
      </c>
      <c r="M18" s="45">
        <f>IF(SUMIF('Detailed Budget'!$F$5:$F$1005,$B18,'Detailed Budget'!$AV$5:$AV$1005)&gt;0,SUMIF('Detailed Budget'!$F$5:$F$1005,$B18,'Detailed Budget'!$AV$5:$AV$1005),"")</f>
        <v>21600.000000000004</v>
      </c>
      <c r="N18" s="44">
        <f>IF(SUMIF('Detailed Budget'!$F$5:$F$1005,$B18,'Detailed Budget'!$BA$5:$BA$1005)&gt;0,SUMIF('Detailed Budget'!$F$5:$F$1005,$B18,'Detailed Budget'!$BA$5:$BA$1005),"")</f>
        <v>5400.0000000000009</v>
      </c>
      <c r="O18" s="44">
        <f>IF(SUMIF('Detailed Budget'!$F$5:$F$1005,$B18,'Detailed Budget'!$BC$5:$BC$1005)&gt;0,SUMIF('Detailed Budget'!$F$5:$F$1005,$B18,'Detailed Budget'!$BC$5:$BC$1005),"")</f>
        <v>5400.0000000000009</v>
      </c>
      <c r="P18" s="44">
        <f>IF(SUMIF('Detailed Budget'!$F$5:$F$1005,$B18,'Detailed Budget'!$BE$5:$BE$1005)&gt;0,SUMIF('Detailed Budget'!$F$5:$F$1005,$B18,'Detailed Budget'!$BE$5:$BE$1005),"")</f>
        <v>5400.0000000000009</v>
      </c>
      <c r="Q18" s="44">
        <f>IF(SUMIF('Detailed Budget'!$F$5:$F$1005,$B18,'Detailed Budget'!$BG$5:$BG$1005)&gt;0,SUMIF('Detailed Budget'!$F$5:$F$1005,$B18,'Detailed Budget'!$BG$5:$BG$1005),"")</f>
        <v>5400.0000000000009</v>
      </c>
      <c r="R18" s="45">
        <f>IF(SUMIF('Detailed Budget'!$F$5:$F$1005,$B18,'Detailed Budget'!$BI$5:$BI$1005)&gt;0,SUMIF('Detailed Budget'!$F$5:$F$1005,$B18,'Detailed Budget'!$BI$5:$BI$1005),"")</f>
        <v>21600.000000000004</v>
      </c>
      <c r="S18" s="44" t="str">
        <f>IF(SUMIF('Detailed Budget'!$F$5:$F$1005,$B18,'Detailed Budget'!$BN$5:$BN$1005)&gt;0,SUMIF('Detailed Budget'!$F$5:$F$1005,$B18,'Detailed Budget'!$BN$5:$BN$1005),"")</f>
        <v/>
      </c>
      <c r="T18" s="44" t="str">
        <f>IF(SUMIF('Detailed Budget'!$F$5:$F$1005,$B18,'Detailed Budget'!$BP$5:$BP$1005)&gt;0,SUMIF('Detailed Budget'!$F$5:$F$1005,$B18,'Detailed Budget'!$BP$5:$BP$1005),"")</f>
        <v/>
      </c>
      <c r="U18" s="44" t="str">
        <f>IF(SUMIF('Detailed Budget'!$F$5:$F$1005,$B18,'Detailed Budget'!$BR$5:$BR$1005)&gt;0,SUMIF('Detailed Budget'!$F$5:$F$1005,$B18,'Detailed Budget'!$BR$5:$BR$1005),"")</f>
        <v/>
      </c>
      <c r="V18" s="44" t="str">
        <f>IF(SUMIF('Detailed Budget'!$F$5:$F$1005,$B17,'Detailed Budget'!$BT$5:$BT$1005)&gt;0,SUMIF('Detailed Budget'!$F$5:$F$1005,$B17,'Detailed Budget'!$BT$5:$BT$1005),"")</f>
        <v/>
      </c>
      <c r="W18" s="45" t="str">
        <f>IF(SUMIF('Detailed Budget'!$F$5:$F$1005,$B18,'Detailed Budget'!$BV$5:$BV$1005)&gt;0,SUMIF('Detailed Budget'!$F$5:$F$1005,$B18,'Detailed Budget'!$BV$5:$BV$1005),"")</f>
        <v/>
      </c>
      <c r="X18" s="44">
        <f t="shared" si="0"/>
        <v>64800.000000000015</v>
      </c>
      <c r="Y18" s="124">
        <f t="shared" ref="Y18:Y81" si="1">IFERROR(X18/$X$107,"")</f>
        <v>9.348423931559784E-3</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row>
    <row r="19" spans="1:63" s="35" customFormat="1" ht="39" x14ac:dyDescent="0.25">
      <c r="A19" s="42"/>
      <c r="B19" s="81" t="str">
        <f t="array" ref="B19">IFERROR(INDEX(IntIdList,MATCH(0,COUNTIF(IntIdList,"&lt;"&amp;IntIdList)-SUM(COUNTIF(IntIdList,B$16:B18)),0)),"")</f>
        <v>a1O36000001EGGZEA4</v>
      </c>
      <c r="C19" s="43" t="str">
        <f>IFERROR(INDEX('Data Sheet'!$D$29:$D$174,MATCH(B19,'Data Sheet'!$E$29:$E$174,0)) &amp; " - " &amp; INDEX('Data Sheet'!$C$29:$C$174,MATCH(B19,'Data Sheet'!$E$29:$E$174,0)),"")</f>
        <v>Comprehensive prevention programs for sex workers and their clients - Behavioral interventions for sex workers</v>
      </c>
      <c r="D19" s="44">
        <f>IF(SUMIF('Detailed Budget'!$F$5:$F$1005,$B19,'Detailed Budget'!$AA$5:$AA$1005)&gt;0,SUMIF('Detailed Budget'!$F$5:$F$1005,$B19,'Detailed Budget'!$AA$5:$AA$1005),"")</f>
        <v>30074.510270495066</v>
      </c>
      <c r="E19" s="44">
        <f>IF(SUMIF('Detailed Budget'!$F$5:$F$1005,$B19,'Detailed Budget'!$AC$5:$AC$1005)&gt;0,SUMIF('Detailed Budget'!$F$5:$F$1005,$B19,'Detailed Budget'!$AC$5:$AC$1005),"")</f>
        <v>30251.740134475174</v>
      </c>
      <c r="F19" s="44">
        <f>IF(SUMIF('Detailed Budget'!$F$5:$F$1005,$B19,'Detailed Budget'!$AE$5:$AE$1005)&gt;0,SUMIF('Detailed Budget'!$F$5:$F$1005,$B19,'Detailed Budget'!$AE$5:$AE$1005),"")</f>
        <v>27024.934335113121</v>
      </c>
      <c r="G19" s="44">
        <f>IF(SUMIF('Detailed Budget'!$F$5:$F$1005,$B19,'Detailed Budget'!$AG$5:$AG$1005)&gt;0,SUMIF('Detailed Budget'!$F$5:$F$1005,$B19,'Detailed Budget'!$AG$5:$AG$1005),"")</f>
        <v>30251.740134475174</v>
      </c>
      <c r="H19" s="45">
        <f>IF(SUMIF('Detailed Budget'!$F$5:$F$1005,$B19,'Detailed Budget'!$AI$5:$AI$1005)&gt;0,SUMIF('Detailed Budget'!$F$5:$F$1005,$B19,'Detailed Budget'!$AI$5:$AI$1005),"")</f>
        <v>117602.92487455851</v>
      </c>
      <c r="I19" s="44">
        <f>IF(SUMIF('Detailed Budget'!$F$5:$F$1005,$B19,'Detailed Budget'!$AN$5:$AN$1005)&gt;0,SUMIF('Detailed Budget'!$F$5:$F$1005,$B19,'Detailed Budget'!$AN$5:$AN$1005),"")</f>
        <v>27024.934335113121</v>
      </c>
      <c r="J19" s="44">
        <f>IF(SUMIF('Detailed Budget'!$F$5:$F$1005,$B19,'Detailed Budget'!$AP$5:$AP$1005)&gt;0,SUMIF('Detailed Budget'!$F$5:$F$1005,$B19,'Detailed Budget'!$AP$5:$AP$1005),"")</f>
        <v>30251.740134475174</v>
      </c>
      <c r="K19" s="44">
        <f>IF(SUMIF('Detailed Budget'!$F$5:$F$1005,$B19,'Detailed Budget'!$AR$5:$AR$1005)&gt;0,SUMIF('Detailed Budget'!$F$5:$F$1005,$B19,'Detailed Budget'!$AR$5:$AR$1005),"")</f>
        <v>27024.934335113121</v>
      </c>
      <c r="L19" s="44">
        <f>IF(SUMIF('Detailed Budget'!$F$5:$F$1005,$B19,'Detailed Budget'!$AT$5:$AT$1005)&gt;0,SUMIF('Detailed Budget'!$F$5:$F$1005,$B19,'Detailed Budget'!$AT$5:$AT$1005),"")</f>
        <v>30251.740134475174</v>
      </c>
      <c r="M19" s="45">
        <f>IF(SUMIF('Detailed Budget'!$F$5:$F$1005,$B19,'Detailed Budget'!$AV$5:$AV$1005)&gt;0,SUMIF('Detailed Budget'!$F$5:$F$1005,$B19,'Detailed Budget'!$AV$5:$AV$1005),"")</f>
        <v>114553.34893917658</v>
      </c>
      <c r="N19" s="44">
        <f>IF(SUMIF('Detailed Budget'!$F$5:$F$1005,$B19,'Detailed Budget'!$BA$5:$BA$1005)&gt;0,SUMIF('Detailed Budget'!$F$5:$F$1005,$B19,'Detailed Budget'!$BA$5:$BA$1005),"")</f>
        <v>27024.934335113121</v>
      </c>
      <c r="O19" s="44">
        <f>IF(SUMIF('Detailed Budget'!$F$5:$F$1005,$B19,'Detailed Budget'!$BC$5:$BC$1005)&gt;0,SUMIF('Detailed Budget'!$F$5:$F$1005,$B19,'Detailed Budget'!$BC$5:$BC$1005),"")</f>
        <v>189710.65349337616</v>
      </c>
      <c r="P19" s="44">
        <f>IF(SUMIF('Detailed Budget'!$F$5:$F$1005,$B19,'Detailed Budget'!$BE$5:$BE$1005)&gt;0,SUMIF('Detailed Budget'!$F$5:$F$1005,$B19,'Detailed Budget'!$BE$5:$BE$1005),"")</f>
        <v>27024.934335113121</v>
      </c>
      <c r="Q19" s="44">
        <f>IF(SUMIF('Detailed Budget'!$F$5:$F$1005,$B19,'Detailed Budget'!$BG$5:$BG$1005)&gt;0,SUMIF('Detailed Budget'!$F$5:$F$1005,$B19,'Detailed Budget'!$BG$5:$BG$1005),"")</f>
        <v>30251.740134475174</v>
      </c>
      <c r="R19" s="45">
        <f>IF(SUMIF('Detailed Budget'!$F$5:$F$1005,$B19,'Detailed Budget'!$BI$5:$BI$1005)&gt;0,SUMIF('Detailed Budget'!$F$5:$F$1005,$B19,'Detailed Budget'!$BI$5:$BI$1005),"")</f>
        <v>274012.26229807758</v>
      </c>
      <c r="S19" s="44" t="str">
        <f>IF(SUMIF('Detailed Budget'!$F$5:$F$1005,$B19,'Detailed Budget'!$BN$5:$BN$1005)&gt;0,SUMIF('Detailed Budget'!$F$5:$F$1005,$B19,'Detailed Budget'!$BN$5:$BN$1005),"")</f>
        <v/>
      </c>
      <c r="T19" s="44" t="str">
        <f>IF(SUMIF('Detailed Budget'!$F$5:$F$1005,$B19,'Detailed Budget'!$BP$5:$BP$1005)&gt;0,SUMIF('Detailed Budget'!$F$5:$F$1005,$B19,'Detailed Budget'!$BP$5:$BP$1005),"")</f>
        <v/>
      </c>
      <c r="U19" s="44" t="str">
        <f>IF(SUMIF('Detailed Budget'!$F$5:$F$1005,$B19,'Detailed Budget'!$BR$5:$BR$1005)&gt;0,SUMIF('Detailed Budget'!$F$5:$F$1005,$B19,'Detailed Budget'!$BR$5:$BR$1005),"")</f>
        <v/>
      </c>
      <c r="V19" s="44" t="str">
        <f>IF(SUMIF('Detailed Budget'!$F$5:$F$1005,$B18,'Detailed Budget'!$BT$5:$BT$1005)&gt;0,SUMIF('Detailed Budget'!$F$5:$F$1005,$B18,'Detailed Budget'!$BT$5:$BT$1005),"")</f>
        <v/>
      </c>
      <c r="W19" s="45" t="str">
        <f>IF(SUMIF('Detailed Budget'!$F$5:$F$1005,$B19,'Detailed Budget'!$BV$5:$BV$1005)&gt;0,SUMIF('Detailed Budget'!$F$5:$F$1005,$B19,'Detailed Budget'!$BV$5:$BV$1005),"")</f>
        <v/>
      </c>
      <c r="X19" s="44">
        <f t="shared" si="0"/>
        <v>506168.53611181269</v>
      </c>
      <c r="Y19" s="124">
        <f t="shared" si="1"/>
        <v>7.3022809512195239E-2</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row>
    <row r="20" spans="1:63" s="35" customFormat="1" ht="15" x14ac:dyDescent="0.25">
      <c r="A20" s="42"/>
      <c r="B20" s="81" t="str">
        <f t="array" ref="B20">IFERROR(INDEX(IntIdList,MATCH(0,COUNTIF(IntIdList,"&lt;"&amp;IntIdList)-SUM(COUNTIF(IntIdList,B$16:B19)),0)),"")</f>
        <v>a1O36000001EGH3EAO</v>
      </c>
      <c r="C20" s="43" t="str">
        <f>IFERROR(INDEX('Data Sheet'!$D$29:$D$174,MATCH(B20,'Data Sheet'!$E$29:$E$174,0)) &amp; " - " &amp; INDEX('Data Sheet'!$C$29:$C$174,MATCH(B20,'Data Sheet'!$E$29:$E$174,0)),"")</f>
        <v>Treatment, care and support - HIV care</v>
      </c>
      <c r="D20" s="44">
        <f>IF(SUMIF('Detailed Budget'!$F$5:$F$1005,$B20,'Detailed Budget'!$AA$5:$AA$1005)&gt;0,SUMIF('Detailed Budget'!$F$5:$F$1005,$B20,'Detailed Budget'!$AA$5:$AA$1005),"")</f>
        <v>5350</v>
      </c>
      <c r="E20" s="44">
        <f>IF(SUMIF('Detailed Budget'!$F$5:$F$1005,$B20,'Detailed Budget'!$AC$5:$AC$1005)&gt;0,SUMIF('Detailed Budget'!$F$5:$F$1005,$B20,'Detailed Budget'!$AC$5:$AC$1005),"")</f>
        <v>5350</v>
      </c>
      <c r="F20" s="44">
        <f>IF(SUMIF('Detailed Budget'!$F$5:$F$1005,$B20,'Detailed Budget'!$AE$5:$AE$1005)&gt;0,SUMIF('Detailed Budget'!$F$5:$F$1005,$B20,'Detailed Budget'!$AE$5:$AE$1005),"")</f>
        <v>5350</v>
      </c>
      <c r="G20" s="44">
        <f>IF(SUMIF('Detailed Budget'!$F$5:$F$1005,$B20,'Detailed Budget'!$AG$5:$AG$1005)&gt;0,SUMIF('Detailed Budget'!$F$5:$F$1005,$B20,'Detailed Budget'!$AG$5:$AG$1005),"")</f>
        <v>5350</v>
      </c>
      <c r="H20" s="45">
        <f>IF(SUMIF('Detailed Budget'!$F$5:$F$1005,$B20,'Detailed Budget'!$AI$5:$AI$1005)&gt;0,SUMIF('Detailed Budget'!$F$5:$F$1005,$B20,'Detailed Budget'!$AI$5:$AI$1005),"")</f>
        <v>21400</v>
      </c>
      <c r="I20" s="44">
        <f>IF(SUMIF('Detailed Budget'!$F$5:$F$1005,$B20,'Detailed Budget'!$AN$5:$AN$1005)&gt;0,SUMIF('Detailed Budget'!$F$5:$F$1005,$B20,'Detailed Budget'!$AN$5:$AN$1005),"")</f>
        <v>5350</v>
      </c>
      <c r="J20" s="44">
        <f>IF(SUMIF('Detailed Budget'!$F$5:$F$1005,$B20,'Detailed Budget'!$AP$5:$AP$1005)&gt;0,SUMIF('Detailed Budget'!$F$5:$F$1005,$B20,'Detailed Budget'!$AP$5:$AP$1005),"")</f>
        <v>5350</v>
      </c>
      <c r="K20" s="44">
        <f>IF(SUMIF('Detailed Budget'!$F$5:$F$1005,$B20,'Detailed Budget'!$AR$5:$AR$1005)&gt;0,SUMIF('Detailed Budget'!$F$5:$F$1005,$B20,'Detailed Budget'!$AR$5:$AR$1005),"")</f>
        <v>5350</v>
      </c>
      <c r="L20" s="44">
        <f>IF(SUMIF('Detailed Budget'!$F$5:$F$1005,$B20,'Detailed Budget'!$AT$5:$AT$1005)&gt;0,SUMIF('Detailed Budget'!$F$5:$F$1005,$B20,'Detailed Budget'!$AT$5:$AT$1005),"")</f>
        <v>5350</v>
      </c>
      <c r="M20" s="45">
        <f>IF(SUMIF('Detailed Budget'!$F$5:$F$1005,$B20,'Detailed Budget'!$AV$5:$AV$1005)&gt;0,SUMIF('Detailed Budget'!$F$5:$F$1005,$B20,'Detailed Budget'!$AV$5:$AV$1005),"")</f>
        <v>21400</v>
      </c>
      <c r="N20" s="44">
        <f>IF(SUMIF('Detailed Budget'!$F$5:$F$1005,$B20,'Detailed Budget'!$BA$5:$BA$1005)&gt;0,SUMIF('Detailed Budget'!$F$5:$F$1005,$B20,'Detailed Budget'!$BA$5:$BA$1005),"")</f>
        <v>5350</v>
      </c>
      <c r="O20" s="44">
        <f>IF(SUMIF('Detailed Budget'!$F$5:$F$1005,$B20,'Detailed Budget'!$BC$5:$BC$1005)&gt;0,SUMIF('Detailed Budget'!$F$5:$F$1005,$B20,'Detailed Budget'!$BC$5:$BC$1005),"")</f>
        <v>5350</v>
      </c>
      <c r="P20" s="44">
        <f>IF(SUMIF('Detailed Budget'!$F$5:$F$1005,$B20,'Detailed Budget'!$BE$5:$BE$1005)&gt;0,SUMIF('Detailed Budget'!$F$5:$F$1005,$B20,'Detailed Budget'!$BE$5:$BE$1005),"")</f>
        <v>5350</v>
      </c>
      <c r="Q20" s="44">
        <f>IF(SUMIF('Detailed Budget'!$F$5:$F$1005,$B20,'Detailed Budget'!$BG$5:$BG$1005)&gt;0,SUMIF('Detailed Budget'!$F$5:$F$1005,$B20,'Detailed Budget'!$BG$5:$BG$1005),"")</f>
        <v>5350</v>
      </c>
      <c r="R20" s="45">
        <f>IF(SUMIF('Detailed Budget'!$F$5:$F$1005,$B20,'Detailed Budget'!$BI$5:$BI$1005)&gt;0,SUMIF('Detailed Budget'!$F$5:$F$1005,$B20,'Detailed Budget'!$BI$5:$BI$1005),"")</f>
        <v>21400</v>
      </c>
      <c r="S20" s="44" t="str">
        <f>IF(SUMIF('Detailed Budget'!$F$5:$F$1005,$B20,'Detailed Budget'!$BN$5:$BN$1005)&gt;0,SUMIF('Detailed Budget'!$F$5:$F$1005,$B20,'Detailed Budget'!$BN$5:$BN$1005),"")</f>
        <v/>
      </c>
      <c r="T20" s="44" t="str">
        <f>IF(SUMIF('Detailed Budget'!$F$5:$F$1005,$B20,'Detailed Budget'!$BP$5:$BP$1005)&gt;0,SUMIF('Detailed Budget'!$F$5:$F$1005,$B20,'Detailed Budget'!$BP$5:$BP$1005),"")</f>
        <v/>
      </c>
      <c r="U20" s="44" t="str">
        <f>IF(SUMIF('Detailed Budget'!$F$5:$F$1005,$B20,'Detailed Budget'!$BR$5:$BR$1005)&gt;0,SUMIF('Detailed Budget'!$F$5:$F$1005,$B20,'Detailed Budget'!$BR$5:$BR$1005),"")</f>
        <v/>
      </c>
      <c r="V20" s="44" t="str">
        <f>IF(SUMIF('Detailed Budget'!$F$5:$F$1005,$B19,'Detailed Budget'!$BT$5:$BT$1005)&gt;0,SUMIF('Detailed Budget'!$F$5:$F$1005,$B19,'Detailed Budget'!$BT$5:$BT$1005),"")</f>
        <v/>
      </c>
      <c r="W20" s="45" t="str">
        <f>IF(SUMIF('Detailed Budget'!$F$5:$F$1005,$B20,'Detailed Budget'!$BV$5:$BV$1005)&gt;0,SUMIF('Detailed Budget'!$F$5:$F$1005,$B20,'Detailed Budget'!$BV$5:$BV$1005),"")</f>
        <v/>
      </c>
      <c r="X20" s="44">
        <f t="shared" si="0"/>
        <v>64200</v>
      </c>
      <c r="Y20" s="124">
        <f t="shared" si="1"/>
        <v>9.2618644507120058E-3</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row>
    <row r="21" spans="1:63" s="35" customFormat="1" ht="26.25" x14ac:dyDescent="0.25">
      <c r="A21" s="42"/>
      <c r="B21" s="81" t="str">
        <f t="array" ref="B21">IFERROR(INDEX(IntIdList,MATCH(0,COUNTIF(IntIdList,"&lt;"&amp;IntIdList)-SUM(COUNTIF(IntIdList,B$16:B20)),0)),"")</f>
        <v>a1O36000001EGH4EAO</v>
      </c>
      <c r="C21" s="43" t="str">
        <f>IFERROR(INDEX('Data Sheet'!$D$29:$D$174,MATCH(B21,'Data Sheet'!$E$29:$E$174,0)) &amp; " - " &amp; INDEX('Data Sheet'!$C$29:$C$174,MATCH(B21,'Data Sheet'!$E$29:$E$174,0)),"")</f>
        <v>Treatment, care and support - Differentiated ART service delivery</v>
      </c>
      <c r="D21" s="44">
        <f>IF(SUMIF('Detailed Budget'!$F$5:$F$1005,$B21,'Detailed Budget'!$AA$5:$AA$1005)&gt;0,SUMIF('Detailed Budget'!$F$5:$F$1005,$B21,'Detailed Budget'!$AA$5:$AA$1005),"")</f>
        <v>894020.27560000005</v>
      </c>
      <c r="E21" s="44" t="str">
        <f>IF(SUMIF('Detailed Budget'!$F$5:$F$1005,$B21,'Detailed Budget'!$AC$5:$AC$1005)&gt;0,SUMIF('Detailed Budget'!$F$5:$F$1005,$B21,'Detailed Budget'!$AC$5:$AC$1005),"")</f>
        <v/>
      </c>
      <c r="F21" s="44" t="str">
        <f>IF(SUMIF('Detailed Budget'!$F$5:$F$1005,$B21,'Detailed Budget'!$AE$5:$AE$1005)&gt;0,SUMIF('Detailed Budget'!$F$5:$F$1005,$B21,'Detailed Budget'!$AE$5:$AE$1005),"")</f>
        <v/>
      </c>
      <c r="G21" s="44">
        <f>IF(SUMIF('Detailed Budget'!$F$5:$F$1005,$B21,'Detailed Budget'!$AG$5:$AG$1005)&gt;0,SUMIF('Detailed Budget'!$F$5:$F$1005,$B21,'Detailed Budget'!$AG$5:$AG$1005),"")</f>
        <v>15000</v>
      </c>
      <c r="H21" s="45">
        <f>IF(SUMIF('Detailed Budget'!$F$5:$F$1005,$B21,'Detailed Budget'!$AI$5:$AI$1005)&gt;0,SUMIF('Detailed Budget'!$F$5:$F$1005,$B21,'Detailed Budget'!$AI$5:$AI$1005),"")</f>
        <v>909020.27560000005</v>
      </c>
      <c r="I21" s="44">
        <f>IF(SUMIF('Detailed Budget'!$F$5:$F$1005,$B21,'Detailed Budget'!$AN$5:$AN$1005)&gt;0,SUMIF('Detailed Budget'!$F$5:$F$1005,$B21,'Detailed Budget'!$AN$5:$AN$1005),"")</f>
        <v>866440.57680000004</v>
      </c>
      <c r="J21" s="44" t="str">
        <f>IF(SUMIF('Detailed Budget'!$F$5:$F$1005,$B21,'Detailed Budget'!$AP$5:$AP$1005)&gt;0,SUMIF('Detailed Budget'!$F$5:$F$1005,$B21,'Detailed Budget'!$AP$5:$AP$1005),"")</f>
        <v/>
      </c>
      <c r="K21" s="44" t="str">
        <f>IF(SUMIF('Detailed Budget'!$F$5:$F$1005,$B21,'Detailed Budget'!$AR$5:$AR$1005)&gt;0,SUMIF('Detailed Budget'!$F$5:$F$1005,$B21,'Detailed Budget'!$AR$5:$AR$1005),"")</f>
        <v/>
      </c>
      <c r="L21" s="44">
        <f>IF(SUMIF('Detailed Budget'!$F$5:$F$1005,$B21,'Detailed Budget'!$AT$5:$AT$1005)&gt;0,SUMIF('Detailed Budget'!$F$5:$F$1005,$B21,'Detailed Budget'!$AT$5:$AT$1005),"")</f>
        <v>15000</v>
      </c>
      <c r="M21" s="45">
        <f>IF(SUMIF('Detailed Budget'!$F$5:$F$1005,$B21,'Detailed Budget'!$AV$5:$AV$1005)&gt;0,SUMIF('Detailed Budget'!$F$5:$F$1005,$B21,'Detailed Budget'!$AV$5:$AV$1005),"")</f>
        <v>881440.57680000004</v>
      </c>
      <c r="N21" s="44">
        <f>IF(SUMIF('Detailed Budget'!$F$5:$F$1005,$B21,'Detailed Budget'!$BA$5:$BA$1005)&gt;0,SUMIF('Detailed Budget'!$F$5:$F$1005,$B21,'Detailed Budget'!$BA$5:$BA$1005),"")</f>
        <v>854613.76557000005</v>
      </c>
      <c r="O21" s="44" t="str">
        <f>IF(SUMIF('Detailed Budget'!$F$5:$F$1005,$B21,'Detailed Budget'!$BC$5:$BC$1005)&gt;0,SUMIF('Detailed Budget'!$F$5:$F$1005,$B21,'Detailed Budget'!$BC$5:$BC$1005),"")</f>
        <v/>
      </c>
      <c r="P21" s="44" t="str">
        <f>IF(SUMIF('Detailed Budget'!$F$5:$F$1005,$B21,'Detailed Budget'!$BE$5:$BE$1005)&gt;0,SUMIF('Detailed Budget'!$F$5:$F$1005,$B21,'Detailed Budget'!$BE$5:$BE$1005),"")</f>
        <v/>
      </c>
      <c r="Q21" s="44" t="str">
        <f>IF(SUMIF('Detailed Budget'!$F$5:$F$1005,$B21,'Detailed Budget'!$BG$5:$BG$1005)&gt;0,SUMIF('Detailed Budget'!$F$5:$F$1005,$B21,'Detailed Budget'!$BG$5:$BG$1005),"")</f>
        <v/>
      </c>
      <c r="R21" s="45">
        <f>IF(SUMIF('Detailed Budget'!$F$5:$F$1005,$B21,'Detailed Budget'!$BI$5:$BI$1005)&gt;0,SUMIF('Detailed Budget'!$F$5:$F$1005,$B21,'Detailed Budget'!$BI$5:$BI$1005),"")</f>
        <v>854613.76557000005</v>
      </c>
      <c r="S21" s="44" t="str">
        <f>IF(SUMIF('Detailed Budget'!$F$5:$F$1005,$B21,'Detailed Budget'!$BN$5:$BN$1005)&gt;0,SUMIF('Detailed Budget'!$F$5:$F$1005,$B21,'Detailed Budget'!$BN$5:$BN$1005),"")</f>
        <v/>
      </c>
      <c r="T21" s="44" t="str">
        <f>IF(SUMIF('Detailed Budget'!$F$5:$F$1005,$B21,'Detailed Budget'!$BP$5:$BP$1005)&gt;0,SUMIF('Detailed Budget'!$F$5:$F$1005,$B21,'Detailed Budget'!$BP$5:$BP$1005),"")</f>
        <v/>
      </c>
      <c r="U21" s="44" t="str">
        <f>IF(SUMIF('Detailed Budget'!$F$5:$F$1005,$B21,'Detailed Budget'!$BR$5:$BR$1005)&gt;0,SUMIF('Detailed Budget'!$F$5:$F$1005,$B21,'Detailed Budget'!$BR$5:$BR$1005),"")</f>
        <v/>
      </c>
      <c r="V21" s="44" t="str">
        <f>IF(SUMIF('Detailed Budget'!$F$5:$F$1005,$B20,'Detailed Budget'!$BT$5:$BT$1005)&gt;0,SUMIF('Detailed Budget'!$F$5:$F$1005,$B20,'Detailed Budget'!$BT$5:$BT$1005),"")</f>
        <v/>
      </c>
      <c r="W21" s="45" t="str">
        <f>IF(SUMIF('Detailed Budget'!$F$5:$F$1005,$B21,'Detailed Budget'!$BV$5:$BV$1005)&gt;0,SUMIF('Detailed Budget'!$F$5:$F$1005,$B21,'Detailed Budget'!$BV$5:$BV$1005),"")</f>
        <v/>
      </c>
      <c r="X21" s="44">
        <f t="shared" si="0"/>
        <v>2645074.61797</v>
      </c>
      <c r="Y21" s="124">
        <f t="shared" si="1"/>
        <v>0.38159380955852001</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row>
    <row r="22" spans="1:63" s="35" customFormat="1" ht="39" x14ac:dyDescent="0.25">
      <c r="A22" s="42"/>
      <c r="B22" s="81" t="str">
        <f t="array" ref="B22">IFERROR(INDEX(IntIdList,MATCH(0,COUNTIF(IntIdList,"&lt;"&amp;IntIdList)-SUM(COUNTIF(IntIdList,B$16:B21)),0)),"")</f>
        <v>a1O36000001EGH7EAO</v>
      </c>
      <c r="C22" s="43" t="str">
        <f>IFERROR(INDEX('Data Sheet'!$D$29:$D$174,MATCH(B22,'Data Sheet'!$E$29:$E$174,0)) &amp; " - " &amp; INDEX('Data Sheet'!$C$29:$C$174,MATCH(B22,'Data Sheet'!$E$29:$E$174,0)),"")</f>
        <v>Treatment, care and support - Prevention, diagnosis and treatment of opportunistic infections</v>
      </c>
      <c r="D22" s="44">
        <f>IF(SUMIF('Detailed Budget'!$F$5:$F$1005,$B22,'Detailed Budget'!$AA$5:$AA$1005)&gt;0,SUMIF('Detailed Budget'!$F$5:$F$1005,$B22,'Detailed Budget'!$AA$5:$AA$1005),"")</f>
        <v>48238.75</v>
      </c>
      <c r="E22" s="44">
        <f>IF(SUMIF('Detailed Budget'!$F$5:$F$1005,$B22,'Detailed Budget'!$AC$5:$AC$1005)&gt;0,SUMIF('Detailed Budget'!$F$5:$F$1005,$B22,'Detailed Budget'!$AC$5:$AC$1005),"")</f>
        <v>76435.676000000007</v>
      </c>
      <c r="F22" s="44">
        <f>IF(SUMIF('Detailed Budget'!$F$5:$F$1005,$B22,'Detailed Budget'!$AE$5:$AE$1005)&gt;0,SUMIF('Detailed Budget'!$F$5:$F$1005,$B22,'Detailed Budget'!$AE$5:$AE$1005),"")</f>
        <v>500</v>
      </c>
      <c r="G22" s="44">
        <f>IF(SUMIF('Detailed Budget'!$F$5:$F$1005,$B22,'Detailed Budget'!$AG$5:$AG$1005)&gt;0,SUMIF('Detailed Budget'!$F$5:$F$1005,$B22,'Detailed Budget'!$AG$5:$AG$1005),"")</f>
        <v>500</v>
      </c>
      <c r="H22" s="45">
        <f>IF(SUMIF('Detailed Budget'!$F$5:$F$1005,$B22,'Detailed Budget'!$AI$5:$AI$1005)&gt;0,SUMIF('Detailed Budget'!$F$5:$F$1005,$B22,'Detailed Budget'!$AI$5:$AI$1005),"")</f>
        <v>125674.42600000001</v>
      </c>
      <c r="I22" s="44">
        <f>IF(SUMIF('Detailed Budget'!$F$5:$F$1005,$B22,'Detailed Budget'!$AN$5:$AN$1005)&gt;0,SUMIF('Detailed Budget'!$F$5:$F$1005,$B22,'Detailed Budget'!$AN$5:$AN$1005),"")</f>
        <v>51253.7</v>
      </c>
      <c r="J22" s="44">
        <f>IF(SUMIF('Detailed Budget'!$F$5:$F$1005,$B22,'Detailed Budget'!$AP$5:$AP$1005)&gt;0,SUMIF('Detailed Budget'!$F$5:$F$1005,$B22,'Detailed Budget'!$AP$5:$AP$1005),"")</f>
        <v>60356.192000000003</v>
      </c>
      <c r="K22" s="44">
        <f>IF(SUMIF('Detailed Budget'!$F$5:$F$1005,$B22,'Detailed Budget'!$AR$5:$AR$1005)&gt;0,SUMIF('Detailed Budget'!$F$5:$F$1005,$B22,'Detailed Budget'!$AR$5:$AR$1005),"")</f>
        <v>500</v>
      </c>
      <c r="L22" s="44">
        <f>IF(SUMIF('Detailed Budget'!$F$5:$F$1005,$B22,'Detailed Budget'!$AT$5:$AT$1005)&gt;0,SUMIF('Detailed Budget'!$F$5:$F$1005,$B22,'Detailed Budget'!$AT$5:$AT$1005),"")</f>
        <v>500</v>
      </c>
      <c r="M22" s="45">
        <f>IF(SUMIF('Detailed Budget'!$F$5:$F$1005,$B22,'Detailed Budget'!$AV$5:$AV$1005)&gt;0,SUMIF('Detailed Budget'!$F$5:$F$1005,$B22,'Detailed Budget'!$AV$5:$AV$1005),"")</f>
        <v>112609.89199999999</v>
      </c>
      <c r="N22" s="44">
        <f>IF(SUMIF('Detailed Budget'!$F$5:$F$1005,$B22,'Detailed Budget'!$BA$5:$BA$1005)&gt;0,SUMIF('Detailed Budget'!$F$5:$F$1005,$B22,'Detailed Budget'!$BA$5:$BA$1005),"")</f>
        <v>54494.9</v>
      </c>
      <c r="O22" s="44">
        <f>IF(SUMIF('Detailed Budget'!$F$5:$F$1005,$B22,'Detailed Budget'!$BC$5:$BC$1005)&gt;0,SUMIF('Detailed Budget'!$F$5:$F$1005,$B22,'Detailed Budget'!$BC$5:$BC$1005),"")</f>
        <v>500</v>
      </c>
      <c r="P22" s="44">
        <f>IF(SUMIF('Detailed Budget'!$F$5:$F$1005,$B22,'Detailed Budget'!$BE$5:$BE$1005)&gt;0,SUMIF('Detailed Budget'!$F$5:$F$1005,$B22,'Detailed Budget'!$BE$5:$BE$1005),"")</f>
        <v>500</v>
      </c>
      <c r="Q22" s="44">
        <f>IF(SUMIF('Detailed Budget'!$F$5:$F$1005,$B22,'Detailed Budget'!$BG$5:$BG$1005)&gt;0,SUMIF('Detailed Budget'!$F$5:$F$1005,$B22,'Detailed Budget'!$BG$5:$BG$1005),"")</f>
        <v>500</v>
      </c>
      <c r="R22" s="45">
        <f>IF(SUMIF('Detailed Budget'!$F$5:$F$1005,$B22,'Detailed Budget'!$BI$5:$BI$1005)&gt;0,SUMIF('Detailed Budget'!$F$5:$F$1005,$B22,'Detailed Budget'!$BI$5:$BI$1005),"")</f>
        <v>55994.9</v>
      </c>
      <c r="S22" s="44" t="str">
        <f>IF(SUMIF('Detailed Budget'!$F$5:$F$1005,$B22,'Detailed Budget'!$BN$5:$BN$1005)&gt;0,SUMIF('Detailed Budget'!$F$5:$F$1005,$B22,'Detailed Budget'!$BN$5:$BN$1005),"")</f>
        <v/>
      </c>
      <c r="T22" s="44" t="str">
        <f>IF(SUMIF('Detailed Budget'!$F$5:$F$1005,$B22,'Detailed Budget'!$BP$5:$BP$1005)&gt;0,SUMIF('Detailed Budget'!$F$5:$F$1005,$B22,'Detailed Budget'!$BP$5:$BP$1005),"")</f>
        <v/>
      </c>
      <c r="U22" s="44" t="str">
        <f>IF(SUMIF('Detailed Budget'!$F$5:$F$1005,$B22,'Detailed Budget'!$BR$5:$BR$1005)&gt;0,SUMIF('Detailed Budget'!$F$5:$F$1005,$B22,'Detailed Budget'!$BR$5:$BR$1005),"")</f>
        <v/>
      </c>
      <c r="V22" s="44" t="str">
        <f>IF(SUMIF('Detailed Budget'!$F$5:$F$1005,$B21,'Detailed Budget'!$BT$5:$BT$1005)&gt;0,SUMIF('Detailed Budget'!$F$5:$F$1005,$B21,'Detailed Budget'!$BT$5:$BT$1005),"")</f>
        <v/>
      </c>
      <c r="W22" s="45" t="str">
        <f>IF(SUMIF('Detailed Budget'!$F$5:$F$1005,$B22,'Detailed Budget'!$BV$5:$BV$1005)&gt;0,SUMIF('Detailed Budget'!$F$5:$F$1005,$B22,'Detailed Budget'!$BV$5:$BV$1005),"")</f>
        <v/>
      </c>
      <c r="X22" s="44">
        <f t="shared" si="0"/>
        <v>294279.21799999999</v>
      </c>
      <c r="Y22" s="124">
        <f t="shared" si="1"/>
        <v>4.2454427223949043E-2</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row>
    <row r="23" spans="1:63" s="35" customFormat="1" ht="26.25" x14ac:dyDescent="0.25">
      <c r="A23" s="42"/>
      <c r="B23" s="81" t="str">
        <f t="array" ref="B23">IFERROR(INDEX(IntIdList,MATCH(0,COUNTIF(IntIdList,"&lt;"&amp;IntIdList)-SUM(COUNTIF(IntIdList,B$16:B22)),0)),"")</f>
        <v>a1O36000001EGH8EAO</v>
      </c>
      <c r="C23" s="43" t="str">
        <f>IFERROR(INDEX('Data Sheet'!$D$29:$D$174,MATCH(B23,'Data Sheet'!$E$29:$E$174,0)) &amp; " - " &amp; INDEX('Data Sheet'!$C$29:$C$174,MATCH(B23,'Data Sheet'!$E$29:$E$174,0)),"")</f>
        <v>Treatment, care and support - Counseling and psycho-social support</v>
      </c>
      <c r="D23" s="44">
        <f>IF(SUMIF('Detailed Budget'!$F$5:$F$1005,$B23,'Detailed Budget'!$AA$5:$AA$1005)&gt;0,SUMIF('Detailed Budget'!$F$5:$F$1005,$B23,'Detailed Budget'!$AA$5:$AA$1005),"")</f>
        <v>11769.147737274548</v>
      </c>
      <c r="E23" s="44">
        <f>IF(SUMIF('Detailed Budget'!$F$5:$F$1005,$B23,'Detailed Budget'!$AC$5:$AC$1005)&gt;0,SUMIF('Detailed Budget'!$F$5:$F$1005,$B23,'Detailed Budget'!$AC$5:$AC$1005),"")</f>
        <v>11769.147737274548</v>
      </c>
      <c r="F23" s="44">
        <f>IF(SUMIF('Detailed Budget'!$F$5:$F$1005,$B23,'Detailed Budget'!$AE$5:$AE$1005)&gt;0,SUMIF('Detailed Budget'!$F$5:$F$1005,$B23,'Detailed Budget'!$AE$5:$AE$1005),"")</f>
        <v>11769.147737274548</v>
      </c>
      <c r="G23" s="44">
        <f>IF(SUMIF('Detailed Budget'!$F$5:$F$1005,$B23,'Detailed Budget'!$AG$5:$AG$1005)&gt;0,SUMIF('Detailed Budget'!$F$5:$F$1005,$B23,'Detailed Budget'!$AG$5:$AG$1005),"")</f>
        <v>11769.147737274548</v>
      </c>
      <c r="H23" s="45">
        <f>IF(SUMIF('Detailed Budget'!$F$5:$F$1005,$B23,'Detailed Budget'!$AI$5:$AI$1005)&gt;0,SUMIF('Detailed Budget'!$F$5:$F$1005,$B23,'Detailed Budget'!$AI$5:$AI$1005),"")</f>
        <v>47076.590949098194</v>
      </c>
      <c r="I23" s="44">
        <f>IF(SUMIF('Detailed Budget'!$F$5:$F$1005,$B23,'Detailed Budget'!$AN$5:$AN$1005)&gt;0,SUMIF('Detailed Budget'!$F$5:$F$1005,$B23,'Detailed Budget'!$AN$5:$AN$1005),"")</f>
        <v>11769.147737274548</v>
      </c>
      <c r="J23" s="44">
        <f>IF(SUMIF('Detailed Budget'!$F$5:$F$1005,$B23,'Detailed Budget'!$AP$5:$AP$1005)&gt;0,SUMIF('Detailed Budget'!$F$5:$F$1005,$B23,'Detailed Budget'!$AP$5:$AP$1005),"")</f>
        <v>11769.147737274548</v>
      </c>
      <c r="K23" s="44">
        <f>IF(SUMIF('Detailed Budget'!$F$5:$F$1005,$B23,'Detailed Budget'!$AR$5:$AR$1005)&gt;0,SUMIF('Detailed Budget'!$F$5:$F$1005,$B23,'Detailed Budget'!$AR$5:$AR$1005),"")</f>
        <v>11769.147737274548</v>
      </c>
      <c r="L23" s="44">
        <f>IF(SUMIF('Detailed Budget'!$F$5:$F$1005,$B23,'Detailed Budget'!$AT$5:$AT$1005)&gt;0,SUMIF('Detailed Budget'!$F$5:$F$1005,$B23,'Detailed Budget'!$AT$5:$AT$1005),"")</f>
        <v>11769.147737274548</v>
      </c>
      <c r="M23" s="45">
        <f>IF(SUMIF('Detailed Budget'!$F$5:$F$1005,$B23,'Detailed Budget'!$AV$5:$AV$1005)&gt;0,SUMIF('Detailed Budget'!$F$5:$F$1005,$B23,'Detailed Budget'!$AV$5:$AV$1005),"")</f>
        <v>47076.590949098194</v>
      </c>
      <c r="N23" s="44">
        <f>IF(SUMIF('Detailed Budget'!$F$5:$F$1005,$B23,'Detailed Budget'!$BA$5:$BA$1005)&gt;0,SUMIF('Detailed Budget'!$F$5:$F$1005,$B23,'Detailed Budget'!$BA$5:$BA$1005),"")</f>
        <v>11769.147737274548</v>
      </c>
      <c r="O23" s="44">
        <f>IF(SUMIF('Detailed Budget'!$F$5:$F$1005,$B23,'Detailed Budget'!$BC$5:$BC$1005)&gt;0,SUMIF('Detailed Budget'!$F$5:$F$1005,$B23,'Detailed Budget'!$BC$5:$BC$1005),"")</f>
        <v>11769.147737274548</v>
      </c>
      <c r="P23" s="44">
        <f>IF(SUMIF('Detailed Budget'!$F$5:$F$1005,$B23,'Detailed Budget'!$BE$5:$BE$1005)&gt;0,SUMIF('Detailed Budget'!$F$5:$F$1005,$B23,'Detailed Budget'!$BE$5:$BE$1005),"")</f>
        <v>11769.147737274548</v>
      </c>
      <c r="Q23" s="44">
        <f>IF(SUMIF('Detailed Budget'!$F$5:$F$1005,$B23,'Detailed Budget'!$BG$5:$BG$1005)&gt;0,SUMIF('Detailed Budget'!$F$5:$F$1005,$B23,'Detailed Budget'!$BG$5:$BG$1005),"")</f>
        <v>11769.147737274548</v>
      </c>
      <c r="R23" s="45">
        <f>IF(SUMIF('Detailed Budget'!$F$5:$F$1005,$B23,'Detailed Budget'!$BI$5:$BI$1005)&gt;0,SUMIF('Detailed Budget'!$F$5:$F$1005,$B23,'Detailed Budget'!$BI$5:$BI$1005),"")</f>
        <v>47076.590949098194</v>
      </c>
      <c r="S23" s="44" t="str">
        <f>IF(SUMIF('Detailed Budget'!$F$5:$F$1005,$B23,'Detailed Budget'!$BN$5:$BN$1005)&gt;0,SUMIF('Detailed Budget'!$F$5:$F$1005,$B23,'Detailed Budget'!$BN$5:$BN$1005),"")</f>
        <v/>
      </c>
      <c r="T23" s="44" t="str">
        <f>IF(SUMIF('Detailed Budget'!$F$5:$F$1005,$B23,'Detailed Budget'!$BP$5:$BP$1005)&gt;0,SUMIF('Detailed Budget'!$F$5:$F$1005,$B23,'Detailed Budget'!$BP$5:$BP$1005),"")</f>
        <v/>
      </c>
      <c r="U23" s="44" t="str">
        <f>IF(SUMIF('Detailed Budget'!$F$5:$F$1005,$B23,'Detailed Budget'!$BR$5:$BR$1005)&gt;0,SUMIF('Detailed Budget'!$F$5:$F$1005,$B23,'Detailed Budget'!$BR$5:$BR$1005),"")</f>
        <v/>
      </c>
      <c r="V23" s="44" t="str">
        <f>IF(SUMIF('Detailed Budget'!$F$5:$F$1005,$B22,'Detailed Budget'!$BT$5:$BT$1005)&gt;0,SUMIF('Detailed Budget'!$F$5:$F$1005,$B22,'Detailed Budget'!$BT$5:$BT$1005),"")</f>
        <v/>
      </c>
      <c r="W23" s="45" t="str">
        <f>IF(SUMIF('Detailed Budget'!$F$5:$F$1005,$B23,'Detailed Budget'!$BV$5:$BV$1005)&gt;0,SUMIF('Detailed Budget'!$F$5:$F$1005,$B23,'Detailed Budget'!$BV$5:$BV$1005),"")</f>
        <v/>
      </c>
      <c r="X23" s="44">
        <f t="shared" si="0"/>
        <v>141229.77284729457</v>
      </c>
      <c r="Y23" s="124">
        <f t="shared" si="1"/>
        <v>2.0374626363185194E-2</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row>
    <row r="24" spans="1:63" s="35" customFormat="1" ht="26.25" x14ac:dyDescent="0.25">
      <c r="A24" s="42"/>
      <c r="B24" s="81" t="str">
        <f t="array" ref="B24">IFERROR(INDEX(IntIdList,MATCH(0,COUNTIF(IntIdList,"&lt;"&amp;IntIdList)-SUM(COUNTIF(IntIdList,B$16:B23)),0)),"")</f>
        <v>a1O36000001EGHBEA4</v>
      </c>
      <c r="C24" s="43" t="str">
        <f>IFERROR(INDEX('Data Sheet'!$D$29:$D$174,MATCH(B24,'Data Sheet'!$E$29:$E$174,0)) &amp; " - " &amp; INDEX('Data Sheet'!$C$29:$C$174,MATCH(B24,'Data Sheet'!$E$29:$E$174,0)),"")</f>
        <v>Treatment, care and support - Other intervention(s) for treatment</v>
      </c>
      <c r="D24" s="44">
        <f>IF(SUMIF('Detailed Budget'!$F$5:$F$1005,$B24,'Detailed Budget'!$AA$5:$AA$1005)&gt;0,SUMIF('Detailed Budget'!$F$5:$F$1005,$B24,'Detailed Budget'!$AA$5:$AA$1005),"")</f>
        <v>4302.4077324827404</v>
      </c>
      <c r="E24" s="44">
        <f>IF(SUMIF('Detailed Budget'!$F$5:$F$1005,$B24,'Detailed Budget'!$AC$5:$AC$1005)&gt;0,SUMIF('Detailed Budget'!$F$5:$F$1005,$B24,'Detailed Budget'!$AC$5:$AC$1005),"")</f>
        <v>4302.4077324827404</v>
      </c>
      <c r="F24" s="44">
        <f>IF(SUMIF('Detailed Budget'!$F$5:$F$1005,$B24,'Detailed Budget'!$AE$5:$AE$1005)&gt;0,SUMIF('Detailed Budget'!$F$5:$F$1005,$B24,'Detailed Budget'!$AE$5:$AE$1005),"")</f>
        <v>4302.4077324827404</v>
      </c>
      <c r="G24" s="44">
        <f>IF(SUMIF('Detailed Budget'!$F$5:$F$1005,$B24,'Detailed Budget'!$AG$5:$AG$1005)&gt;0,SUMIF('Detailed Budget'!$F$5:$F$1005,$B24,'Detailed Budget'!$AG$5:$AG$1005),"")</f>
        <v>4302.4077324827404</v>
      </c>
      <c r="H24" s="45">
        <f>IF(SUMIF('Detailed Budget'!$F$5:$F$1005,$B24,'Detailed Budget'!$AI$5:$AI$1005)&gt;0,SUMIF('Detailed Budget'!$F$5:$F$1005,$B24,'Detailed Budget'!$AI$5:$AI$1005),"")</f>
        <v>17209.630929930961</v>
      </c>
      <c r="I24" s="44">
        <f>IF(SUMIF('Detailed Budget'!$F$5:$F$1005,$B24,'Detailed Budget'!$AN$5:$AN$1005)&gt;0,SUMIF('Detailed Budget'!$F$5:$F$1005,$B24,'Detailed Budget'!$AN$5:$AN$1005),"")</f>
        <v>4302.4077324827404</v>
      </c>
      <c r="J24" s="44">
        <f>IF(SUMIF('Detailed Budget'!$F$5:$F$1005,$B24,'Detailed Budget'!$AP$5:$AP$1005)&gt;0,SUMIF('Detailed Budget'!$F$5:$F$1005,$B24,'Detailed Budget'!$AP$5:$AP$1005),"")</f>
        <v>4302.4077324827404</v>
      </c>
      <c r="K24" s="44">
        <f>IF(SUMIF('Detailed Budget'!$F$5:$F$1005,$B24,'Detailed Budget'!$AR$5:$AR$1005)&gt;0,SUMIF('Detailed Budget'!$F$5:$F$1005,$B24,'Detailed Budget'!$AR$5:$AR$1005),"")</f>
        <v>4302.4077324827404</v>
      </c>
      <c r="L24" s="44">
        <f>IF(SUMIF('Detailed Budget'!$F$5:$F$1005,$B24,'Detailed Budget'!$AT$5:$AT$1005)&gt;0,SUMIF('Detailed Budget'!$F$5:$F$1005,$B24,'Detailed Budget'!$AT$5:$AT$1005),"")</f>
        <v>4302.4077324827404</v>
      </c>
      <c r="M24" s="45">
        <f>IF(SUMIF('Detailed Budget'!$F$5:$F$1005,$B24,'Detailed Budget'!$AV$5:$AV$1005)&gt;0,SUMIF('Detailed Budget'!$F$5:$F$1005,$B24,'Detailed Budget'!$AV$5:$AV$1005),"")</f>
        <v>17209.630929930961</v>
      </c>
      <c r="N24" s="44">
        <f>IF(SUMIF('Detailed Budget'!$F$5:$F$1005,$B24,'Detailed Budget'!$BA$5:$BA$1005)&gt;0,SUMIF('Detailed Budget'!$F$5:$F$1005,$B24,'Detailed Budget'!$BA$5:$BA$1005),"")</f>
        <v>4302.4077324827404</v>
      </c>
      <c r="O24" s="44">
        <f>IF(SUMIF('Detailed Budget'!$F$5:$F$1005,$B24,'Detailed Budget'!$BC$5:$BC$1005)&gt;0,SUMIF('Detailed Budget'!$F$5:$F$1005,$B24,'Detailed Budget'!$BC$5:$BC$1005),"")</f>
        <v>4302.4077324827404</v>
      </c>
      <c r="P24" s="44">
        <f>IF(SUMIF('Detailed Budget'!$F$5:$F$1005,$B24,'Detailed Budget'!$BE$5:$BE$1005)&gt;0,SUMIF('Detailed Budget'!$F$5:$F$1005,$B24,'Detailed Budget'!$BE$5:$BE$1005),"")</f>
        <v>4302.4077324827404</v>
      </c>
      <c r="Q24" s="44">
        <f>IF(SUMIF('Detailed Budget'!$F$5:$F$1005,$B24,'Detailed Budget'!$BG$5:$BG$1005)&gt;0,SUMIF('Detailed Budget'!$F$5:$F$1005,$B24,'Detailed Budget'!$BG$5:$BG$1005),"")</f>
        <v>4302.4077324827404</v>
      </c>
      <c r="R24" s="45">
        <f>IF(SUMIF('Detailed Budget'!$F$5:$F$1005,$B24,'Detailed Budget'!$BI$5:$BI$1005)&gt;0,SUMIF('Detailed Budget'!$F$5:$F$1005,$B24,'Detailed Budget'!$BI$5:$BI$1005),"")</f>
        <v>17209.630929930961</v>
      </c>
      <c r="S24" s="44" t="str">
        <f>IF(SUMIF('Detailed Budget'!$F$5:$F$1005,$B24,'Detailed Budget'!$BN$5:$BN$1005)&gt;0,SUMIF('Detailed Budget'!$F$5:$F$1005,$B24,'Detailed Budget'!$BN$5:$BN$1005),"")</f>
        <v/>
      </c>
      <c r="T24" s="44" t="str">
        <f>IF(SUMIF('Detailed Budget'!$F$5:$F$1005,$B24,'Detailed Budget'!$BP$5:$BP$1005)&gt;0,SUMIF('Detailed Budget'!$F$5:$F$1005,$B24,'Detailed Budget'!$BP$5:$BP$1005),"")</f>
        <v/>
      </c>
      <c r="U24" s="44" t="str">
        <f>IF(SUMIF('Detailed Budget'!$F$5:$F$1005,$B24,'Detailed Budget'!$BR$5:$BR$1005)&gt;0,SUMIF('Detailed Budget'!$F$5:$F$1005,$B24,'Detailed Budget'!$BR$5:$BR$1005),"")</f>
        <v/>
      </c>
      <c r="V24" s="44" t="str">
        <f>IF(SUMIF('Detailed Budget'!$F$5:$F$1005,$B23,'Detailed Budget'!$BT$5:$BT$1005)&gt;0,SUMIF('Detailed Budget'!$F$5:$F$1005,$B23,'Detailed Budget'!$BT$5:$BT$1005),"")</f>
        <v/>
      </c>
      <c r="W24" s="45" t="str">
        <f>IF(SUMIF('Detailed Budget'!$F$5:$F$1005,$B24,'Detailed Budget'!$BV$5:$BV$1005)&gt;0,SUMIF('Detailed Budget'!$F$5:$F$1005,$B24,'Detailed Budget'!$BV$5:$BV$1005),"")</f>
        <v/>
      </c>
      <c r="X24" s="44">
        <f t="shared" si="0"/>
        <v>51628.892789792881</v>
      </c>
      <c r="Y24" s="124">
        <f t="shared" si="1"/>
        <v>7.4482835943832414E-3</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row>
    <row r="25" spans="1:63" s="35" customFormat="1" ht="15" x14ac:dyDescent="0.25">
      <c r="A25" s="42"/>
      <c r="B25" s="81" t="str">
        <f t="array" ref="B25">IFERROR(INDEX(IntIdList,MATCH(0,COUNTIF(IntIdList,"&lt;"&amp;IntIdList)-SUM(COUNTIF(IntIdList,B$16:B24)),0)),"")</f>
        <v>a1O36000001EGHNEA4</v>
      </c>
      <c r="C25" s="43" t="str">
        <f>IFERROR(INDEX('Data Sheet'!$D$29:$D$174,MATCH(B25,'Data Sheet'!$E$29:$E$174,0)) &amp; " - " &amp; INDEX('Data Sheet'!$C$29:$C$174,MATCH(B25,'Data Sheet'!$E$29:$E$174,0)),"")</f>
        <v>TB/HIV - Key populations (TB/HIV) - Others</v>
      </c>
      <c r="D25" s="44" t="str">
        <f>IF(SUMIF('Detailed Budget'!$F$5:$F$1005,$B25,'Detailed Budget'!$AA$5:$AA$1005)&gt;0,SUMIF('Detailed Budget'!$F$5:$F$1005,$B25,'Detailed Budget'!$AA$5:$AA$1005),"")</f>
        <v/>
      </c>
      <c r="E25" s="44" t="str">
        <f>IF(SUMIF('Detailed Budget'!$F$5:$F$1005,$B25,'Detailed Budget'!$AC$5:$AC$1005)&gt;0,SUMIF('Detailed Budget'!$F$5:$F$1005,$B25,'Detailed Budget'!$AC$5:$AC$1005),"")</f>
        <v/>
      </c>
      <c r="F25" s="44" t="str">
        <f>IF(SUMIF('Detailed Budget'!$F$5:$F$1005,$B25,'Detailed Budget'!$AE$5:$AE$1005)&gt;0,SUMIF('Detailed Budget'!$F$5:$F$1005,$B25,'Detailed Budget'!$AE$5:$AE$1005),"")</f>
        <v/>
      </c>
      <c r="G25" s="44">
        <f>IF(SUMIF('Detailed Budget'!$F$5:$F$1005,$B25,'Detailed Budget'!$AG$5:$AG$1005)&gt;0,SUMIF('Detailed Budget'!$F$5:$F$1005,$B25,'Detailed Budget'!$AG$5:$AG$1005),"")</f>
        <v>2131.6474674573578</v>
      </c>
      <c r="H25" s="45">
        <f>IF(SUMIF('Detailed Budget'!$F$5:$F$1005,$B25,'Detailed Budget'!$AI$5:$AI$1005)&gt;0,SUMIF('Detailed Budget'!$F$5:$F$1005,$B25,'Detailed Budget'!$AI$5:$AI$1005),"")</f>
        <v>2131.6474674573578</v>
      </c>
      <c r="I25" s="44" t="str">
        <f>IF(SUMIF('Detailed Budget'!$F$5:$F$1005,$B25,'Detailed Budget'!$AN$5:$AN$1005)&gt;0,SUMIF('Detailed Budget'!$F$5:$F$1005,$B25,'Detailed Budget'!$AN$5:$AN$1005),"")</f>
        <v/>
      </c>
      <c r="J25" s="44" t="str">
        <f>IF(SUMIF('Detailed Budget'!$F$5:$F$1005,$B25,'Detailed Budget'!$AP$5:$AP$1005)&gt;0,SUMIF('Detailed Budget'!$F$5:$F$1005,$B25,'Detailed Budget'!$AP$5:$AP$1005),"")</f>
        <v/>
      </c>
      <c r="K25" s="44" t="str">
        <f>IF(SUMIF('Detailed Budget'!$F$5:$F$1005,$B25,'Detailed Budget'!$AR$5:$AR$1005)&gt;0,SUMIF('Detailed Budget'!$F$5:$F$1005,$B25,'Detailed Budget'!$AR$5:$AR$1005),"")</f>
        <v/>
      </c>
      <c r="L25" s="44">
        <f>IF(SUMIF('Detailed Budget'!$F$5:$F$1005,$B25,'Detailed Budget'!$AT$5:$AT$1005)&gt;0,SUMIF('Detailed Budget'!$F$5:$F$1005,$B25,'Detailed Budget'!$AT$5:$AT$1005),"")</f>
        <v>2131.6474674573578</v>
      </c>
      <c r="M25" s="45">
        <f>IF(SUMIF('Detailed Budget'!$F$5:$F$1005,$B25,'Detailed Budget'!$AV$5:$AV$1005)&gt;0,SUMIF('Detailed Budget'!$F$5:$F$1005,$B25,'Detailed Budget'!$AV$5:$AV$1005),"")</f>
        <v>2131.6474674573578</v>
      </c>
      <c r="N25" s="44" t="str">
        <f>IF(SUMIF('Detailed Budget'!$F$5:$F$1005,$B25,'Detailed Budget'!$BA$5:$BA$1005)&gt;0,SUMIF('Detailed Budget'!$F$5:$F$1005,$B25,'Detailed Budget'!$BA$5:$BA$1005),"")</f>
        <v/>
      </c>
      <c r="O25" s="44" t="str">
        <f>IF(SUMIF('Detailed Budget'!$F$5:$F$1005,$B25,'Detailed Budget'!$BC$5:$BC$1005)&gt;0,SUMIF('Detailed Budget'!$F$5:$F$1005,$B25,'Detailed Budget'!$BC$5:$BC$1005),"")</f>
        <v/>
      </c>
      <c r="P25" s="44" t="str">
        <f>IF(SUMIF('Detailed Budget'!$F$5:$F$1005,$B25,'Detailed Budget'!$BE$5:$BE$1005)&gt;0,SUMIF('Detailed Budget'!$F$5:$F$1005,$B25,'Detailed Budget'!$BE$5:$BE$1005),"")</f>
        <v/>
      </c>
      <c r="Q25" s="44">
        <f>IF(SUMIF('Detailed Budget'!$F$5:$F$1005,$B25,'Detailed Budget'!$BG$5:$BG$1005)&gt;0,SUMIF('Detailed Budget'!$F$5:$F$1005,$B25,'Detailed Budget'!$BG$5:$BG$1005),"")</f>
        <v>2131.6474674573578</v>
      </c>
      <c r="R25" s="45">
        <f>IF(SUMIF('Detailed Budget'!$F$5:$F$1005,$B25,'Detailed Budget'!$BI$5:$BI$1005)&gt;0,SUMIF('Detailed Budget'!$F$5:$F$1005,$B25,'Detailed Budget'!$BI$5:$BI$1005),"")</f>
        <v>2131.6474674573578</v>
      </c>
      <c r="S25" s="44" t="str">
        <f>IF(SUMIF('Detailed Budget'!$F$5:$F$1005,$B25,'Detailed Budget'!$BN$5:$BN$1005)&gt;0,SUMIF('Detailed Budget'!$F$5:$F$1005,$B25,'Detailed Budget'!$BN$5:$BN$1005),"")</f>
        <v/>
      </c>
      <c r="T25" s="44" t="str">
        <f>IF(SUMIF('Detailed Budget'!$F$5:$F$1005,$B25,'Detailed Budget'!$BP$5:$BP$1005)&gt;0,SUMIF('Detailed Budget'!$F$5:$F$1005,$B25,'Detailed Budget'!$BP$5:$BP$1005),"")</f>
        <v/>
      </c>
      <c r="U25" s="44" t="str">
        <f>IF(SUMIF('Detailed Budget'!$F$5:$F$1005,$B25,'Detailed Budget'!$BR$5:$BR$1005)&gt;0,SUMIF('Detailed Budget'!$F$5:$F$1005,$B25,'Detailed Budget'!$BR$5:$BR$1005),"")</f>
        <v/>
      </c>
      <c r="V25" s="44" t="str">
        <f>IF(SUMIF('Detailed Budget'!$F$5:$F$1005,$B24,'Detailed Budget'!$BT$5:$BT$1005)&gt;0,SUMIF('Detailed Budget'!$F$5:$F$1005,$B24,'Detailed Budget'!$BT$5:$BT$1005),"")</f>
        <v/>
      </c>
      <c r="W25" s="45" t="str">
        <f>IF(SUMIF('Detailed Budget'!$F$5:$F$1005,$B25,'Detailed Budget'!$BV$5:$BV$1005)&gt;0,SUMIF('Detailed Budget'!$F$5:$F$1005,$B25,'Detailed Budget'!$BV$5:$BV$1005),"")</f>
        <v/>
      </c>
      <c r="X25" s="44">
        <f t="shared" si="0"/>
        <v>6394.942402372073</v>
      </c>
      <c r="Y25" s="124">
        <f t="shared" si="1"/>
        <v>9.2257149066792433E-4</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row>
    <row r="26" spans="1:63" s="35" customFormat="1" ht="39" x14ac:dyDescent="0.25">
      <c r="A26" s="42"/>
      <c r="B26" s="81" t="str">
        <f t="array" ref="B26">IFERROR(INDEX(IntIdList,MATCH(0,COUNTIF(IntIdList,"&lt;"&amp;IntIdList)-SUM(COUNTIF(IntIdList,B$16:B25)),0)),"")</f>
        <v>a1O36000001EGIUEA4</v>
      </c>
      <c r="C26" s="43" t="str">
        <f>IFERROR(INDEX('Data Sheet'!$D$29:$D$174,MATCH(B26,'Data Sheet'!$E$29:$E$174,0)) &amp; " - " &amp; INDEX('Data Sheet'!$C$29:$C$174,MATCH(B26,'Data Sheet'!$E$29:$E$174,0)),"")</f>
        <v>Program management - Policy, planning, coordination and management of national disease control programs</v>
      </c>
      <c r="D26" s="44" t="str">
        <f>IF(SUMIF('Detailed Budget'!$F$5:$F$1005,$B26,'Detailed Budget'!$AA$5:$AA$1005)&gt;0,SUMIF('Detailed Budget'!$F$5:$F$1005,$B26,'Detailed Budget'!$AA$5:$AA$1005),"")</f>
        <v/>
      </c>
      <c r="E26" s="44">
        <f>IF(SUMIF('Detailed Budget'!$F$5:$F$1005,$B26,'Detailed Budget'!$AC$5:$AC$1005)&gt;0,SUMIF('Detailed Budget'!$F$5:$F$1005,$B26,'Detailed Budget'!$AC$5:$AC$1005),"")</f>
        <v>5182.4456777633013</v>
      </c>
      <c r="F26" s="44" t="str">
        <f>IF(SUMIF('Detailed Budget'!$F$5:$F$1005,$B26,'Detailed Budget'!$AE$5:$AE$1005)&gt;0,SUMIF('Detailed Budget'!$F$5:$F$1005,$B26,'Detailed Budget'!$AE$5:$AE$1005),"")</f>
        <v/>
      </c>
      <c r="G26" s="44">
        <f>IF(SUMIF('Detailed Budget'!$F$5:$F$1005,$B26,'Detailed Budget'!$AG$5:$AG$1005)&gt;0,SUMIF('Detailed Budget'!$F$5:$F$1005,$B26,'Detailed Budget'!$AG$5:$AG$1005),"")</f>
        <v>29835.730894859007</v>
      </c>
      <c r="H26" s="45">
        <f>IF(SUMIF('Detailed Budget'!$F$5:$F$1005,$B26,'Detailed Budget'!$AI$5:$AI$1005)&gt;0,SUMIF('Detailed Budget'!$F$5:$F$1005,$B26,'Detailed Budget'!$AI$5:$AI$1005),"")</f>
        <v>35018.176572622309</v>
      </c>
      <c r="I26" s="44" t="str">
        <f>IF(SUMIF('Detailed Budget'!$F$5:$F$1005,$B26,'Detailed Budget'!$AN$5:$AN$1005)&gt;0,SUMIF('Detailed Budget'!$F$5:$F$1005,$B26,'Detailed Budget'!$AN$5:$AN$1005),"")</f>
        <v/>
      </c>
      <c r="J26" s="44">
        <f>IF(SUMIF('Detailed Budget'!$F$5:$F$1005,$B26,'Detailed Budget'!$AP$5:$AP$1005)&gt;0,SUMIF('Detailed Budget'!$F$5:$F$1005,$B26,'Detailed Budget'!$AP$5:$AP$1005),"")</f>
        <v>5182.4456777633013</v>
      </c>
      <c r="K26" s="44" t="str">
        <f>IF(SUMIF('Detailed Budget'!$F$5:$F$1005,$B26,'Detailed Budget'!$AR$5:$AR$1005)&gt;0,SUMIF('Detailed Budget'!$F$5:$F$1005,$B26,'Detailed Budget'!$AR$5:$AR$1005),"")</f>
        <v/>
      </c>
      <c r="L26" s="44">
        <f>IF(SUMIF('Detailed Budget'!$F$5:$F$1005,$B26,'Detailed Budget'!$AT$5:$AT$1005)&gt;0,SUMIF('Detailed Budget'!$F$5:$F$1005,$B26,'Detailed Budget'!$AT$5:$AT$1005),"")</f>
        <v>29835.730894859007</v>
      </c>
      <c r="M26" s="45">
        <f>IF(SUMIF('Detailed Budget'!$F$5:$F$1005,$B26,'Detailed Budget'!$AV$5:$AV$1005)&gt;0,SUMIF('Detailed Budget'!$F$5:$F$1005,$B26,'Detailed Budget'!$AV$5:$AV$1005),"")</f>
        <v>35018.176572622309</v>
      </c>
      <c r="N26" s="44" t="str">
        <f>IF(SUMIF('Detailed Budget'!$F$5:$F$1005,$B26,'Detailed Budget'!$BA$5:$BA$1005)&gt;0,SUMIF('Detailed Budget'!$F$5:$F$1005,$B26,'Detailed Budget'!$BA$5:$BA$1005),"")</f>
        <v/>
      </c>
      <c r="O26" s="44">
        <f>IF(SUMIF('Detailed Budget'!$F$5:$F$1005,$B26,'Detailed Budget'!$BC$5:$BC$1005)&gt;0,SUMIF('Detailed Budget'!$F$5:$F$1005,$B26,'Detailed Budget'!$BC$5:$BC$1005),"")</f>
        <v>5182.4456777633013</v>
      </c>
      <c r="P26" s="44" t="str">
        <f>IF(SUMIF('Detailed Budget'!$F$5:$F$1005,$B26,'Detailed Budget'!$BE$5:$BE$1005)&gt;0,SUMIF('Detailed Budget'!$F$5:$F$1005,$B26,'Detailed Budget'!$BE$5:$BE$1005),"")</f>
        <v/>
      </c>
      <c r="Q26" s="44">
        <f>IF(SUMIF('Detailed Budget'!$F$5:$F$1005,$B26,'Detailed Budget'!$BG$5:$BG$1005)&gt;0,SUMIF('Detailed Budget'!$F$5:$F$1005,$B26,'Detailed Budget'!$BG$5:$BG$1005),"")</f>
        <v>10526.231645494705</v>
      </c>
      <c r="R26" s="45">
        <f>IF(SUMIF('Detailed Budget'!$F$5:$F$1005,$B26,'Detailed Budget'!$BI$5:$BI$1005)&gt;0,SUMIF('Detailed Budget'!$F$5:$F$1005,$B26,'Detailed Budget'!$BI$5:$BI$1005),"")</f>
        <v>15708.677323258005</v>
      </c>
      <c r="S26" s="44" t="str">
        <f>IF(SUMIF('Detailed Budget'!$F$5:$F$1005,$B26,'Detailed Budget'!$BN$5:$BN$1005)&gt;0,SUMIF('Detailed Budget'!$F$5:$F$1005,$B26,'Detailed Budget'!$BN$5:$BN$1005),"")</f>
        <v/>
      </c>
      <c r="T26" s="44" t="str">
        <f>IF(SUMIF('Detailed Budget'!$F$5:$F$1005,$B26,'Detailed Budget'!$BP$5:$BP$1005)&gt;0,SUMIF('Detailed Budget'!$F$5:$F$1005,$B26,'Detailed Budget'!$BP$5:$BP$1005),"")</f>
        <v/>
      </c>
      <c r="U26" s="44" t="str">
        <f>IF(SUMIF('Detailed Budget'!$F$5:$F$1005,$B26,'Detailed Budget'!$BR$5:$BR$1005)&gt;0,SUMIF('Detailed Budget'!$F$5:$F$1005,$B26,'Detailed Budget'!$BR$5:$BR$1005),"")</f>
        <v/>
      </c>
      <c r="V26" s="44" t="str">
        <f>IF(SUMIF('Detailed Budget'!$F$5:$F$1005,$B25,'Detailed Budget'!$BT$5:$BT$1005)&gt;0,SUMIF('Detailed Budget'!$F$5:$F$1005,$B25,'Detailed Budget'!$BT$5:$BT$1005),"")</f>
        <v/>
      </c>
      <c r="W26" s="45" t="str">
        <f>IF(SUMIF('Detailed Budget'!$F$5:$F$1005,$B26,'Detailed Budget'!$BV$5:$BV$1005)&gt;0,SUMIF('Detailed Budget'!$F$5:$F$1005,$B26,'Detailed Budget'!$BV$5:$BV$1005),"")</f>
        <v/>
      </c>
      <c r="X26" s="44">
        <f t="shared" si="0"/>
        <v>85745.03046850262</v>
      </c>
      <c r="Y26" s="124">
        <f t="shared" si="1"/>
        <v>1.2370075537717169E-2</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row>
    <row r="27" spans="1:63" s="35" customFormat="1" ht="15" x14ac:dyDescent="0.25">
      <c r="A27" s="42"/>
      <c r="B27" s="81" t="str">
        <f t="array" ref="B27">IFERROR(INDEX(IntIdList,MATCH(0,COUNTIF(IntIdList,"&lt;"&amp;IntIdList)-SUM(COUNTIF(IntIdList,B$16:B26)),0)),"")</f>
        <v>a1O36000001EGIVEA4</v>
      </c>
      <c r="C27" s="43" t="str">
        <f>IFERROR(INDEX('Data Sheet'!$D$29:$D$174,MATCH(B27,'Data Sheet'!$E$29:$E$174,0)) &amp; " - " &amp; INDEX('Data Sheet'!$C$29:$C$174,MATCH(B27,'Data Sheet'!$E$29:$E$174,0)),"")</f>
        <v>Program management - Grant management</v>
      </c>
      <c r="D27" s="44">
        <f>IF(SUMIF('Detailed Budget'!$F$5:$F$1005,$B27,'Detailed Budget'!$AA$5:$AA$1005)&gt;0,SUMIF('Detailed Budget'!$F$5:$F$1005,$B27,'Detailed Budget'!$AA$5:$AA$1005),"")</f>
        <v>114273.25018468451</v>
      </c>
      <c r="E27" s="44">
        <f>IF(SUMIF('Detailed Budget'!$F$5:$F$1005,$B27,'Detailed Budget'!$AC$5:$AC$1005)&gt;0,SUMIF('Detailed Budget'!$F$5:$F$1005,$B27,'Detailed Budget'!$AC$5:$AC$1005),"")</f>
        <v>115228.74776828366</v>
      </c>
      <c r="F27" s="44">
        <f>IF(SUMIF('Detailed Budget'!$F$5:$F$1005,$B27,'Detailed Budget'!$AE$5:$AE$1005)&gt;0,SUMIF('Detailed Budget'!$F$5:$F$1005,$B27,'Detailed Budget'!$AE$5:$AE$1005),"")</f>
        <v>121928.74776828368</v>
      </c>
      <c r="G27" s="44">
        <f>IF(SUMIF('Detailed Budget'!$F$5:$F$1005,$B27,'Detailed Budget'!$AG$5:$AG$1005)&gt;0,SUMIF('Detailed Budget'!$F$5:$F$1005,$B27,'Detailed Budget'!$AG$5:$AG$1005),"")</f>
        <v>137928.74776828368</v>
      </c>
      <c r="H27" s="45">
        <f>IF(SUMIF('Detailed Budget'!$F$5:$F$1005,$B27,'Detailed Budget'!$AI$5:$AI$1005)&gt;0,SUMIF('Detailed Budget'!$F$5:$F$1005,$B27,'Detailed Budget'!$AI$5:$AI$1005),"")</f>
        <v>489359.49348953553</v>
      </c>
      <c r="I27" s="44">
        <f>IF(SUMIF('Detailed Budget'!$F$5:$F$1005,$B27,'Detailed Budget'!$AN$5:$AN$1005)&gt;0,SUMIF('Detailed Budget'!$F$5:$F$1005,$B27,'Detailed Budget'!$AN$5:$AN$1005),"")</f>
        <v>117091.41268468452</v>
      </c>
      <c r="J27" s="44">
        <f>IF(SUMIF('Detailed Budget'!$F$5:$F$1005,$B27,'Detailed Budget'!$AP$5:$AP$1005)&gt;0,SUMIF('Detailed Budget'!$F$5:$F$1005,$B27,'Detailed Budget'!$AP$5:$AP$1005),"")</f>
        <v>113446.91026828365</v>
      </c>
      <c r="K27" s="44">
        <f>IF(SUMIF('Detailed Budget'!$F$5:$F$1005,$B27,'Detailed Budget'!$AR$5:$AR$1005)&gt;0,SUMIF('Detailed Budget'!$F$5:$F$1005,$B27,'Detailed Budget'!$AR$5:$AR$1005),"")</f>
        <v>113446.91026828365</v>
      </c>
      <c r="L27" s="44">
        <f>IF(SUMIF('Detailed Budget'!$F$5:$F$1005,$B27,'Detailed Budget'!$AT$5:$AT$1005)&gt;0,SUMIF('Detailed Budget'!$F$5:$F$1005,$B27,'Detailed Budget'!$AT$5:$AT$1005),"")</f>
        <v>138446.91026828368</v>
      </c>
      <c r="M27" s="45">
        <f>IF(SUMIF('Detailed Budget'!$F$5:$F$1005,$B27,'Detailed Budget'!$AV$5:$AV$1005)&gt;0,SUMIF('Detailed Budget'!$F$5:$F$1005,$B27,'Detailed Budget'!$AV$5:$AV$1005),"")</f>
        <v>482432.14348953549</v>
      </c>
      <c r="N27" s="44">
        <f>IF(SUMIF('Detailed Budget'!$F$5:$F$1005,$B27,'Detailed Budget'!$BA$5:$BA$1005)&gt;0,SUMIF('Detailed Budget'!$F$5:$F$1005,$B27,'Detailed Budget'!$BA$5:$BA$1005),"")</f>
        <v>117619.62768468453</v>
      </c>
      <c r="O27" s="44">
        <f>IF(SUMIF('Detailed Budget'!$F$5:$F$1005,$B27,'Detailed Budget'!$BC$5:$BC$1005)&gt;0,SUMIF('Detailed Budget'!$F$5:$F$1005,$B27,'Detailed Budget'!$BC$5:$BC$1005),"")</f>
        <v>113975.12526828366</v>
      </c>
      <c r="P27" s="44">
        <f>IF(SUMIF('Detailed Budget'!$F$5:$F$1005,$B27,'Detailed Budget'!$BE$5:$BE$1005)&gt;0,SUMIF('Detailed Budget'!$F$5:$F$1005,$B27,'Detailed Budget'!$BE$5:$BE$1005),"")</f>
        <v>122975.12526828368</v>
      </c>
      <c r="Q27" s="44">
        <f>IF(SUMIF('Detailed Budget'!$F$5:$F$1005,$B27,'Detailed Budget'!$BG$5:$BG$1005)&gt;0,SUMIF('Detailed Budget'!$F$5:$F$1005,$B27,'Detailed Budget'!$BG$5:$BG$1005),"")</f>
        <v>138975.12526828368</v>
      </c>
      <c r="R27" s="45">
        <f>IF(SUMIF('Detailed Budget'!$F$5:$F$1005,$B27,'Detailed Budget'!$BI$5:$BI$1005)&gt;0,SUMIF('Detailed Budget'!$F$5:$F$1005,$B27,'Detailed Budget'!$BI$5:$BI$1005),"")</f>
        <v>493545.00348953553</v>
      </c>
      <c r="S27" s="44" t="str">
        <f>IF(SUMIF('Detailed Budget'!$F$5:$F$1005,$B27,'Detailed Budget'!$BN$5:$BN$1005)&gt;0,SUMIF('Detailed Budget'!$F$5:$F$1005,$B27,'Detailed Budget'!$BN$5:$BN$1005),"")</f>
        <v/>
      </c>
      <c r="T27" s="44" t="str">
        <f>IF(SUMIF('Detailed Budget'!$F$5:$F$1005,$B27,'Detailed Budget'!$BP$5:$BP$1005)&gt;0,SUMIF('Detailed Budget'!$F$5:$F$1005,$B27,'Detailed Budget'!$BP$5:$BP$1005),"")</f>
        <v/>
      </c>
      <c r="U27" s="44" t="str">
        <f>IF(SUMIF('Detailed Budget'!$F$5:$F$1005,$B27,'Detailed Budget'!$BR$5:$BR$1005)&gt;0,SUMIF('Detailed Budget'!$F$5:$F$1005,$B27,'Detailed Budget'!$BR$5:$BR$1005),"")</f>
        <v/>
      </c>
      <c r="V27" s="44" t="str">
        <f>IF(SUMIF('Detailed Budget'!$F$5:$F$1005,$B26,'Detailed Budget'!$BT$5:$BT$1005)&gt;0,SUMIF('Detailed Budget'!$F$5:$F$1005,$B26,'Detailed Budget'!$BT$5:$BT$1005),"")</f>
        <v/>
      </c>
      <c r="W27" s="45" t="str">
        <f>IF(SUMIF('Detailed Budget'!$F$5:$F$1005,$B27,'Detailed Budget'!$BV$5:$BV$1005)&gt;0,SUMIF('Detailed Budget'!$F$5:$F$1005,$B27,'Detailed Budget'!$BV$5:$BV$1005),"")</f>
        <v/>
      </c>
      <c r="X27" s="44">
        <f t="shared" si="0"/>
        <v>1465336.6404686065</v>
      </c>
      <c r="Y27" s="124">
        <f t="shared" si="1"/>
        <v>0.21139796477697737</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row>
    <row r="28" spans="1:63" s="35" customFormat="1" ht="26.25" x14ac:dyDescent="0.25">
      <c r="A28" s="42"/>
      <c r="B28" s="81" t="str">
        <f t="array" ref="B28">IFERROR(INDEX(IntIdList,MATCH(0,COUNTIF(IntIdList,"&lt;"&amp;IntIdList)-SUM(COUNTIF(IntIdList,B$16:B27)),0)),"")</f>
        <v>a1O36000001EGIXEA4</v>
      </c>
      <c r="C28" s="43" t="str">
        <f>IFERROR(INDEX('Data Sheet'!$D$29:$D$174,MATCH(B28,'Data Sheet'!$E$29:$E$174,0)) &amp; " - " &amp; INDEX('Data Sheet'!$C$29:$C$174,MATCH(B28,'Data Sheet'!$E$29:$E$174,0)),"")</f>
        <v>Program management - Other program management intervention(s)</v>
      </c>
      <c r="D28" s="44">
        <f>IF(SUMIF('Detailed Budget'!$F$5:$F$1005,$B28,'Detailed Budget'!$AA$5:$AA$1005)&gt;0,SUMIF('Detailed Budget'!$F$5:$F$1005,$B28,'Detailed Budget'!$AA$5:$AA$1005),"")</f>
        <v>3569.6539155442738</v>
      </c>
      <c r="E28" s="44">
        <f>IF(SUMIF('Detailed Budget'!$F$5:$F$1005,$B28,'Detailed Budget'!$AC$5:$AC$1005)&gt;0,SUMIF('Detailed Budget'!$F$5:$F$1005,$B28,'Detailed Budget'!$AC$5:$AC$1005),"")</f>
        <v>3569.6539155442738</v>
      </c>
      <c r="F28" s="44">
        <f>IF(SUMIF('Detailed Budget'!$F$5:$F$1005,$B28,'Detailed Budget'!$AE$5:$AE$1005)&gt;0,SUMIF('Detailed Budget'!$F$5:$F$1005,$B28,'Detailed Budget'!$AE$5:$AE$1005),"")</f>
        <v>3569.6539155442738</v>
      </c>
      <c r="G28" s="44">
        <f>IF(SUMIF('Detailed Budget'!$F$5:$F$1005,$B28,'Detailed Budget'!$AG$5:$AG$1005)&gt;0,SUMIF('Detailed Budget'!$F$5:$F$1005,$B28,'Detailed Budget'!$AG$5:$AG$1005),"")</f>
        <v>3569.6539155442738</v>
      </c>
      <c r="H28" s="45">
        <f>IF(SUMIF('Detailed Budget'!$F$5:$F$1005,$B28,'Detailed Budget'!$AI$5:$AI$1005)&gt;0,SUMIF('Detailed Budget'!$F$5:$F$1005,$B28,'Detailed Budget'!$AI$5:$AI$1005),"")</f>
        <v>14278.615662177095</v>
      </c>
      <c r="I28" s="44">
        <f>IF(SUMIF('Detailed Budget'!$F$5:$F$1005,$B28,'Detailed Budget'!$AN$5:$AN$1005)&gt;0,SUMIF('Detailed Budget'!$F$5:$F$1005,$B28,'Detailed Budget'!$AN$5:$AN$1005),"")</f>
        <v>3569.6539155442738</v>
      </c>
      <c r="J28" s="44">
        <f>IF(SUMIF('Detailed Budget'!$F$5:$F$1005,$B28,'Detailed Budget'!$AP$5:$AP$1005)&gt;0,SUMIF('Detailed Budget'!$F$5:$F$1005,$B28,'Detailed Budget'!$AP$5:$AP$1005),"")</f>
        <v>3569.6539155442738</v>
      </c>
      <c r="K28" s="44">
        <f>IF(SUMIF('Detailed Budget'!$F$5:$F$1005,$B28,'Detailed Budget'!$AR$5:$AR$1005)&gt;0,SUMIF('Detailed Budget'!$F$5:$F$1005,$B28,'Detailed Budget'!$AR$5:$AR$1005),"")</f>
        <v>3569.6539155442738</v>
      </c>
      <c r="L28" s="44">
        <f>IF(SUMIF('Detailed Budget'!$F$5:$F$1005,$B28,'Detailed Budget'!$AT$5:$AT$1005)&gt;0,SUMIF('Detailed Budget'!$F$5:$F$1005,$B28,'Detailed Budget'!$AT$5:$AT$1005),"")</f>
        <v>3569.6539155442738</v>
      </c>
      <c r="M28" s="45">
        <f>IF(SUMIF('Detailed Budget'!$F$5:$F$1005,$B28,'Detailed Budget'!$AV$5:$AV$1005)&gt;0,SUMIF('Detailed Budget'!$F$5:$F$1005,$B28,'Detailed Budget'!$AV$5:$AV$1005),"")</f>
        <v>14278.615662177095</v>
      </c>
      <c r="N28" s="44">
        <f>IF(SUMIF('Detailed Budget'!$F$5:$F$1005,$B28,'Detailed Budget'!$BA$5:$BA$1005)&gt;0,SUMIF('Detailed Budget'!$F$5:$F$1005,$B28,'Detailed Budget'!$BA$5:$BA$1005),"")</f>
        <v>3569.6539155442738</v>
      </c>
      <c r="O28" s="44">
        <f>IF(SUMIF('Detailed Budget'!$F$5:$F$1005,$B28,'Detailed Budget'!$BC$5:$BC$1005)&gt;0,SUMIF('Detailed Budget'!$F$5:$F$1005,$B28,'Detailed Budget'!$BC$5:$BC$1005),"")</f>
        <v>3569.6539155442738</v>
      </c>
      <c r="P28" s="44">
        <f>IF(SUMIF('Detailed Budget'!$F$5:$F$1005,$B28,'Detailed Budget'!$BE$5:$BE$1005)&gt;0,SUMIF('Detailed Budget'!$F$5:$F$1005,$B28,'Detailed Budget'!$BE$5:$BE$1005),"")</f>
        <v>3569.6539155442738</v>
      </c>
      <c r="Q28" s="44">
        <f>IF(SUMIF('Detailed Budget'!$F$5:$F$1005,$B28,'Detailed Budget'!$BG$5:$BG$1005)&gt;0,SUMIF('Detailed Budget'!$F$5:$F$1005,$B28,'Detailed Budget'!$BG$5:$BG$1005),"")</f>
        <v>3569.6539155442738</v>
      </c>
      <c r="R28" s="45">
        <f>IF(SUMIF('Detailed Budget'!$F$5:$F$1005,$B28,'Detailed Budget'!$BI$5:$BI$1005)&gt;0,SUMIF('Detailed Budget'!$F$5:$F$1005,$B28,'Detailed Budget'!$BI$5:$BI$1005),"")</f>
        <v>14278.615662177095</v>
      </c>
      <c r="S28" s="44" t="str">
        <f>IF(SUMIF('Detailed Budget'!$F$5:$F$1005,$B28,'Detailed Budget'!$BN$5:$BN$1005)&gt;0,SUMIF('Detailed Budget'!$F$5:$F$1005,$B28,'Detailed Budget'!$BN$5:$BN$1005),"")</f>
        <v/>
      </c>
      <c r="T28" s="44" t="str">
        <f>IF(SUMIF('Detailed Budget'!$F$5:$F$1005,$B28,'Detailed Budget'!$BP$5:$BP$1005)&gt;0,SUMIF('Detailed Budget'!$F$5:$F$1005,$B28,'Detailed Budget'!$BP$5:$BP$1005),"")</f>
        <v/>
      </c>
      <c r="U28" s="44" t="str">
        <f>IF(SUMIF('Detailed Budget'!$F$5:$F$1005,$B28,'Detailed Budget'!$BR$5:$BR$1005)&gt;0,SUMIF('Detailed Budget'!$F$5:$F$1005,$B28,'Detailed Budget'!$BR$5:$BR$1005),"")</f>
        <v/>
      </c>
      <c r="V28" s="44" t="str">
        <f>IF(SUMIF('Detailed Budget'!$F$5:$F$1005,$B27,'Detailed Budget'!$BT$5:$BT$1005)&gt;0,SUMIF('Detailed Budget'!$F$5:$F$1005,$B27,'Detailed Budget'!$BT$5:$BT$1005),"")</f>
        <v/>
      </c>
      <c r="W28" s="45" t="str">
        <f>IF(SUMIF('Detailed Budget'!$F$5:$F$1005,$B28,'Detailed Budget'!$BV$5:$BV$1005)&gt;0,SUMIF('Detailed Budget'!$F$5:$F$1005,$B28,'Detailed Budget'!$BV$5:$BV$1005),"")</f>
        <v/>
      </c>
      <c r="X28" s="44">
        <f t="shared" si="0"/>
        <v>42835.846986531287</v>
      </c>
      <c r="Y28" s="124">
        <f t="shared" si="1"/>
        <v>6.1797477947148471E-3</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row>
    <row r="29" spans="1:63" s="35" customFormat="1" ht="39" x14ac:dyDescent="0.25">
      <c r="A29" s="42"/>
      <c r="B29" s="81" t="str">
        <f t="array" ref="B29">IFERROR(INDEX(IntIdList,MATCH(0,COUNTIF(IntIdList,"&lt;"&amp;IntIdList)-SUM(COUNTIF(IntIdList,B$16:B28)),0)),"")</f>
        <v>a1O36000001qZ85EAE</v>
      </c>
      <c r="C29" s="43" t="str">
        <f>IFERROR(INDEX('Data Sheet'!$D$29:$D$174,MATCH(B29,'Data Sheet'!$E$29:$E$174,0)) &amp; " - " &amp; INDEX('Data Sheet'!$C$29:$C$174,MATCH(B29,'Data Sheet'!$E$29:$E$174,0)),"")</f>
        <v>Comprehensive prevention programs for sex workers and their clients - Addressing stigma, discrimination and violence against sex workers</v>
      </c>
      <c r="D29" s="44">
        <f>IF(SUMIF('Detailed Budget'!$F$5:$F$1005,$B29,'Detailed Budget'!$AA$5:$AA$1005)&gt;0,SUMIF('Detailed Budget'!$F$5:$F$1005,$B29,'Detailed Budget'!$AA$5:$AA$1005),"")</f>
        <v>2545.3875292316216</v>
      </c>
      <c r="E29" s="44">
        <f>IF(SUMIF('Detailed Budget'!$F$5:$F$1005,$B29,'Detailed Budget'!$AC$5:$AC$1005)&gt;0,SUMIF('Detailed Budget'!$F$5:$F$1005,$B29,'Detailed Budget'!$AC$5:$AC$1005),"")</f>
        <v>6351.5516425700471</v>
      </c>
      <c r="F29" s="44">
        <f>IF(SUMIF('Detailed Budget'!$F$5:$F$1005,$B29,'Detailed Budget'!$AE$5:$AE$1005)&gt;0,SUMIF('Detailed Budget'!$F$5:$F$1005,$B29,'Detailed Budget'!$AE$5:$AE$1005),"")</f>
        <v>6351.5516425700471</v>
      </c>
      <c r="G29" s="44">
        <f>IF(SUMIF('Detailed Budget'!$F$5:$F$1005,$B29,'Detailed Budget'!$AG$5:$AG$1005)&gt;0,SUMIF('Detailed Budget'!$F$5:$F$1005,$B29,'Detailed Budget'!$AG$5:$AG$1005),"")</f>
        <v>6351.5516425700471</v>
      </c>
      <c r="H29" s="45">
        <f>IF(SUMIF('Detailed Budget'!$F$5:$F$1005,$B29,'Detailed Budget'!$AI$5:$AI$1005)&gt;0,SUMIF('Detailed Budget'!$F$5:$F$1005,$B29,'Detailed Budget'!$AI$5:$AI$1005),"")</f>
        <v>21600.042456941763</v>
      </c>
      <c r="I29" s="44">
        <f>IF(SUMIF('Detailed Budget'!$F$5:$F$1005,$B29,'Detailed Budget'!$AN$5:$AN$1005)&gt;0,SUMIF('Detailed Budget'!$F$5:$F$1005,$B29,'Detailed Budget'!$AN$5:$AN$1005),"")</f>
        <v>2545.3875292316216</v>
      </c>
      <c r="J29" s="44">
        <f>IF(SUMIF('Detailed Budget'!$F$5:$F$1005,$B29,'Detailed Budget'!$AP$5:$AP$1005)&gt;0,SUMIF('Detailed Budget'!$F$5:$F$1005,$B29,'Detailed Budget'!$AP$5:$AP$1005),"")</f>
        <v>6351.5516425700471</v>
      </c>
      <c r="K29" s="44">
        <f>IF(SUMIF('Detailed Budget'!$F$5:$F$1005,$B29,'Detailed Budget'!$AR$5:$AR$1005)&gt;0,SUMIF('Detailed Budget'!$F$5:$F$1005,$B29,'Detailed Budget'!$AR$5:$AR$1005),"")</f>
        <v>6351.5516425700471</v>
      </c>
      <c r="L29" s="44">
        <f>IF(SUMIF('Detailed Budget'!$F$5:$F$1005,$B29,'Detailed Budget'!$AT$5:$AT$1005)&gt;0,SUMIF('Detailed Budget'!$F$5:$F$1005,$B29,'Detailed Budget'!$AT$5:$AT$1005),"")</f>
        <v>6351.5516425700471</v>
      </c>
      <c r="M29" s="45">
        <f>IF(SUMIF('Detailed Budget'!$F$5:$F$1005,$B29,'Detailed Budget'!$AV$5:$AV$1005)&gt;0,SUMIF('Detailed Budget'!$F$5:$F$1005,$B29,'Detailed Budget'!$AV$5:$AV$1005),"")</f>
        <v>21600.042456941763</v>
      </c>
      <c r="N29" s="44">
        <f>IF(SUMIF('Detailed Budget'!$F$5:$F$1005,$B29,'Detailed Budget'!$BA$5:$BA$1005)&gt;0,SUMIF('Detailed Budget'!$F$5:$F$1005,$B29,'Detailed Budget'!$BA$5:$BA$1005),"")</f>
        <v>2545.3875292316216</v>
      </c>
      <c r="O29" s="44">
        <f>IF(SUMIF('Detailed Budget'!$F$5:$F$1005,$B29,'Detailed Budget'!$BC$5:$BC$1005)&gt;0,SUMIF('Detailed Budget'!$F$5:$F$1005,$B29,'Detailed Budget'!$BC$5:$BC$1005),"")</f>
        <v>6351.5516425700471</v>
      </c>
      <c r="P29" s="44">
        <f>IF(SUMIF('Detailed Budget'!$F$5:$F$1005,$B29,'Detailed Budget'!$BE$5:$BE$1005)&gt;0,SUMIF('Detailed Budget'!$F$5:$F$1005,$B29,'Detailed Budget'!$BE$5:$BE$1005),"")</f>
        <v>6351.5516425700471</v>
      </c>
      <c r="Q29" s="44">
        <f>IF(SUMIF('Detailed Budget'!$F$5:$F$1005,$B29,'Detailed Budget'!$BG$5:$BG$1005)&gt;0,SUMIF('Detailed Budget'!$F$5:$F$1005,$B29,'Detailed Budget'!$BG$5:$BG$1005),"")</f>
        <v>6351.5516425700471</v>
      </c>
      <c r="R29" s="45">
        <f>IF(SUMIF('Detailed Budget'!$F$5:$F$1005,$B29,'Detailed Budget'!$BI$5:$BI$1005)&gt;0,SUMIF('Detailed Budget'!$F$5:$F$1005,$B29,'Detailed Budget'!$BI$5:$BI$1005),"")</f>
        <v>21600.042456941763</v>
      </c>
      <c r="S29" s="44" t="str">
        <f>IF(SUMIF('Detailed Budget'!$F$5:$F$1005,$B29,'Detailed Budget'!$BN$5:$BN$1005)&gt;0,SUMIF('Detailed Budget'!$F$5:$F$1005,$B29,'Detailed Budget'!$BN$5:$BN$1005),"")</f>
        <v/>
      </c>
      <c r="T29" s="44" t="str">
        <f>IF(SUMIF('Detailed Budget'!$F$5:$F$1005,$B29,'Detailed Budget'!$BP$5:$BP$1005)&gt;0,SUMIF('Detailed Budget'!$F$5:$F$1005,$B29,'Detailed Budget'!$BP$5:$BP$1005),"")</f>
        <v/>
      </c>
      <c r="U29" s="44" t="str">
        <f>IF(SUMIF('Detailed Budget'!$F$5:$F$1005,$B29,'Detailed Budget'!$BR$5:$BR$1005)&gt;0,SUMIF('Detailed Budget'!$F$5:$F$1005,$B29,'Detailed Budget'!$BR$5:$BR$1005),"")</f>
        <v/>
      </c>
      <c r="V29" s="44" t="str">
        <f>IF(SUMIF('Detailed Budget'!$F$5:$F$1005,$B28,'Detailed Budget'!$BT$5:$BT$1005)&gt;0,SUMIF('Detailed Budget'!$F$5:$F$1005,$B28,'Detailed Budget'!$BT$5:$BT$1005),"")</f>
        <v/>
      </c>
      <c r="W29" s="45" t="str">
        <f>IF(SUMIF('Detailed Budget'!$F$5:$F$1005,$B29,'Detailed Budget'!$BV$5:$BV$1005)&gt;0,SUMIF('Detailed Budget'!$F$5:$F$1005,$B29,'Detailed Budget'!$BV$5:$BV$1005),"")</f>
        <v/>
      </c>
      <c r="X29" s="44">
        <f t="shared" si="0"/>
        <v>64800.127370825285</v>
      </c>
      <c r="Y29" s="124">
        <f t="shared" si="1"/>
        <v>9.3484423068139685E-3</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row>
    <row r="30" spans="1:63" s="35" customFormat="1" ht="51.75" x14ac:dyDescent="0.25">
      <c r="A30" s="42"/>
      <c r="B30" s="81" t="str">
        <f t="array" ref="B30">IFERROR(INDEX(IntIdList,MATCH(0,COUNTIF(IntIdList,"&lt;"&amp;IntIdList)-SUM(COUNTIF(IntIdList,B$16:B29)),0)),"")</f>
        <v>a1O36000001qZ87EAE</v>
      </c>
      <c r="C30" s="43" t="str">
        <f>IFERROR(INDEX('Data Sheet'!$D$29:$D$174,MATCH(B30,'Data Sheet'!$E$29:$E$174,0)) &amp; " - " &amp; INDEX('Data Sheet'!$C$29:$C$174,MATCH(B30,'Data Sheet'!$E$29:$E$174,0)),"")</f>
        <v>Comprehensive prevention programs for sex workers and their clients - Prevention and management of coinfections and co-morbidities for sex workers</v>
      </c>
      <c r="D30" s="44">
        <f>IF(SUMIF('Detailed Budget'!$F$5:$F$1005,$B30,'Detailed Budget'!$AA$5:$AA$1005)&gt;0,SUMIF('Detailed Budget'!$F$5:$F$1005,$B30,'Detailed Budget'!$AA$5:$AA$1005),"")</f>
        <v>195.56398784012458</v>
      </c>
      <c r="E30" s="44">
        <f>IF(SUMIF('Detailed Budget'!$F$5:$F$1005,$B30,'Detailed Budget'!$AC$5:$AC$1005)&gt;0,SUMIF('Detailed Budget'!$F$5:$F$1005,$B30,'Detailed Budget'!$AC$5:$AC$1005),"")</f>
        <v>195.56398784012458</v>
      </c>
      <c r="F30" s="44">
        <f>IF(SUMIF('Detailed Budget'!$F$5:$F$1005,$B30,'Detailed Budget'!$AE$5:$AE$1005)&gt;0,SUMIF('Detailed Budget'!$F$5:$F$1005,$B30,'Detailed Budget'!$AE$5:$AE$1005),"")</f>
        <v>195.56398784012458</v>
      </c>
      <c r="G30" s="44">
        <f>IF(SUMIF('Detailed Budget'!$F$5:$F$1005,$B30,'Detailed Budget'!$AG$5:$AG$1005)&gt;0,SUMIF('Detailed Budget'!$F$5:$F$1005,$B30,'Detailed Budget'!$AG$5:$AG$1005),"")</f>
        <v>195.56398784012458</v>
      </c>
      <c r="H30" s="45">
        <f>IF(SUMIF('Detailed Budget'!$F$5:$F$1005,$B30,'Detailed Budget'!$AI$5:$AI$1005)&gt;0,SUMIF('Detailed Budget'!$F$5:$F$1005,$B30,'Detailed Budget'!$AI$5:$AI$1005),"")</f>
        <v>782.25595136049833</v>
      </c>
      <c r="I30" s="44">
        <f>IF(SUMIF('Detailed Budget'!$F$5:$F$1005,$B30,'Detailed Budget'!$AN$5:$AN$1005)&gt;0,SUMIF('Detailed Budget'!$F$5:$F$1005,$B30,'Detailed Budget'!$AN$5:$AN$1005),"")</f>
        <v>195.56398784012458</v>
      </c>
      <c r="J30" s="44">
        <f>IF(SUMIF('Detailed Budget'!$F$5:$F$1005,$B30,'Detailed Budget'!$AP$5:$AP$1005)&gt;0,SUMIF('Detailed Budget'!$F$5:$F$1005,$B30,'Detailed Budget'!$AP$5:$AP$1005),"")</f>
        <v>195.56398784012458</v>
      </c>
      <c r="K30" s="44">
        <f>IF(SUMIF('Detailed Budget'!$F$5:$F$1005,$B30,'Detailed Budget'!$AR$5:$AR$1005)&gt;0,SUMIF('Detailed Budget'!$F$5:$F$1005,$B30,'Detailed Budget'!$AR$5:$AR$1005),"")</f>
        <v>195.56398784012458</v>
      </c>
      <c r="L30" s="44">
        <f>IF(SUMIF('Detailed Budget'!$F$5:$F$1005,$B30,'Detailed Budget'!$AT$5:$AT$1005)&gt;0,SUMIF('Detailed Budget'!$F$5:$F$1005,$B30,'Detailed Budget'!$AT$5:$AT$1005),"")</f>
        <v>195.56398784012458</v>
      </c>
      <c r="M30" s="45">
        <f>IF(SUMIF('Detailed Budget'!$F$5:$F$1005,$B30,'Detailed Budget'!$AV$5:$AV$1005)&gt;0,SUMIF('Detailed Budget'!$F$5:$F$1005,$B30,'Detailed Budget'!$AV$5:$AV$1005),"")</f>
        <v>782.25595136049833</v>
      </c>
      <c r="N30" s="44">
        <f>IF(SUMIF('Detailed Budget'!$F$5:$F$1005,$B30,'Detailed Budget'!$BA$5:$BA$1005)&gt;0,SUMIF('Detailed Budget'!$F$5:$F$1005,$B30,'Detailed Budget'!$BA$5:$BA$1005),"")</f>
        <v>195.56398784012458</v>
      </c>
      <c r="O30" s="44">
        <f>IF(SUMIF('Detailed Budget'!$F$5:$F$1005,$B30,'Detailed Budget'!$BC$5:$BC$1005)&gt;0,SUMIF('Detailed Budget'!$F$5:$F$1005,$B30,'Detailed Budget'!$BC$5:$BC$1005),"")</f>
        <v>195.56398784012458</v>
      </c>
      <c r="P30" s="44">
        <f>IF(SUMIF('Detailed Budget'!$F$5:$F$1005,$B30,'Detailed Budget'!$BE$5:$BE$1005)&gt;0,SUMIF('Detailed Budget'!$F$5:$F$1005,$B30,'Detailed Budget'!$BE$5:$BE$1005),"")</f>
        <v>195.56398784012458</v>
      </c>
      <c r="Q30" s="44">
        <f>IF(SUMIF('Detailed Budget'!$F$5:$F$1005,$B30,'Detailed Budget'!$BG$5:$BG$1005)&gt;0,SUMIF('Detailed Budget'!$F$5:$F$1005,$B30,'Detailed Budget'!$BG$5:$BG$1005),"")</f>
        <v>195.56398784012458</v>
      </c>
      <c r="R30" s="45">
        <f>IF(SUMIF('Detailed Budget'!$F$5:$F$1005,$B30,'Detailed Budget'!$BI$5:$BI$1005)&gt;0,SUMIF('Detailed Budget'!$F$5:$F$1005,$B30,'Detailed Budget'!$BI$5:$BI$1005),"")</f>
        <v>782.25595136049833</v>
      </c>
      <c r="S30" s="44" t="str">
        <f>IF(SUMIF('Detailed Budget'!$F$5:$F$1005,$B30,'Detailed Budget'!$BN$5:$BN$1005)&gt;0,SUMIF('Detailed Budget'!$F$5:$F$1005,$B30,'Detailed Budget'!$BN$5:$BN$1005),"")</f>
        <v/>
      </c>
      <c r="T30" s="44" t="str">
        <f>IF(SUMIF('Detailed Budget'!$F$5:$F$1005,$B30,'Detailed Budget'!$BP$5:$BP$1005)&gt;0,SUMIF('Detailed Budget'!$F$5:$F$1005,$B30,'Detailed Budget'!$BP$5:$BP$1005),"")</f>
        <v/>
      </c>
      <c r="U30" s="44" t="str">
        <f>IF(SUMIF('Detailed Budget'!$F$5:$F$1005,$B30,'Detailed Budget'!$BR$5:$BR$1005)&gt;0,SUMIF('Detailed Budget'!$F$5:$F$1005,$B30,'Detailed Budget'!$BR$5:$BR$1005),"")</f>
        <v/>
      </c>
      <c r="V30" s="44" t="str">
        <f>IF(SUMIF('Detailed Budget'!$F$5:$F$1005,$B29,'Detailed Budget'!$BT$5:$BT$1005)&gt;0,SUMIF('Detailed Budget'!$F$5:$F$1005,$B29,'Detailed Budget'!$BT$5:$BT$1005),"")</f>
        <v/>
      </c>
      <c r="W30" s="45" t="str">
        <f>IF(SUMIF('Detailed Budget'!$F$5:$F$1005,$B30,'Detailed Budget'!$BV$5:$BV$1005)&gt;0,SUMIF('Detailed Budget'!$F$5:$F$1005,$B30,'Detailed Budget'!$BV$5:$BV$1005),"")</f>
        <v/>
      </c>
      <c r="X30" s="44">
        <f t="shared" si="0"/>
        <v>2346.767854081495</v>
      </c>
      <c r="Y30" s="124">
        <f t="shared" si="1"/>
        <v>3.3855834519923831E-4</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row>
    <row r="31" spans="1:63" s="35" customFormat="1" ht="26.25" x14ac:dyDescent="0.25">
      <c r="A31" s="42"/>
      <c r="B31" s="81" t="str">
        <f t="array" ref="B31">IFERROR(INDEX(IntIdList,MATCH(0,COUNTIF(IntIdList,"&lt;"&amp;IntIdList)-SUM(COUNTIF(IntIdList,B$16:B30)),0)),"")</f>
        <v>a1O36000001qZ8eEAE</v>
      </c>
      <c r="C31" s="43" t="str">
        <f>IFERROR(INDEX('Data Sheet'!$D$29:$D$174,MATCH(B31,'Data Sheet'!$E$29:$E$174,0)) &amp; " - " &amp; INDEX('Data Sheet'!$C$29:$C$174,MATCH(B31,'Data Sheet'!$E$29:$E$174,0)),"")</f>
        <v>HIV Testing Services - Differentiated HIV testing services</v>
      </c>
      <c r="D31" s="44">
        <f>IF(SUMIF('Detailed Budget'!$F$5:$F$1005,$B31,'Detailed Budget'!$AA$5:$AA$1005)&gt;0,SUMIF('Detailed Budget'!$F$5:$F$1005,$B31,'Detailed Budget'!$AA$5:$AA$1005),"")</f>
        <v>58849.725000000006</v>
      </c>
      <c r="E31" s="44" t="str">
        <f>IF(SUMIF('Detailed Budget'!$F$5:$F$1005,$B31,'Detailed Budget'!$AC$5:$AC$1005)&gt;0,SUMIF('Detailed Budget'!$F$5:$F$1005,$B31,'Detailed Budget'!$AC$5:$AC$1005),"")</f>
        <v/>
      </c>
      <c r="F31" s="44" t="str">
        <f>IF(SUMIF('Detailed Budget'!$F$5:$F$1005,$B31,'Detailed Budget'!$AE$5:$AE$1005)&gt;0,SUMIF('Detailed Budget'!$F$5:$F$1005,$B31,'Detailed Budget'!$AE$5:$AE$1005),"")</f>
        <v/>
      </c>
      <c r="G31" s="44" t="str">
        <f>IF(SUMIF('Detailed Budget'!$F$5:$F$1005,$B31,'Detailed Budget'!$AG$5:$AG$1005)&gt;0,SUMIF('Detailed Budget'!$F$5:$F$1005,$B31,'Detailed Budget'!$AG$5:$AG$1005),"")</f>
        <v/>
      </c>
      <c r="H31" s="45">
        <f>IF(SUMIF('Detailed Budget'!$F$5:$F$1005,$B31,'Detailed Budget'!$AI$5:$AI$1005)&gt;0,SUMIF('Detailed Budget'!$F$5:$F$1005,$B31,'Detailed Budget'!$AI$5:$AI$1005),"")</f>
        <v>58849.725000000006</v>
      </c>
      <c r="I31" s="44">
        <f>IF(SUMIF('Detailed Budget'!$F$5:$F$1005,$B31,'Detailed Budget'!$AN$5:$AN$1005)&gt;0,SUMIF('Detailed Budget'!$F$5:$F$1005,$B31,'Detailed Budget'!$AN$5:$AN$1005),"")</f>
        <v>62725.571767125221</v>
      </c>
      <c r="J31" s="44" t="str">
        <f>IF(SUMIF('Detailed Budget'!$F$5:$F$1005,$B31,'Detailed Budget'!$AP$5:$AP$1005)&gt;0,SUMIF('Detailed Budget'!$F$5:$F$1005,$B31,'Detailed Budget'!$AP$5:$AP$1005),"")</f>
        <v/>
      </c>
      <c r="K31" s="44" t="str">
        <f>IF(SUMIF('Detailed Budget'!$F$5:$F$1005,$B31,'Detailed Budget'!$AR$5:$AR$1005)&gt;0,SUMIF('Detailed Budget'!$F$5:$F$1005,$B31,'Detailed Budget'!$AR$5:$AR$1005),"")</f>
        <v/>
      </c>
      <c r="L31" s="44" t="str">
        <f>IF(SUMIF('Detailed Budget'!$F$5:$F$1005,$B31,'Detailed Budget'!$AT$5:$AT$1005)&gt;0,SUMIF('Detailed Budget'!$F$5:$F$1005,$B31,'Detailed Budget'!$AT$5:$AT$1005),"")</f>
        <v/>
      </c>
      <c r="M31" s="45">
        <f>IF(SUMIF('Detailed Budget'!$F$5:$F$1005,$B31,'Detailed Budget'!$AV$5:$AV$1005)&gt;0,SUMIF('Detailed Budget'!$F$5:$F$1005,$B31,'Detailed Budget'!$AV$5:$AV$1005),"")</f>
        <v>62725.571767125221</v>
      </c>
      <c r="N31" s="44">
        <f>IF(SUMIF('Detailed Budget'!$F$5:$F$1005,$B31,'Detailed Budget'!$BA$5:$BA$1005)&gt;0,SUMIF('Detailed Budget'!$F$5:$F$1005,$B31,'Detailed Budget'!$BA$5:$BA$1005),"")</f>
        <v>66646.891471071081</v>
      </c>
      <c r="O31" s="44" t="str">
        <f>IF(SUMIF('Detailed Budget'!$F$5:$F$1005,$B31,'Detailed Budget'!$BC$5:$BC$1005)&gt;0,SUMIF('Detailed Budget'!$F$5:$F$1005,$B31,'Detailed Budget'!$BC$5:$BC$1005),"")</f>
        <v/>
      </c>
      <c r="P31" s="44" t="str">
        <f>IF(SUMIF('Detailed Budget'!$F$5:$F$1005,$B31,'Detailed Budget'!$BE$5:$BE$1005)&gt;0,SUMIF('Detailed Budget'!$F$5:$F$1005,$B31,'Detailed Budget'!$BE$5:$BE$1005),"")</f>
        <v/>
      </c>
      <c r="Q31" s="44" t="str">
        <f>IF(SUMIF('Detailed Budget'!$F$5:$F$1005,$B31,'Detailed Budget'!$BG$5:$BG$1005)&gt;0,SUMIF('Detailed Budget'!$F$5:$F$1005,$B31,'Detailed Budget'!$BG$5:$BG$1005),"")</f>
        <v/>
      </c>
      <c r="R31" s="45">
        <f>IF(SUMIF('Detailed Budget'!$F$5:$F$1005,$B31,'Detailed Budget'!$BI$5:$BI$1005)&gt;0,SUMIF('Detailed Budget'!$F$5:$F$1005,$B31,'Detailed Budget'!$BI$5:$BI$1005),"")</f>
        <v>66646.891471071081</v>
      </c>
      <c r="S31" s="44" t="str">
        <f>IF(SUMIF('Detailed Budget'!$F$5:$F$1005,$B31,'Detailed Budget'!$BN$5:$BN$1005)&gt;0,SUMIF('Detailed Budget'!$F$5:$F$1005,$B31,'Detailed Budget'!$BN$5:$BN$1005),"")</f>
        <v/>
      </c>
      <c r="T31" s="44" t="str">
        <f>IF(SUMIF('Detailed Budget'!$F$5:$F$1005,$B31,'Detailed Budget'!$BP$5:$BP$1005)&gt;0,SUMIF('Detailed Budget'!$F$5:$F$1005,$B31,'Detailed Budget'!$BP$5:$BP$1005),"")</f>
        <v/>
      </c>
      <c r="U31" s="44" t="str">
        <f>IF(SUMIF('Detailed Budget'!$F$5:$F$1005,$B31,'Detailed Budget'!$BR$5:$BR$1005)&gt;0,SUMIF('Detailed Budget'!$F$5:$F$1005,$B31,'Detailed Budget'!$BR$5:$BR$1005),"")</f>
        <v/>
      </c>
      <c r="V31" s="44" t="str">
        <f>IF(SUMIF('Detailed Budget'!$F$5:$F$1005,$B30,'Detailed Budget'!$BT$5:$BT$1005)&gt;0,SUMIF('Detailed Budget'!$F$5:$F$1005,$B30,'Detailed Budget'!$BT$5:$BT$1005),"")</f>
        <v/>
      </c>
      <c r="W31" s="45" t="str">
        <f>IF(SUMIF('Detailed Budget'!$F$5:$F$1005,$B31,'Detailed Budget'!$BV$5:$BV$1005)&gt;0,SUMIF('Detailed Budget'!$F$5:$F$1005,$B31,'Detailed Budget'!$BV$5:$BV$1005),"")</f>
        <v/>
      </c>
      <c r="X31" s="44">
        <f t="shared" si="0"/>
        <v>188222.18823819631</v>
      </c>
      <c r="Y31" s="124">
        <f t="shared" si="1"/>
        <v>2.715402482988433E-2</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row>
    <row r="32" spans="1:63" s="35" customFormat="1" ht="26.25" x14ac:dyDescent="0.25">
      <c r="A32" s="42"/>
      <c r="B32" s="81" t="str">
        <f t="array" ref="B32">IFERROR(INDEX(IntIdList,MATCH(0,COUNTIF(IntIdList,"&lt;"&amp;IntIdList)-SUM(COUNTIF(IntIdList,B$16:B31)),0)),"")</f>
        <v>a1O36000001qZ8fEAE</v>
      </c>
      <c r="C32" s="43" t="str">
        <f>IFERROR(INDEX('Data Sheet'!$D$29:$D$174,MATCH(B32,'Data Sheet'!$E$29:$E$174,0)) &amp; " - " &amp; INDEX('Data Sheet'!$C$29:$C$174,MATCH(B32,'Data Sheet'!$E$29:$E$174,0)),"")</f>
        <v>Treatment, care and support - Treatment monitoring - Viral load</v>
      </c>
      <c r="D32" s="44">
        <f>IF(SUMIF('Detailed Budget'!$F$5:$F$1005,$B32,'Detailed Budget'!$AA$5:$AA$1005)&gt;0,SUMIF('Detailed Budget'!$F$5:$F$1005,$B32,'Detailed Budget'!$AA$5:$AA$1005),"")</f>
        <v>246285.34</v>
      </c>
      <c r="E32" s="44" t="str">
        <f>IF(SUMIF('Detailed Budget'!$F$5:$F$1005,$B32,'Detailed Budget'!$AC$5:$AC$1005)&gt;0,SUMIF('Detailed Budget'!$F$5:$F$1005,$B32,'Detailed Budget'!$AC$5:$AC$1005),"")</f>
        <v/>
      </c>
      <c r="F32" s="44" t="str">
        <f>IF(SUMIF('Detailed Budget'!$F$5:$F$1005,$B32,'Detailed Budget'!$AE$5:$AE$1005)&gt;0,SUMIF('Detailed Budget'!$F$5:$F$1005,$B32,'Detailed Budget'!$AE$5:$AE$1005),"")</f>
        <v/>
      </c>
      <c r="G32" s="44" t="str">
        <f>IF(SUMIF('Detailed Budget'!$F$5:$F$1005,$B32,'Detailed Budget'!$AG$5:$AG$1005)&gt;0,SUMIF('Detailed Budget'!$F$5:$F$1005,$B32,'Detailed Budget'!$AG$5:$AG$1005),"")</f>
        <v/>
      </c>
      <c r="H32" s="45">
        <f>IF(SUMIF('Detailed Budget'!$F$5:$F$1005,$B32,'Detailed Budget'!$AI$5:$AI$1005)&gt;0,SUMIF('Detailed Budget'!$F$5:$F$1005,$B32,'Detailed Budget'!$AI$5:$AI$1005),"")</f>
        <v>246285.34</v>
      </c>
      <c r="I32" s="44">
        <f>IF(SUMIF('Detailed Budget'!$F$5:$F$1005,$B32,'Detailed Budget'!$AN$5:$AN$1005)&gt;0,SUMIF('Detailed Budget'!$F$5:$F$1005,$B32,'Detailed Budget'!$AN$5:$AN$1005),"")</f>
        <v>276022.48086748301</v>
      </c>
      <c r="J32" s="44" t="str">
        <f>IF(SUMIF('Detailed Budget'!$F$5:$F$1005,$B32,'Detailed Budget'!$AP$5:$AP$1005)&gt;0,SUMIF('Detailed Budget'!$F$5:$F$1005,$B32,'Detailed Budget'!$AP$5:$AP$1005),"")</f>
        <v/>
      </c>
      <c r="K32" s="44" t="str">
        <f>IF(SUMIF('Detailed Budget'!$F$5:$F$1005,$B32,'Detailed Budget'!$AR$5:$AR$1005)&gt;0,SUMIF('Detailed Budget'!$F$5:$F$1005,$B32,'Detailed Budget'!$AR$5:$AR$1005),"")</f>
        <v/>
      </c>
      <c r="L32" s="44" t="str">
        <f>IF(SUMIF('Detailed Budget'!$F$5:$F$1005,$B32,'Detailed Budget'!$AT$5:$AT$1005)&gt;0,SUMIF('Detailed Budget'!$F$5:$F$1005,$B32,'Detailed Budget'!$AT$5:$AT$1005),"")</f>
        <v/>
      </c>
      <c r="M32" s="45">
        <f>IF(SUMIF('Detailed Budget'!$F$5:$F$1005,$B32,'Detailed Budget'!$AV$5:$AV$1005)&gt;0,SUMIF('Detailed Budget'!$F$5:$F$1005,$B32,'Detailed Budget'!$AV$5:$AV$1005),"")</f>
        <v>276022.48086748301</v>
      </c>
      <c r="N32" s="44">
        <f>IF(SUMIF('Detailed Budget'!$F$5:$F$1005,$B32,'Detailed Budget'!$BA$5:$BA$1005)&gt;0,SUMIF('Detailed Budget'!$F$5:$F$1005,$B32,'Detailed Budget'!$BA$5:$BA$1005),"")</f>
        <v>306017</v>
      </c>
      <c r="O32" s="44" t="str">
        <f>IF(SUMIF('Detailed Budget'!$F$5:$F$1005,$B32,'Detailed Budget'!$BC$5:$BC$1005)&gt;0,SUMIF('Detailed Budget'!$F$5:$F$1005,$B32,'Detailed Budget'!$BC$5:$BC$1005),"")</f>
        <v/>
      </c>
      <c r="P32" s="44" t="str">
        <f>IF(SUMIF('Detailed Budget'!$F$5:$F$1005,$B32,'Detailed Budget'!$BE$5:$BE$1005)&gt;0,SUMIF('Detailed Budget'!$F$5:$F$1005,$B32,'Detailed Budget'!$BE$5:$BE$1005),"")</f>
        <v/>
      </c>
      <c r="Q32" s="44" t="str">
        <f>IF(SUMIF('Detailed Budget'!$F$5:$F$1005,$B32,'Detailed Budget'!$BG$5:$BG$1005)&gt;0,SUMIF('Detailed Budget'!$F$5:$F$1005,$B32,'Detailed Budget'!$BG$5:$BG$1005),"")</f>
        <v/>
      </c>
      <c r="R32" s="45">
        <f>IF(SUMIF('Detailed Budget'!$F$5:$F$1005,$B32,'Detailed Budget'!$BI$5:$BI$1005)&gt;0,SUMIF('Detailed Budget'!$F$5:$F$1005,$B32,'Detailed Budget'!$BI$5:$BI$1005),"")</f>
        <v>306017</v>
      </c>
      <c r="S32" s="44" t="str">
        <f>IF(SUMIF('Detailed Budget'!$F$5:$F$1005,$B32,'Detailed Budget'!$BN$5:$BN$1005)&gt;0,SUMIF('Detailed Budget'!$F$5:$F$1005,$B32,'Detailed Budget'!$BN$5:$BN$1005),"")</f>
        <v/>
      </c>
      <c r="T32" s="44" t="str">
        <f>IF(SUMIF('Detailed Budget'!$F$5:$F$1005,$B32,'Detailed Budget'!$BP$5:$BP$1005)&gt;0,SUMIF('Detailed Budget'!$F$5:$F$1005,$B32,'Detailed Budget'!$BP$5:$BP$1005),"")</f>
        <v/>
      </c>
      <c r="U32" s="44" t="str">
        <f>IF(SUMIF('Detailed Budget'!$F$5:$F$1005,$B32,'Detailed Budget'!$BR$5:$BR$1005)&gt;0,SUMIF('Detailed Budget'!$F$5:$F$1005,$B32,'Detailed Budget'!$BR$5:$BR$1005),"")</f>
        <v/>
      </c>
      <c r="V32" s="44" t="str">
        <f>IF(SUMIF('Detailed Budget'!$F$5:$F$1005,$B31,'Detailed Budget'!$BT$5:$BT$1005)&gt;0,SUMIF('Detailed Budget'!$F$5:$F$1005,$B31,'Detailed Budget'!$BT$5:$BT$1005),"")</f>
        <v/>
      </c>
      <c r="W32" s="45" t="str">
        <f>IF(SUMIF('Detailed Budget'!$F$5:$F$1005,$B32,'Detailed Budget'!$BV$5:$BV$1005)&gt;0,SUMIF('Detailed Budget'!$F$5:$F$1005,$B32,'Detailed Budget'!$BV$5:$BV$1005),"")</f>
        <v/>
      </c>
      <c r="X32" s="44">
        <f t="shared" si="0"/>
        <v>828324.82086748304</v>
      </c>
      <c r="Y32" s="124">
        <f t="shared" si="1"/>
        <v>0.11949894411269364</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row>
    <row r="33" spans="1:63" s="35" customFormat="1" ht="26.25" x14ac:dyDescent="0.25">
      <c r="A33" s="42"/>
      <c r="B33" s="81" t="str">
        <f t="array" ref="B33">IFERROR(INDEX(IntIdList,MATCH(0,COUNTIF(IntIdList,"&lt;"&amp;IntIdList)-SUM(COUNTIF(IntIdList,B$16:B32)),0)),"")</f>
        <v>a1O36000001qZ94EAE</v>
      </c>
      <c r="C33" s="43" t="str">
        <f>IFERROR(INDEX('Data Sheet'!$D$29:$D$174,MATCH(B33,'Data Sheet'!$E$29:$E$174,0)) &amp; " - " &amp; INDEX('Data Sheet'!$C$29:$C$174,MATCH(B33,'Data Sheet'!$E$29:$E$174,0)),"")</f>
        <v>Comprehensive prevention programs for MSM - Behavioral interventions for MSM</v>
      </c>
      <c r="D33" s="44" t="str">
        <f>IF(SUMIF('Detailed Budget'!$F$5:$F$1005,$B33,'Detailed Budget'!$AA$5:$AA$1005)&gt;0,SUMIF('Detailed Budget'!$F$5:$F$1005,$B33,'Detailed Budget'!$AA$5:$AA$1005),"")</f>
        <v/>
      </c>
      <c r="E33" s="44" t="str">
        <f>IF(SUMIF('Detailed Budget'!$F$5:$F$1005,$B33,'Detailed Budget'!$AC$5:$AC$1005)&gt;0,SUMIF('Detailed Budget'!$F$5:$F$1005,$B33,'Detailed Budget'!$AC$5:$AC$1005),"")</f>
        <v/>
      </c>
      <c r="F33" s="44" t="str">
        <f>IF(SUMIF('Detailed Budget'!$F$5:$F$1005,$B33,'Detailed Budget'!$AE$5:$AE$1005)&gt;0,SUMIF('Detailed Budget'!$F$5:$F$1005,$B33,'Detailed Budget'!$AE$5:$AE$1005),"")</f>
        <v/>
      </c>
      <c r="G33" s="44" t="str">
        <f>IF(SUMIF('Detailed Budget'!$F$5:$F$1005,$B33,'Detailed Budget'!$AG$5:$AG$1005)&gt;0,SUMIF('Detailed Budget'!$F$5:$F$1005,$B33,'Detailed Budget'!$AG$5:$AG$1005),"")</f>
        <v/>
      </c>
      <c r="H33" s="45" t="str">
        <f>IF(SUMIF('Detailed Budget'!$F$5:$F$1005,$B33,'Detailed Budget'!$AI$5:$AI$1005)&gt;0,SUMIF('Detailed Budget'!$F$5:$F$1005,$B33,'Detailed Budget'!$AI$5:$AI$1005),"")</f>
        <v/>
      </c>
      <c r="I33" s="44" t="str">
        <f>IF(SUMIF('Detailed Budget'!$F$5:$F$1005,$B33,'Detailed Budget'!$AN$5:$AN$1005)&gt;0,SUMIF('Detailed Budget'!$F$5:$F$1005,$B33,'Detailed Budget'!$AN$5:$AN$1005),"")</f>
        <v/>
      </c>
      <c r="J33" s="44" t="str">
        <f>IF(SUMIF('Detailed Budget'!$F$5:$F$1005,$B33,'Detailed Budget'!$AP$5:$AP$1005)&gt;0,SUMIF('Detailed Budget'!$F$5:$F$1005,$B33,'Detailed Budget'!$AP$5:$AP$1005),"")</f>
        <v/>
      </c>
      <c r="K33" s="44" t="str">
        <f>IF(SUMIF('Detailed Budget'!$F$5:$F$1005,$B33,'Detailed Budget'!$AR$5:$AR$1005)&gt;0,SUMIF('Detailed Budget'!$F$5:$F$1005,$B33,'Detailed Budget'!$AR$5:$AR$1005),"")</f>
        <v/>
      </c>
      <c r="L33" s="44" t="str">
        <f>IF(SUMIF('Detailed Budget'!$F$5:$F$1005,$B33,'Detailed Budget'!$AT$5:$AT$1005)&gt;0,SUMIF('Detailed Budget'!$F$5:$F$1005,$B33,'Detailed Budget'!$AT$5:$AT$1005),"")</f>
        <v/>
      </c>
      <c r="M33" s="45" t="str">
        <f>IF(SUMIF('Detailed Budget'!$F$5:$F$1005,$B33,'Detailed Budget'!$AV$5:$AV$1005)&gt;0,SUMIF('Detailed Budget'!$F$5:$F$1005,$B33,'Detailed Budget'!$AV$5:$AV$1005),"")</f>
        <v/>
      </c>
      <c r="N33" s="44" t="str">
        <f>IF(SUMIF('Detailed Budget'!$F$5:$F$1005,$B33,'Detailed Budget'!$BA$5:$BA$1005)&gt;0,SUMIF('Detailed Budget'!$F$5:$F$1005,$B33,'Detailed Budget'!$BA$5:$BA$1005),"")</f>
        <v/>
      </c>
      <c r="O33" s="44">
        <f>IF(SUMIF('Detailed Budget'!$F$5:$F$1005,$B33,'Detailed Budget'!$BC$5:$BC$1005)&gt;0,SUMIF('Detailed Budget'!$F$5:$F$1005,$B33,'Detailed Budget'!$BC$5:$BC$1005),"")</f>
        <v>123128.23847717512</v>
      </c>
      <c r="P33" s="44" t="str">
        <f>IF(SUMIF('Detailed Budget'!$F$5:$F$1005,$B33,'Detailed Budget'!$BE$5:$BE$1005)&gt;0,SUMIF('Detailed Budget'!$F$5:$F$1005,$B33,'Detailed Budget'!$BE$5:$BE$1005),"")</f>
        <v/>
      </c>
      <c r="Q33" s="44" t="str">
        <f>IF(SUMIF('Detailed Budget'!$F$5:$F$1005,$B33,'Detailed Budget'!$BG$5:$BG$1005)&gt;0,SUMIF('Detailed Budget'!$F$5:$F$1005,$B33,'Detailed Budget'!$BG$5:$BG$1005),"")</f>
        <v/>
      </c>
      <c r="R33" s="45">
        <f>IF(SUMIF('Detailed Budget'!$F$5:$F$1005,$B33,'Detailed Budget'!$BI$5:$BI$1005)&gt;0,SUMIF('Detailed Budget'!$F$5:$F$1005,$B33,'Detailed Budget'!$BI$5:$BI$1005),"")</f>
        <v>123128.23847717512</v>
      </c>
      <c r="S33" s="44" t="str">
        <f>IF(SUMIF('Detailed Budget'!$F$5:$F$1005,$B33,'Detailed Budget'!$BN$5:$BN$1005)&gt;0,SUMIF('Detailed Budget'!$F$5:$F$1005,$B33,'Detailed Budget'!$BN$5:$BN$1005),"")</f>
        <v/>
      </c>
      <c r="T33" s="44" t="str">
        <f>IF(SUMIF('Detailed Budget'!$F$5:$F$1005,$B33,'Detailed Budget'!$BP$5:$BP$1005)&gt;0,SUMIF('Detailed Budget'!$F$5:$F$1005,$B33,'Detailed Budget'!$BP$5:$BP$1005),"")</f>
        <v/>
      </c>
      <c r="U33" s="44" t="str">
        <f>IF(SUMIF('Detailed Budget'!$F$5:$F$1005,$B33,'Detailed Budget'!$BR$5:$BR$1005)&gt;0,SUMIF('Detailed Budget'!$F$5:$F$1005,$B33,'Detailed Budget'!$BR$5:$BR$1005),"")</f>
        <v/>
      </c>
      <c r="V33" s="44" t="str">
        <f>IF(SUMIF('Detailed Budget'!$F$5:$F$1005,$B32,'Detailed Budget'!$BT$5:$BT$1005)&gt;0,SUMIF('Detailed Budget'!$F$5:$F$1005,$B32,'Detailed Budget'!$BT$5:$BT$1005),"")</f>
        <v/>
      </c>
      <c r="W33" s="45" t="str">
        <f>IF(SUMIF('Detailed Budget'!$F$5:$F$1005,$B33,'Detailed Budget'!$BV$5:$BV$1005)&gt;0,SUMIF('Detailed Budget'!$F$5:$F$1005,$B33,'Detailed Budget'!$BV$5:$BV$1005),"")</f>
        <v/>
      </c>
      <c r="X33" s="44">
        <f t="shared" si="0"/>
        <v>123128.23847717512</v>
      </c>
      <c r="Y33" s="124">
        <f t="shared" si="1"/>
        <v>1.7763194000475678E-2</v>
      </c>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row>
    <row r="34" spans="1:63" s="39" customFormat="1" ht="26.25" x14ac:dyDescent="0.25">
      <c r="A34" s="42"/>
      <c r="B34" s="81" t="str">
        <f t="array" ref="B34">IFERROR(INDEX(IntIdList,MATCH(0,COUNTIF(IntIdList,"&lt;"&amp;IntIdList)-SUM(COUNTIF(IntIdList,B$16:B33)),0)),"")</f>
        <v>a1O36000001qZ96EAE</v>
      </c>
      <c r="C34" s="43" t="str">
        <f>IFERROR(INDEX('Data Sheet'!$D$29:$D$174,MATCH(B34,'Data Sheet'!$E$29:$E$174,0)) &amp; " - " &amp; INDEX('Data Sheet'!$C$29:$C$174,MATCH(B34,'Data Sheet'!$E$29:$E$174,0)),"")</f>
        <v>Comprehensive prevention programs for MSM - HIV testing services for MSM</v>
      </c>
      <c r="D34" s="44">
        <f>IF(SUMIF('Detailed Budget'!$F$5:$F$1005,$B34,'Detailed Budget'!$AA$5:$AA$1005)&gt;0,SUMIF('Detailed Budget'!$F$5:$F$1005,$B34,'Detailed Budget'!$AA$5:$AA$1005),"")</f>
        <v>4184.4582023166658</v>
      </c>
      <c r="E34" s="44">
        <f>IF(SUMIF('Detailed Budget'!$F$5:$F$1005,$B34,'Detailed Budget'!$AC$5:$AC$1005)&gt;0,SUMIF('Detailed Budget'!$F$5:$F$1005,$B34,'Detailed Budget'!$AC$5:$AC$1005),"")</f>
        <v>4184.4582023166658</v>
      </c>
      <c r="F34" s="44">
        <f>IF(SUMIF('Detailed Budget'!$F$5:$F$1005,$B34,'Detailed Budget'!$AE$5:$AE$1005)&gt;0,SUMIF('Detailed Budget'!$F$5:$F$1005,$B34,'Detailed Budget'!$AE$5:$AE$1005),"")</f>
        <v>4184.4582023166658</v>
      </c>
      <c r="G34" s="44">
        <f>IF(SUMIF('Detailed Budget'!$F$5:$F$1005,$B34,'Detailed Budget'!$AG$5:$AG$1005)&gt;0,SUMIF('Detailed Budget'!$F$5:$F$1005,$B34,'Detailed Budget'!$AG$5:$AG$1005),"")</f>
        <v>4184.4582023166658</v>
      </c>
      <c r="H34" s="45">
        <f>IF(SUMIF('Detailed Budget'!$F$5:$F$1005,$B34,'Detailed Budget'!$AI$5:$AI$1005)&gt;0,SUMIF('Detailed Budget'!$F$5:$F$1005,$B34,'Detailed Budget'!$AI$5:$AI$1005),"")</f>
        <v>16737.832809266663</v>
      </c>
      <c r="I34" s="44">
        <f>IF(SUMIF('Detailed Budget'!$F$5:$F$1005,$B34,'Detailed Budget'!$AN$5:$AN$1005)&gt;0,SUMIF('Detailed Budget'!$F$5:$F$1005,$B34,'Detailed Budget'!$AN$5:$AN$1005),"")</f>
        <v>4184.4582023166658</v>
      </c>
      <c r="J34" s="44">
        <f>IF(SUMIF('Detailed Budget'!$F$5:$F$1005,$B34,'Detailed Budget'!$AP$5:$AP$1005)&gt;0,SUMIF('Detailed Budget'!$F$5:$F$1005,$B34,'Detailed Budget'!$AP$5:$AP$1005),"")</f>
        <v>4184.4582023166658</v>
      </c>
      <c r="K34" s="44">
        <f>IF(SUMIF('Detailed Budget'!$F$5:$F$1005,$B34,'Detailed Budget'!$AR$5:$AR$1005)&gt;0,SUMIF('Detailed Budget'!$F$5:$F$1005,$B34,'Detailed Budget'!$AR$5:$AR$1005),"")</f>
        <v>4184.4582023166658</v>
      </c>
      <c r="L34" s="44">
        <f>IF(SUMIF('Detailed Budget'!$F$5:$F$1005,$B34,'Detailed Budget'!$AT$5:$AT$1005)&gt;0,SUMIF('Detailed Budget'!$F$5:$F$1005,$B34,'Detailed Budget'!$AT$5:$AT$1005),"")</f>
        <v>4184.4582023166658</v>
      </c>
      <c r="M34" s="45">
        <f>IF(SUMIF('Detailed Budget'!$F$5:$F$1005,$B34,'Detailed Budget'!$AV$5:$AV$1005)&gt;0,SUMIF('Detailed Budget'!$F$5:$F$1005,$B34,'Detailed Budget'!$AV$5:$AV$1005),"")</f>
        <v>16737.832809266663</v>
      </c>
      <c r="N34" s="44">
        <f>IF(SUMIF('Detailed Budget'!$F$5:$F$1005,$B34,'Detailed Budget'!$BA$5:$BA$1005)&gt;0,SUMIF('Detailed Budget'!$F$5:$F$1005,$B34,'Detailed Budget'!$BA$5:$BA$1005),"")</f>
        <v>4184.4582023166658</v>
      </c>
      <c r="O34" s="44">
        <f>IF(SUMIF('Detailed Budget'!$F$5:$F$1005,$B34,'Detailed Budget'!$BC$5:$BC$1005)&gt;0,SUMIF('Detailed Budget'!$F$5:$F$1005,$B34,'Detailed Budget'!$BC$5:$BC$1005),"")</f>
        <v>4184.4582023166658</v>
      </c>
      <c r="P34" s="44">
        <f>IF(SUMIF('Detailed Budget'!$F$5:$F$1005,$B34,'Detailed Budget'!$BE$5:$BE$1005)&gt;0,SUMIF('Detailed Budget'!$F$5:$F$1005,$B34,'Detailed Budget'!$BE$5:$BE$1005),"")</f>
        <v>4184.4582023166658</v>
      </c>
      <c r="Q34" s="44">
        <f>IF(SUMIF('Detailed Budget'!$F$5:$F$1005,$B34,'Detailed Budget'!$BG$5:$BG$1005)&gt;0,SUMIF('Detailed Budget'!$F$5:$F$1005,$B34,'Detailed Budget'!$BG$5:$BG$1005),"")</f>
        <v>4184.4582023166658</v>
      </c>
      <c r="R34" s="45">
        <f>IF(SUMIF('Detailed Budget'!$F$5:$F$1005,$B34,'Detailed Budget'!$BI$5:$BI$1005)&gt;0,SUMIF('Detailed Budget'!$F$5:$F$1005,$B34,'Detailed Budget'!$BI$5:$BI$1005),"")</f>
        <v>16737.832809266663</v>
      </c>
      <c r="S34" s="44" t="str">
        <f>IF(SUMIF('Detailed Budget'!$F$5:$F$1005,$B34,'Detailed Budget'!$BN$5:$BN$1005)&gt;0,SUMIF('Detailed Budget'!$F$5:$F$1005,$B34,'Detailed Budget'!$BN$5:$BN$1005),"")</f>
        <v/>
      </c>
      <c r="T34" s="44" t="str">
        <f>IF(SUMIF('Detailed Budget'!$F$5:$F$1005,$B34,'Detailed Budget'!$BP$5:$BP$1005)&gt;0,SUMIF('Detailed Budget'!$F$5:$F$1005,$B34,'Detailed Budget'!$BP$5:$BP$1005),"")</f>
        <v/>
      </c>
      <c r="U34" s="44" t="str">
        <f>IF(SUMIF('Detailed Budget'!$F$5:$F$1005,$B34,'Detailed Budget'!$BR$5:$BR$1005)&gt;0,SUMIF('Detailed Budget'!$F$5:$F$1005,$B34,'Detailed Budget'!$BR$5:$BR$1005),"")</f>
        <v/>
      </c>
      <c r="V34" s="44" t="str">
        <f>IF(SUMIF('Detailed Budget'!$F$5:$F$1005,$B33,'Detailed Budget'!$BT$5:$BT$1005)&gt;0,SUMIF('Detailed Budget'!$F$5:$F$1005,$B33,'Detailed Budget'!$BT$5:$BT$1005),"")</f>
        <v/>
      </c>
      <c r="W34" s="45" t="str">
        <f>IF(SUMIF('Detailed Budget'!$F$5:$F$1005,$B34,'Detailed Budget'!$BV$5:$BV$1005)&gt;0,SUMIF('Detailed Budget'!$F$5:$F$1005,$B34,'Detailed Budget'!$BV$5:$BV$1005),"")</f>
        <v/>
      </c>
      <c r="X34" s="44">
        <f t="shared" si="0"/>
        <v>50213.49842779999</v>
      </c>
      <c r="Y34" s="124">
        <f t="shared" si="1"/>
        <v>7.2440905924349526E-3</v>
      </c>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row>
    <row r="35" spans="1:63" s="35" customFormat="1" ht="39" x14ac:dyDescent="0.25">
      <c r="A35" s="42"/>
      <c r="B35" s="81" t="str">
        <f t="array" ref="B35">IFERROR(INDEX(IntIdList,MATCH(0,COUNTIF(IntIdList,"&lt;"&amp;IntIdList)-SUM(COUNTIF(IntIdList,B$16:B34)),0)),"")</f>
        <v>a1O36000001qZ97EAE</v>
      </c>
      <c r="C35" s="43" t="str">
        <f>IFERROR(INDEX('Data Sheet'!$D$29:$D$174,MATCH(B35,'Data Sheet'!$E$29:$E$174,0)) &amp; " - " &amp; INDEX('Data Sheet'!$C$29:$C$174,MATCH(B35,'Data Sheet'!$E$29:$E$174,0)),"")</f>
        <v>Comprehensive prevention programs for MSM - Diagnosis and treatment of STIs and other sexual health services for MSM</v>
      </c>
      <c r="D35" s="44">
        <f>IF(SUMIF('Detailed Budget'!$F$5:$F$1005,$B35,'Detailed Budget'!$AA$5:$AA$1005)&gt;0,SUMIF('Detailed Budget'!$F$5:$F$1005,$B35,'Detailed Budget'!$AA$5:$AA$1005),"")</f>
        <v>152.78436550009732</v>
      </c>
      <c r="E35" s="44">
        <f>IF(SUMIF('Detailed Budget'!$F$5:$F$1005,$B35,'Detailed Budget'!$AC$5:$AC$1005)&gt;0,SUMIF('Detailed Budget'!$F$5:$F$1005,$B35,'Detailed Budget'!$AC$5:$AC$1005),"")</f>
        <v>152.78436550009732</v>
      </c>
      <c r="F35" s="44">
        <f>IF(SUMIF('Detailed Budget'!$F$5:$F$1005,$B35,'Detailed Budget'!$AE$5:$AE$1005)&gt;0,SUMIF('Detailed Budget'!$F$5:$F$1005,$B35,'Detailed Budget'!$AE$5:$AE$1005),"")</f>
        <v>152.78436550009732</v>
      </c>
      <c r="G35" s="44">
        <f>IF(SUMIF('Detailed Budget'!$F$5:$F$1005,$B35,'Detailed Budget'!$AG$5:$AG$1005)&gt;0,SUMIF('Detailed Budget'!$F$5:$F$1005,$B35,'Detailed Budget'!$AG$5:$AG$1005),"")</f>
        <v>152.78436550009732</v>
      </c>
      <c r="H35" s="45">
        <f>IF(SUMIF('Detailed Budget'!$F$5:$F$1005,$B35,'Detailed Budget'!$AI$5:$AI$1005)&gt;0,SUMIF('Detailed Budget'!$F$5:$F$1005,$B35,'Detailed Budget'!$AI$5:$AI$1005),"")</f>
        <v>611.13746200038929</v>
      </c>
      <c r="I35" s="44">
        <f>IF(SUMIF('Detailed Budget'!$F$5:$F$1005,$B35,'Detailed Budget'!$AN$5:$AN$1005)&gt;0,SUMIF('Detailed Budget'!$F$5:$F$1005,$B35,'Detailed Budget'!$AN$5:$AN$1005),"")</f>
        <v>152.78436550009732</v>
      </c>
      <c r="J35" s="44">
        <f>IF(SUMIF('Detailed Budget'!$F$5:$F$1005,$B35,'Detailed Budget'!$AP$5:$AP$1005)&gt;0,SUMIF('Detailed Budget'!$F$5:$F$1005,$B35,'Detailed Budget'!$AP$5:$AP$1005),"")</f>
        <v>152.78436550009732</v>
      </c>
      <c r="K35" s="44">
        <f>IF(SUMIF('Detailed Budget'!$F$5:$F$1005,$B35,'Detailed Budget'!$AR$5:$AR$1005)&gt;0,SUMIF('Detailed Budget'!$F$5:$F$1005,$B35,'Detailed Budget'!$AR$5:$AR$1005),"")</f>
        <v>152.78436550009732</v>
      </c>
      <c r="L35" s="44">
        <f>IF(SUMIF('Detailed Budget'!$F$5:$F$1005,$B35,'Detailed Budget'!$AT$5:$AT$1005)&gt;0,SUMIF('Detailed Budget'!$F$5:$F$1005,$B35,'Detailed Budget'!$AT$5:$AT$1005),"")</f>
        <v>152.78436550009732</v>
      </c>
      <c r="M35" s="45">
        <f>IF(SUMIF('Detailed Budget'!$F$5:$F$1005,$B35,'Detailed Budget'!$AV$5:$AV$1005)&gt;0,SUMIF('Detailed Budget'!$F$5:$F$1005,$B35,'Detailed Budget'!$AV$5:$AV$1005),"")</f>
        <v>611.13746200038929</v>
      </c>
      <c r="N35" s="44">
        <f>IF(SUMIF('Detailed Budget'!$F$5:$F$1005,$B35,'Detailed Budget'!$BA$5:$BA$1005)&gt;0,SUMIF('Detailed Budget'!$F$5:$F$1005,$B35,'Detailed Budget'!$BA$5:$BA$1005),"")</f>
        <v>152.78436550009732</v>
      </c>
      <c r="O35" s="44">
        <f>IF(SUMIF('Detailed Budget'!$F$5:$F$1005,$B35,'Detailed Budget'!$BC$5:$BC$1005)&gt;0,SUMIF('Detailed Budget'!$F$5:$F$1005,$B35,'Detailed Budget'!$BC$5:$BC$1005),"")</f>
        <v>152.78436550009732</v>
      </c>
      <c r="P35" s="44">
        <f>IF(SUMIF('Detailed Budget'!$F$5:$F$1005,$B35,'Detailed Budget'!$BE$5:$BE$1005)&gt;0,SUMIF('Detailed Budget'!$F$5:$F$1005,$B35,'Detailed Budget'!$BE$5:$BE$1005),"")</f>
        <v>152.78436550009732</v>
      </c>
      <c r="Q35" s="44">
        <f>IF(SUMIF('Detailed Budget'!$F$5:$F$1005,$B35,'Detailed Budget'!$BG$5:$BG$1005)&gt;0,SUMIF('Detailed Budget'!$F$5:$F$1005,$B35,'Detailed Budget'!$BG$5:$BG$1005),"")</f>
        <v>152.78436550009732</v>
      </c>
      <c r="R35" s="45">
        <f>IF(SUMIF('Detailed Budget'!$F$5:$F$1005,$B35,'Detailed Budget'!$BI$5:$BI$1005)&gt;0,SUMIF('Detailed Budget'!$F$5:$F$1005,$B35,'Detailed Budget'!$BI$5:$BI$1005),"")</f>
        <v>611.13746200038929</v>
      </c>
      <c r="S35" s="44" t="str">
        <f>IF(SUMIF('Detailed Budget'!$F$5:$F$1005,$B35,'Detailed Budget'!$BN$5:$BN$1005)&gt;0,SUMIF('Detailed Budget'!$F$5:$F$1005,$B35,'Detailed Budget'!$BN$5:$BN$1005),"")</f>
        <v/>
      </c>
      <c r="T35" s="44" t="str">
        <f>IF(SUMIF('Detailed Budget'!$F$5:$F$1005,$B35,'Detailed Budget'!$BP$5:$BP$1005)&gt;0,SUMIF('Detailed Budget'!$F$5:$F$1005,$B35,'Detailed Budget'!$BP$5:$BP$1005),"")</f>
        <v/>
      </c>
      <c r="U35" s="44" t="str">
        <f>IF(SUMIF('Detailed Budget'!$F$5:$F$1005,$B35,'Detailed Budget'!$BR$5:$BR$1005)&gt;0,SUMIF('Detailed Budget'!$F$5:$F$1005,$B35,'Detailed Budget'!$BR$5:$BR$1005),"")</f>
        <v/>
      </c>
      <c r="V35" s="44" t="str">
        <f>IF(SUMIF('Detailed Budget'!$F$5:$F$1005,$B34,'Detailed Budget'!$BT$5:$BT$1005)&gt;0,SUMIF('Detailed Budget'!$F$5:$F$1005,$B34,'Detailed Budget'!$BT$5:$BT$1005),"")</f>
        <v/>
      </c>
      <c r="W35" s="45" t="str">
        <f>IF(SUMIF('Detailed Budget'!$F$5:$F$1005,$B35,'Detailed Budget'!$BV$5:$BV$1005)&gt;0,SUMIF('Detailed Budget'!$F$5:$F$1005,$B35,'Detailed Budget'!$BV$5:$BV$1005),"")</f>
        <v/>
      </c>
      <c r="X35" s="44">
        <f t="shared" si="0"/>
        <v>1833.4123860011678</v>
      </c>
      <c r="Y35" s="124">
        <f t="shared" si="1"/>
        <v>2.644987071869049E-4</v>
      </c>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row>
    <row r="36" spans="1:63" s="35" customFormat="1" ht="26.25" hidden="1" x14ac:dyDescent="0.25">
      <c r="A36" s="42"/>
      <c r="B36" s="81" t="str">
        <f t="array" ref="B36">IFERROR(INDEX(IntIdList,MATCH(0,COUNTIF(IntIdList,"&lt;"&amp;IntIdList)-SUM(COUNTIF(IntIdList,B$16:B35)),0)),"")</f>
        <v>a1O36000001qZ99EAE</v>
      </c>
      <c r="C36" s="43" t="str">
        <f>IFERROR(INDEX('Data Sheet'!$D$29:$D$174,MATCH(B36,'Data Sheet'!$E$29:$E$174,0)) &amp; " - " &amp; INDEX('Data Sheet'!$C$29:$C$174,MATCH(B36,'Data Sheet'!$E$29:$E$174,0)),"")</f>
        <v>Comprehensive prevention programs for MSM - Other intervention(s) for MSM</v>
      </c>
      <c r="D36" s="44">
        <f>IF(SUMIF('Detailed Budget'!$F$5:$F$1005,$B36,'Detailed Budget'!$AA$5:$AA$1005)&gt;0,SUMIF('Detailed Budget'!$F$5:$F$1005,$B36,'Detailed Budget'!$AA$5:$AA$1005),"")</f>
        <v>14553.627520077272</v>
      </c>
      <c r="E36" s="44">
        <f>IF(SUMIF('Detailed Budget'!$F$5:$F$1005,$B36,'Detailed Budget'!$AC$5:$AC$1005)&gt;0,SUMIF('Detailed Budget'!$F$5:$F$1005,$B36,'Detailed Budget'!$AC$5:$AC$1005),"")</f>
        <v>14553.627520077272</v>
      </c>
      <c r="F36" s="44">
        <f>IF(SUMIF('Detailed Budget'!$F$5:$F$1005,$B36,'Detailed Budget'!$AE$5:$AE$1005)&gt;0,SUMIF('Detailed Budget'!$F$5:$F$1005,$B36,'Detailed Budget'!$AE$5:$AE$1005),"")</f>
        <v>14553.627520077272</v>
      </c>
      <c r="G36" s="44">
        <f>IF(SUMIF('Detailed Budget'!$F$5:$F$1005,$B36,'Detailed Budget'!$AG$5:$AG$1005)&gt;0,SUMIF('Detailed Budget'!$F$5:$F$1005,$B36,'Detailed Budget'!$AG$5:$AG$1005),"")</f>
        <v>14553.627520077272</v>
      </c>
      <c r="H36" s="45">
        <f>IF(SUMIF('Detailed Budget'!$F$5:$F$1005,$B36,'Detailed Budget'!$AI$5:$AI$1005)&gt;0,SUMIF('Detailed Budget'!$F$5:$F$1005,$B36,'Detailed Budget'!$AI$5:$AI$1005),"")</f>
        <v>58214.51008030909</v>
      </c>
      <c r="I36" s="44">
        <f>IF(SUMIF('Detailed Budget'!$F$5:$F$1005,$B36,'Detailed Budget'!$AN$5:$AN$1005)&gt;0,SUMIF('Detailed Budget'!$F$5:$F$1005,$B36,'Detailed Budget'!$AN$5:$AN$1005),"")</f>
        <v>14553.627520077272</v>
      </c>
      <c r="J36" s="44">
        <f>IF(SUMIF('Detailed Budget'!$F$5:$F$1005,$B36,'Detailed Budget'!$AP$5:$AP$1005)&gt;0,SUMIF('Detailed Budget'!$F$5:$F$1005,$B36,'Detailed Budget'!$AP$5:$AP$1005),"")</f>
        <v>14553.627520077272</v>
      </c>
      <c r="K36" s="44">
        <f>IF(SUMIF('Detailed Budget'!$F$5:$F$1005,$B36,'Detailed Budget'!$AR$5:$AR$1005)&gt;0,SUMIF('Detailed Budget'!$F$5:$F$1005,$B36,'Detailed Budget'!$AR$5:$AR$1005),"")</f>
        <v>14553.627520077272</v>
      </c>
      <c r="L36" s="44">
        <f>IF(SUMIF('Detailed Budget'!$F$5:$F$1005,$B36,'Detailed Budget'!$AT$5:$AT$1005)&gt;0,SUMIF('Detailed Budget'!$F$5:$F$1005,$B36,'Detailed Budget'!$AT$5:$AT$1005),"")</f>
        <v>14553.627520077272</v>
      </c>
      <c r="M36" s="45">
        <f>IF(SUMIF('Detailed Budget'!$F$5:$F$1005,$B36,'Detailed Budget'!$AV$5:$AV$1005)&gt;0,SUMIF('Detailed Budget'!$F$5:$F$1005,$B36,'Detailed Budget'!$AV$5:$AV$1005),"")</f>
        <v>58214.51008030909</v>
      </c>
      <c r="N36" s="44">
        <f>IF(SUMIF('Detailed Budget'!$F$5:$F$1005,$B36,'Detailed Budget'!$BA$5:$BA$1005)&gt;0,SUMIF('Detailed Budget'!$F$5:$F$1005,$B36,'Detailed Budget'!$BA$5:$BA$1005),"")</f>
        <v>14553.627520077272</v>
      </c>
      <c r="O36" s="44">
        <f>IF(SUMIF('Detailed Budget'!$F$5:$F$1005,$B36,'Detailed Budget'!$BC$5:$BC$1005)&gt;0,SUMIF('Detailed Budget'!$F$5:$F$1005,$B36,'Detailed Budget'!$BC$5:$BC$1005),"")</f>
        <v>14553.627520077272</v>
      </c>
      <c r="P36" s="44">
        <f>IF(SUMIF('Detailed Budget'!$F$5:$F$1005,$B36,'Detailed Budget'!$BE$5:$BE$1005)&gt;0,SUMIF('Detailed Budget'!$F$5:$F$1005,$B36,'Detailed Budget'!$BE$5:$BE$1005),"")</f>
        <v>14553.627520077272</v>
      </c>
      <c r="Q36" s="44">
        <f>IF(SUMIF('Detailed Budget'!$F$5:$F$1005,$B36,'Detailed Budget'!$BG$5:$BG$1005)&gt;0,SUMIF('Detailed Budget'!$F$5:$F$1005,$B36,'Detailed Budget'!$BG$5:$BG$1005),"")</f>
        <v>14553.627520077272</v>
      </c>
      <c r="R36" s="45">
        <f>IF(SUMIF('Detailed Budget'!$F$5:$F$1005,$B36,'Detailed Budget'!$BI$5:$BI$1005)&gt;0,SUMIF('Detailed Budget'!$F$5:$F$1005,$B36,'Detailed Budget'!$BI$5:$BI$1005),"")</f>
        <v>58214.51008030909</v>
      </c>
      <c r="S36" s="44" t="str">
        <f>IF(SUMIF('Detailed Budget'!$F$5:$F$1005,$B36,'Detailed Budget'!$BN$5:$BN$1005)&gt;0,SUMIF('Detailed Budget'!$F$5:$F$1005,$B36,'Detailed Budget'!$BN$5:$BN$1005),"")</f>
        <v/>
      </c>
      <c r="T36" s="44" t="str">
        <f>IF(SUMIF('Detailed Budget'!$F$5:$F$1005,$B36,'Detailed Budget'!$BP$5:$BP$1005)&gt;0,SUMIF('Detailed Budget'!$F$5:$F$1005,$B36,'Detailed Budget'!$BP$5:$BP$1005),"")</f>
        <v/>
      </c>
      <c r="U36" s="44" t="str">
        <f>IF(SUMIF('Detailed Budget'!$F$5:$F$1005,$B36,'Detailed Budget'!$BR$5:$BR$1005)&gt;0,SUMIF('Detailed Budget'!$F$5:$F$1005,$B36,'Detailed Budget'!$BR$5:$BR$1005),"")</f>
        <v/>
      </c>
      <c r="V36" s="44" t="str">
        <f>IF(SUMIF('Detailed Budget'!$F$5:$F$1005,$B35,'Detailed Budget'!$BT$5:$BT$1005)&gt;0,SUMIF('Detailed Budget'!$F$5:$F$1005,$B35,'Detailed Budget'!$BT$5:$BT$1005),"")</f>
        <v/>
      </c>
      <c r="W36" s="45" t="str">
        <f>IF(SUMIF('Detailed Budget'!$F$5:$F$1005,$B36,'Detailed Budget'!$BV$5:$BV$1005)&gt;0,SUMIF('Detailed Budget'!$F$5:$F$1005,$B36,'Detailed Budget'!$BV$5:$BV$1005),"")</f>
        <v/>
      </c>
      <c r="X36" s="44">
        <f t="shared" si="0"/>
        <v>174643.53024092727</v>
      </c>
      <c r="Y36" s="124">
        <f t="shared" si="1"/>
        <v>2.5195088851795819E-2</v>
      </c>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row>
    <row r="37" spans="1:63" s="35" customFormat="1" ht="15" hidden="1" x14ac:dyDescent="0.25">
      <c r="A37" s="42"/>
      <c r="B37" s="81" t="str">
        <f t="array" ref="B37">IFERROR(INDEX(IntIdList,MATCH(0,COUNTIF(IntIdList,"&lt;"&amp;IntIdList)-SUM(COUNTIF(IntIdList,B$16:B36)),0)),"")</f>
        <v/>
      </c>
      <c r="C37" s="43" t="str">
        <f>IFERROR(INDEX('Data Sheet'!$D$29:$D$174,MATCH(B37,'Data Sheet'!$E$29:$E$174,0)) &amp; " - " &amp; INDEX('Data Sheet'!$C$29:$C$174,MATCH(B37,'Data Sheet'!$E$29:$E$174,0)),"")</f>
        <v/>
      </c>
      <c r="D37" s="44" t="str">
        <f>IF(SUMIF('Detailed Budget'!$F$5:$F$1005,$B37,'Detailed Budget'!$AA$5:$AA$1005)&gt;0,SUMIF('Detailed Budget'!$F$5:$F$1005,$B37,'Detailed Budget'!$AA$5:$AA$1005),"")</f>
        <v/>
      </c>
      <c r="E37" s="44" t="str">
        <f>IF(SUMIF('Detailed Budget'!$F$5:$F$1005,$B37,'Detailed Budget'!$AC$5:$AC$1005)&gt;0,SUMIF('Detailed Budget'!$F$5:$F$1005,$B37,'Detailed Budget'!$AC$5:$AC$1005),"")</f>
        <v/>
      </c>
      <c r="F37" s="44" t="str">
        <f>IF(SUMIF('Detailed Budget'!$F$5:$F$1005,$B37,'Detailed Budget'!$AE$5:$AE$1005)&gt;0,SUMIF('Detailed Budget'!$F$5:$F$1005,$B37,'Detailed Budget'!$AE$5:$AE$1005),"")</f>
        <v/>
      </c>
      <c r="G37" s="44" t="str">
        <f>IF(SUMIF('Detailed Budget'!$F$5:$F$1005,$B37,'Detailed Budget'!$AG$5:$AG$1005)&gt;0,SUMIF('Detailed Budget'!$F$5:$F$1005,$B37,'Detailed Budget'!$AG$5:$AG$1005),"")</f>
        <v/>
      </c>
      <c r="H37" s="45" t="str">
        <f>IF(SUMIF('Detailed Budget'!$F$5:$F$1005,$B37,'Detailed Budget'!$AI$5:$AI$1005)&gt;0,SUMIF('Detailed Budget'!$F$5:$F$1005,$B37,'Detailed Budget'!$AI$5:$AI$1005),"")</f>
        <v/>
      </c>
      <c r="I37" s="44" t="str">
        <f>IF(SUMIF('Detailed Budget'!$F$5:$F$1005,$B37,'Detailed Budget'!$AN$5:$AN$1005)&gt;0,SUMIF('Detailed Budget'!$F$5:$F$1005,$B37,'Detailed Budget'!$AN$5:$AN$1005),"")</f>
        <v/>
      </c>
      <c r="J37" s="44" t="str">
        <f>IF(SUMIF('Detailed Budget'!$F$5:$F$1005,$B37,'Detailed Budget'!$AP$5:$AP$1005)&gt;0,SUMIF('Detailed Budget'!$F$5:$F$1005,$B37,'Detailed Budget'!$AP$5:$AP$1005),"")</f>
        <v/>
      </c>
      <c r="K37" s="44" t="str">
        <f>IF(SUMIF('Detailed Budget'!$F$5:$F$1005,$B37,'Detailed Budget'!$AR$5:$AR$1005)&gt;0,SUMIF('Detailed Budget'!$F$5:$F$1005,$B37,'Detailed Budget'!$AR$5:$AR$1005),"")</f>
        <v/>
      </c>
      <c r="L37" s="44" t="str">
        <f>IF(SUMIF('Detailed Budget'!$F$5:$F$1005,$B37,'Detailed Budget'!$AT$5:$AT$1005)&gt;0,SUMIF('Detailed Budget'!$F$5:$F$1005,$B37,'Detailed Budget'!$AT$5:$AT$1005),"")</f>
        <v/>
      </c>
      <c r="M37" s="45" t="str">
        <f>IF(SUMIF('Detailed Budget'!$F$5:$F$1005,$B37,'Detailed Budget'!$AV$5:$AV$1005)&gt;0,SUMIF('Detailed Budget'!$F$5:$F$1005,$B37,'Detailed Budget'!$AV$5:$AV$1005),"")</f>
        <v/>
      </c>
      <c r="N37" s="44" t="str">
        <f>IF(SUMIF('Detailed Budget'!$F$5:$F$1005,$B37,'Detailed Budget'!$BA$5:$BA$1005)&gt;0,SUMIF('Detailed Budget'!$F$5:$F$1005,$B37,'Detailed Budget'!$BA$5:$BA$1005),"")</f>
        <v/>
      </c>
      <c r="O37" s="44" t="str">
        <f>IF(SUMIF('Detailed Budget'!$F$5:$F$1005,$B37,'Detailed Budget'!$BC$5:$BC$1005)&gt;0,SUMIF('Detailed Budget'!$F$5:$F$1005,$B37,'Detailed Budget'!$BC$5:$BC$1005),"")</f>
        <v/>
      </c>
      <c r="P37" s="44" t="str">
        <f>IF(SUMIF('Detailed Budget'!$F$5:$F$1005,$B37,'Detailed Budget'!$BE$5:$BE$1005)&gt;0,SUMIF('Detailed Budget'!$F$5:$F$1005,$B37,'Detailed Budget'!$BE$5:$BE$1005),"")</f>
        <v/>
      </c>
      <c r="Q37" s="44" t="str">
        <f>IF(SUMIF('Detailed Budget'!$F$5:$F$1005,$B37,'Detailed Budget'!$BG$5:$BG$1005)&gt;0,SUMIF('Detailed Budget'!$F$5:$F$1005,$B37,'Detailed Budget'!$BG$5:$BG$1005),"")</f>
        <v/>
      </c>
      <c r="R37" s="45" t="str">
        <f>IF(SUMIF('Detailed Budget'!$F$5:$F$1005,$B37,'Detailed Budget'!$BI$5:$BI$1005)&gt;0,SUMIF('Detailed Budget'!$F$5:$F$1005,$B37,'Detailed Budget'!$BI$5:$BI$1005),"")</f>
        <v/>
      </c>
      <c r="S37" s="44" t="str">
        <f>IF(SUMIF('Detailed Budget'!$F$5:$F$1005,$B37,'Detailed Budget'!$BN$5:$BN$1005)&gt;0,SUMIF('Detailed Budget'!$F$5:$F$1005,$B37,'Detailed Budget'!$BN$5:$BN$1005),"")</f>
        <v/>
      </c>
      <c r="T37" s="44" t="str">
        <f>IF(SUMIF('Detailed Budget'!$F$5:$F$1005,$B37,'Detailed Budget'!$BP$5:$BP$1005)&gt;0,SUMIF('Detailed Budget'!$F$5:$F$1005,$B37,'Detailed Budget'!$BP$5:$BP$1005),"")</f>
        <v/>
      </c>
      <c r="U37" s="44" t="str">
        <f>IF(SUMIF('Detailed Budget'!$F$5:$F$1005,$B37,'Detailed Budget'!$BR$5:$BR$1005)&gt;0,SUMIF('Detailed Budget'!$F$5:$F$1005,$B37,'Detailed Budget'!$BR$5:$BR$1005),"")</f>
        <v/>
      </c>
      <c r="V37" s="44" t="str">
        <f>IF(SUMIF('Detailed Budget'!$F$5:$F$1005,$B36,'Detailed Budget'!$BT$5:$BT$1005)&gt;0,SUMIF('Detailed Budget'!$F$5:$F$1005,$B36,'Detailed Budget'!$BT$5:$BT$1005),"")</f>
        <v/>
      </c>
      <c r="W37" s="45" t="str">
        <f>IF(SUMIF('Detailed Budget'!$F$5:$F$1005,$B37,'Detailed Budget'!$BV$5:$BV$1005)&gt;0,SUMIF('Detailed Budget'!$F$5:$F$1005,$B37,'Detailed Budget'!$BV$5:$BV$1005),"")</f>
        <v/>
      </c>
      <c r="X37" s="44" t="str">
        <f t="shared" si="0"/>
        <v/>
      </c>
      <c r="Y37" s="124" t="str">
        <f t="shared" si="1"/>
        <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row>
    <row r="38" spans="1:63" s="35" customFormat="1" ht="15" hidden="1" x14ac:dyDescent="0.25">
      <c r="A38" s="42"/>
      <c r="B38" s="81" t="str">
        <f t="array" ref="B38">IFERROR(INDEX(IntIdList,MATCH(0,COUNTIF(IntIdList,"&lt;"&amp;IntIdList)-SUM(COUNTIF(IntIdList,B$16:B37)),0)),"")</f>
        <v/>
      </c>
      <c r="C38" s="43" t="str">
        <f>IFERROR(INDEX('Data Sheet'!$D$29:$D$174,MATCH(B38,'Data Sheet'!$E$29:$E$174,0)) &amp; " - " &amp; INDEX('Data Sheet'!$C$29:$C$174,MATCH(B38,'Data Sheet'!$E$29:$E$174,0)),"")</f>
        <v/>
      </c>
      <c r="D38" s="44" t="str">
        <f>IF(SUMIF('Detailed Budget'!$F$5:$F$1005,$B38,'Detailed Budget'!$AA$5:$AA$1005)&gt;0,SUMIF('Detailed Budget'!$F$5:$F$1005,$B38,'Detailed Budget'!$AA$5:$AA$1005),"")</f>
        <v/>
      </c>
      <c r="E38" s="44" t="str">
        <f>IF(SUMIF('Detailed Budget'!$F$5:$F$1005,$B38,'Detailed Budget'!$AC$5:$AC$1005)&gt;0,SUMIF('Detailed Budget'!$F$5:$F$1005,$B38,'Detailed Budget'!$AC$5:$AC$1005),"")</f>
        <v/>
      </c>
      <c r="F38" s="44" t="str">
        <f>IF(SUMIF('Detailed Budget'!$F$5:$F$1005,$B38,'Detailed Budget'!$AE$5:$AE$1005)&gt;0,SUMIF('Detailed Budget'!$F$5:$F$1005,$B38,'Detailed Budget'!$AE$5:$AE$1005),"")</f>
        <v/>
      </c>
      <c r="G38" s="44" t="str">
        <f>IF(SUMIF('Detailed Budget'!$F$5:$F$1005,$B38,'Detailed Budget'!$AG$5:$AG$1005)&gt;0,SUMIF('Detailed Budget'!$F$5:$F$1005,$B38,'Detailed Budget'!$AG$5:$AG$1005),"")</f>
        <v/>
      </c>
      <c r="H38" s="45" t="str">
        <f>IF(SUMIF('Detailed Budget'!$F$5:$F$1005,$B38,'Detailed Budget'!$AI$5:$AI$1005)&gt;0,SUMIF('Detailed Budget'!$F$5:$F$1005,$B38,'Detailed Budget'!$AI$5:$AI$1005),"")</f>
        <v/>
      </c>
      <c r="I38" s="44" t="str">
        <f>IF(SUMIF('Detailed Budget'!$F$5:$F$1005,$B38,'Detailed Budget'!$AN$5:$AN$1005)&gt;0,SUMIF('Detailed Budget'!$F$5:$F$1005,$B38,'Detailed Budget'!$AN$5:$AN$1005),"")</f>
        <v/>
      </c>
      <c r="J38" s="44" t="str">
        <f>IF(SUMIF('Detailed Budget'!$F$5:$F$1005,$B38,'Detailed Budget'!$AP$5:$AP$1005)&gt;0,SUMIF('Detailed Budget'!$F$5:$F$1005,$B38,'Detailed Budget'!$AP$5:$AP$1005),"")</f>
        <v/>
      </c>
      <c r="K38" s="44" t="str">
        <f>IF(SUMIF('Detailed Budget'!$F$5:$F$1005,$B38,'Detailed Budget'!$AR$5:$AR$1005)&gt;0,SUMIF('Detailed Budget'!$F$5:$F$1005,$B38,'Detailed Budget'!$AR$5:$AR$1005),"")</f>
        <v/>
      </c>
      <c r="L38" s="44" t="str">
        <f>IF(SUMIF('Detailed Budget'!$F$5:$F$1005,$B38,'Detailed Budget'!$AT$5:$AT$1005)&gt;0,SUMIF('Detailed Budget'!$F$5:$F$1005,$B38,'Detailed Budget'!$AT$5:$AT$1005),"")</f>
        <v/>
      </c>
      <c r="M38" s="45" t="str">
        <f>IF(SUMIF('Detailed Budget'!$F$5:$F$1005,$B38,'Detailed Budget'!$AV$5:$AV$1005)&gt;0,SUMIF('Detailed Budget'!$F$5:$F$1005,$B38,'Detailed Budget'!$AV$5:$AV$1005),"")</f>
        <v/>
      </c>
      <c r="N38" s="44" t="str">
        <f>IF(SUMIF('Detailed Budget'!$F$5:$F$1005,$B38,'Detailed Budget'!$BA$5:$BA$1005)&gt;0,SUMIF('Detailed Budget'!$F$5:$F$1005,$B38,'Detailed Budget'!$BA$5:$BA$1005),"")</f>
        <v/>
      </c>
      <c r="O38" s="44" t="str">
        <f>IF(SUMIF('Detailed Budget'!$F$5:$F$1005,$B38,'Detailed Budget'!$BC$5:$BC$1005)&gt;0,SUMIF('Detailed Budget'!$F$5:$F$1005,$B38,'Detailed Budget'!$BC$5:$BC$1005),"")</f>
        <v/>
      </c>
      <c r="P38" s="44" t="str">
        <f>IF(SUMIF('Detailed Budget'!$F$5:$F$1005,$B38,'Detailed Budget'!$BE$5:$BE$1005)&gt;0,SUMIF('Detailed Budget'!$F$5:$F$1005,$B38,'Detailed Budget'!$BE$5:$BE$1005),"")</f>
        <v/>
      </c>
      <c r="Q38" s="44" t="str">
        <f>IF(SUMIF('Detailed Budget'!$F$5:$F$1005,$B38,'Detailed Budget'!$BG$5:$BG$1005)&gt;0,SUMIF('Detailed Budget'!$F$5:$F$1005,$B38,'Detailed Budget'!$BG$5:$BG$1005),"")</f>
        <v/>
      </c>
      <c r="R38" s="45" t="str">
        <f>IF(SUMIF('Detailed Budget'!$F$5:$F$1005,$B38,'Detailed Budget'!$BI$5:$BI$1005)&gt;0,SUMIF('Detailed Budget'!$F$5:$F$1005,$B38,'Detailed Budget'!$BI$5:$BI$1005),"")</f>
        <v/>
      </c>
      <c r="S38" s="44" t="str">
        <f>IF(SUMIF('Detailed Budget'!$F$5:$F$1005,$B38,'Detailed Budget'!$BN$5:$BN$1005)&gt;0,SUMIF('Detailed Budget'!$F$5:$F$1005,$B38,'Detailed Budget'!$BN$5:$BN$1005),"")</f>
        <v/>
      </c>
      <c r="T38" s="44" t="str">
        <f>IF(SUMIF('Detailed Budget'!$F$5:$F$1005,$B38,'Detailed Budget'!$BP$5:$BP$1005)&gt;0,SUMIF('Detailed Budget'!$F$5:$F$1005,$B38,'Detailed Budget'!$BP$5:$BP$1005),"")</f>
        <v/>
      </c>
      <c r="U38" s="44" t="str">
        <f>IF(SUMIF('Detailed Budget'!$F$5:$F$1005,$B38,'Detailed Budget'!$BR$5:$BR$1005)&gt;0,SUMIF('Detailed Budget'!$F$5:$F$1005,$B38,'Detailed Budget'!$BR$5:$BR$1005),"")</f>
        <v/>
      </c>
      <c r="V38" s="44" t="str">
        <f>IF(SUMIF('Detailed Budget'!$F$5:$F$1005,$B37,'Detailed Budget'!$BT$5:$BT$1005)&gt;0,SUMIF('Detailed Budget'!$F$5:$F$1005,$B37,'Detailed Budget'!$BT$5:$BT$1005),"")</f>
        <v/>
      </c>
      <c r="W38" s="45" t="str">
        <f>IF(SUMIF('Detailed Budget'!$F$5:$F$1005,$B38,'Detailed Budget'!$BV$5:$BV$1005)&gt;0,SUMIF('Detailed Budget'!$F$5:$F$1005,$B38,'Detailed Budget'!$BV$5:$BV$1005),"")</f>
        <v/>
      </c>
      <c r="X38" s="44" t="str">
        <f t="shared" si="0"/>
        <v/>
      </c>
      <c r="Y38" s="124" t="str">
        <f t="shared" si="1"/>
        <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row>
    <row r="39" spans="1:63" s="35" customFormat="1" ht="15" hidden="1" x14ac:dyDescent="0.25">
      <c r="A39" s="42"/>
      <c r="B39" s="81" t="str">
        <f t="array" ref="B39">IFERROR(INDEX(IntIdList,MATCH(0,COUNTIF(IntIdList,"&lt;"&amp;IntIdList)-SUM(COUNTIF(IntIdList,B$16:B38)),0)),"")</f>
        <v/>
      </c>
      <c r="C39" s="43" t="str">
        <f>IFERROR(INDEX('Data Sheet'!$D$29:$D$174,MATCH(B39,'Data Sheet'!$E$29:$E$174,0)) &amp; " - " &amp; INDEX('Data Sheet'!$C$29:$C$174,MATCH(B39,'Data Sheet'!$E$29:$E$174,0)),"")</f>
        <v/>
      </c>
      <c r="D39" s="44" t="str">
        <f>IF(SUMIF('Detailed Budget'!$F$5:$F$1005,$B39,'Detailed Budget'!$AA$5:$AA$1005)&gt;0,SUMIF('Detailed Budget'!$F$5:$F$1005,$B39,'Detailed Budget'!$AA$5:$AA$1005),"")</f>
        <v/>
      </c>
      <c r="E39" s="44" t="str">
        <f>IF(SUMIF('Detailed Budget'!$F$5:$F$1005,$B39,'Detailed Budget'!$AC$5:$AC$1005)&gt;0,SUMIF('Detailed Budget'!$F$5:$F$1005,$B39,'Detailed Budget'!$AC$5:$AC$1005),"")</f>
        <v/>
      </c>
      <c r="F39" s="44" t="str">
        <f>IF(SUMIF('Detailed Budget'!$F$5:$F$1005,$B39,'Detailed Budget'!$AE$5:$AE$1005)&gt;0,SUMIF('Detailed Budget'!$F$5:$F$1005,$B39,'Detailed Budget'!$AE$5:$AE$1005),"")</f>
        <v/>
      </c>
      <c r="G39" s="44" t="str">
        <f>IF(SUMIF('Detailed Budget'!$F$5:$F$1005,$B39,'Detailed Budget'!$AG$5:$AG$1005)&gt;0,SUMIF('Detailed Budget'!$F$5:$F$1005,$B39,'Detailed Budget'!$AG$5:$AG$1005),"")</f>
        <v/>
      </c>
      <c r="H39" s="45" t="str">
        <f>IF(SUMIF('Detailed Budget'!$F$5:$F$1005,$B39,'Detailed Budget'!$AI$5:$AI$1005)&gt;0,SUMIF('Detailed Budget'!$F$5:$F$1005,$B39,'Detailed Budget'!$AI$5:$AI$1005),"")</f>
        <v/>
      </c>
      <c r="I39" s="44" t="str">
        <f>IF(SUMIF('Detailed Budget'!$F$5:$F$1005,$B39,'Detailed Budget'!$AN$5:$AN$1005)&gt;0,SUMIF('Detailed Budget'!$F$5:$F$1005,$B39,'Detailed Budget'!$AN$5:$AN$1005),"")</f>
        <v/>
      </c>
      <c r="J39" s="44" t="str">
        <f>IF(SUMIF('Detailed Budget'!$F$5:$F$1005,$B39,'Detailed Budget'!$AP$5:$AP$1005)&gt;0,SUMIF('Detailed Budget'!$F$5:$F$1005,$B39,'Detailed Budget'!$AP$5:$AP$1005),"")</f>
        <v/>
      </c>
      <c r="K39" s="44" t="str">
        <f>IF(SUMIF('Detailed Budget'!$F$5:$F$1005,$B39,'Detailed Budget'!$AR$5:$AR$1005)&gt;0,SUMIF('Detailed Budget'!$F$5:$F$1005,$B39,'Detailed Budget'!$AR$5:$AR$1005),"")</f>
        <v/>
      </c>
      <c r="L39" s="44" t="str">
        <f>IF(SUMIF('Detailed Budget'!$F$5:$F$1005,$B39,'Detailed Budget'!$AT$5:$AT$1005)&gt;0,SUMIF('Detailed Budget'!$F$5:$F$1005,$B39,'Detailed Budget'!$AT$5:$AT$1005),"")</f>
        <v/>
      </c>
      <c r="M39" s="45" t="str">
        <f>IF(SUMIF('Detailed Budget'!$F$5:$F$1005,$B39,'Detailed Budget'!$AV$5:$AV$1005)&gt;0,SUMIF('Detailed Budget'!$F$5:$F$1005,$B39,'Detailed Budget'!$AV$5:$AV$1005),"")</f>
        <v/>
      </c>
      <c r="N39" s="44" t="str">
        <f>IF(SUMIF('Detailed Budget'!$F$5:$F$1005,$B39,'Detailed Budget'!$BA$5:$BA$1005)&gt;0,SUMIF('Detailed Budget'!$F$5:$F$1005,$B39,'Detailed Budget'!$BA$5:$BA$1005),"")</f>
        <v/>
      </c>
      <c r="O39" s="44" t="str">
        <f>IF(SUMIF('Detailed Budget'!$F$5:$F$1005,$B39,'Detailed Budget'!$BC$5:$BC$1005)&gt;0,SUMIF('Detailed Budget'!$F$5:$F$1005,$B39,'Detailed Budget'!$BC$5:$BC$1005),"")</f>
        <v/>
      </c>
      <c r="P39" s="44" t="str">
        <f>IF(SUMIF('Detailed Budget'!$F$5:$F$1005,$B39,'Detailed Budget'!$BE$5:$BE$1005)&gt;0,SUMIF('Detailed Budget'!$F$5:$F$1005,$B39,'Detailed Budget'!$BE$5:$BE$1005),"")</f>
        <v/>
      </c>
      <c r="Q39" s="44" t="str">
        <f>IF(SUMIF('Detailed Budget'!$F$5:$F$1005,$B39,'Detailed Budget'!$BG$5:$BG$1005)&gt;0,SUMIF('Detailed Budget'!$F$5:$F$1005,$B39,'Detailed Budget'!$BG$5:$BG$1005),"")</f>
        <v/>
      </c>
      <c r="R39" s="45" t="str">
        <f>IF(SUMIF('Detailed Budget'!$F$5:$F$1005,$B39,'Detailed Budget'!$BI$5:$BI$1005)&gt;0,SUMIF('Detailed Budget'!$F$5:$F$1005,$B39,'Detailed Budget'!$BI$5:$BI$1005),"")</f>
        <v/>
      </c>
      <c r="S39" s="44" t="str">
        <f>IF(SUMIF('Detailed Budget'!$F$5:$F$1005,$B39,'Detailed Budget'!$BN$5:$BN$1005)&gt;0,SUMIF('Detailed Budget'!$F$5:$F$1005,$B39,'Detailed Budget'!$BN$5:$BN$1005),"")</f>
        <v/>
      </c>
      <c r="T39" s="44" t="str">
        <f>IF(SUMIF('Detailed Budget'!$F$5:$F$1005,$B39,'Detailed Budget'!$BP$5:$BP$1005)&gt;0,SUMIF('Detailed Budget'!$F$5:$F$1005,$B39,'Detailed Budget'!$BP$5:$BP$1005),"")</f>
        <v/>
      </c>
      <c r="U39" s="44" t="str">
        <f>IF(SUMIF('Detailed Budget'!$F$5:$F$1005,$B39,'Detailed Budget'!$BR$5:$BR$1005)&gt;0,SUMIF('Detailed Budget'!$F$5:$F$1005,$B39,'Detailed Budget'!$BR$5:$BR$1005),"")</f>
        <v/>
      </c>
      <c r="V39" s="44" t="str">
        <f>IF(SUMIF('Detailed Budget'!$F$5:$F$1005,$B38,'Detailed Budget'!$BT$5:$BT$1005)&gt;0,SUMIF('Detailed Budget'!$F$5:$F$1005,$B38,'Detailed Budget'!$BT$5:$BT$1005),"")</f>
        <v/>
      </c>
      <c r="W39" s="45" t="str">
        <f>IF(SUMIF('Detailed Budget'!$F$5:$F$1005,$B39,'Detailed Budget'!$BV$5:$BV$1005)&gt;0,SUMIF('Detailed Budget'!$F$5:$F$1005,$B39,'Detailed Budget'!$BV$5:$BV$1005),"")</f>
        <v/>
      </c>
      <c r="X39" s="44" t="str">
        <f t="shared" si="0"/>
        <v/>
      </c>
      <c r="Y39" s="124" t="str">
        <f t="shared" si="1"/>
        <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row>
    <row r="40" spans="1:63" s="35" customFormat="1" ht="15" hidden="1" x14ac:dyDescent="0.25">
      <c r="A40" s="42"/>
      <c r="B40" s="81" t="str">
        <f t="array" ref="B40">IFERROR(INDEX(IntIdList,MATCH(0,COUNTIF(IntIdList,"&lt;"&amp;IntIdList)-SUM(COUNTIF(IntIdList,B$16:B39)),0)),"")</f>
        <v/>
      </c>
      <c r="C40" s="43" t="str">
        <f>IFERROR(INDEX('Data Sheet'!$D$29:$D$174,MATCH(B40,'Data Sheet'!$E$29:$E$174,0)) &amp; " - " &amp; INDEX('Data Sheet'!$C$29:$C$174,MATCH(B40,'Data Sheet'!$E$29:$E$174,0)),"")</f>
        <v/>
      </c>
      <c r="D40" s="44" t="str">
        <f>IF(SUMIF('Detailed Budget'!$F$5:$F$1005,$B40,'Detailed Budget'!$AA$5:$AA$1005)&gt;0,SUMIF('Detailed Budget'!$F$5:$F$1005,$B40,'Detailed Budget'!$AA$5:$AA$1005),"")</f>
        <v/>
      </c>
      <c r="E40" s="44" t="str">
        <f>IF(SUMIF('Detailed Budget'!$F$5:$F$1005,$B40,'Detailed Budget'!$AC$5:$AC$1005)&gt;0,SUMIF('Detailed Budget'!$F$5:$F$1005,$B40,'Detailed Budget'!$AC$5:$AC$1005),"")</f>
        <v/>
      </c>
      <c r="F40" s="44" t="str">
        <f>IF(SUMIF('Detailed Budget'!$F$5:$F$1005,$B40,'Detailed Budget'!$AE$5:$AE$1005)&gt;0,SUMIF('Detailed Budget'!$F$5:$F$1005,$B40,'Detailed Budget'!$AE$5:$AE$1005),"")</f>
        <v/>
      </c>
      <c r="G40" s="44" t="str">
        <f>IF(SUMIF('Detailed Budget'!$F$5:$F$1005,$B40,'Detailed Budget'!$AG$5:$AG$1005)&gt;0,SUMIF('Detailed Budget'!$F$5:$F$1005,$B40,'Detailed Budget'!$AG$5:$AG$1005),"")</f>
        <v/>
      </c>
      <c r="H40" s="45" t="str">
        <f>IF(SUMIF('Detailed Budget'!$F$5:$F$1005,$B40,'Detailed Budget'!$AI$5:$AI$1005)&gt;0,SUMIF('Detailed Budget'!$F$5:$F$1005,$B40,'Detailed Budget'!$AI$5:$AI$1005),"")</f>
        <v/>
      </c>
      <c r="I40" s="44" t="str">
        <f>IF(SUMIF('Detailed Budget'!$F$5:$F$1005,$B40,'Detailed Budget'!$AN$5:$AN$1005)&gt;0,SUMIF('Detailed Budget'!$F$5:$F$1005,$B40,'Detailed Budget'!$AN$5:$AN$1005),"")</f>
        <v/>
      </c>
      <c r="J40" s="44" t="str">
        <f>IF(SUMIF('Detailed Budget'!$F$5:$F$1005,$B40,'Detailed Budget'!$AP$5:$AP$1005)&gt;0,SUMIF('Detailed Budget'!$F$5:$F$1005,$B40,'Detailed Budget'!$AP$5:$AP$1005),"")</f>
        <v/>
      </c>
      <c r="K40" s="44" t="str">
        <f>IF(SUMIF('Detailed Budget'!$F$5:$F$1005,$B40,'Detailed Budget'!$AR$5:$AR$1005)&gt;0,SUMIF('Detailed Budget'!$F$5:$F$1005,$B40,'Detailed Budget'!$AR$5:$AR$1005),"")</f>
        <v/>
      </c>
      <c r="L40" s="44" t="str">
        <f>IF(SUMIF('Detailed Budget'!$F$5:$F$1005,$B40,'Detailed Budget'!$AT$5:$AT$1005)&gt;0,SUMIF('Detailed Budget'!$F$5:$F$1005,$B40,'Detailed Budget'!$AT$5:$AT$1005),"")</f>
        <v/>
      </c>
      <c r="M40" s="45" t="str">
        <f>IF(SUMIF('Detailed Budget'!$F$5:$F$1005,$B40,'Detailed Budget'!$AV$5:$AV$1005)&gt;0,SUMIF('Detailed Budget'!$F$5:$F$1005,$B40,'Detailed Budget'!$AV$5:$AV$1005),"")</f>
        <v/>
      </c>
      <c r="N40" s="44" t="str">
        <f>IF(SUMIF('Detailed Budget'!$F$5:$F$1005,$B40,'Detailed Budget'!$BA$5:$BA$1005)&gt;0,SUMIF('Detailed Budget'!$F$5:$F$1005,$B40,'Detailed Budget'!$BA$5:$BA$1005),"")</f>
        <v/>
      </c>
      <c r="O40" s="44" t="str">
        <f>IF(SUMIF('Detailed Budget'!$F$5:$F$1005,$B40,'Detailed Budget'!$BC$5:$BC$1005)&gt;0,SUMIF('Detailed Budget'!$F$5:$F$1005,$B40,'Detailed Budget'!$BC$5:$BC$1005),"")</f>
        <v/>
      </c>
      <c r="P40" s="44" t="str">
        <f>IF(SUMIF('Detailed Budget'!$F$5:$F$1005,$B40,'Detailed Budget'!$BE$5:$BE$1005)&gt;0,SUMIF('Detailed Budget'!$F$5:$F$1005,$B40,'Detailed Budget'!$BE$5:$BE$1005),"")</f>
        <v/>
      </c>
      <c r="Q40" s="44" t="str">
        <f>IF(SUMIF('Detailed Budget'!$F$5:$F$1005,$B40,'Detailed Budget'!$BG$5:$BG$1005)&gt;0,SUMIF('Detailed Budget'!$F$5:$F$1005,$B40,'Detailed Budget'!$BG$5:$BG$1005),"")</f>
        <v/>
      </c>
      <c r="R40" s="45" t="str">
        <f>IF(SUMIF('Detailed Budget'!$F$5:$F$1005,$B40,'Detailed Budget'!$BI$5:$BI$1005)&gt;0,SUMIF('Detailed Budget'!$F$5:$F$1005,$B40,'Detailed Budget'!$BI$5:$BI$1005),"")</f>
        <v/>
      </c>
      <c r="S40" s="44" t="str">
        <f>IF(SUMIF('Detailed Budget'!$F$5:$F$1005,$B40,'Detailed Budget'!$BN$5:$BN$1005)&gt;0,SUMIF('Detailed Budget'!$F$5:$F$1005,$B40,'Detailed Budget'!$BN$5:$BN$1005),"")</f>
        <v/>
      </c>
      <c r="T40" s="44" t="str">
        <f>IF(SUMIF('Detailed Budget'!$F$5:$F$1005,$B40,'Detailed Budget'!$BP$5:$BP$1005)&gt;0,SUMIF('Detailed Budget'!$F$5:$F$1005,$B40,'Detailed Budget'!$BP$5:$BP$1005),"")</f>
        <v/>
      </c>
      <c r="U40" s="44" t="str">
        <f>IF(SUMIF('Detailed Budget'!$F$5:$F$1005,$B40,'Detailed Budget'!$BR$5:$BR$1005)&gt;0,SUMIF('Detailed Budget'!$F$5:$F$1005,$B40,'Detailed Budget'!$BR$5:$BR$1005),"")</f>
        <v/>
      </c>
      <c r="V40" s="44" t="str">
        <f>IF(SUMIF('Detailed Budget'!$F$5:$F$1005,$B39,'Detailed Budget'!$BT$5:$BT$1005)&gt;0,SUMIF('Detailed Budget'!$F$5:$F$1005,$B39,'Detailed Budget'!$BT$5:$BT$1005),"")</f>
        <v/>
      </c>
      <c r="W40" s="45" t="str">
        <f>IF(SUMIF('Detailed Budget'!$F$5:$F$1005,$B40,'Detailed Budget'!$BV$5:$BV$1005)&gt;0,SUMIF('Detailed Budget'!$F$5:$F$1005,$B40,'Detailed Budget'!$BV$5:$BV$1005),"")</f>
        <v/>
      </c>
      <c r="X40" s="44" t="str">
        <f t="shared" si="0"/>
        <v/>
      </c>
      <c r="Y40" s="124" t="str">
        <f t="shared" si="1"/>
        <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row>
    <row r="41" spans="1:63" s="35" customFormat="1" ht="15" hidden="1" x14ac:dyDescent="0.25">
      <c r="A41" s="42"/>
      <c r="B41" s="81" t="str">
        <f t="array" ref="B41">IFERROR(INDEX(IntIdList,MATCH(0,COUNTIF(IntIdList,"&lt;"&amp;IntIdList)-SUM(COUNTIF(IntIdList,B$16:B40)),0)),"")</f>
        <v/>
      </c>
      <c r="C41" s="43" t="str">
        <f>IFERROR(INDEX('Data Sheet'!$D$29:$D$174,MATCH(B41,'Data Sheet'!$E$29:$E$174,0)) &amp; " - " &amp; INDEX('Data Sheet'!$C$29:$C$174,MATCH(B41,'Data Sheet'!$E$29:$E$174,0)),"")</f>
        <v/>
      </c>
      <c r="D41" s="44" t="str">
        <f>IF(SUMIF('Detailed Budget'!$F$5:$F$1005,$B41,'Detailed Budget'!$AA$5:$AA$1005)&gt;0,SUMIF('Detailed Budget'!$F$5:$F$1005,$B41,'Detailed Budget'!$AA$5:$AA$1005),"")</f>
        <v/>
      </c>
      <c r="E41" s="44" t="str">
        <f>IF(SUMIF('Detailed Budget'!$F$5:$F$1005,$B41,'Detailed Budget'!$AC$5:$AC$1005)&gt;0,SUMIF('Detailed Budget'!$F$5:$F$1005,$B41,'Detailed Budget'!$AC$5:$AC$1005),"")</f>
        <v/>
      </c>
      <c r="F41" s="44" t="str">
        <f>IF(SUMIF('Detailed Budget'!$F$5:$F$1005,$B41,'Detailed Budget'!$AE$5:$AE$1005)&gt;0,SUMIF('Detailed Budget'!$F$5:$F$1005,$B41,'Detailed Budget'!$AE$5:$AE$1005),"")</f>
        <v/>
      </c>
      <c r="G41" s="44" t="str">
        <f>IF(SUMIF('Detailed Budget'!$F$5:$F$1005,$B41,'Detailed Budget'!$AG$5:$AG$1005)&gt;0,SUMIF('Detailed Budget'!$F$5:$F$1005,$B41,'Detailed Budget'!$AG$5:$AG$1005),"")</f>
        <v/>
      </c>
      <c r="H41" s="45" t="str">
        <f>IF(SUMIF('Detailed Budget'!$F$5:$F$1005,$B41,'Detailed Budget'!$AI$5:$AI$1005)&gt;0,SUMIF('Detailed Budget'!$F$5:$F$1005,$B41,'Detailed Budget'!$AI$5:$AI$1005),"")</f>
        <v/>
      </c>
      <c r="I41" s="44" t="str">
        <f>IF(SUMIF('Detailed Budget'!$F$5:$F$1005,$B41,'Detailed Budget'!$AN$5:$AN$1005)&gt;0,SUMIF('Detailed Budget'!$F$5:$F$1005,$B41,'Detailed Budget'!$AN$5:$AN$1005),"")</f>
        <v/>
      </c>
      <c r="J41" s="44" t="str">
        <f>IF(SUMIF('Detailed Budget'!$F$5:$F$1005,$B41,'Detailed Budget'!$AP$5:$AP$1005)&gt;0,SUMIF('Detailed Budget'!$F$5:$F$1005,$B41,'Detailed Budget'!$AP$5:$AP$1005),"")</f>
        <v/>
      </c>
      <c r="K41" s="44" t="str">
        <f>IF(SUMIF('Detailed Budget'!$F$5:$F$1005,$B41,'Detailed Budget'!$AR$5:$AR$1005)&gt;0,SUMIF('Detailed Budget'!$F$5:$F$1005,$B41,'Detailed Budget'!$AR$5:$AR$1005),"")</f>
        <v/>
      </c>
      <c r="L41" s="44" t="str">
        <f>IF(SUMIF('Detailed Budget'!$F$5:$F$1005,$B41,'Detailed Budget'!$AT$5:$AT$1005)&gt;0,SUMIF('Detailed Budget'!$F$5:$F$1005,$B41,'Detailed Budget'!$AT$5:$AT$1005),"")</f>
        <v/>
      </c>
      <c r="M41" s="45" t="str">
        <f>IF(SUMIF('Detailed Budget'!$F$5:$F$1005,$B41,'Detailed Budget'!$AV$5:$AV$1005)&gt;0,SUMIF('Detailed Budget'!$F$5:$F$1005,$B41,'Detailed Budget'!$AV$5:$AV$1005),"")</f>
        <v/>
      </c>
      <c r="N41" s="44" t="str">
        <f>IF(SUMIF('Detailed Budget'!$F$5:$F$1005,$B41,'Detailed Budget'!$BA$5:$BA$1005)&gt;0,SUMIF('Detailed Budget'!$F$5:$F$1005,$B41,'Detailed Budget'!$BA$5:$BA$1005),"")</f>
        <v/>
      </c>
      <c r="O41" s="44" t="str">
        <f>IF(SUMIF('Detailed Budget'!$F$5:$F$1005,$B41,'Detailed Budget'!$BC$5:$BC$1005)&gt;0,SUMIF('Detailed Budget'!$F$5:$F$1005,$B41,'Detailed Budget'!$BC$5:$BC$1005),"")</f>
        <v/>
      </c>
      <c r="P41" s="44" t="str">
        <f>IF(SUMIF('Detailed Budget'!$F$5:$F$1005,$B41,'Detailed Budget'!$BE$5:$BE$1005)&gt;0,SUMIF('Detailed Budget'!$F$5:$F$1005,$B41,'Detailed Budget'!$BE$5:$BE$1005),"")</f>
        <v/>
      </c>
      <c r="Q41" s="44" t="str">
        <f>IF(SUMIF('Detailed Budget'!$F$5:$F$1005,$B41,'Detailed Budget'!$BG$5:$BG$1005)&gt;0,SUMIF('Detailed Budget'!$F$5:$F$1005,$B41,'Detailed Budget'!$BG$5:$BG$1005),"")</f>
        <v/>
      </c>
      <c r="R41" s="45" t="str">
        <f>IF(SUMIF('Detailed Budget'!$F$5:$F$1005,$B41,'Detailed Budget'!$BI$5:$BI$1005)&gt;0,SUMIF('Detailed Budget'!$F$5:$F$1005,$B41,'Detailed Budget'!$BI$5:$BI$1005),"")</f>
        <v/>
      </c>
      <c r="S41" s="44" t="str">
        <f>IF(SUMIF('Detailed Budget'!$F$5:$F$1005,$B41,'Detailed Budget'!$BN$5:$BN$1005)&gt;0,SUMIF('Detailed Budget'!$F$5:$F$1005,$B41,'Detailed Budget'!$BN$5:$BN$1005),"")</f>
        <v/>
      </c>
      <c r="T41" s="44" t="str">
        <f>IF(SUMIF('Detailed Budget'!$F$5:$F$1005,$B41,'Detailed Budget'!$BP$5:$BP$1005)&gt;0,SUMIF('Detailed Budget'!$F$5:$F$1005,$B41,'Detailed Budget'!$BP$5:$BP$1005),"")</f>
        <v/>
      </c>
      <c r="U41" s="44" t="str">
        <f>IF(SUMIF('Detailed Budget'!$F$5:$F$1005,$B41,'Detailed Budget'!$BR$5:$BR$1005)&gt;0,SUMIF('Detailed Budget'!$F$5:$F$1005,$B41,'Detailed Budget'!$BR$5:$BR$1005),"")</f>
        <v/>
      </c>
      <c r="V41" s="44" t="str">
        <f>IF(SUMIF('Detailed Budget'!$F$5:$F$1005,$B40,'Detailed Budget'!$BT$5:$BT$1005)&gt;0,SUMIF('Detailed Budget'!$F$5:$F$1005,$B40,'Detailed Budget'!$BT$5:$BT$1005),"")</f>
        <v/>
      </c>
      <c r="W41" s="45" t="str">
        <f>IF(SUMIF('Detailed Budget'!$F$5:$F$1005,$B41,'Detailed Budget'!$BV$5:$BV$1005)&gt;0,SUMIF('Detailed Budget'!$F$5:$F$1005,$B41,'Detailed Budget'!$BV$5:$BV$1005),"")</f>
        <v/>
      </c>
      <c r="X41" s="44" t="str">
        <f t="shared" si="0"/>
        <v/>
      </c>
      <c r="Y41" s="124" t="str">
        <f t="shared" si="1"/>
        <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row>
    <row r="42" spans="1:63" s="35" customFormat="1" ht="15" hidden="1" x14ac:dyDescent="0.25">
      <c r="A42" s="42"/>
      <c r="B42" s="81" t="str">
        <f t="array" ref="B42">IFERROR(INDEX(IntIdList,MATCH(0,COUNTIF(IntIdList,"&lt;"&amp;IntIdList)-SUM(COUNTIF(IntIdList,B$16:B41)),0)),"")</f>
        <v/>
      </c>
      <c r="C42" s="43" t="str">
        <f>IFERROR(INDEX('Data Sheet'!$D$29:$D$174,MATCH(B42,'Data Sheet'!$E$29:$E$174,0)) &amp; " - " &amp; INDEX('Data Sheet'!$C$29:$C$174,MATCH(B42,'Data Sheet'!$E$29:$E$174,0)),"")</f>
        <v/>
      </c>
      <c r="D42" s="44" t="str">
        <f>IF(SUMIF('Detailed Budget'!$F$5:$F$1005,$B42,'Detailed Budget'!$AA$5:$AA$1005)&gt;0,SUMIF('Detailed Budget'!$F$5:$F$1005,$B42,'Detailed Budget'!$AA$5:$AA$1005),"")</f>
        <v/>
      </c>
      <c r="E42" s="44" t="str">
        <f>IF(SUMIF('Detailed Budget'!$F$5:$F$1005,$B42,'Detailed Budget'!$AC$5:$AC$1005)&gt;0,SUMIF('Detailed Budget'!$F$5:$F$1005,$B42,'Detailed Budget'!$AC$5:$AC$1005),"")</f>
        <v/>
      </c>
      <c r="F42" s="44" t="str">
        <f>IF(SUMIF('Detailed Budget'!$F$5:$F$1005,$B42,'Detailed Budget'!$AE$5:$AE$1005)&gt;0,SUMIF('Detailed Budget'!$F$5:$F$1005,$B42,'Detailed Budget'!$AE$5:$AE$1005),"")</f>
        <v/>
      </c>
      <c r="G42" s="44" t="str">
        <f>IF(SUMIF('Detailed Budget'!$F$5:$F$1005,$B42,'Detailed Budget'!$AG$5:$AG$1005)&gt;0,SUMIF('Detailed Budget'!$F$5:$F$1005,$B42,'Detailed Budget'!$AG$5:$AG$1005),"")</f>
        <v/>
      </c>
      <c r="H42" s="45" t="str">
        <f>IF(SUMIF('Detailed Budget'!$F$5:$F$1005,$B42,'Detailed Budget'!$AI$5:$AI$1005)&gt;0,SUMIF('Detailed Budget'!$F$5:$F$1005,$B42,'Detailed Budget'!$AI$5:$AI$1005),"")</f>
        <v/>
      </c>
      <c r="I42" s="44" t="str">
        <f>IF(SUMIF('Detailed Budget'!$F$5:$F$1005,$B42,'Detailed Budget'!$AN$5:$AN$1005)&gt;0,SUMIF('Detailed Budget'!$F$5:$F$1005,$B42,'Detailed Budget'!$AN$5:$AN$1005),"")</f>
        <v/>
      </c>
      <c r="J42" s="44" t="str">
        <f>IF(SUMIF('Detailed Budget'!$F$5:$F$1005,$B42,'Detailed Budget'!$AP$5:$AP$1005)&gt;0,SUMIF('Detailed Budget'!$F$5:$F$1005,$B42,'Detailed Budget'!$AP$5:$AP$1005),"")</f>
        <v/>
      </c>
      <c r="K42" s="44" t="str">
        <f>IF(SUMIF('Detailed Budget'!$F$5:$F$1005,$B42,'Detailed Budget'!$AR$5:$AR$1005)&gt;0,SUMIF('Detailed Budget'!$F$5:$F$1005,$B42,'Detailed Budget'!$AR$5:$AR$1005),"")</f>
        <v/>
      </c>
      <c r="L42" s="44" t="str">
        <f>IF(SUMIF('Detailed Budget'!$F$5:$F$1005,$B42,'Detailed Budget'!$AT$5:$AT$1005)&gt;0,SUMIF('Detailed Budget'!$F$5:$F$1005,$B42,'Detailed Budget'!$AT$5:$AT$1005),"")</f>
        <v/>
      </c>
      <c r="M42" s="45" t="str">
        <f>IF(SUMIF('Detailed Budget'!$F$5:$F$1005,$B42,'Detailed Budget'!$AV$5:$AV$1005)&gt;0,SUMIF('Detailed Budget'!$F$5:$F$1005,$B42,'Detailed Budget'!$AV$5:$AV$1005),"")</f>
        <v/>
      </c>
      <c r="N42" s="44" t="str">
        <f>IF(SUMIF('Detailed Budget'!$F$5:$F$1005,$B42,'Detailed Budget'!$BA$5:$BA$1005)&gt;0,SUMIF('Detailed Budget'!$F$5:$F$1005,$B42,'Detailed Budget'!$BA$5:$BA$1005),"")</f>
        <v/>
      </c>
      <c r="O42" s="44" t="str">
        <f>IF(SUMIF('Detailed Budget'!$F$5:$F$1005,$B42,'Detailed Budget'!$BC$5:$BC$1005)&gt;0,SUMIF('Detailed Budget'!$F$5:$F$1005,$B42,'Detailed Budget'!$BC$5:$BC$1005),"")</f>
        <v/>
      </c>
      <c r="P42" s="44" t="str">
        <f>IF(SUMIF('Detailed Budget'!$F$5:$F$1005,$B42,'Detailed Budget'!$BE$5:$BE$1005)&gt;0,SUMIF('Detailed Budget'!$F$5:$F$1005,$B42,'Detailed Budget'!$BE$5:$BE$1005),"")</f>
        <v/>
      </c>
      <c r="Q42" s="44" t="str">
        <f>IF(SUMIF('Detailed Budget'!$F$5:$F$1005,$B42,'Detailed Budget'!$BG$5:$BG$1005)&gt;0,SUMIF('Detailed Budget'!$F$5:$F$1005,$B42,'Detailed Budget'!$BG$5:$BG$1005),"")</f>
        <v/>
      </c>
      <c r="R42" s="45" t="str">
        <f>IF(SUMIF('Detailed Budget'!$F$5:$F$1005,$B42,'Detailed Budget'!$BI$5:$BI$1005)&gt;0,SUMIF('Detailed Budget'!$F$5:$F$1005,$B42,'Detailed Budget'!$BI$5:$BI$1005),"")</f>
        <v/>
      </c>
      <c r="S42" s="44" t="str">
        <f>IF(SUMIF('Detailed Budget'!$F$5:$F$1005,$B42,'Detailed Budget'!$BN$5:$BN$1005)&gt;0,SUMIF('Detailed Budget'!$F$5:$F$1005,$B42,'Detailed Budget'!$BN$5:$BN$1005),"")</f>
        <v/>
      </c>
      <c r="T42" s="44" t="str">
        <f>IF(SUMIF('Detailed Budget'!$F$5:$F$1005,$B42,'Detailed Budget'!$BP$5:$BP$1005)&gt;0,SUMIF('Detailed Budget'!$F$5:$F$1005,$B42,'Detailed Budget'!$BP$5:$BP$1005),"")</f>
        <v/>
      </c>
      <c r="U42" s="44" t="str">
        <f>IF(SUMIF('Detailed Budget'!$F$5:$F$1005,$B42,'Detailed Budget'!$BR$5:$BR$1005)&gt;0,SUMIF('Detailed Budget'!$F$5:$F$1005,$B42,'Detailed Budget'!$BR$5:$BR$1005),"")</f>
        <v/>
      </c>
      <c r="V42" s="44" t="str">
        <f>IF(SUMIF('Detailed Budget'!$F$5:$F$1005,$B41,'Detailed Budget'!$BT$5:$BT$1005)&gt;0,SUMIF('Detailed Budget'!$F$5:$F$1005,$B41,'Detailed Budget'!$BT$5:$BT$1005),"")</f>
        <v/>
      </c>
      <c r="W42" s="45" t="str">
        <f>IF(SUMIF('Detailed Budget'!$F$5:$F$1005,$B42,'Detailed Budget'!$BV$5:$BV$1005)&gt;0,SUMIF('Detailed Budget'!$F$5:$F$1005,$B42,'Detailed Budget'!$BV$5:$BV$1005),"")</f>
        <v/>
      </c>
      <c r="X42" s="44" t="str">
        <f t="shared" si="0"/>
        <v/>
      </c>
      <c r="Y42" s="124" t="str">
        <f t="shared" si="1"/>
        <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row>
    <row r="43" spans="1:63" s="35" customFormat="1" ht="15" hidden="1" x14ac:dyDescent="0.25">
      <c r="A43" s="42"/>
      <c r="B43" s="81" t="str">
        <f t="array" ref="B43">IFERROR(INDEX(IntIdList,MATCH(0,COUNTIF(IntIdList,"&lt;"&amp;IntIdList)-SUM(COUNTIF(IntIdList,B$16:B42)),0)),"")</f>
        <v/>
      </c>
      <c r="C43" s="43" t="str">
        <f>IFERROR(INDEX('Data Sheet'!$D$29:$D$174,MATCH(B43,'Data Sheet'!$E$29:$E$174,0)) &amp; " - " &amp; INDEX('Data Sheet'!$C$29:$C$174,MATCH(B43,'Data Sheet'!$E$29:$E$174,0)),"")</f>
        <v/>
      </c>
      <c r="D43" s="44" t="str">
        <f>IF(SUMIF('Detailed Budget'!$F$5:$F$1005,$B43,'Detailed Budget'!$AA$5:$AA$1005)&gt;0,SUMIF('Detailed Budget'!$F$5:$F$1005,$B43,'Detailed Budget'!$AA$5:$AA$1005),"")</f>
        <v/>
      </c>
      <c r="E43" s="44" t="str">
        <f>IF(SUMIF('Detailed Budget'!$F$5:$F$1005,$B43,'Detailed Budget'!$AC$5:$AC$1005)&gt;0,SUMIF('Detailed Budget'!$F$5:$F$1005,$B43,'Detailed Budget'!$AC$5:$AC$1005),"")</f>
        <v/>
      </c>
      <c r="F43" s="44" t="str">
        <f>IF(SUMIF('Detailed Budget'!$F$5:$F$1005,$B43,'Detailed Budget'!$AE$5:$AE$1005)&gt;0,SUMIF('Detailed Budget'!$F$5:$F$1005,$B43,'Detailed Budget'!$AE$5:$AE$1005),"")</f>
        <v/>
      </c>
      <c r="G43" s="44" t="str">
        <f>IF(SUMIF('Detailed Budget'!$F$5:$F$1005,$B43,'Detailed Budget'!$AG$5:$AG$1005)&gt;0,SUMIF('Detailed Budget'!$F$5:$F$1005,$B43,'Detailed Budget'!$AG$5:$AG$1005),"")</f>
        <v/>
      </c>
      <c r="H43" s="45" t="str">
        <f>IF(SUMIF('Detailed Budget'!$F$5:$F$1005,$B43,'Detailed Budget'!$AI$5:$AI$1005)&gt;0,SUMIF('Detailed Budget'!$F$5:$F$1005,$B43,'Detailed Budget'!$AI$5:$AI$1005),"")</f>
        <v/>
      </c>
      <c r="I43" s="44" t="str">
        <f>IF(SUMIF('Detailed Budget'!$F$5:$F$1005,$B43,'Detailed Budget'!$AN$5:$AN$1005)&gt;0,SUMIF('Detailed Budget'!$F$5:$F$1005,$B43,'Detailed Budget'!$AN$5:$AN$1005),"")</f>
        <v/>
      </c>
      <c r="J43" s="44" t="str">
        <f>IF(SUMIF('Detailed Budget'!$F$5:$F$1005,$B43,'Detailed Budget'!$AP$5:$AP$1005)&gt;0,SUMIF('Detailed Budget'!$F$5:$F$1005,$B43,'Detailed Budget'!$AP$5:$AP$1005),"")</f>
        <v/>
      </c>
      <c r="K43" s="44" t="str">
        <f>IF(SUMIF('Detailed Budget'!$F$5:$F$1005,$B43,'Detailed Budget'!$AR$5:$AR$1005)&gt;0,SUMIF('Detailed Budget'!$F$5:$F$1005,$B43,'Detailed Budget'!$AR$5:$AR$1005),"")</f>
        <v/>
      </c>
      <c r="L43" s="44" t="str">
        <f>IF(SUMIF('Detailed Budget'!$F$5:$F$1005,$B43,'Detailed Budget'!$AT$5:$AT$1005)&gt;0,SUMIF('Detailed Budget'!$F$5:$F$1005,$B43,'Detailed Budget'!$AT$5:$AT$1005),"")</f>
        <v/>
      </c>
      <c r="M43" s="45" t="str">
        <f>IF(SUMIF('Detailed Budget'!$F$5:$F$1005,$B43,'Detailed Budget'!$AV$5:$AV$1005)&gt;0,SUMIF('Detailed Budget'!$F$5:$F$1005,$B43,'Detailed Budget'!$AV$5:$AV$1005),"")</f>
        <v/>
      </c>
      <c r="N43" s="44" t="str">
        <f>IF(SUMIF('Detailed Budget'!$F$5:$F$1005,$B43,'Detailed Budget'!$BA$5:$BA$1005)&gt;0,SUMIF('Detailed Budget'!$F$5:$F$1005,$B43,'Detailed Budget'!$BA$5:$BA$1005),"")</f>
        <v/>
      </c>
      <c r="O43" s="44" t="str">
        <f>IF(SUMIF('Detailed Budget'!$F$5:$F$1005,$B43,'Detailed Budget'!$BC$5:$BC$1005)&gt;0,SUMIF('Detailed Budget'!$F$5:$F$1005,$B43,'Detailed Budget'!$BC$5:$BC$1005),"")</f>
        <v/>
      </c>
      <c r="P43" s="44" t="str">
        <f>IF(SUMIF('Detailed Budget'!$F$5:$F$1005,$B43,'Detailed Budget'!$BE$5:$BE$1005)&gt;0,SUMIF('Detailed Budget'!$F$5:$F$1005,$B43,'Detailed Budget'!$BE$5:$BE$1005),"")</f>
        <v/>
      </c>
      <c r="Q43" s="44" t="str">
        <f>IF(SUMIF('Detailed Budget'!$F$5:$F$1005,$B43,'Detailed Budget'!$BG$5:$BG$1005)&gt;0,SUMIF('Detailed Budget'!$F$5:$F$1005,$B43,'Detailed Budget'!$BG$5:$BG$1005),"")</f>
        <v/>
      </c>
      <c r="R43" s="45" t="str">
        <f>IF(SUMIF('Detailed Budget'!$F$5:$F$1005,$B43,'Detailed Budget'!$BI$5:$BI$1005)&gt;0,SUMIF('Detailed Budget'!$F$5:$F$1005,$B43,'Detailed Budget'!$BI$5:$BI$1005),"")</f>
        <v/>
      </c>
      <c r="S43" s="44" t="str">
        <f>IF(SUMIF('Detailed Budget'!$F$5:$F$1005,$B43,'Detailed Budget'!$BN$5:$BN$1005)&gt;0,SUMIF('Detailed Budget'!$F$5:$F$1005,$B43,'Detailed Budget'!$BN$5:$BN$1005),"")</f>
        <v/>
      </c>
      <c r="T43" s="44" t="str">
        <f>IF(SUMIF('Detailed Budget'!$F$5:$F$1005,$B43,'Detailed Budget'!$BP$5:$BP$1005)&gt;0,SUMIF('Detailed Budget'!$F$5:$F$1005,$B43,'Detailed Budget'!$BP$5:$BP$1005),"")</f>
        <v/>
      </c>
      <c r="U43" s="44" t="str">
        <f>IF(SUMIF('Detailed Budget'!$F$5:$F$1005,$B43,'Detailed Budget'!$BR$5:$BR$1005)&gt;0,SUMIF('Detailed Budget'!$F$5:$F$1005,$B43,'Detailed Budget'!$BR$5:$BR$1005),"")</f>
        <v/>
      </c>
      <c r="V43" s="44" t="str">
        <f>IF(SUMIF('Detailed Budget'!$F$5:$F$1005,$B42,'Detailed Budget'!$BT$5:$BT$1005)&gt;0,SUMIF('Detailed Budget'!$F$5:$F$1005,$B42,'Detailed Budget'!$BT$5:$BT$1005),"")</f>
        <v/>
      </c>
      <c r="W43" s="45" t="str">
        <f>IF(SUMIF('Detailed Budget'!$F$5:$F$1005,$B43,'Detailed Budget'!$BV$5:$BV$1005)&gt;0,SUMIF('Detailed Budget'!$F$5:$F$1005,$B43,'Detailed Budget'!$BV$5:$BV$1005),"")</f>
        <v/>
      </c>
      <c r="X43" s="44" t="str">
        <f t="shared" si="0"/>
        <v/>
      </c>
      <c r="Y43" s="124" t="str">
        <f t="shared" si="1"/>
        <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row>
    <row r="44" spans="1:63" s="35" customFormat="1" ht="15" hidden="1" x14ac:dyDescent="0.25">
      <c r="A44" s="42"/>
      <c r="B44" s="81" t="str">
        <f t="array" ref="B44">IFERROR(INDEX(IntIdList,MATCH(0,COUNTIF(IntIdList,"&lt;"&amp;IntIdList)-SUM(COUNTIF(IntIdList,B$16:B43)),0)),"")</f>
        <v/>
      </c>
      <c r="C44" s="43" t="str">
        <f>IFERROR(INDEX('Data Sheet'!$D$29:$D$174,MATCH(B44,'Data Sheet'!$E$29:$E$174,0)) &amp; " - " &amp; INDEX('Data Sheet'!$C$29:$C$174,MATCH(B44,'Data Sheet'!$E$29:$E$174,0)),"")</f>
        <v/>
      </c>
      <c r="D44" s="44" t="str">
        <f>IF(SUMIF('Detailed Budget'!$F$5:$F$1005,$B44,'Detailed Budget'!$AA$5:$AA$1005)&gt;0,SUMIF('Detailed Budget'!$F$5:$F$1005,$B44,'Detailed Budget'!$AA$5:$AA$1005),"")</f>
        <v/>
      </c>
      <c r="E44" s="44" t="str">
        <f>IF(SUMIF('Detailed Budget'!$F$5:$F$1005,$B44,'Detailed Budget'!$AC$5:$AC$1005)&gt;0,SUMIF('Detailed Budget'!$F$5:$F$1005,$B44,'Detailed Budget'!$AC$5:$AC$1005),"")</f>
        <v/>
      </c>
      <c r="F44" s="44" t="str">
        <f>IF(SUMIF('Detailed Budget'!$F$5:$F$1005,$B44,'Detailed Budget'!$AE$5:$AE$1005)&gt;0,SUMIF('Detailed Budget'!$F$5:$F$1005,$B44,'Detailed Budget'!$AE$5:$AE$1005),"")</f>
        <v/>
      </c>
      <c r="G44" s="44" t="str">
        <f>IF(SUMIF('Detailed Budget'!$F$5:$F$1005,$B44,'Detailed Budget'!$AG$5:$AG$1005)&gt;0,SUMIF('Detailed Budget'!$F$5:$F$1005,$B44,'Detailed Budget'!$AG$5:$AG$1005),"")</f>
        <v/>
      </c>
      <c r="H44" s="45" t="str">
        <f>IF(SUMIF('Detailed Budget'!$F$5:$F$1005,$B44,'Detailed Budget'!$AI$5:$AI$1005)&gt;0,SUMIF('Detailed Budget'!$F$5:$F$1005,$B44,'Detailed Budget'!$AI$5:$AI$1005),"")</f>
        <v/>
      </c>
      <c r="I44" s="44" t="str">
        <f>IF(SUMIF('Detailed Budget'!$F$5:$F$1005,$B44,'Detailed Budget'!$AN$5:$AN$1005)&gt;0,SUMIF('Detailed Budget'!$F$5:$F$1005,$B44,'Detailed Budget'!$AN$5:$AN$1005),"")</f>
        <v/>
      </c>
      <c r="J44" s="44" t="str">
        <f>IF(SUMIF('Detailed Budget'!$F$5:$F$1005,$B44,'Detailed Budget'!$AP$5:$AP$1005)&gt;0,SUMIF('Detailed Budget'!$F$5:$F$1005,$B44,'Detailed Budget'!$AP$5:$AP$1005),"")</f>
        <v/>
      </c>
      <c r="K44" s="44" t="str">
        <f>IF(SUMIF('Detailed Budget'!$F$5:$F$1005,$B44,'Detailed Budget'!$AR$5:$AR$1005)&gt;0,SUMIF('Detailed Budget'!$F$5:$F$1005,$B44,'Detailed Budget'!$AR$5:$AR$1005),"")</f>
        <v/>
      </c>
      <c r="L44" s="44" t="str">
        <f>IF(SUMIF('Detailed Budget'!$F$5:$F$1005,$B44,'Detailed Budget'!$AT$5:$AT$1005)&gt;0,SUMIF('Detailed Budget'!$F$5:$F$1005,$B44,'Detailed Budget'!$AT$5:$AT$1005),"")</f>
        <v/>
      </c>
      <c r="M44" s="45" t="str">
        <f>IF(SUMIF('Detailed Budget'!$F$5:$F$1005,$B44,'Detailed Budget'!$AV$5:$AV$1005)&gt;0,SUMIF('Detailed Budget'!$F$5:$F$1005,$B44,'Detailed Budget'!$AV$5:$AV$1005),"")</f>
        <v/>
      </c>
      <c r="N44" s="44" t="str">
        <f>IF(SUMIF('Detailed Budget'!$F$5:$F$1005,$B44,'Detailed Budget'!$BA$5:$BA$1005)&gt;0,SUMIF('Detailed Budget'!$F$5:$F$1005,$B44,'Detailed Budget'!$BA$5:$BA$1005),"")</f>
        <v/>
      </c>
      <c r="O44" s="44" t="str">
        <f>IF(SUMIF('Detailed Budget'!$F$5:$F$1005,$B44,'Detailed Budget'!$BC$5:$BC$1005)&gt;0,SUMIF('Detailed Budget'!$F$5:$F$1005,$B44,'Detailed Budget'!$BC$5:$BC$1005),"")</f>
        <v/>
      </c>
      <c r="P44" s="44" t="str">
        <f>IF(SUMIF('Detailed Budget'!$F$5:$F$1005,$B44,'Detailed Budget'!$BE$5:$BE$1005)&gt;0,SUMIF('Detailed Budget'!$F$5:$F$1005,$B44,'Detailed Budget'!$BE$5:$BE$1005),"")</f>
        <v/>
      </c>
      <c r="Q44" s="44" t="str">
        <f>IF(SUMIF('Detailed Budget'!$F$5:$F$1005,$B44,'Detailed Budget'!$BG$5:$BG$1005)&gt;0,SUMIF('Detailed Budget'!$F$5:$F$1005,$B44,'Detailed Budget'!$BG$5:$BG$1005),"")</f>
        <v/>
      </c>
      <c r="R44" s="45" t="str">
        <f>IF(SUMIF('Detailed Budget'!$F$5:$F$1005,$B44,'Detailed Budget'!$BI$5:$BI$1005)&gt;0,SUMIF('Detailed Budget'!$F$5:$F$1005,$B44,'Detailed Budget'!$BI$5:$BI$1005),"")</f>
        <v/>
      </c>
      <c r="S44" s="44" t="str">
        <f>IF(SUMIF('Detailed Budget'!$F$5:$F$1005,$B44,'Detailed Budget'!$BN$5:$BN$1005)&gt;0,SUMIF('Detailed Budget'!$F$5:$F$1005,$B44,'Detailed Budget'!$BN$5:$BN$1005),"")</f>
        <v/>
      </c>
      <c r="T44" s="44" t="str">
        <f>IF(SUMIF('Detailed Budget'!$F$5:$F$1005,$B44,'Detailed Budget'!$BP$5:$BP$1005)&gt;0,SUMIF('Detailed Budget'!$F$5:$F$1005,$B44,'Detailed Budget'!$BP$5:$BP$1005),"")</f>
        <v/>
      </c>
      <c r="U44" s="44" t="str">
        <f>IF(SUMIF('Detailed Budget'!$F$5:$F$1005,$B44,'Detailed Budget'!$BR$5:$BR$1005)&gt;0,SUMIF('Detailed Budget'!$F$5:$F$1005,$B44,'Detailed Budget'!$BR$5:$BR$1005),"")</f>
        <v/>
      </c>
      <c r="V44" s="44" t="str">
        <f>IF(SUMIF('Detailed Budget'!$F$5:$F$1005,$B43,'Detailed Budget'!$BT$5:$BT$1005)&gt;0,SUMIF('Detailed Budget'!$F$5:$F$1005,$B43,'Detailed Budget'!$BT$5:$BT$1005),"")</f>
        <v/>
      </c>
      <c r="W44" s="45" t="str">
        <f>IF(SUMIF('Detailed Budget'!$F$5:$F$1005,$B44,'Detailed Budget'!$BV$5:$BV$1005)&gt;0,SUMIF('Detailed Budget'!$F$5:$F$1005,$B44,'Detailed Budget'!$BV$5:$BV$1005),"")</f>
        <v/>
      </c>
      <c r="X44" s="44" t="str">
        <f t="shared" si="0"/>
        <v/>
      </c>
      <c r="Y44" s="124" t="str">
        <f t="shared" si="1"/>
        <v/>
      </c>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row>
    <row r="45" spans="1:63" s="35" customFormat="1" ht="15" hidden="1" x14ac:dyDescent="0.25">
      <c r="A45" s="42"/>
      <c r="B45" s="81" t="str">
        <f t="array" ref="B45">IFERROR(INDEX(IntIdList,MATCH(0,COUNTIF(IntIdList,"&lt;"&amp;IntIdList)-SUM(COUNTIF(IntIdList,B$16:B44)),0)),"")</f>
        <v/>
      </c>
      <c r="C45" s="43" t="str">
        <f>IFERROR(INDEX('Data Sheet'!$D$29:$D$174,MATCH(B45,'Data Sheet'!$E$29:$E$174,0)) &amp; " - " &amp; INDEX('Data Sheet'!$C$29:$C$174,MATCH(B45,'Data Sheet'!$E$29:$E$174,0)),"")</f>
        <v/>
      </c>
      <c r="D45" s="44" t="str">
        <f>IF(SUMIF('Detailed Budget'!$F$5:$F$1005,$B45,'Detailed Budget'!$AA$5:$AA$1005)&gt;0,SUMIF('Detailed Budget'!$F$5:$F$1005,$B45,'Detailed Budget'!$AA$5:$AA$1005),"")</f>
        <v/>
      </c>
      <c r="E45" s="44" t="str">
        <f>IF(SUMIF('Detailed Budget'!$F$5:$F$1005,$B45,'Detailed Budget'!$AC$5:$AC$1005)&gt;0,SUMIF('Detailed Budget'!$F$5:$F$1005,$B45,'Detailed Budget'!$AC$5:$AC$1005),"")</f>
        <v/>
      </c>
      <c r="F45" s="44" t="str">
        <f>IF(SUMIF('Detailed Budget'!$F$5:$F$1005,$B45,'Detailed Budget'!$AE$5:$AE$1005)&gt;0,SUMIF('Detailed Budget'!$F$5:$F$1005,$B45,'Detailed Budget'!$AE$5:$AE$1005),"")</f>
        <v/>
      </c>
      <c r="G45" s="44" t="str">
        <f>IF(SUMIF('Detailed Budget'!$F$5:$F$1005,$B45,'Detailed Budget'!$AG$5:$AG$1005)&gt;0,SUMIF('Detailed Budget'!$F$5:$F$1005,$B45,'Detailed Budget'!$AG$5:$AG$1005),"")</f>
        <v/>
      </c>
      <c r="H45" s="45" t="str">
        <f>IF(SUMIF('Detailed Budget'!$F$5:$F$1005,$B45,'Detailed Budget'!$AI$5:$AI$1005)&gt;0,SUMIF('Detailed Budget'!$F$5:$F$1005,$B45,'Detailed Budget'!$AI$5:$AI$1005),"")</f>
        <v/>
      </c>
      <c r="I45" s="44" t="str">
        <f>IF(SUMIF('Detailed Budget'!$F$5:$F$1005,$B45,'Detailed Budget'!$AN$5:$AN$1005)&gt;0,SUMIF('Detailed Budget'!$F$5:$F$1005,$B45,'Detailed Budget'!$AN$5:$AN$1005),"")</f>
        <v/>
      </c>
      <c r="J45" s="44" t="str">
        <f>IF(SUMIF('Detailed Budget'!$F$5:$F$1005,$B45,'Detailed Budget'!$AP$5:$AP$1005)&gt;0,SUMIF('Detailed Budget'!$F$5:$F$1005,$B45,'Detailed Budget'!$AP$5:$AP$1005),"")</f>
        <v/>
      </c>
      <c r="K45" s="44" t="str">
        <f>IF(SUMIF('Detailed Budget'!$F$5:$F$1005,$B45,'Detailed Budget'!$AR$5:$AR$1005)&gt;0,SUMIF('Detailed Budget'!$F$5:$F$1005,$B45,'Detailed Budget'!$AR$5:$AR$1005),"")</f>
        <v/>
      </c>
      <c r="L45" s="44" t="str">
        <f>IF(SUMIF('Detailed Budget'!$F$5:$F$1005,$B45,'Detailed Budget'!$AT$5:$AT$1005)&gt;0,SUMIF('Detailed Budget'!$F$5:$F$1005,$B45,'Detailed Budget'!$AT$5:$AT$1005),"")</f>
        <v/>
      </c>
      <c r="M45" s="45" t="str">
        <f>IF(SUMIF('Detailed Budget'!$F$5:$F$1005,$B45,'Detailed Budget'!$AV$5:$AV$1005)&gt;0,SUMIF('Detailed Budget'!$F$5:$F$1005,$B45,'Detailed Budget'!$AV$5:$AV$1005),"")</f>
        <v/>
      </c>
      <c r="N45" s="44" t="str">
        <f>IF(SUMIF('Detailed Budget'!$F$5:$F$1005,$B45,'Detailed Budget'!$BA$5:$BA$1005)&gt;0,SUMIF('Detailed Budget'!$F$5:$F$1005,$B45,'Detailed Budget'!$BA$5:$BA$1005),"")</f>
        <v/>
      </c>
      <c r="O45" s="44" t="str">
        <f>IF(SUMIF('Detailed Budget'!$F$5:$F$1005,$B45,'Detailed Budget'!$BC$5:$BC$1005)&gt;0,SUMIF('Detailed Budget'!$F$5:$F$1005,$B45,'Detailed Budget'!$BC$5:$BC$1005),"")</f>
        <v/>
      </c>
      <c r="P45" s="44" t="str">
        <f>IF(SUMIF('Detailed Budget'!$F$5:$F$1005,$B45,'Detailed Budget'!$BE$5:$BE$1005)&gt;0,SUMIF('Detailed Budget'!$F$5:$F$1005,$B45,'Detailed Budget'!$BE$5:$BE$1005),"")</f>
        <v/>
      </c>
      <c r="Q45" s="44" t="str">
        <f>IF(SUMIF('Detailed Budget'!$F$5:$F$1005,$B45,'Detailed Budget'!$BG$5:$BG$1005)&gt;0,SUMIF('Detailed Budget'!$F$5:$F$1005,$B45,'Detailed Budget'!$BG$5:$BG$1005),"")</f>
        <v/>
      </c>
      <c r="R45" s="45" t="str">
        <f>IF(SUMIF('Detailed Budget'!$F$5:$F$1005,$B45,'Detailed Budget'!$BI$5:$BI$1005)&gt;0,SUMIF('Detailed Budget'!$F$5:$F$1005,$B45,'Detailed Budget'!$BI$5:$BI$1005),"")</f>
        <v/>
      </c>
      <c r="S45" s="44" t="str">
        <f>IF(SUMIF('Detailed Budget'!$F$5:$F$1005,$B45,'Detailed Budget'!$BN$5:$BN$1005)&gt;0,SUMIF('Detailed Budget'!$F$5:$F$1005,$B45,'Detailed Budget'!$BN$5:$BN$1005),"")</f>
        <v/>
      </c>
      <c r="T45" s="44" t="str">
        <f>IF(SUMIF('Detailed Budget'!$F$5:$F$1005,$B45,'Detailed Budget'!$BP$5:$BP$1005)&gt;0,SUMIF('Detailed Budget'!$F$5:$F$1005,$B45,'Detailed Budget'!$BP$5:$BP$1005),"")</f>
        <v/>
      </c>
      <c r="U45" s="44" t="str">
        <f>IF(SUMIF('Detailed Budget'!$F$5:$F$1005,$B45,'Detailed Budget'!$BR$5:$BR$1005)&gt;0,SUMIF('Detailed Budget'!$F$5:$F$1005,$B45,'Detailed Budget'!$BR$5:$BR$1005),"")</f>
        <v/>
      </c>
      <c r="V45" s="44" t="str">
        <f>IF(SUMIF('Detailed Budget'!$F$5:$F$1005,$B44,'Detailed Budget'!$BT$5:$BT$1005)&gt;0,SUMIF('Detailed Budget'!$F$5:$F$1005,$B44,'Detailed Budget'!$BT$5:$BT$1005),"")</f>
        <v/>
      </c>
      <c r="W45" s="45" t="str">
        <f>IF(SUMIF('Detailed Budget'!$F$5:$F$1005,$B45,'Detailed Budget'!$BV$5:$BV$1005)&gt;0,SUMIF('Detailed Budget'!$F$5:$F$1005,$B45,'Detailed Budget'!$BV$5:$BV$1005),"")</f>
        <v/>
      </c>
      <c r="X45" s="44" t="str">
        <f t="shared" si="0"/>
        <v/>
      </c>
      <c r="Y45" s="124" t="str">
        <f t="shared" si="1"/>
        <v/>
      </c>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row>
    <row r="46" spans="1:63" s="35" customFormat="1" ht="15" hidden="1" x14ac:dyDescent="0.25">
      <c r="A46" s="42"/>
      <c r="B46" s="81" t="str">
        <f t="array" ref="B46">IFERROR(INDEX(IntIdList,MATCH(0,COUNTIF(IntIdList,"&lt;"&amp;IntIdList)-SUM(COUNTIF(IntIdList,B$16:B45)),0)),"")</f>
        <v/>
      </c>
      <c r="C46" s="43" t="str">
        <f>IFERROR(INDEX('Data Sheet'!$D$29:$D$174,MATCH(B46,'Data Sheet'!$E$29:$E$174,0)) &amp; " - " &amp; INDEX('Data Sheet'!$C$29:$C$174,MATCH(B46,'Data Sheet'!$E$29:$E$174,0)),"")</f>
        <v/>
      </c>
      <c r="D46" s="44" t="str">
        <f>IF(SUMIF('Detailed Budget'!$F$5:$F$1005,$B46,'Detailed Budget'!$AA$5:$AA$1005)&gt;0,SUMIF('Detailed Budget'!$F$5:$F$1005,$B46,'Detailed Budget'!$AA$5:$AA$1005),"")</f>
        <v/>
      </c>
      <c r="E46" s="44" t="str">
        <f>IF(SUMIF('Detailed Budget'!$F$5:$F$1005,$B46,'Detailed Budget'!$AC$5:$AC$1005)&gt;0,SUMIF('Detailed Budget'!$F$5:$F$1005,$B46,'Detailed Budget'!$AC$5:$AC$1005),"")</f>
        <v/>
      </c>
      <c r="F46" s="44" t="str">
        <f>IF(SUMIF('Detailed Budget'!$F$5:$F$1005,$B46,'Detailed Budget'!$AE$5:$AE$1005)&gt;0,SUMIF('Detailed Budget'!$F$5:$F$1005,$B46,'Detailed Budget'!$AE$5:$AE$1005),"")</f>
        <v/>
      </c>
      <c r="G46" s="44" t="str">
        <f>IF(SUMIF('Detailed Budget'!$F$5:$F$1005,$B46,'Detailed Budget'!$AG$5:$AG$1005)&gt;0,SUMIF('Detailed Budget'!$F$5:$F$1005,$B46,'Detailed Budget'!$AG$5:$AG$1005),"")</f>
        <v/>
      </c>
      <c r="H46" s="45" t="str">
        <f>IF(SUMIF('Detailed Budget'!$F$5:$F$1005,$B46,'Detailed Budget'!$AI$5:$AI$1005)&gt;0,SUMIF('Detailed Budget'!$F$5:$F$1005,$B46,'Detailed Budget'!$AI$5:$AI$1005),"")</f>
        <v/>
      </c>
      <c r="I46" s="44" t="str">
        <f>IF(SUMIF('Detailed Budget'!$F$5:$F$1005,$B46,'Detailed Budget'!$AN$5:$AN$1005)&gt;0,SUMIF('Detailed Budget'!$F$5:$F$1005,$B46,'Detailed Budget'!$AN$5:$AN$1005),"")</f>
        <v/>
      </c>
      <c r="J46" s="44" t="str">
        <f>IF(SUMIF('Detailed Budget'!$F$5:$F$1005,$B46,'Detailed Budget'!$AP$5:$AP$1005)&gt;0,SUMIF('Detailed Budget'!$F$5:$F$1005,$B46,'Detailed Budget'!$AP$5:$AP$1005),"")</f>
        <v/>
      </c>
      <c r="K46" s="44" t="str">
        <f>IF(SUMIF('Detailed Budget'!$F$5:$F$1005,$B46,'Detailed Budget'!$AR$5:$AR$1005)&gt;0,SUMIF('Detailed Budget'!$F$5:$F$1005,$B46,'Detailed Budget'!$AR$5:$AR$1005),"")</f>
        <v/>
      </c>
      <c r="L46" s="44" t="str">
        <f>IF(SUMIF('Detailed Budget'!$F$5:$F$1005,$B46,'Detailed Budget'!$AT$5:$AT$1005)&gt;0,SUMIF('Detailed Budget'!$F$5:$F$1005,$B46,'Detailed Budget'!$AT$5:$AT$1005),"")</f>
        <v/>
      </c>
      <c r="M46" s="45" t="str">
        <f>IF(SUMIF('Detailed Budget'!$F$5:$F$1005,$B46,'Detailed Budget'!$AV$5:$AV$1005)&gt;0,SUMIF('Detailed Budget'!$F$5:$F$1005,$B46,'Detailed Budget'!$AV$5:$AV$1005),"")</f>
        <v/>
      </c>
      <c r="N46" s="44" t="str">
        <f>IF(SUMIF('Detailed Budget'!$F$5:$F$1005,$B46,'Detailed Budget'!$BA$5:$BA$1005)&gt;0,SUMIF('Detailed Budget'!$F$5:$F$1005,$B46,'Detailed Budget'!$BA$5:$BA$1005),"")</f>
        <v/>
      </c>
      <c r="O46" s="44" t="str">
        <f>IF(SUMIF('Detailed Budget'!$F$5:$F$1005,$B46,'Detailed Budget'!$BC$5:$BC$1005)&gt;0,SUMIF('Detailed Budget'!$F$5:$F$1005,$B46,'Detailed Budget'!$BC$5:$BC$1005),"")</f>
        <v/>
      </c>
      <c r="P46" s="44" t="str">
        <f>IF(SUMIF('Detailed Budget'!$F$5:$F$1005,$B46,'Detailed Budget'!$BE$5:$BE$1005)&gt;0,SUMIF('Detailed Budget'!$F$5:$F$1005,$B46,'Detailed Budget'!$BE$5:$BE$1005),"")</f>
        <v/>
      </c>
      <c r="Q46" s="44" t="str">
        <f>IF(SUMIF('Detailed Budget'!$F$5:$F$1005,$B46,'Detailed Budget'!$BG$5:$BG$1005)&gt;0,SUMIF('Detailed Budget'!$F$5:$F$1005,$B46,'Detailed Budget'!$BG$5:$BG$1005),"")</f>
        <v/>
      </c>
      <c r="R46" s="45" t="str">
        <f>IF(SUMIF('Detailed Budget'!$F$5:$F$1005,$B46,'Detailed Budget'!$BI$5:$BI$1005)&gt;0,SUMIF('Detailed Budget'!$F$5:$F$1005,$B46,'Detailed Budget'!$BI$5:$BI$1005),"")</f>
        <v/>
      </c>
      <c r="S46" s="44" t="str">
        <f>IF(SUMIF('Detailed Budget'!$F$5:$F$1005,$B46,'Detailed Budget'!$BN$5:$BN$1005)&gt;0,SUMIF('Detailed Budget'!$F$5:$F$1005,$B46,'Detailed Budget'!$BN$5:$BN$1005),"")</f>
        <v/>
      </c>
      <c r="T46" s="44" t="str">
        <f>IF(SUMIF('Detailed Budget'!$F$5:$F$1005,$B46,'Detailed Budget'!$BP$5:$BP$1005)&gt;0,SUMIF('Detailed Budget'!$F$5:$F$1005,$B46,'Detailed Budget'!$BP$5:$BP$1005),"")</f>
        <v/>
      </c>
      <c r="U46" s="44" t="str">
        <f>IF(SUMIF('Detailed Budget'!$F$5:$F$1005,$B46,'Detailed Budget'!$BR$5:$BR$1005)&gt;0,SUMIF('Detailed Budget'!$F$5:$F$1005,$B46,'Detailed Budget'!$BR$5:$BR$1005),"")</f>
        <v/>
      </c>
      <c r="V46" s="44" t="str">
        <f>IF(SUMIF('Detailed Budget'!$F$5:$F$1005,$B45,'Detailed Budget'!$BT$5:$BT$1005)&gt;0,SUMIF('Detailed Budget'!$F$5:$F$1005,$B45,'Detailed Budget'!$BT$5:$BT$1005),"")</f>
        <v/>
      </c>
      <c r="W46" s="45" t="str">
        <f>IF(SUMIF('Detailed Budget'!$F$5:$F$1005,$B46,'Detailed Budget'!$BV$5:$BV$1005)&gt;0,SUMIF('Detailed Budget'!$F$5:$F$1005,$B46,'Detailed Budget'!$BV$5:$BV$1005),"")</f>
        <v/>
      </c>
      <c r="X46" s="44" t="str">
        <f t="shared" si="0"/>
        <v/>
      </c>
      <c r="Y46" s="124" t="str">
        <f t="shared" si="1"/>
        <v/>
      </c>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row>
    <row r="47" spans="1:63" s="35" customFormat="1" ht="15" hidden="1" x14ac:dyDescent="0.25">
      <c r="A47" s="42"/>
      <c r="B47" s="81" t="str">
        <f t="array" ref="B47">IFERROR(INDEX(IntIdList,MATCH(0,COUNTIF(IntIdList,"&lt;"&amp;IntIdList)-SUM(COUNTIF(IntIdList,B$16:B46)),0)),"")</f>
        <v/>
      </c>
      <c r="C47" s="43" t="str">
        <f>IFERROR(INDEX('Data Sheet'!$D$29:$D$174,MATCH(B47,'Data Sheet'!$E$29:$E$174,0)) &amp; " - " &amp; INDEX('Data Sheet'!$C$29:$C$174,MATCH(B47,'Data Sheet'!$E$29:$E$174,0)),"")</f>
        <v/>
      </c>
      <c r="D47" s="44" t="str">
        <f>IF(SUMIF('Detailed Budget'!$F$5:$F$1005,$B47,'Detailed Budget'!$AA$5:$AA$1005)&gt;0,SUMIF('Detailed Budget'!$F$5:$F$1005,$B47,'Detailed Budget'!$AA$5:$AA$1005),"")</f>
        <v/>
      </c>
      <c r="E47" s="44" t="str">
        <f>IF(SUMIF('Detailed Budget'!$F$5:$F$1005,$B47,'Detailed Budget'!$AC$5:$AC$1005)&gt;0,SUMIF('Detailed Budget'!$F$5:$F$1005,$B47,'Detailed Budget'!$AC$5:$AC$1005),"")</f>
        <v/>
      </c>
      <c r="F47" s="44" t="str">
        <f>IF(SUMIF('Detailed Budget'!$F$5:$F$1005,$B47,'Detailed Budget'!$AE$5:$AE$1005)&gt;0,SUMIF('Detailed Budget'!$F$5:$F$1005,$B47,'Detailed Budget'!$AE$5:$AE$1005),"")</f>
        <v/>
      </c>
      <c r="G47" s="44" t="str">
        <f>IF(SUMIF('Detailed Budget'!$F$5:$F$1005,$B47,'Detailed Budget'!$AG$5:$AG$1005)&gt;0,SUMIF('Detailed Budget'!$F$5:$F$1005,$B47,'Detailed Budget'!$AG$5:$AG$1005),"")</f>
        <v/>
      </c>
      <c r="H47" s="45" t="str">
        <f>IF(SUMIF('Detailed Budget'!$F$5:$F$1005,$B47,'Detailed Budget'!$AI$5:$AI$1005)&gt;0,SUMIF('Detailed Budget'!$F$5:$F$1005,$B47,'Detailed Budget'!$AI$5:$AI$1005),"")</f>
        <v/>
      </c>
      <c r="I47" s="44" t="str">
        <f>IF(SUMIF('Detailed Budget'!$F$5:$F$1005,$B47,'Detailed Budget'!$AN$5:$AN$1005)&gt;0,SUMIF('Detailed Budget'!$F$5:$F$1005,$B47,'Detailed Budget'!$AN$5:$AN$1005),"")</f>
        <v/>
      </c>
      <c r="J47" s="44" t="str">
        <f>IF(SUMIF('Detailed Budget'!$F$5:$F$1005,$B47,'Detailed Budget'!$AP$5:$AP$1005)&gt;0,SUMIF('Detailed Budget'!$F$5:$F$1005,$B47,'Detailed Budget'!$AP$5:$AP$1005),"")</f>
        <v/>
      </c>
      <c r="K47" s="44" t="str">
        <f>IF(SUMIF('Detailed Budget'!$F$5:$F$1005,$B47,'Detailed Budget'!$AR$5:$AR$1005)&gt;0,SUMIF('Detailed Budget'!$F$5:$F$1005,$B47,'Detailed Budget'!$AR$5:$AR$1005),"")</f>
        <v/>
      </c>
      <c r="L47" s="44" t="str">
        <f>IF(SUMIF('Detailed Budget'!$F$5:$F$1005,$B47,'Detailed Budget'!$AT$5:$AT$1005)&gt;0,SUMIF('Detailed Budget'!$F$5:$F$1005,$B47,'Detailed Budget'!$AT$5:$AT$1005),"")</f>
        <v/>
      </c>
      <c r="M47" s="45" t="str">
        <f>IF(SUMIF('Detailed Budget'!$F$5:$F$1005,$B47,'Detailed Budget'!$AV$5:$AV$1005)&gt;0,SUMIF('Detailed Budget'!$F$5:$F$1005,$B47,'Detailed Budget'!$AV$5:$AV$1005),"")</f>
        <v/>
      </c>
      <c r="N47" s="44" t="str">
        <f>IF(SUMIF('Detailed Budget'!$F$5:$F$1005,$B47,'Detailed Budget'!$BA$5:$BA$1005)&gt;0,SUMIF('Detailed Budget'!$F$5:$F$1005,$B47,'Detailed Budget'!$BA$5:$BA$1005),"")</f>
        <v/>
      </c>
      <c r="O47" s="44" t="str">
        <f>IF(SUMIF('Detailed Budget'!$F$5:$F$1005,$B47,'Detailed Budget'!$BC$5:$BC$1005)&gt;0,SUMIF('Detailed Budget'!$F$5:$F$1005,$B47,'Detailed Budget'!$BC$5:$BC$1005),"")</f>
        <v/>
      </c>
      <c r="P47" s="44" t="str">
        <f>IF(SUMIF('Detailed Budget'!$F$5:$F$1005,$B47,'Detailed Budget'!$BE$5:$BE$1005)&gt;0,SUMIF('Detailed Budget'!$F$5:$F$1005,$B47,'Detailed Budget'!$BE$5:$BE$1005),"")</f>
        <v/>
      </c>
      <c r="Q47" s="44" t="str">
        <f>IF(SUMIF('Detailed Budget'!$F$5:$F$1005,$B47,'Detailed Budget'!$BG$5:$BG$1005)&gt;0,SUMIF('Detailed Budget'!$F$5:$F$1005,$B47,'Detailed Budget'!$BG$5:$BG$1005),"")</f>
        <v/>
      </c>
      <c r="R47" s="45" t="str">
        <f>IF(SUMIF('Detailed Budget'!$F$5:$F$1005,$B47,'Detailed Budget'!$BI$5:$BI$1005)&gt;0,SUMIF('Detailed Budget'!$F$5:$F$1005,$B47,'Detailed Budget'!$BI$5:$BI$1005),"")</f>
        <v/>
      </c>
      <c r="S47" s="44" t="str">
        <f>IF(SUMIF('Detailed Budget'!$F$5:$F$1005,$B47,'Detailed Budget'!$BN$5:$BN$1005)&gt;0,SUMIF('Detailed Budget'!$F$5:$F$1005,$B47,'Detailed Budget'!$BN$5:$BN$1005),"")</f>
        <v/>
      </c>
      <c r="T47" s="44" t="str">
        <f>IF(SUMIF('Detailed Budget'!$F$5:$F$1005,$B47,'Detailed Budget'!$BP$5:$BP$1005)&gt;0,SUMIF('Detailed Budget'!$F$5:$F$1005,$B47,'Detailed Budget'!$BP$5:$BP$1005),"")</f>
        <v/>
      </c>
      <c r="U47" s="44" t="str">
        <f>IF(SUMIF('Detailed Budget'!$F$5:$F$1005,$B47,'Detailed Budget'!$BR$5:$BR$1005)&gt;0,SUMIF('Detailed Budget'!$F$5:$F$1005,$B47,'Detailed Budget'!$BR$5:$BR$1005),"")</f>
        <v/>
      </c>
      <c r="V47" s="44" t="str">
        <f>IF(SUMIF('Detailed Budget'!$F$5:$F$1005,$B46,'Detailed Budget'!$BT$5:$BT$1005)&gt;0,SUMIF('Detailed Budget'!$F$5:$F$1005,$B46,'Detailed Budget'!$BT$5:$BT$1005),"")</f>
        <v/>
      </c>
      <c r="W47" s="45" t="str">
        <f>IF(SUMIF('Detailed Budget'!$F$5:$F$1005,$B47,'Detailed Budget'!$BV$5:$BV$1005)&gt;0,SUMIF('Detailed Budget'!$F$5:$F$1005,$B47,'Detailed Budget'!$BV$5:$BV$1005),"")</f>
        <v/>
      </c>
      <c r="X47" s="44" t="str">
        <f t="shared" si="0"/>
        <v/>
      </c>
      <c r="Y47" s="124" t="str">
        <f t="shared" si="1"/>
        <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row>
    <row r="48" spans="1:63" s="35" customFormat="1" ht="15" hidden="1" x14ac:dyDescent="0.25">
      <c r="A48" s="42"/>
      <c r="B48" s="81" t="str">
        <f t="array" ref="B48">IFERROR(INDEX(IntIdList,MATCH(0,COUNTIF(IntIdList,"&lt;"&amp;IntIdList)-SUM(COUNTIF(IntIdList,B$16:B47)),0)),"")</f>
        <v/>
      </c>
      <c r="C48" s="43" t="str">
        <f>IFERROR(INDEX('Data Sheet'!$D$29:$D$174,MATCH(B48,'Data Sheet'!$E$29:$E$174,0)) &amp; " - " &amp; INDEX('Data Sheet'!$C$29:$C$174,MATCH(B48,'Data Sheet'!$E$29:$E$174,0)),"")</f>
        <v/>
      </c>
      <c r="D48" s="44" t="str">
        <f>IF(SUMIF('Detailed Budget'!$F$5:$F$1005,$B48,'Detailed Budget'!$AA$5:$AA$1005)&gt;0,SUMIF('Detailed Budget'!$F$5:$F$1005,$B48,'Detailed Budget'!$AA$5:$AA$1005),"")</f>
        <v/>
      </c>
      <c r="E48" s="44" t="str">
        <f>IF(SUMIF('Detailed Budget'!$F$5:$F$1005,$B48,'Detailed Budget'!$AC$5:$AC$1005)&gt;0,SUMIF('Detailed Budget'!$F$5:$F$1005,$B48,'Detailed Budget'!$AC$5:$AC$1005),"")</f>
        <v/>
      </c>
      <c r="F48" s="44" t="str">
        <f>IF(SUMIF('Detailed Budget'!$F$5:$F$1005,$B48,'Detailed Budget'!$AE$5:$AE$1005)&gt;0,SUMIF('Detailed Budget'!$F$5:$F$1005,$B48,'Detailed Budget'!$AE$5:$AE$1005),"")</f>
        <v/>
      </c>
      <c r="G48" s="44" t="str">
        <f>IF(SUMIF('Detailed Budget'!$F$5:$F$1005,$B48,'Detailed Budget'!$AG$5:$AG$1005)&gt;0,SUMIF('Detailed Budget'!$F$5:$F$1005,$B48,'Detailed Budget'!$AG$5:$AG$1005),"")</f>
        <v/>
      </c>
      <c r="H48" s="45" t="str">
        <f>IF(SUMIF('Detailed Budget'!$F$5:$F$1005,$B48,'Detailed Budget'!$AI$5:$AI$1005)&gt;0,SUMIF('Detailed Budget'!$F$5:$F$1005,$B48,'Detailed Budget'!$AI$5:$AI$1005),"")</f>
        <v/>
      </c>
      <c r="I48" s="44" t="str">
        <f>IF(SUMIF('Detailed Budget'!$F$5:$F$1005,$B48,'Detailed Budget'!$AN$5:$AN$1005)&gt;0,SUMIF('Detailed Budget'!$F$5:$F$1005,$B48,'Detailed Budget'!$AN$5:$AN$1005),"")</f>
        <v/>
      </c>
      <c r="J48" s="44" t="str">
        <f>IF(SUMIF('Detailed Budget'!$F$5:$F$1005,$B48,'Detailed Budget'!$AP$5:$AP$1005)&gt;0,SUMIF('Detailed Budget'!$F$5:$F$1005,$B48,'Detailed Budget'!$AP$5:$AP$1005),"")</f>
        <v/>
      </c>
      <c r="K48" s="44" t="str">
        <f>IF(SUMIF('Detailed Budget'!$F$5:$F$1005,$B48,'Detailed Budget'!$AR$5:$AR$1005)&gt;0,SUMIF('Detailed Budget'!$F$5:$F$1005,$B48,'Detailed Budget'!$AR$5:$AR$1005),"")</f>
        <v/>
      </c>
      <c r="L48" s="44" t="str">
        <f>IF(SUMIF('Detailed Budget'!$F$5:$F$1005,$B48,'Detailed Budget'!$AT$5:$AT$1005)&gt;0,SUMIF('Detailed Budget'!$F$5:$F$1005,$B48,'Detailed Budget'!$AT$5:$AT$1005),"")</f>
        <v/>
      </c>
      <c r="M48" s="45" t="str">
        <f>IF(SUMIF('Detailed Budget'!$F$5:$F$1005,$B48,'Detailed Budget'!$AV$5:$AV$1005)&gt;0,SUMIF('Detailed Budget'!$F$5:$F$1005,$B48,'Detailed Budget'!$AV$5:$AV$1005),"")</f>
        <v/>
      </c>
      <c r="N48" s="44" t="str">
        <f>IF(SUMIF('Detailed Budget'!$F$5:$F$1005,$B48,'Detailed Budget'!$BA$5:$BA$1005)&gt;0,SUMIF('Detailed Budget'!$F$5:$F$1005,$B48,'Detailed Budget'!$BA$5:$BA$1005),"")</f>
        <v/>
      </c>
      <c r="O48" s="44" t="str">
        <f>IF(SUMIF('Detailed Budget'!$F$5:$F$1005,$B48,'Detailed Budget'!$BC$5:$BC$1005)&gt;0,SUMIF('Detailed Budget'!$F$5:$F$1005,$B48,'Detailed Budget'!$BC$5:$BC$1005),"")</f>
        <v/>
      </c>
      <c r="P48" s="44" t="str">
        <f>IF(SUMIF('Detailed Budget'!$F$5:$F$1005,$B48,'Detailed Budget'!$BE$5:$BE$1005)&gt;0,SUMIF('Detailed Budget'!$F$5:$F$1005,$B48,'Detailed Budget'!$BE$5:$BE$1005),"")</f>
        <v/>
      </c>
      <c r="Q48" s="44" t="str">
        <f>IF(SUMIF('Detailed Budget'!$F$5:$F$1005,$B48,'Detailed Budget'!$BG$5:$BG$1005)&gt;0,SUMIF('Detailed Budget'!$F$5:$F$1005,$B48,'Detailed Budget'!$BG$5:$BG$1005),"")</f>
        <v/>
      </c>
      <c r="R48" s="45" t="str">
        <f>IF(SUMIF('Detailed Budget'!$F$5:$F$1005,$B48,'Detailed Budget'!$BI$5:$BI$1005)&gt;0,SUMIF('Detailed Budget'!$F$5:$F$1005,$B48,'Detailed Budget'!$BI$5:$BI$1005),"")</f>
        <v/>
      </c>
      <c r="S48" s="44" t="str">
        <f>IF(SUMIF('Detailed Budget'!$F$5:$F$1005,$B48,'Detailed Budget'!$BN$5:$BN$1005)&gt;0,SUMIF('Detailed Budget'!$F$5:$F$1005,$B48,'Detailed Budget'!$BN$5:$BN$1005),"")</f>
        <v/>
      </c>
      <c r="T48" s="44" t="str">
        <f>IF(SUMIF('Detailed Budget'!$F$5:$F$1005,$B48,'Detailed Budget'!$BP$5:$BP$1005)&gt;0,SUMIF('Detailed Budget'!$F$5:$F$1005,$B48,'Detailed Budget'!$BP$5:$BP$1005),"")</f>
        <v/>
      </c>
      <c r="U48" s="44" t="str">
        <f>IF(SUMIF('Detailed Budget'!$F$5:$F$1005,$B48,'Detailed Budget'!$BR$5:$BR$1005)&gt;0,SUMIF('Detailed Budget'!$F$5:$F$1005,$B48,'Detailed Budget'!$BR$5:$BR$1005),"")</f>
        <v/>
      </c>
      <c r="V48" s="44" t="str">
        <f>IF(SUMIF('Detailed Budget'!$F$5:$F$1005,$B47,'Detailed Budget'!$BT$5:$BT$1005)&gt;0,SUMIF('Detailed Budget'!$F$5:$F$1005,$B47,'Detailed Budget'!$BT$5:$BT$1005),"")</f>
        <v/>
      </c>
      <c r="W48" s="45" t="str">
        <f>IF(SUMIF('Detailed Budget'!$F$5:$F$1005,$B48,'Detailed Budget'!$BV$5:$BV$1005)&gt;0,SUMIF('Detailed Budget'!$F$5:$F$1005,$B48,'Detailed Budget'!$BV$5:$BV$1005),"")</f>
        <v/>
      </c>
      <c r="X48" s="44" t="str">
        <f t="shared" si="0"/>
        <v/>
      </c>
      <c r="Y48" s="124" t="str">
        <f t="shared" si="1"/>
        <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row>
    <row r="49" spans="1:63" s="35" customFormat="1" ht="15" hidden="1" x14ac:dyDescent="0.25">
      <c r="A49" s="42"/>
      <c r="B49" s="81" t="str">
        <f t="array" ref="B49">IFERROR(INDEX(IntIdList,MATCH(0,COUNTIF(IntIdList,"&lt;"&amp;IntIdList)-SUM(COUNTIF(IntIdList,B$16:B48)),0)),"")</f>
        <v/>
      </c>
      <c r="C49" s="43" t="str">
        <f>IFERROR(INDEX('Data Sheet'!$D$29:$D$174,MATCH(B49,'Data Sheet'!$E$29:$E$174,0)) &amp; " - " &amp; INDEX('Data Sheet'!$C$29:$C$174,MATCH(B49,'Data Sheet'!$E$29:$E$174,0)),"")</f>
        <v/>
      </c>
      <c r="D49" s="44" t="str">
        <f>IF(SUMIF('Detailed Budget'!$F$5:$F$1005,$B49,'Detailed Budget'!$AA$5:$AA$1005)&gt;0,SUMIF('Detailed Budget'!$F$5:$F$1005,$B49,'Detailed Budget'!$AA$5:$AA$1005),"")</f>
        <v/>
      </c>
      <c r="E49" s="44" t="str">
        <f>IF(SUMIF('Detailed Budget'!$F$5:$F$1005,$B49,'Detailed Budget'!$AC$5:$AC$1005)&gt;0,SUMIF('Detailed Budget'!$F$5:$F$1005,$B49,'Detailed Budget'!$AC$5:$AC$1005),"")</f>
        <v/>
      </c>
      <c r="F49" s="44" t="str">
        <f>IF(SUMIF('Detailed Budget'!$F$5:$F$1005,$B49,'Detailed Budget'!$AE$5:$AE$1005)&gt;0,SUMIF('Detailed Budget'!$F$5:$F$1005,$B49,'Detailed Budget'!$AE$5:$AE$1005),"")</f>
        <v/>
      </c>
      <c r="G49" s="44" t="str">
        <f>IF(SUMIF('Detailed Budget'!$F$5:$F$1005,$B49,'Detailed Budget'!$AG$5:$AG$1005)&gt;0,SUMIF('Detailed Budget'!$F$5:$F$1005,$B49,'Detailed Budget'!$AG$5:$AG$1005),"")</f>
        <v/>
      </c>
      <c r="H49" s="45" t="str">
        <f>IF(SUMIF('Detailed Budget'!$F$5:$F$1005,$B49,'Detailed Budget'!$AI$5:$AI$1005)&gt;0,SUMIF('Detailed Budget'!$F$5:$F$1005,$B49,'Detailed Budget'!$AI$5:$AI$1005),"")</f>
        <v/>
      </c>
      <c r="I49" s="44" t="str">
        <f>IF(SUMIF('Detailed Budget'!$F$5:$F$1005,$B49,'Detailed Budget'!$AN$5:$AN$1005)&gt;0,SUMIF('Detailed Budget'!$F$5:$F$1005,$B49,'Detailed Budget'!$AN$5:$AN$1005),"")</f>
        <v/>
      </c>
      <c r="J49" s="44" t="str">
        <f>IF(SUMIF('Detailed Budget'!$F$5:$F$1005,$B49,'Detailed Budget'!$AP$5:$AP$1005)&gt;0,SUMIF('Detailed Budget'!$F$5:$F$1005,$B49,'Detailed Budget'!$AP$5:$AP$1005),"")</f>
        <v/>
      </c>
      <c r="K49" s="44" t="str">
        <f>IF(SUMIF('Detailed Budget'!$F$5:$F$1005,$B49,'Detailed Budget'!$AR$5:$AR$1005)&gt;0,SUMIF('Detailed Budget'!$F$5:$F$1005,$B49,'Detailed Budget'!$AR$5:$AR$1005),"")</f>
        <v/>
      </c>
      <c r="L49" s="44" t="str">
        <f>IF(SUMIF('Detailed Budget'!$F$5:$F$1005,$B49,'Detailed Budget'!$AT$5:$AT$1005)&gt;0,SUMIF('Detailed Budget'!$F$5:$F$1005,$B49,'Detailed Budget'!$AT$5:$AT$1005),"")</f>
        <v/>
      </c>
      <c r="M49" s="45" t="str">
        <f>IF(SUMIF('Detailed Budget'!$F$5:$F$1005,$B49,'Detailed Budget'!$AV$5:$AV$1005)&gt;0,SUMIF('Detailed Budget'!$F$5:$F$1005,$B49,'Detailed Budget'!$AV$5:$AV$1005),"")</f>
        <v/>
      </c>
      <c r="N49" s="44" t="str">
        <f>IF(SUMIF('Detailed Budget'!$F$5:$F$1005,$B49,'Detailed Budget'!$BA$5:$BA$1005)&gt;0,SUMIF('Detailed Budget'!$F$5:$F$1005,$B49,'Detailed Budget'!$BA$5:$BA$1005),"")</f>
        <v/>
      </c>
      <c r="O49" s="44" t="str">
        <f>IF(SUMIF('Detailed Budget'!$F$5:$F$1005,$B49,'Detailed Budget'!$BC$5:$BC$1005)&gt;0,SUMIF('Detailed Budget'!$F$5:$F$1005,$B49,'Detailed Budget'!$BC$5:$BC$1005),"")</f>
        <v/>
      </c>
      <c r="P49" s="44" t="str">
        <f>IF(SUMIF('Detailed Budget'!$F$5:$F$1005,$B49,'Detailed Budget'!$BE$5:$BE$1005)&gt;0,SUMIF('Detailed Budget'!$F$5:$F$1005,$B49,'Detailed Budget'!$BE$5:$BE$1005),"")</f>
        <v/>
      </c>
      <c r="Q49" s="44" t="str">
        <f>IF(SUMIF('Detailed Budget'!$F$5:$F$1005,$B49,'Detailed Budget'!$BG$5:$BG$1005)&gt;0,SUMIF('Detailed Budget'!$F$5:$F$1005,$B49,'Detailed Budget'!$BG$5:$BG$1005),"")</f>
        <v/>
      </c>
      <c r="R49" s="45" t="str">
        <f>IF(SUMIF('Detailed Budget'!$F$5:$F$1005,$B49,'Detailed Budget'!$BI$5:$BI$1005)&gt;0,SUMIF('Detailed Budget'!$F$5:$F$1005,$B49,'Detailed Budget'!$BI$5:$BI$1005),"")</f>
        <v/>
      </c>
      <c r="S49" s="44" t="str">
        <f>IF(SUMIF('Detailed Budget'!$F$5:$F$1005,$B49,'Detailed Budget'!$BN$5:$BN$1005)&gt;0,SUMIF('Detailed Budget'!$F$5:$F$1005,$B49,'Detailed Budget'!$BN$5:$BN$1005),"")</f>
        <v/>
      </c>
      <c r="T49" s="44" t="str">
        <f>IF(SUMIF('Detailed Budget'!$F$5:$F$1005,$B49,'Detailed Budget'!$BP$5:$BP$1005)&gt;0,SUMIF('Detailed Budget'!$F$5:$F$1005,$B49,'Detailed Budget'!$BP$5:$BP$1005),"")</f>
        <v/>
      </c>
      <c r="U49" s="44" t="str">
        <f>IF(SUMIF('Detailed Budget'!$F$5:$F$1005,$B49,'Detailed Budget'!$BR$5:$BR$1005)&gt;0,SUMIF('Detailed Budget'!$F$5:$F$1005,$B49,'Detailed Budget'!$BR$5:$BR$1005),"")</f>
        <v/>
      </c>
      <c r="V49" s="44" t="str">
        <f>IF(SUMIF('Detailed Budget'!$F$5:$F$1005,$B48,'Detailed Budget'!$BT$5:$BT$1005)&gt;0,SUMIF('Detailed Budget'!$F$5:$F$1005,$B48,'Detailed Budget'!$BT$5:$BT$1005),"")</f>
        <v/>
      </c>
      <c r="W49" s="45" t="str">
        <f>IF(SUMIF('Detailed Budget'!$F$5:$F$1005,$B49,'Detailed Budget'!$BV$5:$BV$1005)&gt;0,SUMIF('Detailed Budget'!$F$5:$F$1005,$B49,'Detailed Budget'!$BV$5:$BV$1005),"")</f>
        <v/>
      </c>
      <c r="X49" s="44" t="str">
        <f t="shared" si="0"/>
        <v/>
      </c>
      <c r="Y49" s="124" t="str">
        <f t="shared" si="1"/>
        <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row>
    <row r="50" spans="1:63" s="35" customFormat="1" ht="15" hidden="1" x14ac:dyDescent="0.25">
      <c r="A50" s="42"/>
      <c r="B50" s="81" t="str">
        <f t="array" ref="B50">IFERROR(INDEX(IntIdList,MATCH(0,COUNTIF(IntIdList,"&lt;"&amp;IntIdList)-SUM(COUNTIF(IntIdList,B$16:B49)),0)),"")</f>
        <v/>
      </c>
      <c r="C50" s="43" t="str">
        <f>IFERROR(INDEX('Data Sheet'!$D$29:$D$174,MATCH(B50,'Data Sheet'!$E$29:$E$174,0)) &amp; " - " &amp; INDEX('Data Sheet'!$C$29:$C$174,MATCH(B50,'Data Sheet'!$E$29:$E$174,0)),"")</f>
        <v/>
      </c>
      <c r="D50" s="44" t="str">
        <f>IF(SUMIF('Detailed Budget'!$F$5:$F$1005,$B50,'Detailed Budget'!$AA$5:$AA$1005)&gt;0,SUMIF('Detailed Budget'!$F$5:$F$1005,$B50,'Detailed Budget'!$AA$5:$AA$1005),"")</f>
        <v/>
      </c>
      <c r="E50" s="44" t="str">
        <f>IF(SUMIF('Detailed Budget'!$F$5:$F$1005,$B50,'Detailed Budget'!$AC$5:$AC$1005)&gt;0,SUMIF('Detailed Budget'!$F$5:$F$1005,$B50,'Detailed Budget'!$AC$5:$AC$1005),"")</f>
        <v/>
      </c>
      <c r="F50" s="44" t="str">
        <f>IF(SUMIF('Detailed Budget'!$F$5:$F$1005,$B50,'Detailed Budget'!$AE$5:$AE$1005)&gt;0,SUMIF('Detailed Budget'!$F$5:$F$1005,$B50,'Detailed Budget'!$AE$5:$AE$1005),"")</f>
        <v/>
      </c>
      <c r="G50" s="44" t="str">
        <f>IF(SUMIF('Detailed Budget'!$F$5:$F$1005,$B50,'Detailed Budget'!$AG$5:$AG$1005)&gt;0,SUMIF('Detailed Budget'!$F$5:$F$1005,$B50,'Detailed Budget'!$AG$5:$AG$1005),"")</f>
        <v/>
      </c>
      <c r="H50" s="45" t="str">
        <f>IF(SUMIF('Detailed Budget'!$F$5:$F$1005,$B50,'Detailed Budget'!$AI$5:$AI$1005)&gt;0,SUMIF('Detailed Budget'!$F$5:$F$1005,$B50,'Detailed Budget'!$AI$5:$AI$1005),"")</f>
        <v/>
      </c>
      <c r="I50" s="44" t="str">
        <f>IF(SUMIF('Detailed Budget'!$F$5:$F$1005,$B50,'Detailed Budget'!$AN$5:$AN$1005)&gt;0,SUMIF('Detailed Budget'!$F$5:$F$1005,$B50,'Detailed Budget'!$AN$5:$AN$1005),"")</f>
        <v/>
      </c>
      <c r="J50" s="44" t="str">
        <f>IF(SUMIF('Detailed Budget'!$F$5:$F$1005,$B50,'Detailed Budget'!$AP$5:$AP$1005)&gt;0,SUMIF('Detailed Budget'!$F$5:$F$1005,$B50,'Detailed Budget'!$AP$5:$AP$1005),"")</f>
        <v/>
      </c>
      <c r="K50" s="44" t="str">
        <f>IF(SUMIF('Detailed Budget'!$F$5:$F$1005,$B50,'Detailed Budget'!$AR$5:$AR$1005)&gt;0,SUMIF('Detailed Budget'!$F$5:$F$1005,$B50,'Detailed Budget'!$AR$5:$AR$1005),"")</f>
        <v/>
      </c>
      <c r="L50" s="44" t="str">
        <f>IF(SUMIF('Detailed Budget'!$F$5:$F$1005,$B50,'Detailed Budget'!$AT$5:$AT$1005)&gt;0,SUMIF('Detailed Budget'!$F$5:$F$1005,$B50,'Detailed Budget'!$AT$5:$AT$1005),"")</f>
        <v/>
      </c>
      <c r="M50" s="45" t="str">
        <f>IF(SUMIF('Detailed Budget'!$F$5:$F$1005,$B50,'Detailed Budget'!$AV$5:$AV$1005)&gt;0,SUMIF('Detailed Budget'!$F$5:$F$1005,$B50,'Detailed Budget'!$AV$5:$AV$1005),"")</f>
        <v/>
      </c>
      <c r="N50" s="44" t="str">
        <f>IF(SUMIF('Detailed Budget'!$F$5:$F$1005,$B50,'Detailed Budget'!$BA$5:$BA$1005)&gt;0,SUMIF('Detailed Budget'!$F$5:$F$1005,$B50,'Detailed Budget'!$BA$5:$BA$1005),"")</f>
        <v/>
      </c>
      <c r="O50" s="44" t="str">
        <f>IF(SUMIF('Detailed Budget'!$F$5:$F$1005,$B50,'Detailed Budget'!$BC$5:$BC$1005)&gt;0,SUMIF('Detailed Budget'!$F$5:$F$1005,$B50,'Detailed Budget'!$BC$5:$BC$1005),"")</f>
        <v/>
      </c>
      <c r="P50" s="44" t="str">
        <f>IF(SUMIF('Detailed Budget'!$F$5:$F$1005,$B50,'Detailed Budget'!$BE$5:$BE$1005)&gt;0,SUMIF('Detailed Budget'!$F$5:$F$1005,$B50,'Detailed Budget'!$BE$5:$BE$1005),"")</f>
        <v/>
      </c>
      <c r="Q50" s="44" t="str">
        <f>IF(SUMIF('Detailed Budget'!$F$5:$F$1005,$B50,'Detailed Budget'!$BG$5:$BG$1005)&gt;0,SUMIF('Detailed Budget'!$F$5:$F$1005,$B50,'Detailed Budget'!$BG$5:$BG$1005),"")</f>
        <v/>
      </c>
      <c r="R50" s="45" t="str">
        <f>IF(SUMIF('Detailed Budget'!$F$5:$F$1005,$B50,'Detailed Budget'!$BI$5:$BI$1005)&gt;0,SUMIF('Detailed Budget'!$F$5:$F$1005,$B50,'Detailed Budget'!$BI$5:$BI$1005),"")</f>
        <v/>
      </c>
      <c r="S50" s="44" t="str">
        <f>IF(SUMIF('Detailed Budget'!$F$5:$F$1005,$B50,'Detailed Budget'!$BN$5:$BN$1005)&gt;0,SUMIF('Detailed Budget'!$F$5:$F$1005,$B50,'Detailed Budget'!$BN$5:$BN$1005),"")</f>
        <v/>
      </c>
      <c r="T50" s="44" t="str">
        <f>IF(SUMIF('Detailed Budget'!$F$5:$F$1005,$B50,'Detailed Budget'!$BP$5:$BP$1005)&gt;0,SUMIF('Detailed Budget'!$F$5:$F$1005,$B50,'Detailed Budget'!$BP$5:$BP$1005),"")</f>
        <v/>
      </c>
      <c r="U50" s="44" t="str">
        <f>IF(SUMIF('Detailed Budget'!$F$5:$F$1005,$B50,'Detailed Budget'!$BR$5:$BR$1005)&gt;0,SUMIF('Detailed Budget'!$F$5:$F$1005,$B50,'Detailed Budget'!$BR$5:$BR$1005),"")</f>
        <v/>
      </c>
      <c r="V50" s="44" t="str">
        <f>IF(SUMIF('Detailed Budget'!$F$5:$F$1005,$B49,'Detailed Budget'!$BT$5:$BT$1005)&gt;0,SUMIF('Detailed Budget'!$F$5:$F$1005,$B49,'Detailed Budget'!$BT$5:$BT$1005),"")</f>
        <v/>
      </c>
      <c r="W50" s="45" t="str">
        <f>IF(SUMIF('Detailed Budget'!$F$5:$F$1005,$B50,'Detailed Budget'!$BV$5:$BV$1005)&gt;0,SUMIF('Detailed Budget'!$F$5:$F$1005,$B50,'Detailed Budget'!$BV$5:$BV$1005),"")</f>
        <v/>
      </c>
      <c r="X50" s="44" t="str">
        <f t="shared" si="0"/>
        <v/>
      </c>
      <c r="Y50" s="124" t="str">
        <f t="shared" si="1"/>
        <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row>
    <row r="51" spans="1:63" s="35" customFormat="1" ht="15" hidden="1" x14ac:dyDescent="0.25">
      <c r="A51" s="42"/>
      <c r="B51" s="81" t="str">
        <f t="array" ref="B51">IFERROR(INDEX(IntIdList,MATCH(0,COUNTIF(IntIdList,"&lt;"&amp;IntIdList)-SUM(COUNTIF(IntIdList,B$16:B50)),0)),"")</f>
        <v/>
      </c>
      <c r="C51" s="43" t="str">
        <f>IFERROR(INDEX('Data Sheet'!$D$29:$D$174,MATCH(B51,'Data Sheet'!$E$29:$E$174,0)) &amp; " - " &amp; INDEX('Data Sheet'!$C$29:$C$174,MATCH(B51,'Data Sheet'!$E$29:$E$174,0)),"")</f>
        <v/>
      </c>
      <c r="D51" s="44" t="str">
        <f>IF(SUMIF('Detailed Budget'!$F$5:$F$1005,$B51,'Detailed Budget'!$AA$5:$AA$1005)&gt;0,SUMIF('Detailed Budget'!$F$5:$F$1005,$B51,'Detailed Budget'!$AA$5:$AA$1005),"")</f>
        <v/>
      </c>
      <c r="E51" s="44" t="str">
        <f>IF(SUMIF('Detailed Budget'!$F$5:$F$1005,$B51,'Detailed Budget'!$AC$5:$AC$1005)&gt;0,SUMIF('Detailed Budget'!$F$5:$F$1005,$B51,'Detailed Budget'!$AC$5:$AC$1005),"")</f>
        <v/>
      </c>
      <c r="F51" s="44" t="str">
        <f>IF(SUMIF('Detailed Budget'!$F$5:$F$1005,$B51,'Detailed Budget'!$AE$5:$AE$1005)&gt;0,SUMIF('Detailed Budget'!$F$5:$F$1005,$B51,'Detailed Budget'!$AE$5:$AE$1005),"")</f>
        <v/>
      </c>
      <c r="G51" s="44" t="str">
        <f>IF(SUMIF('Detailed Budget'!$F$5:$F$1005,$B51,'Detailed Budget'!$AG$5:$AG$1005)&gt;0,SUMIF('Detailed Budget'!$F$5:$F$1005,$B51,'Detailed Budget'!$AG$5:$AG$1005),"")</f>
        <v/>
      </c>
      <c r="H51" s="45" t="str">
        <f>IF(SUMIF('Detailed Budget'!$F$5:$F$1005,$B51,'Detailed Budget'!$AI$5:$AI$1005)&gt;0,SUMIF('Detailed Budget'!$F$5:$F$1005,$B51,'Detailed Budget'!$AI$5:$AI$1005),"")</f>
        <v/>
      </c>
      <c r="I51" s="44" t="str">
        <f>IF(SUMIF('Detailed Budget'!$F$5:$F$1005,$B51,'Detailed Budget'!$AN$5:$AN$1005)&gt;0,SUMIF('Detailed Budget'!$F$5:$F$1005,$B51,'Detailed Budget'!$AN$5:$AN$1005),"")</f>
        <v/>
      </c>
      <c r="J51" s="44" t="str">
        <f>IF(SUMIF('Detailed Budget'!$F$5:$F$1005,$B51,'Detailed Budget'!$AP$5:$AP$1005)&gt;0,SUMIF('Detailed Budget'!$F$5:$F$1005,$B51,'Detailed Budget'!$AP$5:$AP$1005),"")</f>
        <v/>
      </c>
      <c r="K51" s="44" t="str">
        <f>IF(SUMIF('Detailed Budget'!$F$5:$F$1005,$B51,'Detailed Budget'!$AR$5:$AR$1005)&gt;0,SUMIF('Detailed Budget'!$F$5:$F$1005,$B51,'Detailed Budget'!$AR$5:$AR$1005),"")</f>
        <v/>
      </c>
      <c r="L51" s="44" t="str">
        <f>IF(SUMIF('Detailed Budget'!$F$5:$F$1005,$B51,'Detailed Budget'!$AT$5:$AT$1005)&gt;0,SUMIF('Detailed Budget'!$F$5:$F$1005,$B51,'Detailed Budget'!$AT$5:$AT$1005),"")</f>
        <v/>
      </c>
      <c r="M51" s="45" t="str">
        <f>IF(SUMIF('Detailed Budget'!$F$5:$F$1005,$B51,'Detailed Budget'!$AV$5:$AV$1005)&gt;0,SUMIF('Detailed Budget'!$F$5:$F$1005,$B51,'Detailed Budget'!$AV$5:$AV$1005),"")</f>
        <v/>
      </c>
      <c r="N51" s="44" t="str">
        <f>IF(SUMIF('Detailed Budget'!$F$5:$F$1005,$B51,'Detailed Budget'!$BA$5:$BA$1005)&gt;0,SUMIF('Detailed Budget'!$F$5:$F$1005,$B51,'Detailed Budget'!$BA$5:$BA$1005),"")</f>
        <v/>
      </c>
      <c r="O51" s="44" t="str">
        <f>IF(SUMIF('Detailed Budget'!$F$5:$F$1005,$B51,'Detailed Budget'!$BC$5:$BC$1005)&gt;0,SUMIF('Detailed Budget'!$F$5:$F$1005,$B51,'Detailed Budget'!$BC$5:$BC$1005),"")</f>
        <v/>
      </c>
      <c r="P51" s="44" t="str">
        <f>IF(SUMIF('Detailed Budget'!$F$5:$F$1005,$B51,'Detailed Budget'!$BE$5:$BE$1005)&gt;0,SUMIF('Detailed Budget'!$F$5:$F$1005,$B51,'Detailed Budget'!$BE$5:$BE$1005),"")</f>
        <v/>
      </c>
      <c r="Q51" s="44" t="str">
        <f>IF(SUMIF('Detailed Budget'!$F$5:$F$1005,$B51,'Detailed Budget'!$BG$5:$BG$1005)&gt;0,SUMIF('Detailed Budget'!$F$5:$F$1005,$B51,'Detailed Budget'!$BG$5:$BG$1005),"")</f>
        <v/>
      </c>
      <c r="R51" s="45" t="str">
        <f>IF(SUMIF('Detailed Budget'!$F$5:$F$1005,$B51,'Detailed Budget'!$BI$5:$BI$1005)&gt;0,SUMIF('Detailed Budget'!$F$5:$F$1005,$B51,'Detailed Budget'!$BI$5:$BI$1005),"")</f>
        <v/>
      </c>
      <c r="S51" s="44" t="str">
        <f>IF(SUMIF('Detailed Budget'!$F$5:$F$1005,$B51,'Detailed Budget'!$BN$5:$BN$1005)&gt;0,SUMIF('Detailed Budget'!$F$5:$F$1005,$B51,'Detailed Budget'!$BN$5:$BN$1005),"")</f>
        <v/>
      </c>
      <c r="T51" s="44" t="str">
        <f>IF(SUMIF('Detailed Budget'!$F$5:$F$1005,$B51,'Detailed Budget'!$BP$5:$BP$1005)&gt;0,SUMIF('Detailed Budget'!$F$5:$F$1005,$B51,'Detailed Budget'!$BP$5:$BP$1005),"")</f>
        <v/>
      </c>
      <c r="U51" s="44" t="str">
        <f>IF(SUMIF('Detailed Budget'!$F$5:$F$1005,$B51,'Detailed Budget'!$BR$5:$BR$1005)&gt;0,SUMIF('Detailed Budget'!$F$5:$F$1005,$B51,'Detailed Budget'!$BR$5:$BR$1005),"")</f>
        <v/>
      </c>
      <c r="V51" s="44" t="str">
        <f>IF(SUMIF('Detailed Budget'!$F$5:$F$1005,$B50,'Detailed Budget'!$BT$5:$BT$1005)&gt;0,SUMIF('Detailed Budget'!$F$5:$F$1005,$B50,'Detailed Budget'!$BT$5:$BT$1005),"")</f>
        <v/>
      </c>
      <c r="W51" s="45" t="str">
        <f>IF(SUMIF('Detailed Budget'!$F$5:$F$1005,$B51,'Detailed Budget'!$BV$5:$BV$1005)&gt;0,SUMIF('Detailed Budget'!$F$5:$F$1005,$B51,'Detailed Budget'!$BV$5:$BV$1005),"")</f>
        <v/>
      </c>
      <c r="X51" s="44" t="str">
        <f t="shared" si="0"/>
        <v/>
      </c>
      <c r="Y51" s="124" t="str">
        <f t="shared" si="1"/>
        <v/>
      </c>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row>
    <row r="52" spans="1:63" s="35" customFormat="1" ht="15" hidden="1" x14ac:dyDescent="0.25">
      <c r="A52" s="42"/>
      <c r="B52" s="81" t="str">
        <f t="array" ref="B52">IFERROR(INDEX(IntIdList,MATCH(0,COUNTIF(IntIdList,"&lt;"&amp;IntIdList)-SUM(COUNTIF(IntIdList,B$16:B51)),0)),"")</f>
        <v/>
      </c>
      <c r="C52" s="43" t="str">
        <f>IFERROR(INDEX('Data Sheet'!$D$29:$D$174,MATCH(B52,'Data Sheet'!$E$29:$E$174,0)) &amp; " - " &amp; INDEX('Data Sheet'!$C$29:$C$174,MATCH(B52,'Data Sheet'!$E$29:$E$174,0)),"")</f>
        <v/>
      </c>
      <c r="D52" s="44" t="str">
        <f>IF(SUMIF('Detailed Budget'!$F$5:$F$1005,$B52,'Detailed Budget'!$AA$5:$AA$1005)&gt;0,SUMIF('Detailed Budget'!$F$5:$F$1005,$B52,'Detailed Budget'!$AA$5:$AA$1005),"")</f>
        <v/>
      </c>
      <c r="E52" s="44" t="str">
        <f>IF(SUMIF('Detailed Budget'!$F$5:$F$1005,$B52,'Detailed Budget'!$AC$5:$AC$1005)&gt;0,SUMIF('Detailed Budget'!$F$5:$F$1005,$B52,'Detailed Budget'!$AC$5:$AC$1005),"")</f>
        <v/>
      </c>
      <c r="F52" s="44" t="str">
        <f>IF(SUMIF('Detailed Budget'!$F$5:$F$1005,$B52,'Detailed Budget'!$AE$5:$AE$1005)&gt;0,SUMIF('Detailed Budget'!$F$5:$F$1005,$B52,'Detailed Budget'!$AE$5:$AE$1005),"")</f>
        <v/>
      </c>
      <c r="G52" s="44" t="str">
        <f>IF(SUMIF('Detailed Budget'!$F$5:$F$1005,$B52,'Detailed Budget'!$AG$5:$AG$1005)&gt;0,SUMIF('Detailed Budget'!$F$5:$F$1005,$B52,'Detailed Budget'!$AG$5:$AG$1005),"")</f>
        <v/>
      </c>
      <c r="H52" s="45" t="str">
        <f>IF(SUMIF('Detailed Budget'!$F$5:$F$1005,$B52,'Detailed Budget'!$AI$5:$AI$1005)&gt;0,SUMIF('Detailed Budget'!$F$5:$F$1005,$B52,'Detailed Budget'!$AI$5:$AI$1005),"")</f>
        <v/>
      </c>
      <c r="I52" s="44" t="str">
        <f>IF(SUMIF('Detailed Budget'!$F$5:$F$1005,$B52,'Detailed Budget'!$AN$5:$AN$1005)&gt;0,SUMIF('Detailed Budget'!$F$5:$F$1005,$B52,'Detailed Budget'!$AN$5:$AN$1005),"")</f>
        <v/>
      </c>
      <c r="J52" s="44" t="str">
        <f>IF(SUMIF('Detailed Budget'!$F$5:$F$1005,$B52,'Detailed Budget'!$AP$5:$AP$1005)&gt;0,SUMIF('Detailed Budget'!$F$5:$F$1005,$B52,'Detailed Budget'!$AP$5:$AP$1005),"")</f>
        <v/>
      </c>
      <c r="K52" s="44" t="str">
        <f>IF(SUMIF('Detailed Budget'!$F$5:$F$1005,$B52,'Detailed Budget'!$AR$5:$AR$1005)&gt;0,SUMIF('Detailed Budget'!$F$5:$F$1005,$B52,'Detailed Budget'!$AR$5:$AR$1005),"")</f>
        <v/>
      </c>
      <c r="L52" s="44" t="str">
        <f>IF(SUMIF('Detailed Budget'!$F$5:$F$1005,$B52,'Detailed Budget'!$AT$5:$AT$1005)&gt;0,SUMIF('Detailed Budget'!$F$5:$F$1005,$B52,'Detailed Budget'!$AT$5:$AT$1005),"")</f>
        <v/>
      </c>
      <c r="M52" s="45" t="str">
        <f>IF(SUMIF('Detailed Budget'!$F$5:$F$1005,$B52,'Detailed Budget'!$AV$5:$AV$1005)&gt;0,SUMIF('Detailed Budget'!$F$5:$F$1005,$B52,'Detailed Budget'!$AV$5:$AV$1005),"")</f>
        <v/>
      </c>
      <c r="N52" s="44" t="str">
        <f>IF(SUMIF('Detailed Budget'!$F$5:$F$1005,$B52,'Detailed Budget'!$BA$5:$BA$1005)&gt;0,SUMIF('Detailed Budget'!$F$5:$F$1005,$B52,'Detailed Budget'!$BA$5:$BA$1005),"")</f>
        <v/>
      </c>
      <c r="O52" s="44" t="str">
        <f>IF(SUMIF('Detailed Budget'!$F$5:$F$1005,$B52,'Detailed Budget'!$BC$5:$BC$1005)&gt;0,SUMIF('Detailed Budget'!$F$5:$F$1005,$B52,'Detailed Budget'!$BC$5:$BC$1005),"")</f>
        <v/>
      </c>
      <c r="P52" s="44" t="str">
        <f>IF(SUMIF('Detailed Budget'!$F$5:$F$1005,$B52,'Detailed Budget'!$BE$5:$BE$1005)&gt;0,SUMIF('Detailed Budget'!$F$5:$F$1005,$B52,'Detailed Budget'!$BE$5:$BE$1005),"")</f>
        <v/>
      </c>
      <c r="Q52" s="44" t="str">
        <f>IF(SUMIF('Detailed Budget'!$F$5:$F$1005,$B52,'Detailed Budget'!$BG$5:$BG$1005)&gt;0,SUMIF('Detailed Budget'!$F$5:$F$1005,$B52,'Detailed Budget'!$BG$5:$BG$1005),"")</f>
        <v/>
      </c>
      <c r="R52" s="45" t="str">
        <f>IF(SUMIF('Detailed Budget'!$F$5:$F$1005,$B52,'Detailed Budget'!$BI$5:$BI$1005)&gt;0,SUMIF('Detailed Budget'!$F$5:$F$1005,$B52,'Detailed Budget'!$BI$5:$BI$1005),"")</f>
        <v/>
      </c>
      <c r="S52" s="44" t="str">
        <f>IF(SUMIF('Detailed Budget'!$F$5:$F$1005,$B52,'Detailed Budget'!$BN$5:$BN$1005)&gt;0,SUMIF('Detailed Budget'!$F$5:$F$1005,$B52,'Detailed Budget'!$BN$5:$BN$1005),"")</f>
        <v/>
      </c>
      <c r="T52" s="44" t="str">
        <f>IF(SUMIF('Detailed Budget'!$F$5:$F$1005,$B52,'Detailed Budget'!$BP$5:$BP$1005)&gt;0,SUMIF('Detailed Budget'!$F$5:$F$1005,$B52,'Detailed Budget'!$BP$5:$BP$1005),"")</f>
        <v/>
      </c>
      <c r="U52" s="44" t="str">
        <f>IF(SUMIF('Detailed Budget'!$F$5:$F$1005,$B52,'Detailed Budget'!$BR$5:$BR$1005)&gt;0,SUMIF('Detailed Budget'!$F$5:$F$1005,$B52,'Detailed Budget'!$BR$5:$BR$1005),"")</f>
        <v/>
      </c>
      <c r="V52" s="44" t="str">
        <f>IF(SUMIF('Detailed Budget'!$F$5:$F$1005,$B51,'Detailed Budget'!$BT$5:$BT$1005)&gt;0,SUMIF('Detailed Budget'!$F$5:$F$1005,$B51,'Detailed Budget'!$BT$5:$BT$1005),"")</f>
        <v/>
      </c>
      <c r="W52" s="45" t="str">
        <f>IF(SUMIF('Detailed Budget'!$F$5:$F$1005,$B52,'Detailed Budget'!$BV$5:$BV$1005)&gt;0,SUMIF('Detailed Budget'!$F$5:$F$1005,$B52,'Detailed Budget'!$BV$5:$BV$1005),"")</f>
        <v/>
      </c>
      <c r="X52" s="44" t="str">
        <f t="shared" si="0"/>
        <v/>
      </c>
      <c r="Y52" s="124" t="str">
        <f t="shared" si="1"/>
        <v/>
      </c>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row>
    <row r="53" spans="1:63" s="35" customFormat="1" ht="15" hidden="1" x14ac:dyDescent="0.25">
      <c r="A53" s="42"/>
      <c r="B53" s="81" t="str">
        <f t="array" ref="B53">IFERROR(INDEX(IntIdList,MATCH(0,COUNTIF(IntIdList,"&lt;"&amp;IntIdList)-SUM(COUNTIF(IntIdList,B$16:B52)),0)),"")</f>
        <v/>
      </c>
      <c r="C53" s="43" t="str">
        <f>IFERROR(INDEX('Data Sheet'!$D$29:$D$174,MATCH(B53,'Data Sheet'!$E$29:$E$174,0)) &amp; " - " &amp; INDEX('Data Sheet'!$C$29:$C$174,MATCH(B53,'Data Sheet'!$E$29:$E$174,0)),"")</f>
        <v/>
      </c>
      <c r="D53" s="44" t="str">
        <f>IF(SUMIF('Detailed Budget'!$F$5:$F$1005,$B53,'Detailed Budget'!$AA$5:$AA$1005)&gt;0,SUMIF('Detailed Budget'!$F$5:$F$1005,$B53,'Detailed Budget'!$AA$5:$AA$1005),"")</f>
        <v/>
      </c>
      <c r="E53" s="44" t="str">
        <f>IF(SUMIF('Detailed Budget'!$F$5:$F$1005,$B53,'Detailed Budget'!$AC$5:$AC$1005)&gt;0,SUMIF('Detailed Budget'!$F$5:$F$1005,$B53,'Detailed Budget'!$AC$5:$AC$1005),"")</f>
        <v/>
      </c>
      <c r="F53" s="44" t="str">
        <f>IF(SUMIF('Detailed Budget'!$F$5:$F$1005,$B53,'Detailed Budget'!$AE$5:$AE$1005)&gt;0,SUMIF('Detailed Budget'!$F$5:$F$1005,$B53,'Detailed Budget'!$AE$5:$AE$1005),"")</f>
        <v/>
      </c>
      <c r="G53" s="44" t="str">
        <f>IF(SUMIF('Detailed Budget'!$F$5:$F$1005,$B53,'Detailed Budget'!$AG$5:$AG$1005)&gt;0,SUMIF('Detailed Budget'!$F$5:$F$1005,$B53,'Detailed Budget'!$AG$5:$AG$1005),"")</f>
        <v/>
      </c>
      <c r="H53" s="45" t="str">
        <f>IF(SUMIF('Detailed Budget'!$F$5:$F$1005,$B53,'Detailed Budget'!$AI$5:$AI$1005)&gt;0,SUMIF('Detailed Budget'!$F$5:$F$1005,$B53,'Detailed Budget'!$AI$5:$AI$1005),"")</f>
        <v/>
      </c>
      <c r="I53" s="44" t="str">
        <f>IF(SUMIF('Detailed Budget'!$F$5:$F$1005,$B53,'Detailed Budget'!$AN$5:$AN$1005)&gt;0,SUMIF('Detailed Budget'!$F$5:$F$1005,$B53,'Detailed Budget'!$AN$5:$AN$1005),"")</f>
        <v/>
      </c>
      <c r="J53" s="44" t="str">
        <f>IF(SUMIF('Detailed Budget'!$F$5:$F$1005,$B53,'Detailed Budget'!$AP$5:$AP$1005)&gt;0,SUMIF('Detailed Budget'!$F$5:$F$1005,$B53,'Detailed Budget'!$AP$5:$AP$1005),"")</f>
        <v/>
      </c>
      <c r="K53" s="44" t="str">
        <f>IF(SUMIF('Detailed Budget'!$F$5:$F$1005,$B53,'Detailed Budget'!$AR$5:$AR$1005)&gt;0,SUMIF('Detailed Budget'!$F$5:$F$1005,$B53,'Detailed Budget'!$AR$5:$AR$1005),"")</f>
        <v/>
      </c>
      <c r="L53" s="44" t="str">
        <f>IF(SUMIF('Detailed Budget'!$F$5:$F$1005,$B53,'Detailed Budget'!$AT$5:$AT$1005)&gt;0,SUMIF('Detailed Budget'!$F$5:$F$1005,$B53,'Detailed Budget'!$AT$5:$AT$1005),"")</f>
        <v/>
      </c>
      <c r="M53" s="45" t="str">
        <f>IF(SUMIF('Detailed Budget'!$F$5:$F$1005,$B53,'Detailed Budget'!$AV$5:$AV$1005)&gt;0,SUMIF('Detailed Budget'!$F$5:$F$1005,$B53,'Detailed Budget'!$AV$5:$AV$1005),"")</f>
        <v/>
      </c>
      <c r="N53" s="44" t="str">
        <f>IF(SUMIF('Detailed Budget'!$F$5:$F$1005,$B53,'Detailed Budget'!$BA$5:$BA$1005)&gt;0,SUMIF('Detailed Budget'!$F$5:$F$1005,$B53,'Detailed Budget'!$BA$5:$BA$1005),"")</f>
        <v/>
      </c>
      <c r="O53" s="44" t="str">
        <f>IF(SUMIF('Detailed Budget'!$F$5:$F$1005,$B53,'Detailed Budget'!$BC$5:$BC$1005)&gt;0,SUMIF('Detailed Budget'!$F$5:$F$1005,$B53,'Detailed Budget'!$BC$5:$BC$1005),"")</f>
        <v/>
      </c>
      <c r="P53" s="44" t="str">
        <f>IF(SUMIF('Detailed Budget'!$F$5:$F$1005,$B53,'Detailed Budget'!$BE$5:$BE$1005)&gt;0,SUMIF('Detailed Budget'!$F$5:$F$1005,$B53,'Detailed Budget'!$BE$5:$BE$1005),"")</f>
        <v/>
      </c>
      <c r="Q53" s="44" t="str">
        <f>IF(SUMIF('Detailed Budget'!$F$5:$F$1005,$B53,'Detailed Budget'!$BG$5:$BG$1005)&gt;0,SUMIF('Detailed Budget'!$F$5:$F$1005,$B53,'Detailed Budget'!$BG$5:$BG$1005),"")</f>
        <v/>
      </c>
      <c r="R53" s="45" t="str">
        <f>IF(SUMIF('Detailed Budget'!$F$5:$F$1005,$B53,'Detailed Budget'!$BI$5:$BI$1005)&gt;0,SUMIF('Detailed Budget'!$F$5:$F$1005,$B53,'Detailed Budget'!$BI$5:$BI$1005),"")</f>
        <v/>
      </c>
      <c r="S53" s="44" t="str">
        <f>IF(SUMIF('Detailed Budget'!$F$5:$F$1005,$B53,'Detailed Budget'!$BN$5:$BN$1005)&gt;0,SUMIF('Detailed Budget'!$F$5:$F$1005,$B53,'Detailed Budget'!$BN$5:$BN$1005),"")</f>
        <v/>
      </c>
      <c r="T53" s="44" t="str">
        <f>IF(SUMIF('Detailed Budget'!$F$5:$F$1005,$B53,'Detailed Budget'!$BP$5:$BP$1005)&gt;0,SUMIF('Detailed Budget'!$F$5:$F$1005,$B53,'Detailed Budget'!$BP$5:$BP$1005),"")</f>
        <v/>
      </c>
      <c r="U53" s="44" t="str">
        <f>IF(SUMIF('Detailed Budget'!$F$5:$F$1005,$B53,'Detailed Budget'!$BR$5:$BR$1005)&gt;0,SUMIF('Detailed Budget'!$F$5:$F$1005,$B53,'Detailed Budget'!$BR$5:$BR$1005),"")</f>
        <v/>
      </c>
      <c r="V53" s="44" t="str">
        <f>IF(SUMIF('Detailed Budget'!$F$5:$F$1005,$B52,'Detailed Budget'!$BT$5:$BT$1005)&gt;0,SUMIF('Detailed Budget'!$F$5:$F$1005,$B52,'Detailed Budget'!$BT$5:$BT$1005),"")</f>
        <v/>
      </c>
      <c r="W53" s="45" t="str">
        <f>IF(SUMIF('Detailed Budget'!$F$5:$F$1005,$B53,'Detailed Budget'!$BV$5:$BV$1005)&gt;0,SUMIF('Detailed Budget'!$F$5:$F$1005,$B53,'Detailed Budget'!$BV$5:$BV$1005),"")</f>
        <v/>
      </c>
      <c r="X53" s="44" t="str">
        <f t="shared" si="0"/>
        <v/>
      </c>
      <c r="Y53" s="124" t="str">
        <f t="shared" si="1"/>
        <v/>
      </c>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row>
    <row r="54" spans="1:63" s="35" customFormat="1" ht="15" hidden="1" x14ac:dyDescent="0.25">
      <c r="A54" s="42"/>
      <c r="B54" s="81" t="str">
        <f t="array" ref="B54">IFERROR(INDEX(IntIdList,MATCH(0,COUNTIF(IntIdList,"&lt;"&amp;IntIdList)-SUM(COUNTIF(IntIdList,B$16:B53)),0)),"")</f>
        <v/>
      </c>
      <c r="C54" s="43" t="str">
        <f>IFERROR(INDEX('Data Sheet'!$D$29:$D$174,MATCH(B54,'Data Sheet'!$E$29:$E$174,0)) &amp; " - " &amp; INDEX('Data Sheet'!$C$29:$C$174,MATCH(B54,'Data Sheet'!$E$29:$E$174,0)),"")</f>
        <v/>
      </c>
      <c r="D54" s="44" t="str">
        <f>IF(SUMIF('Detailed Budget'!$F$5:$F$1005,$B54,'Detailed Budget'!$AA$5:$AA$1005)&gt;0,SUMIF('Detailed Budget'!$F$5:$F$1005,$B54,'Detailed Budget'!$AA$5:$AA$1005),"")</f>
        <v/>
      </c>
      <c r="E54" s="44" t="str">
        <f>IF(SUMIF('Detailed Budget'!$F$5:$F$1005,$B54,'Detailed Budget'!$AC$5:$AC$1005)&gt;0,SUMIF('Detailed Budget'!$F$5:$F$1005,$B54,'Detailed Budget'!$AC$5:$AC$1005),"")</f>
        <v/>
      </c>
      <c r="F54" s="44" t="str">
        <f>IF(SUMIF('Detailed Budget'!$F$5:$F$1005,$B54,'Detailed Budget'!$AE$5:$AE$1005)&gt;0,SUMIF('Detailed Budget'!$F$5:$F$1005,$B54,'Detailed Budget'!$AE$5:$AE$1005),"")</f>
        <v/>
      </c>
      <c r="G54" s="44" t="str">
        <f>IF(SUMIF('Detailed Budget'!$F$5:$F$1005,$B54,'Detailed Budget'!$AG$5:$AG$1005)&gt;0,SUMIF('Detailed Budget'!$F$5:$F$1005,$B54,'Detailed Budget'!$AG$5:$AG$1005),"")</f>
        <v/>
      </c>
      <c r="H54" s="45" t="str">
        <f>IF(SUMIF('Detailed Budget'!$F$5:$F$1005,$B54,'Detailed Budget'!$AI$5:$AI$1005)&gt;0,SUMIF('Detailed Budget'!$F$5:$F$1005,$B54,'Detailed Budget'!$AI$5:$AI$1005),"")</f>
        <v/>
      </c>
      <c r="I54" s="44" t="str">
        <f>IF(SUMIF('Detailed Budget'!$F$5:$F$1005,$B54,'Detailed Budget'!$AN$5:$AN$1005)&gt;0,SUMIF('Detailed Budget'!$F$5:$F$1005,$B54,'Detailed Budget'!$AN$5:$AN$1005),"")</f>
        <v/>
      </c>
      <c r="J54" s="44" t="str">
        <f>IF(SUMIF('Detailed Budget'!$F$5:$F$1005,$B54,'Detailed Budget'!$AP$5:$AP$1005)&gt;0,SUMIF('Detailed Budget'!$F$5:$F$1005,$B54,'Detailed Budget'!$AP$5:$AP$1005),"")</f>
        <v/>
      </c>
      <c r="K54" s="44" t="str">
        <f>IF(SUMIF('Detailed Budget'!$F$5:$F$1005,$B54,'Detailed Budget'!$AR$5:$AR$1005)&gt;0,SUMIF('Detailed Budget'!$F$5:$F$1005,$B54,'Detailed Budget'!$AR$5:$AR$1005),"")</f>
        <v/>
      </c>
      <c r="L54" s="44" t="str">
        <f>IF(SUMIF('Detailed Budget'!$F$5:$F$1005,$B54,'Detailed Budget'!$AT$5:$AT$1005)&gt;0,SUMIF('Detailed Budget'!$F$5:$F$1005,$B54,'Detailed Budget'!$AT$5:$AT$1005),"")</f>
        <v/>
      </c>
      <c r="M54" s="45" t="str">
        <f>IF(SUMIF('Detailed Budget'!$F$5:$F$1005,$B54,'Detailed Budget'!$AV$5:$AV$1005)&gt;0,SUMIF('Detailed Budget'!$F$5:$F$1005,$B54,'Detailed Budget'!$AV$5:$AV$1005),"")</f>
        <v/>
      </c>
      <c r="N54" s="44" t="str">
        <f>IF(SUMIF('Detailed Budget'!$F$5:$F$1005,$B54,'Detailed Budget'!$BA$5:$BA$1005)&gt;0,SUMIF('Detailed Budget'!$F$5:$F$1005,$B54,'Detailed Budget'!$BA$5:$BA$1005),"")</f>
        <v/>
      </c>
      <c r="O54" s="44" t="str">
        <f>IF(SUMIF('Detailed Budget'!$F$5:$F$1005,$B54,'Detailed Budget'!$BC$5:$BC$1005)&gt;0,SUMIF('Detailed Budget'!$F$5:$F$1005,$B54,'Detailed Budget'!$BC$5:$BC$1005),"")</f>
        <v/>
      </c>
      <c r="P54" s="44" t="str">
        <f>IF(SUMIF('Detailed Budget'!$F$5:$F$1005,$B54,'Detailed Budget'!$BE$5:$BE$1005)&gt;0,SUMIF('Detailed Budget'!$F$5:$F$1005,$B54,'Detailed Budget'!$BE$5:$BE$1005),"")</f>
        <v/>
      </c>
      <c r="Q54" s="44" t="str">
        <f>IF(SUMIF('Detailed Budget'!$F$5:$F$1005,$B54,'Detailed Budget'!$BG$5:$BG$1005)&gt;0,SUMIF('Detailed Budget'!$F$5:$F$1005,$B54,'Detailed Budget'!$BG$5:$BG$1005),"")</f>
        <v/>
      </c>
      <c r="R54" s="45" t="str">
        <f>IF(SUMIF('Detailed Budget'!$F$5:$F$1005,$B54,'Detailed Budget'!$BI$5:$BI$1005)&gt;0,SUMIF('Detailed Budget'!$F$5:$F$1005,$B54,'Detailed Budget'!$BI$5:$BI$1005),"")</f>
        <v/>
      </c>
      <c r="S54" s="44" t="str">
        <f>IF(SUMIF('Detailed Budget'!$F$5:$F$1005,$B54,'Detailed Budget'!$BN$5:$BN$1005)&gt;0,SUMIF('Detailed Budget'!$F$5:$F$1005,$B54,'Detailed Budget'!$BN$5:$BN$1005),"")</f>
        <v/>
      </c>
      <c r="T54" s="44" t="str">
        <f>IF(SUMIF('Detailed Budget'!$F$5:$F$1005,$B54,'Detailed Budget'!$BP$5:$BP$1005)&gt;0,SUMIF('Detailed Budget'!$F$5:$F$1005,$B54,'Detailed Budget'!$BP$5:$BP$1005),"")</f>
        <v/>
      </c>
      <c r="U54" s="44" t="str">
        <f>IF(SUMIF('Detailed Budget'!$F$5:$F$1005,$B54,'Detailed Budget'!$BR$5:$BR$1005)&gt;0,SUMIF('Detailed Budget'!$F$5:$F$1005,$B54,'Detailed Budget'!$BR$5:$BR$1005),"")</f>
        <v/>
      </c>
      <c r="V54" s="44" t="str">
        <f>IF(SUMIF('Detailed Budget'!$F$5:$F$1005,$B53,'Detailed Budget'!$BT$5:$BT$1005)&gt;0,SUMIF('Detailed Budget'!$F$5:$F$1005,$B53,'Detailed Budget'!$BT$5:$BT$1005),"")</f>
        <v/>
      </c>
      <c r="W54" s="45" t="str">
        <f>IF(SUMIF('Detailed Budget'!$F$5:$F$1005,$B54,'Detailed Budget'!$BV$5:$BV$1005)&gt;0,SUMIF('Detailed Budget'!$F$5:$F$1005,$B54,'Detailed Budget'!$BV$5:$BV$1005),"")</f>
        <v/>
      </c>
      <c r="X54" s="44" t="str">
        <f t="shared" si="0"/>
        <v/>
      </c>
      <c r="Y54" s="124" t="str">
        <f t="shared" si="1"/>
        <v/>
      </c>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row>
    <row r="55" spans="1:63" s="35" customFormat="1" ht="15" hidden="1" x14ac:dyDescent="0.25">
      <c r="A55" s="42"/>
      <c r="B55" s="81" t="str">
        <f t="array" ref="B55">IFERROR(INDEX(IntIdList,MATCH(0,COUNTIF(IntIdList,"&lt;"&amp;IntIdList)-SUM(COUNTIF(IntIdList,B$16:B54)),0)),"")</f>
        <v/>
      </c>
      <c r="C55" s="43" t="str">
        <f>IFERROR(INDEX('Data Sheet'!$D$29:$D$174,MATCH(B55,'Data Sheet'!$E$29:$E$174,0)) &amp; " - " &amp; INDEX('Data Sheet'!$C$29:$C$174,MATCH(B55,'Data Sheet'!$E$29:$E$174,0)),"")</f>
        <v/>
      </c>
      <c r="D55" s="44" t="str">
        <f>IF(SUMIF('Detailed Budget'!$F$5:$F$1005,$B55,'Detailed Budget'!$AA$5:$AA$1005)&gt;0,SUMIF('Detailed Budget'!$F$5:$F$1005,$B55,'Detailed Budget'!$AA$5:$AA$1005),"")</f>
        <v/>
      </c>
      <c r="E55" s="44" t="str">
        <f>IF(SUMIF('Detailed Budget'!$F$5:$F$1005,$B55,'Detailed Budget'!$AC$5:$AC$1005)&gt;0,SUMIF('Detailed Budget'!$F$5:$F$1005,$B55,'Detailed Budget'!$AC$5:$AC$1005),"")</f>
        <v/>
      </c>
      <c r="F55" s="44" t="str">
        <f>IF(SUMIF('Detailed Budget'!$F$5:$F$1005,$B55,'Detailed Budget'!$AE$5:$AE$1005)&gt;0,SUMIF('Detailed Budget'!$F$5:$F$1005,$B55,'Detailed Budget'!$AE$5:$AE$1005),"")</f>
        <v/>
      </c>
      <c r="G55" s="44" t="str">
        <f>IF(SUMIF('Detailed Budget'!$F$5:$F$1005,$B55,'Detailed Budget'!$AG$5:$AG$1005)&gt;0,SUMIF('Detailed Budget'!$F$5:$F$1005,$B55,'Detailed Budget'!$AG$5:$AG$1005),"")</f>
        <v/>
      </c>
      <c r="H55" s="45" t="str">
        <f>IF(SUMIF('Detailed Budget'!$F$5:$F$1005,$B55,'Detailed Budget'!$AI$5:$AI$1005)&gt;0,SUMIF('Detailed Budget'!$F$5:$F$1005,$B55,'Detailed Budget'!$AI$5:$AI$1005),"")</f>
        <v/>
      </c>
      <c r="I55" s="44" t="str">
        <f>IF(SUMIF('Detailed Budget'!$F$5:$F$1005,$B55,'Detailed Budget'!$AN$5:$AN$1005)&gt;0,SUMIF('Detailed Budget'!$F$5:$F$1005,$B55,'Detailed Budget'!$AN$5:$AN$1005),"")</f>
        <v/>
      </c>
      <c r="J55" s="44" t="str">
        <f>IF(SUMIF('Detailed Budget'!$F$5:$F$1005,$B55,'Detailed Budget'!$AP$5:$AP$1005)&gt;0,SUMIF('Detailed Budget'!$F$5:$F$1005,$B55,'Detailed Budget'!$AP$5:$AP$1005),"")</f>
        <v/>
      </c>
      <c r="K55" s="44" t="str">
        <f>IF(SUMIF('Detailed Budget'!$F$5:$F$1005,$B55,'Detailed Budget'!$AR$5:$AR$1005)&gt;0,SUMIF('Detailed Budget'!$F$5:$F$1005,$B55,'Detailed Budget'!$AR$5:$AR$1005),"")</f>
        <v/>
      </c>
      <c r="L55" s="44" t="str">
        <f>IF(SUMIF('Detailed Budget'!$F$5:$F$1005,$B55,'Detailed Budget'!$AT$5:$AT$1005)&gt;0,SUMIF('Detailed Budget'!$F$5:$F$1005,$B55,'Detailed Budget'!$AT$5:$AT$1005),"")</f>
        <v/>
      </c>
      <c r="M55" s="45" t="str">
        <f>IF(SUMIF('Detailed Budget'!$F$5:$F$1005,$B55,'Detailed Budget'!$AV$5:$AV$1005)&gt;0,SUMIF('Detailed Budget'!$F$5:$F$1005,$B55,'Detailed Budget'!$AV$5:$AV$1005),"")</f>
        <v/>
      </c>
      <c r="N55" s="44" t="str">
        <f>IF(SUMIF('Detailed Budget'!$F$5:$F$1005,$B55,'Detailed Budget'!$BA$5:$BA$1005)&gt;0,SUMIF('Detailed Budget'!$F$5:$F$1005,$B55,'Detailed Budget'!$BA$5:$BA$1005),"")</f>
        <v/>
      </c>
      <c r="O55" s="44" t="str">
        <f>IF(SUMIF('Detailed Budget'!$F$5:$F$1005,$B55,'Detailed Budget'!$BC$5:$BC$1005)&gt;0,SUMIF('Detailed Budget'!$F$5:$F$1005,$B55,'Detailed Budget'!$BC$5:$BC$1005),"")</f>
        <v/>
      </c>
      <c r="P55" s="44" t="str">
        <f>IF(SUMIF('Detailed Budget'!$F$5:$F$1005,$B55,'Detailed Budget'!$BE$5:$BE$1005)&gt;0,SUMIF('Detailed Budget'!$F$5:$F$1005,$B55,'Detailed Budget'!$BE$5:$BE$1005),"")</f>
        <v/>
      </c>
      <c r="Q55" s="44" t="str">
        <f>IF(SUMIF('Detailed Budget'!$F$5:$F$1005,$B55,'Detailed Budget'!$BG$5:$BG$1005)&gt;0,SUMIF('Detailed Budget'!$F$5:$F$1005,$B55,'Detailed Budget'!$BG$5:$BG$1005),"")</f>
        <v/>
      </c>
      <c r="R55" s="45" t="str">
        <f>IF(SUMIF('Detailed Budget'!$F$5:$F$1005,$B55,'Detailed Budget'!$BI$5:$BI$1005)&gt;0,SUMIF('Detailed Budget'!$F$5:$F$1005,$B55,'Detailed Budget'!$BI$5:$BI$1005),"")</f>
        <v/>
      </c>
      <c r="S55" s="44" t="str">
        <f>IF(SUMIF('Detailed Budget'!$F$5:$F$1005,$B55,'Detailed Budget'!$BN$5:$BN$1005)&gt;0,SUMIF('Detailed Budget'!$F$5:$F$1005,$B55,'Detailed Budget'!$BN$5:$BN$1005),"")</f>
        <v/>
      </c>
      <c r="T55" s="44" t="str">
        <f>IF(SUMIF('Detailed Budget'!$F$5:$F$1005,$B55,'Detailed Budget'!$BP$5:$BP$1005)&gt;0,SUMIF('Detailed Budget'!$F$5:$F$1005,$B55,'Detailed Budget'!$BP$5:$BP$1005),"")</f>
        <v/>
      </c>
      <c r="U55" s="44" t="str">
        <f>IF(SUMIF('Detailed Budget'!$F$5:$F$1005,$B55,'Detailed Budget'!$BR$5:$BR$1005)&gt;0,SUMIF('Detailed Budget'!$F$5:$F$1005,$B55,'Detailed Budget'!$BR$5:$BR$1005),"")</f>
        <v/>
      </c>
      <c r="V55" s="44" t="str">
        <f>IF(SUMIF('Detailed Budget'!$F$5:$F$1005,$B54,'Detailed Budget'!$BT$5:$BT$1005)&gt;0,SUMIF('Detailed Budget'!$F$5:$F$1005,$B54,'Detailed Budget'!$BT$5:$BT$1005),"")</f>
        <v/>
      </c>
      <c r="W55" s="45" t="str">
        <f>IF(SUMIF('Detailed Budget'!$F$5:$F$1005,$B55,'Detailed Budget'!$BV$5:$BV$1005)&gt;0,SUMIF('Detailed Budget'!$F$5:$F$1005,$B55,'Detailed Budget'!$BV$5:$BV$1005),"")</f>
        <v/>
      </c>
      <c r="X55" s="44" t="str">
        <f t="shared" si="0"/>
        <v/>
      </c>
      <c r="Y55" s="124" t="str">
        <f t="shared" si="1"/>
        <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row>
    <row r="56" spans="1:63" s="35" customFormat="1" ht="15" hidden="1" x14ac:dyDescent="0.25">
      <c r="A56" s="42"/>
      <c r="B56" s="81" t="str">
        <f t="array" ref="B56">IFERROR(INDEX(IntIdList,MATCH(0,COUNTIF(IntIdList,"&lt;"&amp;IntIdList)-SUM(COUNTIF(IntIdList,B$16:B55)),0)),"")</f>
        <v/>
      </c>
      <c r="C56" s="43" t="str">
        <f>IFERROR(INDEX('Data Sheet'!$D$29:$D$174,MATCH(B56,'Data Sheet'!$E$29:$E$174,0)) &amp; " - " &amp; INDEX('Data Sheet'!$C$29:$C$174,MATCH(B56,'Data Sheet'!$E$29:$E$174,0)),"")</f>
        <v/>
      </c>
      <c r="D56" s="44" t="str">
        <f>IF(SUMIF('Detailed Budget'!$F$5:$F$1005,$B56,'Detailed Budget'!$AA$5:$AA$1005)&gt;0,SUMIF('Detailed Budget'!$F$5:$F$1005,$B56,'Detailed Budget'!$AA$5:$AA$1005),"")</f>
        <v/>
      </c>
      <c r="E56" s="44" t="str">
        <f>IF(SUMIF('Detailed Budget'!$F$5:$F$1005,$B56,'Detailed Budget'!$AC$5:$AC$1005)&gt;0,SUMIF('Detailed Budget'!$F$5:$F$1005,$B56,'Detailed Budget'!$AC$5:$AC$1005),"")</f>
        <v/>
      </c>
      <c r="F56" s="44" t="str">
        <f>IF(SUMIF('Detailed Budget'!$F$5:$F$1005,$B56,'Detailed Budget'!$AE$5:$AE$1005)&gt;0,SUMIF('Detailed Budget'!$F$5:$F$1005,$B56,'Detailed Budget'!$AE$5:$AE$1005),"")</f>
        <v/>
      </c>
      <c r="G56" s="44" t="str">
        <f>IF(SUMIF('Detailed Budget'!$F$5:$F$1005,$B56,'Detailed Budget'!$AG$5:$AG$1005)&gt;0,SUMIF('Detailed Budget'!$F$5:$F$1005,$B56,'Detailed Budget'!$AG$5:$AG$1005),"")</f>
        <v/>
      </c>
      <c r="H56" s="45" t="str">
        <f>IF(SUMIF('Detailed Budget'!$F$5:$F$1005,$B56,'Detailed Budget'!$AI$5:$AI$1005)&gt;0,SUMIF('Detailed Budget'!$F$5:$F$1005,$B56,'Detailed Budget'!$AI$5:$AI$1005),"")</f>
        <v/>
      </c>
      <c r="I56" s="44" t="str">
        <f>IF(SUMIF('Detailed Budget'!$F$5:$F$1005,$B56,'Detailed Budget'!$AN$5:$AN$1005)&gt;0,SUMIF('Detailed Budget'!$F$5:$F$1005,$B56,'Detailed Budget'!$AN$5:$AN$1005),"")</f>
        <v/>
      </c>
      <c r="J56" s="44" t="str">
        <f>IF(SUMIF('Detailed Budget'!$F$5:$F$1005,$B56,'Detailed Budget'!$AP$5:$AP$1005)&gt;0,SUMIF('Detailed Budget'!$F$5:$F$1005,$B56,'Detailed Budget'!$AP$5:$AP$1005),"")</f>
        <v/>
      </c>
      <c r="K56" s="44" t="str">
        <f>IF(SUMIF('Detailed Budget'!$F$5:$F$1005,$B56,'Detailed Budget'!$AR$5:$AR$1005)&gt;0,SUMIF('Detailed Budget'!$F$5:$F$1005,$B56,'Detailed Budget'!$AR$5:$AR$1005),"")</f>
        <v/>
      </c>
      <c r="L56" s="44" t="str">
        <f>IF(SUMIF('Detailed Budget'!$F$5:$F$1005,$B56,'Detailed Budget'!$AT$5:$AT$1005)&gt;0,SUMIF('Detailed Budget'!$F$5:$F$1005,$B56,'Detailed Budget'!$AT$5:$AT$1005),"")</f>
        <v/>
      </c>
      <c r="M56" s="45" t="str">
        <f>IF(SUMIF('Detailed Budget'!$F$5:$F$1005,$B56,'Detailed Budget'!$AV$5:$AV$1005)&gt;0,SUMIF('Detailed Budget'!$F$5:$F$1005,$B56,'Detailed Budget'!$AV$5:$AV$1005),"")</f>
        <v/>
      </c>
      <c r="N56" s="44" t="str">
        <f>IF(SUMIF('Detailed Budget'!$F$5:$F$1005,$B56,'Detailed Budget'!$BA$5:$BA$1005)&gt;0,SUMIF('Detailed Budget'!$F$5:$F$1005,$B56,'Detailed Budget'!$BA$5:$BA$1005),"")</f>
        <v/>
      </c>
      <c r="O56" s="44" t="str">
        <f>IF(SUMIF('Detailed Budget'!$F$5:$F$1005,$B56,'Detailed Budget'!$BC$5:$BC$1005)&gt;0,SUMIF('Detailed Budget'!$F$5:$F$1005,$B56,'Detailed Budget'!$BC$5:$BC$1005),"")</f>
        <v/>
      </c>
      <c r="P56" s="44" t="str">
        <f>IF(SUMIF('Detailed Budget'!$F$5:$F$1005,$B56,'Detailed Budget'!$BE$5:$BE$1005)&gt;0,SUMIF('Detailed Budget'!$F$5:$F$1005,$B56,'Detailed Budget'!$BE$5:$BE$1005),"")</f>
        <v/>
      </c>
      <c r="Q56" s="44" t="str">
        <f>IF(SUMIF('Detailed Budget'!$F$5:$F$1005,$B56,'Detailed Budget'!$BG$5:$BG$1005)&gt;0,SUMIF('Detailed Budget'!$F$5:$F$1005,$B56,'Detailed Budget'!$BG$5:$BG$1005),"")</f>
        <v/>
      </c>
      <c r="R56" s="45" t="str">
        <f>IF(SUMIF('Detailed Budget'!$F$5:$F$1005,$B56,'Detailed Budget'!$BI$5:$BI$1005)&gt;0,SUMIF('Detailed Budget'!$F$5:$F$1005,$B56,'Detailed Budget'!$BI$5:$BI$1005),"")</f>
        <v/>
      </c>
      <c r="S56" s="44" t="str">
        <f>IF(SUMIF('Detailed Budget'!$F$5:$F$1005,$B56,'Detailed Budget'!$BN$5:$BN$1005)&gt;0,SUMIF('Detailed Budget'!$F$5:$F$1005,$B56,'Detailed Budget'!$BN$5:$BN$1005),"")</f>
        <v/>
      </c>
      <c r="T56" s="44" t="str">
        <f>IF(SUMIF('Detailed Budget'!$F$5:$F$1005,$B56,'Detailed Budget'!$BP$5:$BP$1005)&gt;0,SUMIF('Detailed Budget'!$F$5:$F$1005,$B56,'Detailed Budget'!$BP$5:$BP$1005),"")</f>
        <v/>
      </c>
      <c r="U56" s="44" t="str">
        <f>IF(SUMIF('Detailed Budget'!$F$5:$F$1005,$B56,'Detailed Budget'!$BR$5:$BR$1005)&gt;0,SUMIF('Detailed Budget'!$F$5:$F$1005,$B56,'Detailed Budget'!$BR$5:$BR$1005),"")</f>
        <v/>
      </c>
      <c r="V56" s="44" t="str">
        <f>IF(SUMIF('Detailed Budget'!$F$5:$F$1005,$B55,'Detailed Budget'!$BT$5:$BT$1005)&gt;0,SUMIF('Detailed Budget'!$F$5:$F$1005,$B55,'Detailed Budget'!$BT$5:$BT$1005),"")</f>
        <v/>
      </c>
      <c r="W56" s="45" t="str">
        <f>IF(SUMIF('Detailed Budget'!$F$5:$F$1005,$B56,'Detailed Budget'!$BV$5:$BV$1005)&gt;0,SUMIF('Detailed Budget'!$F$5:$F$1005,$B56,'Detailed Budget'!$BV$5:$BV$1005),"")</f>
        <v/>
      </c>
      <c r="X56" s="44" t="str">
        <f t="shared" si="0"/>
        <v/>
      </c>
      <c r="Y56" s="124" t="str">
        <f t="shared" si="1"/>
        <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row>
    <row r="57" spans="1:63" s="35" customFormat="1" ht="15" hidden="1" x14ac:dyDescent="0.25">
      <c r="A57" s="42"/>
      <c r="B57" s="81" t="str">
        <f t="array" ref="B57">IFERROR(INDEX(IntIdList,MATCH(0,COUNTIF(IntIdList,"&lt;"&amp;IntIdList)-SUM(COUNTIF(IntIdList,B$16:B56)),0)),"")</f>
        <v/>
      </c>
      <c r="C57" s="43" t="str">
        <f>IFERROR(INDEX('Data Sheet'!$D$29:$D$174,MATCH(B57,'Data Sheet'!$E$29:$E$174,0)) &amp; " - " &amp; INDEX('Data Sheet'!$C$29:$C$174,MATCH(B57,'Data Sheet'!$E$29:$E$174,0)),"")</f>
        <v/>
      </c>
      <c r="D57" s="44" t="str">
        <f>IF(SUMIF('Detailed Budget'!$F$5:$F$1005,$B57,'Detailed Budget'!$AA$5:$AA$1005)&gt;0,SUMIF('Detailed Budget'!$F$5:$F$1005,$B57,'Detailed Budget'!$AA$5:$AA$1005),"")</f>
        <v/>
      </c>
      <c r="E57" s="44" t="str">
        <f>IF(SUMIF('Detailed Budget'!$F$5:$F$1005,$B57,'Detailed Budget'!$AC$5:$AC$1005)&gt;0,SUMIF('Detailed Budget'!$F$5:$F$1005,$B57,'Detailed Budget'!$AC$5:$AC$1005),"")</f>
        <v/>
      </c>
      <c r="F57" s="44" t="str">
        <f>IF(SUMIF('Detailed Budget'!$F$5:$F$1005,$B57,'Detailed Budget'!$AE$5:$AE$1005)&gt;0,SUMIF('Detailed Budget'!$F$5:$F$1005,$B57,'Detailed Budget'!$AE$5:$AE$1005),"")</f>
        <v/>
      </c>
      <c r="G57" s="44" t="str">
        <f>IF(SUMIF('Detailed Budget'!$F$5:$F$1005,$B57,'Detailed Budget'!$AG$5:$AG$1005)&gt;0,SUMIF('Detailed Budget'!$F$5:$F$1005,$B57,'Detailed Budget'!$AG$5:$AG$1005),"")</f>
        <v/>
      </c>
      <c r="H57" s="45" t="str">
        <f>IF(SUMIF('Detailed Budget'!$F$5:$F$1005,$B57,'Detailed Budget'!$AI$5:$AI$1005)&gt;0,SUMIF('Detailed Budget'!$F$5:$F$1005,$B57,'Detailed Budget'!$AI$5:$AI$1005),"")</f>
        <v/>
      </c>
      <c r="I57" s="44" t="str">
        <f>IF(SUMIF('Detailed Budget'!$F$5:$F$1005,$B57,'Detailed Budget'!$AN$5:$AN$1005)&gt;0,SUMIF('Detailed Budget'!$F$5:$F$1005,$B57,'Detailed Budget'!$AN$5:$AN$1005),"")</f>
        <v/>
      </c>
      <c r="J57" s="44" t="str">
        <f>IF(SUMIF('Detailed Budget'!$F$5:$F$1005,$B57,'Detailed Budget'!$AP$5:$AP$1005)&gt;0,SUMIF('Detailed Budget'!$F$5:$F$1005,$B57,'Detailed Budget'!$AP$5:$AP$1005),"")</f>
        <v/>
      </c>
      <c r="K57" s="44" t="str">
        <f>IF(SUMIF('Detailed Budget'!$F$5:$F$1005,$B57,'Detailed Budget'!$AR$5:$AR$1005)&gt;0,SUMIF('Detailed Budget'!$F$5:$F$1005,$B57,'Detailed Budget'!$AR$5:$AR$1005),"")</f>
        <v/>
      </c>
      <c r="L57" s="44" t="str">
        <f>IF(SUMIF('Detailed Budget'!$F$5:$F$1005,$B57,'Detailed Budget'!$AT$5:$AT$1005)&gt;0,SUMIF('Detailed Budget'!$F$5:$F$1005,$B57,'Detailed Budget'!$AT$5:$AT$1005),"")</f>
        <v/>
      </c>
      <c r="M57" s="45" t="str">
        <f>IF(SUMIF('Detailed Budget'!$F$5:$F$1005,$B57,'Detailed Budget'!$AV$5:$AV$1005)&gt;0,SUMIF('Detailed Budget'!$F$5:$F$1005,$B57,'Detailed Budget'!$AV$5:$AV$1005),"")</f>
        <v/>
      </c>
      <c r="N57" s="44" t="str">
        <f>IF(SUMIF('Detailed Budget'!$F$5:$F$1005,$B57,'Detailed Budget'!$BA$5:$BA$1005)&gt;0,SUMIF('Detailed Budget'!$F$5:$F$1005,$B57,'Detailed Budget'!$BA$5:$BA$1005),"")</f>
        <v/>
      </c>
      <c r="O57" s="44" t="str">
        <f>IF(SUMIF('Detailed Budget'!$F$5:$F$1005,$B57,'Detailed Budget'!$BC$5:$BC$1005)&gt;0,SUMIF('Detailed Budget'!$F$5:$F$1005,$B57,'Detailed Budget'!$BC$5:$BC$1005),"")</f>
        <v/>
      </c>
      <c r="P57" s="44" t="str">
        <f>IF(SUMIF('Detailed Budget'!$F$5:$F$1005,$B57,'Detailed Budget'!$BE$5:$BE$1005)&gt;0,SUMIF('Detailed Budget'!$F$5:$F$1005,$B57,'Detailed Budget'!$BE$5:$BE$1005),"")</f>
        <v/>
      </c>
      <c r="Q57" s="44" t="str">
        <f>IF(SUMIF('Detailed Budget'!$F$5:$F$1005,$B57,'Detailed Budget'!$BG$5:$BG$1005)&gt;0,SUMIF('Detailed Budget'!$F$5:$F$1005,$B57,'Detailed Budget'!$BG$5:$BG$1005),"")</f>
        <v/>
      </c>
      <c r="R57" s="45" t="str">
        <f>IF(SUMIF('Detailed Budget'!$F$5:$F$1005,$B57,'Detailed Budget'!$BI$5:$BI$1005)&gt;0,SUMIF('Detailed Budget'!$F$5:$F$1005,$B57,'Detailed Budget'!$BI$5:$BI$1005),"")</f>
        <v/>
      </c>
      <c r="S57" s="44" t="str">
        <f>IF(SUMIF('Detailed Budget'!$F$5:$F$1005,$B57,'Detailed Budget'!$BN$5:$BN$1005)&gt;0,SUMIF('Detailed Budget'!$F$5:$F$1005,$B57,'Detailed Budget'!$BN$5:$BN$1005),"")</f>
        <v/>
      </c>
      <c r="T57" s="44" t="str">
        <f>IF(SUMIF('Detailed Budget'!$F$5:$F$1005,$B57,'Detailed Budget'!$BP$5:$BP$1005)&gt;0,SUMIF('Detailed Budget'!$F$5:$F$1005,$B57,'Detailed Budget'!$BP$5:$BP$1005),"")</f>
        <v/>
      </c>
      <c r="U57" s="44" t="str">
        <f>IF(SUMIF('Detailed Budget'!$F$5:$F$1005,$B57,'Detailed Budget'!$BR$5:$BR$1005)&gt;0,SUMIF('Detailed Budget'!$F$5:$F$1005,$B57,'Detailed Budget'!$BR$5:$BR$1005),"")</f>
        <v/>
      </c>
      <c r="V57" s="44" t="str">
        <f>IF(SUMIF('Detailed Budget'!$F$5:$F$1005,$B56,'Detailed Budget'!$BT$5:$BT$1005)&gt;0,SUMIF('Detailed Budget'!$F$5:$F$1005,$B56,'Detailed Budget'!$BT$5:$BT$1005),"")</f>
        <v/>
      </c>
      <c r="W57" s="45" t="str">
        <f>IF(SUMIF('Detailed Budget'!$F$5:$F$1005,$B57,'Detailed Budget'!$BV$5:$BV$1005)&gt;0,SUMIF('Detailed Budget'!$F$5:$F$1005,$B57,'Detailed Budget'!$BV$5:$BV$1005),"")</f>
        <v/>
      </c>
      <c r="X57" s="44" t="str">
        <f t="shared" si="0"/>
        <v/>
      </c>
      <c r="Y57" s="124" t="str">
        <f t="shared" si="1"/>
        <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row>
    <row r="58" spans="1:63" s="35" customFormat="1" ht="15" hidden="1" x14ac:dyDescent="0.25">
      <c r="A58" s="42"/>
      <c r="B58" s="81" t="str">
        <f t="array" ref="B58">IFERROR(INDEX(IntIdList,MATCH(0,COUNTIF(IntIdList,"&lt;"&amp;IntIdList)-SUM(COUNTIF(IntIdList,B$16:B57)),0)),"")</f>
        <v/>
      </c>
      <c r="C58" s="43" t="str">
        <f>IFERROR(INDEX('Data Sheet'!$D$29:$D$174,MATCH(B58,'Data Sheet'!$E$29:$E$174,0)) &amp; " - " &amp; INDEX('Data Sheet'!$C$29:$C$174,MATCH(B58,'Data Sheet'!$E$29:$E$174,0)),"")</f>
        <v/>
      </c>
      <c r="D58" s="44" t="str">
        <f>IF(SUMIF('Detailed Budget'!$F$5:$F$1005,$B58,'Detailed Budget'!$AA$5:$AA$1005)&gt;0,SUMIF('Detailed Budget'!$F$5:$F$1005,$B58,'Detailed Budget'!$AA$5:$AA$1005),"")</f>
        <v/>
      </c>
      <c r="E58" s="44" t="str">
        <f>IF(SUMIF('Detailed Budget'!$F$5:$F$1005,$B58,'Detailed Budget'!$AC$5:$AC$1005)&gt;0,SUMIF('Detailed Budget'!$F$5:$F$1005,$B58,'Detailed Budget'!$AC$5:$AC$1005),"")</f>
        <v/>
      </c>
      <c r="F58" s="44" t="str">
        <f>IF(SUMIF('Detailed Budget'!$F$5:$F$1005,$B58,'Detailed Budget'!$AE$5:$AE$1005)&gt;0,SUMIF('Detailed Budget'!$F$5:$F$1005,$B58,'Detailed Budget'!$AE$5:$AE$1005),"")</f>
        <v/>
      </c>
      <c r="G58" s="44" t="str">
        <f>IF(SUMIF('Detailed Budget'!$F$5:$F$1005,$B58,'Detailed Budget'!$AG$5:$AG$1005)&gt;0,SUMIF('Detailed Budget'!$F$5:$F$1005,$B58,'Detailed Budget'!$AG$5:$AG$1005),"")</f>
        <v/>
      </c>
      <c r="H58" s="45" t="str">
        <f>IF(SUMIF('Detailed Budget'!$F$5:$F$1005,$B58,'Detailed Budget'!$AI$5:$AI$1005)&gt;0,SUMIF('Detailed Budget'!$F$5:$F$1005,$B58,'Detailed Budget'!$AI$5:$AI$1005),"")</f>
        <v/>
      </c>
      <c r="I58" s="44" t="str">
        <f>IF(SUMIF('Detailed Budget'!$F$5:$F$1005,$B58,'Detailed Budget'!$AN$5:$AN$1005)&gt;0,SUMIF('Detailed Budget'!$F$5:$F$1005,$B58,'Detailed Budget'!$AN$5:$AN$1005),"")</f>
        <v/>
      </c>
      <c r="J58" s="44" t="str">
        <f>IF(SUMIF('Detailed Budget'!$F$5:$F$1005,$B58,'Detailed Budget'!$AP$5:$AP$1005)&gt;0,SUMIF('Detailed Budget'!$F$5:$F$1005,$B58,'Detailed Budget'!$AP$5:$AP$1005),"")</f>
        <v/>
      </c>
      <c r="K58" s="44" t="str">
        <f>IF(SUMIF('Detailed Budget'!$F$5:$F$1005,$B58,'Detailed Budget'!$AR$5:$AR$1005)&gt;0,SUMIF('Detailed Budget'!$F$5:$F$1005,$B58,'Detailed Budget'!$AR$5:$AR$1005),"")</f>
        <v/>
      </c>
      <c r="L58" s="44" t="str">
        <f>IF(SUMIF('Detailed Budget'!$F$5:$F$1005,$B58,'Detailed Budget'!$AT$5:$AT$1005)&gt;0,SUMIF('Detailed Budget'!$F$5:$F$1005,$B58,'Detailed Budget'!$AT$5:$AT$1005),"")</f>
        <v/>
      </c>
      <c r="M58" s="45" t="str">
        <f>IF(SUMIF('Detailed Budget'!$F$5:$F$1005,$B58,'Detailed Budget'!$AV$5:$AV$1005)&gt;0,SUMIF('Detailed Budget'!$F$5:$F$1005,$B58,'Detailed Budget'!$AV$5:$AV$1005),"")</f>
        <v/>
      </c>
      <c r="N58" s="44" t="str">
        <f>IF(SUMIF('Detailed Budget'!$F$5:$F$1005,$B58,'Detailed Budget'!$BA$5:$BA$1005)&gt;0,SUMIF('Detailed Budget'!$F$5:$F$1005,$B58,'Detailed Budget'!$BA$5:$BA$1005),"")</f>
        <v/>
      </c>
      <c r="O58" s="44" t="str">
        <f>IF(SUMIF('Detailed Budget'!$F$5:$F$1005,$B58,'Detailed Budget'!$BC$5:$BC$1005)&gt;0,SUMIF('Detailed Budget'!$F$5:$F$1005,$B58,'Detailed Budget'!$BC$5:$BC$1005),"")</f>
        <v/>
      </c>
      <c r="P58" s="44" t="str">
        <f>IF(SUMIF('Detailed Budget'!$F$5:$F$1005,$B58,'Detailed Budget'!$BE$5:$BE$1005)&gt;0,SUMIF('Detailed Budget'!$F$5:$F$1005,$B58,'Detailed Budget'!$BE$5:$BE$1005),"")</f>
        <v/>
      </c>
      <c r="Q58" s="44" t="str">
        <f>IF(SUMIF('Detailed Budget'!$F$5:$F$1005,$B58,'Detailed Budget'!$BG$5:$BG$1005)&gt;0,SUMIF('Detailed Budget'!$F$5:$F$1005,$B58,'Detailed Budget'!$BG$5:$BG$1005),"")</f>
        <v/>
      </c>
      <c r="R58" s="45" t="str">
        <f>IF(SUMIF('Detailed Budget'!$F$5:$F$1005,$B58,'Detailed Budget'!$BI$5:$BI$1005)&gt;0,SUMIF('Detailed Budget'!$F$5:$F$1005,$B58,'Detailed Budget'!$BI$5:$BI$1005),"")</f>
        <v/>
      </c>
      <c r="S58" s="44" t="str">
        <f>IF(SUMIF('Detailed Budget'!$F$5:$F$1005,$B58,'Detailed Budget'!$BN$5:$BN$1005)&gt;0,SUMIF('Detailed Budget'!$F$5:$F$1005,$B58,'Detailed Budget'!$BN$5:$BN$1005),"")</f>
        <v/>
      </c>
      <c r="T58" s="44" t="str">
        <f>IF(SUMIF('Detailed Budget'!$F$5:$F$1005,$B58,'Detailed Budget'!$BP$5:$BP$1005)&gt;0,SUMIF('Detailed Budget'!$F$5:$F$1005,$B58,'Detailed Budget'!$BP$5:$BP$1005),"")</f>
        <v/>
      </c>
      <c r="U58" s="44" t="str">
        <f>IF(SUMIF('Detailed Budget'!$F$5:$F$1005,$B58,'Detailed Budget'!$BR$5:$BR$1005)&gt;0,SUMIF('Detailed Budget'!$F$5:$F$1005,$B58,'Detailed Budget'!$BR$5:$BR$1005),"")</f>
        <v/>
      </c>
      <c r="V58" s="44" t="str">
        <f>IF(SUMIF('Detailed Budget'!$F$5:$F$1005,$B57,'Detailed Budget'!$BT$5:$BT$1005)&gt;0,SUMIF('Detailed Budget'!$F$5:$F$1005,$B57,'Detailed Budget'!$BT$5:$BT$1005),"")</f>
        <v/>
      </c>
      <c r="W58" s="45" t="str">
        <f>IF(SUMIF('Detailed Budget'!$F$5:$F$1005,$B58,'Detailed Budget'!$BV$5:$BV$1005)&gt;0,SUMIF('Detailed Budget'!$F$5:$F$1005,$B58,'Detailed Budget'!$BV$5:$BV$1005),"")</f>
        <v/>
      </c>
      <c r="X58" s="44" t="str">
        <f t="shared" si="0"/>
        <v/>
      </c>
      <c r="Y58" s="124" t="str">
        <f t="shared" si="1"/>
        <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row>
    <row r="59" spans="1:63" s="35" customFormat="1" ht="15" hidden="1" x14ac:dyDescent="0.25">
      <c r="A59" s="42"/>
      <c r="B59" s="81" t="str">
        <f t="array" ref="B59">IFERROR(INDEX(IntIdList,MATCH(0,COUNTIF(IntIdList,"&lt;"&amp;IntIdList)-SUM(COUNTIF(IntIdList,B$16:B58)),0)),"")</f>
        <v/>
      </c>
      <c r="C59" s="43" t="str">
        <f>IFERROR(INDEX('Data Sheet'!$D$29:$D$174,MATCH(B59,'Data Sheet'!$E$29:$E$174,0)) &amp; " - " &amp; INDEX('Data Sheet'!$C$29:$C$174,MATCH(B59,'Data Sheet'!$E$29:$E$174,0)),"")</f>
        <v/>
      </c>
      <c r="D59" s="44" t="str">
        <f>IF(SUMIF('Detailed Budget'!$F$5:$F$1005,$B59,'Detailed Budget'!$AA$5:$AA$1005)&gt;0,SUMIF('Detailed Budget'!$F$5:$F$1005,$B59,'Detailed Budget'!$AA$5:$AA$1005),"")</f>
        <v/>
      </c>
      <c r="E59" s="44" t="str">
        <f>IF(SUMIF('Detailed Budget'!$F$5:$F$1005,$B59,'Detailed Budget'!$AC$5:$AC$1005)&gt;0,SUMIF('Detailed Budget'!$F$5:$F$1005,$B59,'Detailed Budget'!$AC$5:$AC$1005),"")</f>
        <v/>
      </c>
      <c r="F59" s="44" t="str">
        <f>IF(SUMIF('Detailed Budget'!$F$5:$F$1005,$B59,'Detailed Budget'!$AE$5:$AE$1005)&gt;0,SUMIF('Detailed Budget'!$F$5:$F$1005,$B59,'Detailed Budget'!$AE$5:$AE$1005),"")</f>
        <v/>
      </c>
      <c r="G59" s="44" t="str">
        <f>IF(SUMIF('Detailed Budget'!$F$5:$F$1005,$B59,'Detailed Budget'!$AG$5:$AG$1005)&gt;0,SUMIF('Detailed Budget'!$F$5:$F$1005,$B59,'Detailed Budget'!$AG$5:$AG$1005),"")</f>
        <v/>
      </c>
      <c r="H59" s="45" t="str">
        <f>IF(SUMIF('Detailed Budget'!$F$5:$F$1005,$B59,'Detailed Budget'!$AI$5:$AI$1005)&gt;0,SUMIF('Detailed Budget'!$F$5:$F$1005,$B59,'Detailed Budget'!$AI$5:$AI$1005),"")</f>
        <v/>
      </c>
      <c r="I59" s="44" t="str">
        <f>IF(SUMIF('Detailed Budget'!$F$5:$F$1005,$B59,'Detailed Budget'!$AN$5:$AN$1005)&gt;0,SUMIF('Detailed Budget'!$F$5:$F$1005,$B59,'Detailed Budget'!$AN$5:$AN$1005),"")</f>
        <v/>
      </c>
      <c r="J59" s="44" t="str">
        <f>IF(SUMIF('Detailed Budget'!$F$5:$F$1005,$B59,'Detailed Budget'!$AP$5:$AP$1005)&gt;0,SUMIF('Detailed Budget'!$F$5:$F$1005,$B59,'Detailed Budget'!$AP$5:$AP$1005),"")</f>
        <v/>
      </c>
      <c r="K59" s="44" t="str">
        <f>IF(SUMIF('Detailed Budget'!$F$5:$F$1005,$B59,'Detailed Budget'!$AR$5:$AR$1005)&gt;0,SUMIF('Detailed Budget'!$F$5:$F$1005,$B59,'Detailed Budget'!$AR$5:$AR$1005),"")</f>
        <v/>
      </c>
      <c r="L59" s="44" t="str">
        <f>IF(SUMIF('Detailed Budget'!$F$5:$F$1005,$B59,'Detailed Budget'!$AT$5:$AT$1005)&gt;0,SUMIF('Detailed Budget'!$F$5:$F$1005,$B59,'Detailed Budget'!$AT$5:$AT$1005),"")</f>
        <v/>
      </c>
      <c r="M59" s="45" t="str">
        <f>IF(SUMIF('Detailed Budget'!$F$5:$F$1005,$B59,'Detailed Budget'!$AV$5:$AV$1005)&gt;0,SUMIF('Detailed Budget'!$F$5:$F$1005,$B59,'Detailed Budget'!$AV$5:$AV$1005),"")</f>
        <v/>
      </c>
      <c r="N59" s="44" t="str">
        <f>IF(SUMIF('Detailed Budget'!$F$5:$F$1005,$B59,'Detailed Budget'!$BA$5:$BA$1005)&gt;0,SUMIF('Detailed Budget'!$F$5:$F$1005,$B59,'Detailed Budget'!$BA$5:$BA$1005),"")</f>
        <v/>
      </c>
      <c r="O59" s="44" t="str">
        <f>IF(SUMIF('Detailed Budget'!$F$5:$F$1005,$B59,'Detailed Budget'!$BC$5:$BC$1005)&gt;0,SUMIF('Detailed Budget'!$F$5:$F$1005,$B59,'Detailed Budget'!$BC$5:$BC$1005),"")</f>
        <v/>
      </c>
      <c r="P59" s="44" t="str">
        <f>IF(SUMIF('Detailed Budget'!$F$5:$F$1005,$B59,'Detailed Budget'!$BE$5:$BE$1005)&gt;0,SUMIF('Detailed Budget'!$F$5:$F$1005,$B59,'Detailed Budget'!$BE$5:$BE$1005),"")</f>
        <v/>
      </c>
      <c r="Q59" s="44" t="str">
        <f>IF(SUMIF('Detailed Budget'!$F$5:$F$1005,$B59,'Detailed Budget'!$BG$5:$BG$1005)&gt;0,SUMIF('Detailed Budget'!$F$5:$F$1005,$B59,'Detailed Budget'!$BG$5:$BG$1005),"")</f>
        <v/>
      </c>
      <c r="R59" s="45" t="str">
        <f>IF(SUMIF('Detailed Budget'!$F$5:$F$1005,$B59,'Detailed Budget'!$BI$5:$BI$1005)&gt;0,SUMIF('Detailed Budget'!$F$5:$F$1005,$B59,'Detailed Budget'!$BI$5:$BI$1005),"")</f>
        <v/>
      </c>
      <c r="S59" s="44" t="str">
        <f>IF(SUMIF('Detailed Budget'!$F$5:$F$1005,$B59,'Detailed Budget'!$BN$5:$BN$1005)&gt;0,SUMIF('Detailed Budget'!$F$5:$F$1005,$B59,'Detailed Budget'!$BN$5:$BN$1005),"")</f>
        <v/>
      </c>
      <c r="T59" s="44" t="str">
        <f>IF(SUMIF('Detailed Budget'!$F$5:$F$1005,$B59,'Detailed Budget'!$BP$5:$BP$1005)&gt;0,SUMIF('Detailed Budget'!$F$5:$F$1005,$B59,'Detailed Budget'!$BP$5:$BP$1005),"")</f>
        <v/>
      </c>
      <c r="U59" s="44" t="str">
        <f>IF(SUMIF('Detailed Budget'!$F$5:$F$1005,$B59,'Detailed Budget'!$BR$5:$BR$1005)&gt;0,SUMIF('Detailed Budget'!$F$5:$F$1005,$B59,'Detailed Budget'!$BR$5:$BR$1005),"")</f>
        <v/>
      </c>
      <c r="V59" s="44" t="str">
        <f>IF(SUMIF('Detailed Budget'!$F$5:$F$1005,$B58,'Detailed Budget'!$BT$5:$BT$1005)&gt;0,SUMIF('Detailed Budget'!$F$5:$F$1005,$B58,'Detailed Budget'!$BT$5:$BT$1005),"")</f>
        <v/>
      </c>
      <c r="W59" s="45" t="str">
        <f>IF(SUMIF('Detailed Budget'!$F$5:$F$1005,$B59,'Detailed Budget'!$BV$5:$BV$1005)&gt;0,SUMIF('Detailed Budget'!$F$5:$F$1005,$B59,'Detailed Budget'!$BV$5:$BV$1005),"")</f>
        <v/>
      </c>
      <c r="X59" s="44" t="str">
        <f t="shared" si="0"/>
        <v/>
      </c>
      <c r="Y59" s="124" t="str">
        <f t="shared" si="1"/>
        <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row>
    <row r="60" spans="1:63" s="35" customFormat="1" ht="15" hidden="1" x14ac:dyDescent="0.25">
      <c r="A60" s="42"/>
      <c r="B60" s="81" t="str">
        <f t="array" ref="B60">IFERROR(INDEX(IntIdList,MATCH(0,COUNTIF(IntIdList,"&lt;"&amp;IntIdList)-SUM(COUNTIF(IntIdList,B$16:B59)),0)),"")</f>
        <v/>
      </c>
      <c r="C60" s="43" t="str">
        <f>IFERROR(INDEX('Data Sheet'!$D$29:$D$174,MATCH(B60,'Data Sheet'!$E$29:$E$174,0)) &amp; " - " &amp; INDEX('Data Sheet'!$C$29:$C$174,MATCH(B60,'Data Sheet'!$E$29:$E$174,0)),"")</f>
        <v/>
      </c>
      <c r="D60" s="44" t="str">
        <f>IF(SUMIF('Detailed Budget'!$F$5:$F$1005,$B60,'Detailed Budget'!$AA$5:$AA$1005)&gt;0,SUMIF('Detailed Budget'!$F$5:$F$1005,$B60,'Detailed Budget'!$AA$5:$AA$1005),"")</f>
        <v/>
      </c>
      <c r="E60" s="44" t="str">
        <f>IF(SUMIF('Detailed Budget'!$F$5:$F$1005,$B60,'Detailed Budget'!$AC$5:$AC$1005)&gt;0,SUMIF('Detailed Budget'!$F$5:$F$1005,$B60,'Detailed Budget'!$AC$5:$AC$1005),"")</f>
        <v/>
      </c>
      <c r="F60" s="44" t="str">
        <f>IF(SUMIF('Detailed Budget'!$F$5:$F$1005,$B60,'Detailed Budget'!$AE$5:$AE$1005)&gt;0,SUMIF('Detailed Budget'!$F$5:$F$1005,$B60,'Detailed Budget'!$AE$5:$AE$1005),"")</f>
        <v/>
      </c>
      <c r="G60" s="44" t="str">
        <f>IF(SUMIF('Detailed Budget'!$F$5:$F$1005,$B60,'Detailed Budget'!$AG$5:$AG$1005)&gt;0,SUMIF('Detailed Budget'!$F$5:$F$1005,$B60,'Detailed Budget'!$AG$5:$AG$1005),"")</f>
        <v/>
      </c>
      <c r="H60" s="45" t="str">
        <f>IF(SUMIF('Detailed Budget'!$F$5:$F$1005,$B60,'Detailed Budget'!$AI$5:$AI$1005)&gt;0,SUMIF('Detailed Budget'!$F$5:$F$1005,$B60,'Detailed Budget'!$AI$5:$AI$1005),"")</f>
        <v/>
      </c>
      <c r="I60" s="44" t="str">
        <f>IF(SUMIF('Detailed Budget'!$F$5:$F$1005,$B60,'Detailed Budget'!$AN$5:$AN$1005)&gt;0,SUMIF('Detailed Budget'!$F$5:$F$1005,$B60,'Detailed Budget'!$AN$5:$AN$1005),"")</f>
        <v/>
      </c>
      <c r="J60" s="44" t="str">
        <f>IF(SUMIF('Detailed Budget'!$F$5:$F$1005,$B60,'Detailed Budget'!$AP$5:$AP$1005)&gt;0,SUMIF('Detailed Budget'!$F$5:$F$1005,$B60,'Detailed Budget'!$AP$5:$AP$1005),"")</f>
        <v/>
      </c>
      <c r="K60" s="44" t="str">
        <f>IF(SUMIF('Detailed Budget'!$F$5:$F$1005,$B60,'Detailed Budget'!$AR$5:$AR$1005)&gt;0,SUMIF('Detailed Budget'!$F$5:$F$1005,$B60,'Detailed Budget'!$AR$5:$AR$1005),"")</f>
        <v/>
      </c>
      <c r="L60" s="44" t="str">
        <f>IF(SUMIF('Detailed Budget'!$F$5:$F$1005,$B60,'Detailed Budget'!$AT$5:$AT$1005)&gt;0,SUMIF('Detailed Budget'!$F$5:$F$1005,$B60,'Detailed Budget'!$AT$5:$AT$1005),"")</f>
        <v/>
      </c>
      <c r="M60" s="45" t="str">
        <f>IF(SUMIF('Detailed Budget'!$F$5:$F$1005,$B60,'Detailed Budget'!$AV$5:$AV$1005)&gt;0,SUMIF('Detailed Budget'!$F$5:$F$1005,$B60,'Detailed Budget'!$AV$5:$AV$1005),"")</f>
        <v/>
      </c>
      <c r="N60" s="44" t="str">
        <f>IF(SUMIF('Detailed Budget'!$F$5:$F$1005,$B60,'Detailed Budget'!$BA$5:$BA$1005)&gt;0,SUMIF('Detailed Budget'!$F$5:$F$1005,$B60,'Detailed Budget'!$BA$5:$BA$1005),"")</f>
        <v/>
      </c>
      <c r="O60" s="44" t="str">
        <f>IF(SUMIF('Detailed Budget'!$F$5:$F$1005,$B60,'Detailed Budget'!$BC$5:$BC$1005)&gt;0,SUMIF('Detailed Budget'!$F$5:$F$1005,$B60,'Detailed Budget'!$BC$5:$BC$1005),"")</f>
        <v/>
      </c>
      <c r="P60" s="44" t="str">
        <f>IF(SUMIF('Detailed Budget'!$F$5:$F$1005,$B60,'Detailed Budget'!$BE$5:$BE$1005)&gt;0,SUMIF('Detailed Budget'!$F$5:$F$1005,$B60,'Detailed Budget'!$BE$5:$BE$1005),"")</f>
        <v/>
      </c>
      <c r="Q60" s="44" t="str">
        <f>IF(SUMIF('Detailed Budget'!$F$5:$F$1005,$B60,'Detailed Budget'!$BG$5:$BG$1005)&gt;0,SUMIF('Detailed Budget'!$F$5:$F$1005,$B60,'Detailed Budget'!$BG$5:$BG$1005),"")</f>
        <v/>
      </c>
      <c r="R60" s="45" t="str">
        <f>IF(SUMIF('Detailed Budget'!$F$5:$F$1005,$B60,'Detailed Budget'!$BI$5:$BI$1005)&gt;0,SUMIF('Detailed Budget'!$F$5:$F$1005,$B60,'Detailed Budget'!$BI$5:$BI$1005),"")</f>
        <v/>
      </c>
      <c r="S60" s="44" t="str">
        <f>IF(SUMIF('Detailed Budget'!$F$5:$F$1005,$B60,'Detailed Budget'!$BN$5:$BN$1005)&gt;0,SUMIF('Detailed Budget'!$F$5:$F$1005,$B60,'Detailed Budget'!$BN$5:$BN$1005),"")</f>
        <v/>
      </c>
      <c r="T60" s="44" t="str">
        <f>IF(SUMIF('Detailed Budget'!$F$5:$F$1005,$B60,'Detailed Budget'!$BP$5:$BP$1005)&gt;0,SUMIF('Detailed Budget'!$F$5:$F$1005,$B60,'Detailed Budget'!$BP$5:$BP$1005),"")</f>
        <v/>
      </c>
      <c r="U60" s="44" t="str">
        <f>IF(SUMIF('Detailed Budget'!$F$5:$F$1005,$B60,'Detailed Budget'!$BR$5:$BR$1005)&gt;0,SUMIF('Detailed Budget'!$F$5:$F$1005,$B60,'Detailed Budget'!$BR$5:$BR$1005),"")</f>
        <v/>
      </c>
      <c r="V60" s="44" t="str">
        <f>IF(SUMIF('Detailed Budget'!$F$5:$F$1005,$B59,'Detailed Budget'!$BT$5:$BT$1005)&gt;0,SUMIF('Detailed Budget'!$F$5:$F$1005,$B59,'Detailed Budget'!$BT$5:$BT$1005),"")</f>
        <v/>
      </c>
      <c r="W60" s="45" t="str">
        <f>IF(SUMIF('Detailed Budget'!$F$5:$F$1005,$B60,'Detailed Budget'!$BV$5:$BV$1005)&gt;0,SUMIF('Detailed Budget'!$F$5:$F$1005,$B60,'Detailed Budget'!$BV$5:$BV$1005),"")</f>
        <v/>
      </c>
      <c r="X60" s="44" t="str">
        <f t="shared" si="0"/>
        <v/>
      </c>
      <c r="Y60" s="124" t="str">
        <f t="shared" si="1"/>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row>
    <row r="61" spans="1:63" s="35" customFormat="1" ht="15" hidden="1" x14ac:dyDescent="0.25">
      <c r="A61" s="42"/>
      <c r="B61" s="81" t="str">
        <f t="array" ref="B61">IFERROR(INDEX(IntIdList,MATCH(0,COUNTIF(IntIdList,"&lt;"&amp;IntIdList)-SUM(COUNTIF(IntIdList,B$16:B60)),0)),"")</f>
        <v/>
      </c>
      <c r="C61" s="43" t="str">
        <f>IFERROR(INDEX('Data Sheet'!$D$29:$D$174,MATCH(B61,'Data Sheet'!$E$29:$E$174,0)) &amp; " - " &amp; INDEX('Data Sheet'!$C$29:$C$174,MATCH(B61,'Data Sheet'!$E$29:$E$174,0)),"")</f>
        <v/>
      </c>
      <c r="D61" s="44" t="str">
        <f>IF(SUMIF('Detailed Budget'!$F$5:$F$1005,$B61,'Detailed Budget'!$AA$5:$AA$1005)&gt;0,SUMIF('Detailed Budget'!$F$5:$F$1005,$B61,'Detailed Budget'!$AA$5:$AA$1005),"")</f>
        <v/>
      </c>
      <c r="E61" s="44" t="str">
        <f>IF(SUMIF('Detailed Budget'!$F$5:$F$1005,$B61,'Detailed Budget'!$AC$5:$AC$1005)&gt;0,SUMIF('Detailed Budget'!$F$5:$F$1005,$B61,'Detailed Budget'!$AC$5:$AC$1005),"")</f>
        <v/>
      </c>
      <c r="F61" s="44" t="str">
        <f>IF(SUMIF('Detailed Budget'!$F$5:$F$1005,$B61,'Detailed Budget'!$AE$5:$AE$1005)&gt;0,SUMIF('Detailed Budget'!$F$5:$F$1005,$B61,'Detailed Budget'!$AE$5:$AE$1005),"")</f>
        <v/>
      </c>
      <c r="G61" s="44" t="str">
        <f>IF(SUMIF('Detailed Budget'!$F$5:$F$1005,$B61,'Detailed Budget'!$AG$5:$AG$1005)&gt;0,SUMIF('Detailed Budget'!$F$5:$F$1005,$B61,'Detailed Budget'!$AG$5:$AG$1005),"")</f>
        <v/>
      </c>
      <c r="H61" s="45" t="str">
        <f>IF(SUMIF('Detailed Budget'!$F$5:$F$1005,$B61,'Detailed Budget'!$AI$5:$AI$1005)&gt;0,SUMIF('Detailed Budget'!$F$5:$F$1005,$B61,'Detailed Budget'!$AI$5:$AI$1005),"")</f>
        <v/>
      </c>
      <c r="I61" s="44" t="str">
        <f>IF(SUMIF('Detailed Budget'!$F$5:$F$1005,$B61,'Detailed Budget'!$AN$5:$AN$1005)&gt;0,SUMIF('Detailed Budget'!$F$5:$F$1005,$B61,'Detailed Budget'!$AN$5:$AN$1005),"")</f>
        <v/>
      </c>
      <c r="J61" s="44" t="str">
        <f>IF(SUMIF('Detailed Budget'!$F$5:$F$1005,$B61,'Detailed Budget'!$AP$5:$AP$1005)&gt;0,SUMIF('Detailed Budget'!$F$5:$F$1005,$B61,'Detailed Budget'!$AP$5:$AP$1005),"")</f>
        <v/>
      </c>
      <c r="K61" s="44" t="str">
        <f>IF(SUMIF('Detailed Budget'!$F$5:$F$1005,$B61,'Detailed Budget'!$AR$5:$AR$1005)&gt;0,SUMIF('Detailed Budget'!$F$5:$F$1005,$B61,'Detailed Budget'!$AR$5:$AR$1005),"")</f>
        <v/>
      </c>
      <c r="L61" s="44" t="str">
        <f>IF(SUMIF('Detailed Budget'!$F$5:$F$1005,$B61,'Detailed Budget'!$AT$5:$AT$1005)&gt;0,SUMIF('Detailed Budget'!$F$5:$F$1005,$B61,'Detailed Budget'!$AT$5:$AT$1005),"")</f>
        <v/>
      </c>
      <c r="M61" s="45" t="str">
        <f>IF(SUMIF('Detailed Budget'!$F$5:$F$1005,$B61,'Detailed Budget'!$AV$5:$AV$1005)&gt;0,SUMIF('Detailed Budget'!$F$5:$F$1005,$B61,'Detailed Budget'!$AV$5:$AV$1005),"")</f>
        <v/>
      </c>
      <c r="N61" s="44" t="str">
        <f>IF(SUMIF('Detailed Budget'!$F$5:$F$1005,$B61,'Detailed Budget'!$BA$5:$BA$1005)&gt;0,SUMIF('Detailed Budget'!$F$5:$F$1005,$B61,'Detailed Budget'!$BA$5:$BA$1005),"")</f>
        <v/>
      </c>
      <c r="O61" s="44" t="str">
        <f>IF(SUMIF('Detailed Budget'!$F$5:$F$1005,$B61,'Detailed Budget'!$BC$5:$BC$1005)&gt;0,SUMIF('Detailed Budget'!$F$5:$F$1005,$B61,'Detailed Budget'!$BC$5:$BC$1005),"")</f>
        <v/>
      </c>
      <c r="P61" s="44" t="str">
        <f>IF(SUMIF('Detailed Budget'!$F$5:$F$1005,$B61,'Detailed Budget'!$BE$5:$BE$1005)&gt;0,SUMIF('Detailed Budget'!$F$5:$F$1005,$B61,'Detailed Budget'!$BE$5:$BE$1005),"")</f>
        <v/>
      </c>
      <c r="Q61" s="44" t="str">
        <f>IF(SUMIF('Detailed Budget'!$F$5:$F$1005,$B61,'Detailed Budget'!$BG$5:$BG$1005)&gt;0,SUMIF('Detailed Budget'!$F$5:$F$1005,$B61,'Detailed Budget'!$BG$5:$BG$1005),"")</f>
        <v/>
      </c>
      <c r="R61" s="45" t="str">
        <f>IF(SUMIF('Detailed Budget'!$F$5:$F$1005,$B61,'Detailed Budget'!$BI$5:$BI$1005)&gt;0,SUMIF('Detailed Budget'!$F$5:$F$1005,$B61,'Detailed Budget'!$BI$5:$BI$1005),"")</f>
        <v/>
      </c>
      <c r="S61" s="44" t="str">
        <f>IF(SUMIF('Detailed Budget'!$F$5:$F$1005,$B61,'Detailed Budget'!$BN$5:$BN$1005)&gt;0,SUMIF('Detailed Budget'!$F$5:$F$1005,$B61,'Detailed Budget'!$BN$5:$BN$1005),"")</f>
        <v/>
      </c>
      <c r="T61" s="44" t="str">
        <f>IF(SUMIF('Detailed Budget'!$F$5:$F$1005,$B61,'Detailed Budget'!$BP$5:$BP$1005)&gt;0,SUMIF('Detailed Budget'!$F$5:$F$1005,$B61,'Detailed Budget'!$BP$5:$BP$1005),"")</f>
        <v/>
      </c>
      <c r="U61" s="44" t="str">
        <f>IF(SUMIF('Detailed Budget'!$F$5:$F$1005,$B61,'Detailed Budget'!$BR$5:$BR$1005)&gt;0,SUMIF('Detailed Budget'!$F$5:$F$1005,$B61,'Detailed Budget'!$BR$5:$BR$1005),"")</f>
        <v/>
      </c>
      <c r="V61" s="44" t="str">
        <f>IF(SUMIF('Detailed Budget'!$F$5:$F$1005,$B60,'Detailed Budget'!$BT$5:$BT$1005)&gt;0,SUMIF('Detailed Budget'!$F$5:$F$1005,$B60,'Detailed Budget'!$BT$5:$BT$1005),"")</f>
        <v/>
      </c>
      <c r="W61" s="45" t="str">
        <f>IF(SUMIF('Detailed Budget'!$F$5:$F$1005,$B61,'Detailed Budget'!$BV$5:$BV$1005)&gt;0,SUMIF('Detailed Budget'!$F$5:$F$1005,$B61,'Detailed Budget'!$BV$5:$BV$1005),"")</f>
        <v/>
      </c>
      <c r="X61" s="44" t="str">
        <f t="shared" ref="X61:X87" si="2">IF(SUM(H61,M61,R61,W61)&gt;0,SUM(H61,M61,R61,W61),"")</f>
        <v/>
      </c>
      <c r="Y61" s="124" t="str">
        <f t="shared" si="1"/>
        <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row>
    <row r="62" spans="1:63" s="35" customFormat="1" ht="15" hidden="1" x14ac:dyDescent="0.25">
      <c r="A62" s="42"/>
      <c r="B62" s="81" t="str">
        <f t="array" ref="B62">IFERROR(INDEX(IntIdList,MATCH(0,COUNTIF(IntIdList,"&lt;"&amp;IntIdList)-SUM(COUNTIF(IntIdList,B$16:B61)),0)),"")</f>
        <v/>
      </c>
      <c r="C62" s="43" t="str">
        <f>IFERROR(INDEX('Data Sheet'!$D$29:$D$174,MATCH(B62,'Data Sheet'!$E$29:$E$174,0)) &amp; " - " &amp; INDEX('Data Sheet'!$C$29:$C$174,MATCH(B62,'Data Sheet'!$E$29:$E$174,0)),"")</f>
        <v/>
      </c>
      <c r="D62" s="44" t="str">
        <f>IF(SUMIF('Detailed Budget'!$F$5:$F$1005,$B62,'Detailed Budget'!$AA$5:$AA$1005)&gt;0,SUMIF('Detailed Budget'!$F$5:$F$1005,$B62,'Detailed Budget'!$AA$5:$AA$1005),"")</f>
        <v/>
      </c>
      <c r="E62" s="44" t="str">
        <f>IF(SUMIF('Detailed Budget'!$F$5:$F$1005,$B62,'Detailed Budget'!$AC$5:$AC$1005)&gt;0,SUMIF('Detailed Budget'!$F$5:$F$1005,$B62,'Detailed Budget'!$AC$5:$AC$1005),"")</f>
        <v/>
      </c>
      <c r="F62" s="44" t="str">
        <f>IF(SUMIF('Detailed Budget'!$F$5:$F$1005,$B62,'Detailed Budget'!$AE$5:$AE$1005)&gt;0,SUMIF('Detailed Budget'!$F$5:$F$1005,$B62,'Detailed Budget'!$AE$5:$AE$1005),"")</f>
        <v/>
      </c>
      <c r="G62" s="44" t="str">
        <f>IF(SUMIF('Detailed Budget'!$F$5:$F$1005,$B62,'Detailed Budget'!$AG$5:$AG$1005)&gt;0,SUMIF('Detailed Budget'!$F$5:$F$1005,$B62,'Detailed Budget'!$AG$5:$AG$1005),"")</f>
        <v/>
      </c>
      <c r="H62" s="45" t="str">
        <f>IF(SUMIF('Detailed Budget'!$F$5:$F$1005,$B62,'Detailed Budget'!$AI$5:$AI$1005)&gt;0,SUMIF('Detailed Budget'!$F$5:$F$1005,$B62,'Detailed Budget'!$AI$5:$AI$1005),"")</f>
        <v/>
      </c>
      <c r="I62" s="44" t="str">
        <f>IF(SUMIF('Detailed Budget'!$F$5:$F$1005,$B62,'Detailed Budget'!$AN$5:$AN$1005)&gt;0,SUMIF('Detailed Budget'!$F$5:$F$1005,$B62,'Detailed Budget'!$AN$5:$AN$1005),"")</f>
        <v/>
      </c>
      <c r="J62" s="44" t="str">
        <f>IF(SUMIF('Detailed Budget'!$F$5:$F$1005,$B62,'Detailed Budget'!$AP$5:$AP$1005)&gt;0,SUMIF('Detailed Budget'!$F$5:$F$1005,$B62,'Detailed Budget'!$AP$5:$AP$1005),"")</f>
        <v/>
      </c>
      <c r="K62" s="44" t="str">
        <f>IF(SUMIF('Detailed Budget'!$F$5:$F$1005,$B62,'Detailed Budget'!$AR$5:$AR$1005)&gt;0,SUMIF('Detailed Budget'!$F$5:$F$1005,$B62,'Detailed Budget'!$AR$5:$AR$1005),"")</f>
        <v/>
      </c>
      <c r="L62" s="44" t="str">
        <f>IF(SUMIF('Detailed Budget'!$F$5:$F$1005,$B62,'Detailed Budget'!$AT$5:$AT$1005)&gt;0,SUMIF('Detailed Budget'!$F$5:$F$1005,$B62,'Detailed Budget'!$AT$5:$AT$1005),"")</f>
        <v/>
      </c>
      <c r="M62" s="45" t="str">
        <f>IF(SUMIF('Detailed Budget'!$F$5:$F$1005,$B62,'Detailed Budget'!$AV$5:$AV$1005)&gt;0,SUMIF('Detailed Budget'!$F$5:$F$1005,$B62,'Detailed Budget'!$AV$5:$AV$1005),"")</f>
        <v/>
      </c>
      <c r="N62" s="44" t="str">
        <f>IF(SUMIF('Detailed Budget'!$F$5:$F$1005,$B62,'Detailed Budget'!$BA$5:$BA$1005)&gt;0,SUMIF('Detailed Budget'!$F$5:$F$1005,$B62,'Detailed Budget'!$BA$5:$BA$1005),"")</f>
        <v/>
      </c>
      <c r="O62" s="44" t="str">
        <f>IF(SUMIF('Detailed Budget'!$F$5:$F$1005,$B62,'Detailed Budget'!$BC$5:$BC$1005)&gt;0,SUMIF('Detailed Budget'!$F$5:$F$1005,$B62,'Detailed Budget'!$BC$5:$BC$1005),"")</f>
        <v/>
      </c>
      <c r="P62" s="44" t="str">
        <f>IF(SUMIF('Detailed Budget'!$F$5:$F$1005,$B62,'Detailed Budget'!$BE$5:$BE$1005)&gt;0,SUMIF('Detailed Budget'!$F$5:$F$1005,$B62,'Detailed Budget'!$BE$5:$BE$1005),"")</f>
        <v/>
      </c>
      <c r="Q62" s="44" t="str">
        <f>IF(SUMIF('Detailed Budget'!$F$5:$F$1005,$B62,'Detailed Budget'!$BG$5:$BG$1005)&gt;0,SUMIF('Detailed Budget'!$F$5:$F$1005,$B62,'Detailed Budget'!$BG$5:$BG$1005),"")</f>
        <v/>
      </c>
      <c r="R62" s="45" t="str">
        <f>IF(SUMIF('Detailed Budget'!$F$5:$F$1005,$B62,'Detailed Budget'!$BI$5:$BI$1005)&gt;0,SUMIF('Detailed Budget'!$F$5:$F$1005,$B62,'Detailed Budget'!$BI$5:$BI$1005),"")</f>
        <v/>
      </c>
      <c r="S62" s="44" t="str">
        <f>IF(SUMIF('Detailed Budget'!$F$5:$F$1005,$B62,'Detailed Budget'!$BN$5:$BN$1005)&gt;0,SUMIF('Detailed Budget'!$F$5:$F$1005,$B62,'Detailed Budget'!$BN$5:$BN$1005),"")</f>
        <v/>
      </c>
      <c r="T62" s="44" t="str">
        <f>IF(SUMIF('Detailed Budget'!$F$5:$F$1005,$B62,'Detailed Budget'!$BP$5:$BP$1005)&gt;0,SUMIF('Detailed Budget'!$F$5:$F$1005,$B62,'Detailed Budget'!$BP$5:$BP$1005),"")</f>
        <v/>
      </c>
      <c r="U62" s="44" t="str">
        <f>IF(SUMIF('Detailed Budget'!$F$5:$F$1005,$B62,'Detailed Budget'!$BR$5:$BR$1005)&gt;0,SUMIF('Detailed Budget'!$F$5:$F$1005,$B62,'Detailed Budget'!$BR$5:$BR$1005),"")</f>
        <v/>
      </c>
      <c r="V62" s="44" t="str">
        <f>IF(SUMIF('Detailed Budget'!$F$5:$F$1005,$B61,'Detailed Budget'!$BT$5:$BT$1005)&gt;0,SUMIF('Detailed Budget'!$F$5:$F$1005,$B61,'Detailed Budget'!$BT$5:$BT$1005),"")</f>
        <v/>
      </c>
      <c r="W62" s="45" t="str">
        <f>IF(SUMIF('Detailed Budget'!$F$5:$F$1005,$B62,'Detailed Budget'!$BV$5:$BV$1005)&gt;0,SUMIF('Detailed Budget'!$F$5:$F$1005,$B62,'Detailed Budget'!$BV$5:$BV$1005),"")</f>
        <v/>
      </c>
      <c r="X62" s="44" t="str">
        <f t="shared" si="2"/>
        <v/>
      </c>
      <c r="Y62" s="124" t="str">
        <f t="shared" si="1"/>
        <v/>
      </c>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row>
    <row r="63" spans="1:63" s="35" customFormat="1" ht="15" hidden="1" x14ac:dyDescent="0.25">
      <c r="A63" s="42"/>
      <c r="B63" s="81" t="str">
        <f t="array" ref="B63">IFERROR(INDEX(IntIdList,MATCH(0,COUNTIF(IntIdList,"&lt;"&amp;IntIdList)-SUM(COUNTIF(IntIdList,B$16:B62)),0)),"")</f>
        <v/>
      </c>
      <c r="C63" s="43" t="str">
        <f>IFERROR(INDEX('Data Sheet'!$D$29:$D$174,MATCH(B63,'Data Sheet'!$E$29:$E$174,0)) &amp; " - " &amp; INDEX('Data Sheet'!$C$29:$C$174,MATCH(B63,'Data Sheet'!$E$29:$E$174,0)),"")</f>
        <v/>
      </c>
      <c r="D63" s="44" t="str">
        <f>IF(SUMIF('Detailed Budget'!$F$5:$F$1005,$B63,'Detailed Budget'!$AA$5:$AA$1005)&gt;0,SUMIF('Detailed Budget'!$F$5:$F$1005,$B63,'Detailed Budget'!$AA$5:$AA$1005),"")</f>
        <v/>
      </c>
      <c r="E63" s="44" t="str">
        <f>IF(SUMIF('Detailed Budget'!$F$5:$F$1005,$B63,'Detailed Budget'!$AC$5:$AC$1005)&gt;0,SUMIF('Detailed Budget'!$F$5:$F$1005,$B63,'Detailed Budget'!$AC$5:$AC$1005),"")</f>
        <v/>
      </c>
      <c r="F63" s="44" t="str">
        <f>IF(SUMIF('Detailed Budget'!$F$5:$F$1005,$B63,'Detailed Budget'!$AE$5:$AE$1005)&gt;0,SUMIF('Detailed Budget'!$F$5:$F$1005,$B63,'Detailed Budget'!$AE$5:$AE$1005),"")</f>
        <v/>
      </c>
      <c r="G63" s="44" t="str">
        <f>IF(SUMIF('Detailed Budget'!$F$5:$F$1005,$B63,'Detailed Budget'!$AG$5:$AG$1005)&gt;0,SUMIF('Detailed Budget'!$F$5:$F$1005,$B63,'Detailed Budget'!$AG$5:$AG$1005),"")</f>
        <v/>
      </c>
      <c r="H63" s="45" t="str">
        <f>IF(SUMIF('Detailed Budget'!$F$5:$F$1005,$B63,'Detailed Budget'!$AI$5:$AI$1005)&gt;0,SUMIF('Detailed Budget'!$F$5:$F$1005,$B63,'Detailed Budget'!$AI$5:$AI$1005),"")</f>
        <v/>
      </c>
      <c r="I63" s="44" t="str">
        <f>IF(SUMIF('Detailed Budget'!$F$5:$F$1005,$B63,'Detailed Budget'!$AN$5:$AN$1005)&gt;0,SUMIF('Detailed Budget'!$F$5:$F$1005,$B63,'Detailed Budget'!$AN$5:$AN$1005),"")</f>
        <v/>
      </c>
      <c r="J63" s="44" t="str">
        <f>IF(SUMIF('Detailed Budget'!$F$5:$F$1005,$B63,'Detailed Budget'!$AP$5:$AP$1005)&gt;0,SUMIF('Detailed Budget'!$F$5:$F$1005,$B63,'Detailed Budget'!$AP$5:$AP$1005),"")</f>
        <v/>
      </c>
      <c r="K63" s="44" t="str">
        <f>IF(SUMIF('Detailed Budget'!$F$5:$F$1005,$B63,'Detailed Budget'!$AR$5:$AR$1005)&gt;0,SUMIF('Detailed Budget'!$F$5:$F$1005,$B63,'Detailed Budget'!$AR$5:$AR$1005),"")</f>
        <v/>
      </c>
      <c r="L63" s="44" t="str">
        <f>IF(SUMIF('Detailed Budget'!$F$5:$F$1005,$B63,'Detailed Budget'!$AT$5:$AT$1005)&gt;0,SUMIF('Detailed Budget'!$F$5:$F$1005,$B63,'Detailed Budget'!$AT$5:$AT$1005),"")</f>
        <v/>
      </c>
      <c r="M63" s="45" t="str">
        <f>IF(SUMIF('Detailed Budget'!$F$5:$F$1005,$B63,'Detailed Budget'!$AV$5:$AV$1005)&gt;0,SUMIF('Detailed Budget'!$F$5:$F$1005,$B63,'Detailed Budget'!$AV$5:$AV$1005),"")</f>
        <v/>
      </c>
      <c r="N63" s="44" t="str">
        <f>IF(SUMIF('Detailed Budget'!$F$5:$F$1005,$B63,'Detailed Budget'!$BA$5:$BA$1005)&gt;0,SUMIF('Detailed Budget'!$F$5:$F$1005,$B63,'Detailed Budget'!$BA$5:$BA$1005),"")</f>
        <v/>
      </c>
      <c r="O63" s="44" t="str">
        <f>IF(SUMIF('Detailed Budget'!$F$5:$F$1005,$B63,'Detailed Budget'!$BC$5:$BC$1005)&gt;0,SUMIF('Detailed Budget'!$F$5:$F$1005,$B63,'Detailed Budget'!$BC$5:$BC$1005),"")</f>
        <v/>
      </c>
      <c r="P63" s="44" t="str">
        <f>IF(SUMIF('Detailed Budget'!$F$5:$F$1005,$B63,'Detailed Budget'!$BE$5:$BE$1005)&gt;0,SUMIF('Detailed Budget'!$F$5:$F$1005,$B63,'Detailed Budget'!$BE$5:$BE$1005),"")</f>
        <v/>
      </c>
      <c r="Q63" s="44" t="str">
        <f>IF(SUMIF('Detailed Budget'!$F$5:$F$1005,$B63,'Detailed Budget'!$BG$5:$BG$1005)&gt;0,SUMIF('Detailed Budget'!$F$5:$F$1005,$B63,'Detailed Budget'!$BG$5:$BG$1005),"")</f>
        <v/>
      </c>
      <c r="R63" s="45" t="str">
        <f>IF(SUMIF('Detailed Budget'!$F$5:$F$1005,$B63,'Detailed Budget'!$BI$5:$BI$1005)&gt;0,SUMIF('Detailed Budget'!$F$5:$F$1005,$B63,'Detailed Budget'!$BI$5:$BI$1005),"")</f>
        <v/>
      </c>
      <c r="S63" s="44" t="str">
        <f>IF(SUMIF('Detailed Budget'!$F$5:$F$1005,$B63,'Detailed Budget'!$BN$5:$BN$1005)&gt;0,SUMIF('Detailed Budget'!$F$5:$F$1005,$B63,'Detailed Budget'!$BN$5:$BN$1005),"")</f>
        <v/>
      </c>
      <c r="T63" s="44" t="str">
        <f>IF(SUMIF('Detailed Budget'!$F$5:$F$1005,$B63,'Detailed Budget'!$BP$5:$BP$1005)&gt;0,SUMIF('Detailed Budget'!$F$5:$F$1005,$B63,'Detailed Budget'!$BP$5:$BP$1005),"")</f>
        <v/>
      </c>
      <c r="U63" s="44" t="str">
        <f>IF(SUMIF('Detailed Budget'!$F$5:$F$1005,$B63,'Detailed Budget'!$BR$5:$BR$1005)&gt;0,SUMIF('Detailed Budget'!$F$5:$F$1005,$B63,'Detailed Budget'!$BR$5:$BR$1005),"")</f>
        <v/>
      </c>
      <c r="V63" s="44" t="str">
        <f>IF(SUMIF('Detailed Budget'!$F$5:$F$1005,$B62,'Detailed Budget'!$BT$5:$BT$1005)&gt;0,SUMIF('Detailed Budget'!$F$5:$F$1005,$B62,'Detailed Budget'!$BT$5:$BT$1005),"")</f>
        <v/>
      </c>
      <c r="W63" s="45" t="str">
        <f>IF(SUMIF('Detailed Budget'!$F$5:$F$1005,$B63,'Detailed Budget'!$BV$5:$BV$1005)&gt;0,SUMIF('Detailed Budget'!$F$5:$F$1005,$B63,'Detailed Budget'!$BV$5:$BV$1005),"")</f>
        <v/>
      </c>
      <c r="X63" s="44" t="str">
        <f t="shared" si="2"/>
        <v/>
      </c>
      <c r="Y63" s="124" t="str">
        <f t="shared" si="1"/>
        <v/>
      </c>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row>
    <row r="64" spans="1:63" s="35" customFormat="1" ht="15" hidden="1" x14ac:dyDescent="0.25">
      <c r="A64" s="42"/>
      <c r="B64" s="81" t="str">
        <f t="array" ref="B64">IFERROR(INDEX(IntIdList,MATCH(0,COUNTIF(IntIdList,"&lt;"&amp;IntIdList)-SUM(COUNTIF(IntIdList,B$16:B63)),0)),"")</f>
        <v/>
      </c>
      <c r="C64" s="43" t="str">
        <f>IFERROR(INDEX('Data Sheet'!$D$29:$D$174,MATCH(B64,'Data Sheet'!$E$29:$E$174,0)) &amp; " - " &amp; INDEX('Data Sheet'!$C$29:$C$174,MATCH(B64,'Data Sheet'!$E$29:$E$174,0)),"")</f>
        <v/>
      </c>
      <c r="D64" s="44" t="str">
        <f>IF(SUMIF('Detailed Budget'!$F$5:$F$1005,$B64,'Detailed Budget'!$AA$5:$AA$1005)&gt;0,SUMIF('Detailed Budget'!$F$5:$F$1005,$B64,'Detailed Budget'!$AA$5:$AA$1005),"")</f>
        <v/>
      </c>
      <c r="E64" s="44" t="str">
        <f>IF(SUMIF('Detailed Budget'!$F$5:$F$1005,$B64,'Detailed Budget'!$AC$5:$AC$1005)&gt;0,SUMIF('Detailed Budget'!$F$5:$F$1005,$B64,'Detailed Budget'!$AC$5:$AC$1005),"")</f>
        <v/>
      </c>
      <c r="F64" s="44" t="str">
        <f>IF(SUMIF('Detailed Budget'!$F$5:$F$1005,$B64,'Detailed Budget'!$AE$5:$AE$1005)&gt;0,SUMIF('Detailed Budget'!$F$5:$F$1005,$B64,'Detailed Budget'!$AE$5:$AE$1005),"")</f>
        <v/>
      </c>
      <c r="G64" s="44" t="str">
        <f>IF(SUMIF('Detailed Budget'!$F$5:$F$1005,$B64,'Detailed Budget'!$AG$5:$AG$1005)&gt;0,SUMIF('Detailed Budget'!$F$5:$F$1005,$B64,'Detailed Budget'!$AG$5:$AG$1005),"")</f>
        <v/>
      </c>
      <c r="H64" s="45" t="str">
        <f>IF(SUMIF('Detailed Budget'!$F$5:$F$1005,$B64,'Detailed Budget'!$AI$5:$AI$1005)&gt;0,SUMIF('Detailed Budget'!$F$5:$F$1005,$B64,'Detailed Budget'!$AI$5:$AI$1005),"")</f>
        <v/>
      </c>
      <c r="I64" s="44" t="str">
        <f>IF(SUMIF('Detailed Budget'!$F$5:$F$1005,$B64,'Detailed Budget'!$AN$5:$AN$1005)&gt;0,SUMIF('Detailed Budget'!$F$5:$F$1005,$B64,'Detailed Budget'!$AN$5:$AN$1005),"")</f>
        <v/>
      </c>
      <c r="J64" s="44" t="str">
        <f>IF(SUMIF('Detailed Budget'!$F$5:$F$1005,$B64,'Detailed Budget'!$AP$5:$AP$1005)&gt;0,SUMIF('Detailed Budget'!$F$5:$F$1005,$B64,'Detailed Budget'!$AP$5:$AP$1005),"")</f>
        <v/>
      </c>
      <c r="K64" s="44" t="str">
        <f>IF(SUMIF('Detailed Budget'!$F$5:$F$1005,$B64,'Detailed Budget'!$AR$5:$AR$1005)&gt;0,SUMIF('Detailed Budget'!$F$5:$F$1005,$B64,'Detailed Budget'!$AR$5:$AR$1005),"")</f>
        <v/>
      </c>
      <c r="L64" s="44" t="str">
        <f>IF(SUMIF('Detailed Budget'!$F$5:$F$1005,$B64,'Detailed Budget'!$AT$5:$AT$1005)&gt;0,SUMIF('Detailed Budget'!$F$5:$F$1005,$B64,'Detailed Budget'!$AT$5:$AT$1005),"")</f>
        <v/>
      </c>
      <c r="M64" s="45" t="str">
        <f>IF(SUMIF('Detailed Budget'!$F$5:$F$1005,$B64,'Detailed Budget'!$AV$5:$AV$1005)&gt;0,SUMIF('Detailed Budget'!$F$5:$F$1005,$B64,'Detailed Budget'!$AV$5:$AV$1005),"")</f>
        <v/>
      </c>
      <c r="N64" s="44" t="str">
        <f>IF(SUMIF('Detailed Budget'!$F$5:$F$1005,$B64,'Detailed Budget'!$BA$5:$BA$1005)&gt;0,SUMIF('Detailed Budget'!$F$5:$F$1005,$B64,'Detailed Budget'!$BA$5:$BA$1005),"")</f>
        <v/>
      </c>
      <c r="O64" s="44" t="str">
        <f>IF(SUMIF('Detailed Budget'!$F$5:$F$1005,$B64,'Detailed Budget'!$BC$5:$BC$1005)&gt;0,SUMIF('Detailed Budget'!$F$5:$F$1005,$B64,'Detailed Budget'!$BC$5:$BC$1005),"")</f>
        <v/>
      </c>
      <c r="P64" s="44" t="str">
        <f>IF(SUMIF('Detailed Budget'!$F$5:$F$1005,$B64,'Detailed Budget'!$BE$5:$BE$1005)&gt;0,SUMIF('Detailed Budget'!$F$5:$F$1005,$B64,'Detailed Budget'!$BE$5:$BE$1005),"")</f>
        <v/>
      </c>
      <c r="Q64" s="44" t="str">
        <f>IF(SUMIF('Detailed Budget'!$F$5:$F$1005,$B64,'Detailed Budget'!$BG$5:$BG$1005)&gt;0,SUMIF('Detailed Budget'!$F$5:$F$1005,$B64,'Detailed Budget'!$BG$5:$BG$1005),"")</f>
        <v/>
      </c>
      <c r="R64" s="45" t="str">
        <f>IF(SUMIF('Detailed Budget'!$F$5:$F$1005,$B64,'Detailed Budget'!$BI$5:$BI$1005)&gt;0,SUMIF('Detailed Budget'!$F$5:$F$1005,$B64,'Detailed Budget'!$BI$5:$BI$1005),"")</f>
        <v/>
      </c>
      <c r="S64" s="44" t="str">
        <f>IF(SUMIF('Detailed Budget'!$F$5:$F$1005,$B64,'Detailed Budget'!$BN$5:$BN$1005)&gt;0,SUMIF('Detailed Budget'!$F$5:$F$1005,$B64,'Detailed Budget'!$BN$5:$BN$1005),"")</f>
        <v/>
      </c>
      <c r="T64" s="44" t="str">
        <f>IF(SUMIF('Detailed Budget'!$F$5:$F$1005,$B64,'Detailed Budget'!$BP$5:$BP$1005)&gt;0,SUMIF('Detailed Budget'!$F$5:$F$1005,$B64,'Detailed Budget'!$BP$5:$BP$1005),"")</f>
        <v/>
      </c>
      <c r="U64" s="44" t="str">
        <f>IF(SUMIF('Detailed Budget'!$F$5:$F$1005,$B64,'Detailed Budget'!$BR$5:$BR$1005)&gt;0,SUMIF('Detailed Budget'!$F$5:$F$1005,$B64,'Detailed Budget'!$BR$5:$BR$1005),"")</f>
        <v/>
      </c>
      <c r="V64" s="44" t="str">
        <f>IF(SUMIF('Detailed Budget'!$F$5:$F$1005,$B63,'Detailed Budget'!$BT$5:$BT$1005)&gt;0,SUMIF('Detailed Budget'!$F$5:$F$1005,$B63,'Detailed Budget'!$BT$5:$BT$1005),"")</f>
        <v/>
      </c>
      <c r="W64" s="45" t="str">
        <f>IF(SUMIF('Detailed Budget'!$F$5:$F$1005,$B64,'Detailed Budget'!$BV$5:$BV$1005)&gt;0,SUMIF('Detailed Budget'!$F$5:$F$1005,$B64,'Detailed Budget'!$BV$5:$BV$1005),"")</f>
        <v/>
      </c>
      <c r="X64" s="44" t="str">
        <f t="shared" si="2"/>
        <v/>
      </c>
      <c r="Y64" s="124" t="str">
        <f t="shared" si="1"/>
        <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row>
    <row r="65" spans="1:63" s="35" customFormat="1" ht="15" hidden="1" x14ac:dyDescent="0.25">
      <c r="A65" s="42"/>
      <c r="B65" s="81" t="str">
        <f t="array" ref="B65">IFERROR(INDEX(IntIdList,MATCH(0,COUNTIF(IntIdList,"&lt;"&amp;IntIdList)-SUM(COUNTIF(IntIdList,B$16:B64)),0)),"")</f>
        <v/>
      </c>
      <c r="C65" s="43" t="str">
        <f>IFERROR(INDEX('Data Sheet'!$D$29:$D$174,MATCH(B65,'Data Sheet'!$E$29:$E$174,0)) &amp; " - " &amp; INDEX('Data Sheet'!$C$29:$C$174,MATCH(B65,'Data Sheet'!$E$29:$E$174,0)),"")</f>
        <v/>
      </c>
      <c r="D65" s="44" t="str">
        <f>IF(SUMIF('Detailed Budget'!$F$5:$F$1005,$B65,'Detailed Budget'!$AA$5:$AA$1005)&gt;0,SUMIF('Detailed Budget'!$F$5:$F$1005,$B65,'Detailed Budget'!$AA$5:$AA$1005),"")</f>
        <v/>
      </c>
      <c r="E65" s="44" t="str">
        <f>IF(SUMIF('Detailed Budget'!$F$5:$F$1005,$B65,'Detailed Budget'!$AC$5:$AC$1005)&gt;0,SUMIF('Detailed Budget'!$F$5:$F$1005,$B65,'Detailed Budget'!$AC$5:$AC$1005),"")</f>
        <v/>
      </c>
      <c r="F65" s="44" t="str">
        <f>IF(SUMIF('Detailed Budget'!$F$5:$F$1005,$B65,'Detailed Budget'!$AE$5:$AE$1005)&gt;0,SUMIF('Detailed Budget'!$F$5:$F$1005,$B65,'Detailed Budget'!$AE$5:$AE$1005),"")</f>
        <v/>
      </c>
      <c r="G65" s="44" t="str">
        <f>IF(SUMIF('Detailed Budget'!$F$5:$F$1005,$B65,'Detailed Budget'!$AG$5:$AG$1005)&gt;0,SUMIF('Detailed Budget'!$F$5:$F$1005,$B65,'Detailed Budget'!$AG$5:$AG$1005),"")</f>
        <v/>
      </c>
      <c r="H65" s="45" t="str">
        <f>IF(SUMIF('Detailed Budget'!$F$5:$F$1005,$B65,'Detailed Budget'!$AI$5:$AI$1005)&gt;0,SUMIF('Detailed Budget'!$F$5:$F$1005,$B65,'Detailed Budget'!$AI$5:$AI$1005),"")</f>
        <v/>
      </c>
      <c r="I65" s="44" t="str">
        <f>IF(SUMIF('Detailed Budget'!$F$5:$F$1005,$B65,'Detailed Budget'!$AN$5:$AN$1005)&gt;0,SUMIF('Detailed Budget'!$F$5:$F$1005,$B65,'Detailed Budget'!$AN$5:$AN$1005),"")</f>
        <v/>
      </c>
      <c r="J65" s="44" t="str">
        <f>IF(SUMIF('Detailed Budget'!$F$5:$F$1005,$B65,'Detailed Budget'!$AP$5:$AP$1005)&gt;0,SUMIF('Detailed Budget'!$F$5:$F$1005,$B65,'Detailed Budget'!$AP$5:$AP$1005),"")</f>
        <v/>
      </c>
      <c r="K65" s="44" t="str">
        <f>IF(SUMIF('Detailed Budget'!$F$5:$F$1005,$B65,'Detailed Budget'!$AR$5:$AR$1005)&gt;0,SUMIF('Detailed Budget'!$F$5:$F$1005,$B65,'Detailed Budget'!$AR$5:$AR$1005),"")</f>
        <v/>
      </c>
      <c r="L65" s="44" t="str">
        <f>IF(SUMIF('Detailed Budget'!$F$5:$F$1005,$B65,'Detailed Budget'!$AT$5:$AT$1005)&gt;0,SUMIF('Detailed Budget'!$F$5:$F$1005,$B65,'Detailed Budget'!$AT$5:$AT$1005),"")</f>
        <v/>
      </c>
      <c r="M65" s="45" t="str">
        <f>IF(SUMIF('Detailed Budget'!$F$5:$F$1005,$B65,'Detailed Budget'!$AV$5:$AV$1005)&gt;0,SUMIF('Detailed Budget'!$F$5:$F$1005,$B65,'Detailed Budget'!$AV$5:$AV$1005),"")</f>
        <v/>
      </c>
      <c r="N65" s="44" t="str">
        <f>IF(SUMIF('Detailed Budget'!$F$5:$F$1005,$B65,'Detailed Budget'!$BA$5:$BA$1005)&gt;0,SUMIF('Detailed Budget'!$F$5:$F$1005,$B65,'Detailed Budget'!$BA$5:$BA$1005),"")</f>
        <v/>
      </c>
      <c r="O65" s="44" t="str">
        <f>IF(SUMIF('Detailed Budget'!$F$5:$F$1005,$B65,'Detailed Budget'!$BC$5:$BC$1005)&gt;0,SUMIF('Detailed Budget'!$F$5:$F$1005,$B65,'Detailed Budget'!$BC$5:$BC$1005),"")</f>
        <v/>
      </c>
      <c r="P65" s="44" t="str">
        <f>IF(SUMIF('Detailed Budget'!$F$5:$F$1005,$B65,'Detailed Budget'!$BE$5:$BE$1005)&gt;0,SUMIF('Detailed Budget'!$F$5:$F$1005,$B65,'Detailed Budget'!$BE$5:$BE$1005),"")</f>
        <v/>
      </c>
      <c r="Q65" s="44" t="str">
        <f>IF(SUMIF('Detailed Budget'!$F$5:$F$1005,$B65,'Detailed Budget'!$BG$5:$BG$1005)&gt;0,SUMIF('Detailed Budget'!$F$5:$F$1005,$B65,'Detailed Budget'!$BG$5:$BG$1005),"")</f>
        <v/>
      </c>
      <c r="R65" s="45" t="str">
        <f>IF(SUMIF('Detailed Budget'!$F$5:$F$1005,$B65,'Detailed Budget'!$BI$5:$BI$1005)&gt;0,SUMIF('Detailed Budget'!$F$5:$F$1005,$B65,'Detailed Budget'!$BI$5:$BI$1005),"")</f>
        <v/>
      </c>
      <c r="S65" s="44" t="str">
        <f>IF(SUMIF('Detailed Budget'!$F$5:$F$1005,$B65,'Detailed Budget'!$BN$5:$BN$1005)&gt;0,SUMIF('Detailed Budget'!$F$5:$F$1005,$B65,'Detailed Budget'!$BN$5:$BN$1005),"")</f>
        <v/>
      </c>
      <c r="T65" s="44" t="str">
        <f>IF(SUMIF('Detailed Budget'!$F$5:$F$1005,$B65,'Detailed Budget'!$BP$5:$BP$1005)&gt;0,SUMIF('Detailed Budget'!$F$5:$F$1005,$B65,'Detailed Budget'!$BP$5:$BP$1005),"")</f>
        <v/>
      </c>
      <c r="U65" s="44" t="str">
        <f>IF(SUMIF('Detailed Budget'!$F$5:$F$1005,$B65,'Detailed Budget'!$BR$5:$BR$1005)&gt;0,SUMIF('Detailed Budget'!$F$5:$F$1005,$B65,'Detailed Budget'!$BR$5:$BR$1005),"")</f>
        <v/>
      </c>
      <c r="V65" s="44" t="str">
        <f>IF(SUMIF('Detailed Budget'!$F$5:$F$1005,$B64,'Detailed Budget'!$BT$5:$BT$1005)&gt;0,SUMIF('Detailed Budget'!$F$5:$F$1005,$B64,'Detailed Budget'!$BT$5:$BT$1005),"")</f>
        <v/>
      </c>
      <c r="W65" s="45" t="str">
        <f>IF(SUMIF('Detailed Budget'!$F$5:$F$1005,$B65,'Detailed Budget'!$BV$5:$BV$1005)&gt;0,SUMIF('Detailed Budget'!$F$5:$F$1005,$B65,'Detailed Budget'!$BV$5:$BV$1005),"")</f>
        <v/>
      </c>
      <c r="X65" s="44" t="str">
        <f t="shared" si="2"/>
        <v/>
      </c>
      <c r="Y65" s="124" t="str">
        <f t="shared" si="1"/>
        <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row>
    <row r="66" spans="1:63" s="35" customFormat="1" ht="15" hidden="1" x14ac:dyDescent="0.25">
      <c r="A66" s="42"/>
      <c r="B66" s="81" t="str">
        <f t="array" ref="B66">IFERROR(INDEX(IntIdList,MATCH(0,COUNTIF(IntIdList,"&lt;"&amp;IntIdList)-SUM(COUNTIF(IntIdList,B$16:B65)),0)),"")</f>
        <v/>
      </c>
      <c r="C66" s="43" t="str">
        <f>IFERROR(INDEX('Data Sheet'!$D$29:$D$174,MATCH(B66,'Data Sheet'!$E$29:$E$174,0)) &amp; " - " &amp; INDEX('Data Sheet'!$C$29:$C$174,MATCH(B66,'Data Sheet'!$E$29:$E$174,0)),"")</f>
        <v/>
      </c>
      <c r="D66" s="44" t="str">
        <f>IF(SUMIF('Detailed Budget'!$F$5:$F$1005,$B66,'Detailed Budget'!$AA$5:$AA$1005)&gt;0,SUMIF('Detailed Budget'!$F$5:$F$1005,$B66,'Detailed Budget'!$AA$5:$AA$1005),"")</f>
        <v/>
      </c>
      <c r="E66" s="44" t="str">
        <f>IF(SUMIF('Detailed Budget'!$F$5:$F$1005,$B66,'Detailed Budget'!$AC$5:$AC$1005)&gt;0,SUMIF('Detailed Budget'!$F$5:$F$1005,$B66,'Detailed Budget'!$AC$5:$AC$1005),"")</f>
        <v/>
      </c>
      <c r="F66" s="44" t="str">
        <f>IF(SUMIF('Detailed Budget'!$F$5:$F$1005,$B66,'Detailed Budget'!$AE$5:$AE$1005)&gt;0,SUMIF('Detailed Budget'!$F$5:$F$1005,$B66,'Detailed Budget'!$AE$5:$AE$1005),"")</f>
        <v/>
      </c>
      <c r="G66" s="44" t="str">
        <f>IF(SUMIF('Detailed Budget'!$F$5:$F$1005,$B66,'Detailed Budget'!$AG$5:$AG$1005)&gt;0,SUMIF('Detailed Budget'!$F$5:$F$1005,$B66,'Detailed Budget'!$AG$5:$AG$1005),"")</f>
        <v/>
      </c>
      <c r="H66" s="45" t="str">
        <f>IF(SUMIF('Detailed Budget'!$F$5:$F$1005,$B66,'Detailed Budget'!$AI$5:$AI$1005)&gt;0,SUMIF('Detailed Budget'!$F$5:$F$1005,$B66,'Detailed Budget'!$AI$5:$AI$1005),"")</f>
        <v/>
      </c>
      <c r="I66" s="44" t="str">
        <f>IF(SUMIF('Detailed Budget'!$F$5:$F$1005,$B66,'Detailed Budget'!$AN$5:$AN$1005)&gt;0,SUMIF('Detailed Budget'!$F$5:$F$1005,$B66,'Detailed Budget'!$AN$5:$AN$1005),"")</f>
        <v/>
      </c>
      <c r="J66" s="44" t="str">
        <f>IF(SUMIF('Detailed Budget'!$F$5:$F$1005,$B66,'Detailed Budget'!$AP$5:$AP$1005)&gt;0,SUMIF('Detailed Budget'!$F$5:$F$1005,$B66,'Detailed Budget'!$AP$5:$AP$1005),"")</f>
        <v/>
      </c>
      <c r="K66" s="44" t="str">
        <f>IF(SUMIF('Detailed Budget'!$F$5:$F$1005,$B66,'Detailed Budget'!$AR$5:$AR$1005)&gt;0,SUMIF('Detailed Budget'!$F$5:$F$1005,$B66,'Detailed Budget'!$AR$5:$AR$1005),"")</f>
        <v/>
      </c>
      <c r="L66" s="44" t="str">
        <f>IF(SUMIF('Detailed Budget'!$F$5:$F$1005,$B66,'Detailed Budget'!$AT$5:$AT$1005)&gt;0,SUMIF('Detailed Budget'!$F$5:$F$1005,$B66,'Detailed Budget'!$AT$5:$AT$1005),"")</f>
        <v/>
      </c>
      <c r="M66" s="45" t="str">
        <f>IF(SUMIF('Detailed Budget'!$F$5:$F$1005,$B66,'Detailed Budget'!$AV$5:$AV$1005)&gt;0,SUMIF('Detailed Budget'!$F$5:$F$1005,$B66,'Detailed Budget'!$AV$5:$AV$1005),"")</f>
        <v/>
      </c>
      <c r="N66" s="44" t="str">
        <f>IF(SUMIF('Detailed Budget'!$F$5:$F$1005,$B66,'Detailed Budget'!$BA$5:$BA$1005)&gt;0,SUMIF('Detailed Budget'!$F$5:$F$1005,$B66,'Detailed Budget'!$BA$5:$BA$1005),"")</f>
        <v/>
      </c>
      <c r="O66" s="44" t="str">
        <f>IF(SUMIF('Detailed Budget'!$F$5:$F$1005,$B66,'Detailed Budget'!$BC$5:$BC$1005)&gt;0,SUMIF('Detailed Budget'!$F$5:$F$1005,$B66,'Detailed Budget'!$BC$5:$BC$1005),"")</f>
        <v/>
      </c>
      <c r="P66" s="44" t="str">
        <f>IF(SUMIF('Detailed Budget'!$F$5:$F$1005,$B66,'Detailed Budget'!$BE$5:$BE$1005)&gt;0,SUMIF('Detailed Budget'!$F$5:$F$1005,$B66,'Detailed Budget'!$BE$5:$BE$1005),"")</f>
        <v/>
      </c>
      <c r="Q66" s="44" t="str">
        <f>IF(SUMIF('Detailed Budget'!$F$5:$F$1005,$B66,'Detailed Budget'!$BG$5:$BG$1005)&gt;0,SUMIF('Detailed Budget'!$F$5:$F$1005,$B66,'Detailed Budget'!$BG$5:$BG$1005),"")</f>
        <v/>
      </c>
      <c r="R66" s="45" t="str">
        <f>IF(SUMIF('Detailed Budget'!$F$5:$F$1005,$B66,'Detailed Budget'!$BI$5:$BI$1005)&gt;0,SUMIF('Detailed Budget'!$F$5:$F$1005,$B66,'Detailed Budget'!$BI$5:$BI$1005),"")</f>
        <v/>
      </c>
      <c r="S66" s="44" t="str">
        <f>IF(SUMIF('Detailed Budget'!$F$5:$F$1005,$B66,'Detailed Budget'!$BN$5:$BN$1005)&gt;0,SUMIF('Detailed Budget'!$F$5:$F$1005,$B66,'Detailed Budget'!$BN$5:$BN$1005),"")</f>
        <v/>
      </c>
      <c r="T66" s="44" t="str">
        <f>IF(SUMIF('Detailed Budget'!$F$5:$F$1005,$B66,'Detailed Budget'!$BP$5:$BP$1005)&gt;0,SUMIF('Detailed Budget'!$F$5:$F$1005,$B66,'Detailed Budget'!$BP$5:$BP$1005),"")</f>
        <v/>
      </c>
      <c r="U66" s="44" t="str">
        <f>IF(SUMIF('Detailed Budget'!$F$5:$F$1005,$B66,'Detailed Budget'!$BR$5:$BR$1005)&gt;0,SUMIF('Detailed Budget'!$F$5:$F$1005,$B66,'Detailed Budget'!$BR$5:$BR$1005),"")</f>
        <v/>
      </c>
      <c r="V66" s="44" t="str">
        <f>IF(SUMIF('Detailed Budget'!$F$5:$F$1005,$B65,'Detailed Budget'!$BT$5:$BT$1005)&gt;0,SUMIF('Detailed Budget'!$F$5:$F$1005,$B65,'Detailed Budget'!$BT$5:$BT$1005),"")</f>
        <v/>
      </c>
      <c r="W66" s="45" t="str">
        <f>IF(SUMIF('Detailed Budget'!$F$5:$F$1005,$B66,'Detailed Budget'!$BV$5:$BV$1005)&gt;0,SUMIF('Detailed Budget'!$F$5:$F$1005,$B66,'Detailed Budget'!$BV$5:$BV$1005),"")</f>
        <v/>
      </c>
      <c r="X66" s="44" t="str">
        <f t="shared" si="2"/>
        <v/>
      </c>
      <c r="Y66" s="124" t="str">
        <f t="shared" si="1"/>
        <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row>
    <row r="67" spans="1:63" s="35" customFormat="1" ht="15" hidden="1" x14ac:dyDescent="0.25">
      <c r="A67" s="42"/>
      <c r="B67" s="81" t="str">
        <f t="array" ref="B67">IFERROR(INDEX(IntIdList,MATCH(0,COUNTIF(IntIdList,"&lt;"&amp;IntIdList)-SUM(COUNTIF(IntIdList,B$16:B66)),0)),"")</f>
        <v/>
      </c>
      <c r="C67" s="43" t="str">
        <f>IFERROR(INDEX('Data Sheet'!$D$29:$D$174,MATCH(B67,'Data Sheet'!$E$29:$E$174,0)) &amp; " - " &amp; INDEX('Data Sheet'!$C$29:$C$174,MATCH(B67,'Data Sheet'!$E$29:$E$174,0)),"")</f>
        <v/>
      </c>
      <c r="D67" s="44" t="str">
        <f>IF(SUMIF('Detailed Budget'!$F$5:$F$1005,$B67,'Detailed Budget'!$AA$5:$AA$1005)&gt;0,SUMIF('Detailed Budget'!$F$5:$F$1005,$B67,'Detailed Budget'!$AA$5:$AA$1005),"")</f>
        <v/>
      </c>
      <c r="E67" s="44" t="str">
        <f>IF(SUMIF('Detailed Budget'!$F$5:$F$1005,$B67,'Detailed Budget'!$AC$5:$AC$1005)&gt;0,SUMIF('Detailed Budget'!$F$5:$F$1005,$B67,'Detailed Budget'!$AC$5:$AC$1005),"")</f>
        <v/>
      </c>
      <c r="F67" s="44" t="str">
        <f>IF(SUMIF('Detailed Budget'!$F$5:$F$1005,$B67,'Detailed Budget'!$AE$5:$AE$1005)&gt;0,SUMIF('Detailed Budget'!$F$5:$F$1005,$B67,'Detailed Budget'!$AE$5:$AE$1005),"")</f>
        <v/>
      </c>
      <c r="G67" s="44" t="str">
        <f>IF(SUMIF('Detailed Budget'!$F$5:$F$1005,$B67,'Detailed Budget'!$AG$5:$AG$1005)&gt;0,SUMIF('Detailed Budget'!$F$5:$F$1005,$B67,'Detailed Budget'!$AG$5:$AG$1005),"")</f>
        <v/>
      </c>
      <c r="H67" s="45" t="str">
        <f>IF(SUMIF('Detailed Budget'!$F$5:$F$1005,$B67,'Detailed Budget'!$AI$5:$AI$1005)&gt;0,SUMIF('Detailed Budget'!$F$5:$F$1005,$B67,'Detailed Budget'!$AI$5:$AI$1005),"")</f>
        <v/>
      </c>
      <c r="I67" s="44" t="str">
        <f>IF(SUMIF('Detailed Budget'!$F$5:$F$1005,$B67,'Detailed Budget'!$AN$5:$AN$1005)&gt;0,SUMIF('Detailed Budget'!$F$5:$F$1005,$B67,'Detailed Budget'!$AN$5:$AN$1005),"")</f>
        <v/>
      </c>
      <c r="J67" s="44" t="str">
        <f>IF(SUMIF('Detailed Budget'!$F$5:$F$1005,$B67,'Detailed Budget'!$AP$5:$AP$1005)&gt;0,SUMIF('Detailed Budget'!$F$5:$F$1005,$B67,'Detailed Budget'!$AP$5:$AP$1005),"")</f>
        <v/>
      </c>
      <c r="K67" s="44" t="str">
        <f>IF(SUMIF('Detailed Budget'!$F$5:$F$1005,$B67,'Detailed Budget'!$AR$5:$AR$1005)&gt;0,SUMIF('Detailed Budget'!$F$5:$F$1005,$B67,'Detailed Budget'!$AR$5:$AR$1005),"")</f>
        <v/>
      </c>
      <c r="L67" s="44" t="str">
        <f>IF(SUMIF('Detailed Budget'!$F$5:$F$1005,$B67,'Detailed Budget'!$AT$5:$AT$1005)&gt;0,SUMIF('Detailed Budget'!$F$5:$F$1005,$B67,'Detailed Budget'!$AT$5:$AT$1005),"")</f>
        <v/>
      </c>
      <c r="M67" s="45" t="str">
        <f>IF(SUMIF('Detailed Budget'!$F$5:$F$1005,$B67,'Detailed Budget'!$AV$5:$AV$1005)&gt;0,SUMIF('Detailed Budget'!$F$5:$F$1005,$B67,'Detailed Budget'!$AV$5:$AV$1005),"")</f>
        <v/>
      </c>
      <c r="N67" s="44" t="str">
        <f>IF(SUMIF('Detailed Budget'!$F$5:$F$1005,$B67,'Detailed Budget'!$BA$5:$BA$1005)&gt;0,SUMIF('Detailed Budget'!$F$5:$F$1005,$B67,'Detailed Budget'!$BA$5:$BA$1005),"")</f>
        <v/>
      </c>
      <c r="O67" s="44" t="str">
        <f>IF(SUMIF('Detailed Budget'!$F$5:$F$1005,$B67,'Detailed Budget'!$BC$5:$BC$1005)&gt;0,SUMIF('Detailed Budget'!$F$5:$F$1005,$B67,'Detailed Budget'!$BC$5:$BC$1005),"")</f>
        <v/>
      </c>
      <c r="P67" s="44" t="str">
        <f>IF(SUMIF('Detailed Budget'!$F$5:$F$1005,$B67,'Detailed Budget'!$BE$5:$BE$1005)&gt;0,SUMIF('Detailed Budget'!$F$5:$F$1005,$B67,'Detailed Budget'!$BE$5:$BE$1005),"")</f>
        <v/>
      </c>
      <c r="Q67" s="44" t="str">
        <f>IF(SUMIF('Detailed Budget'!$F$5:$F$1005,$B67,'Detailed Budget'!$BG$5:$BG$1005)&gt;0,SUMIF('Detailed Budget'!$F$5:$F$1005,$B67,'Detailed Budget'!$BG$5:$BG$1005),"")</f>
        <v/>
      </c>
      <c r="R67" s="45" t="str">
        <f>IF(SUMIF('Detailed Budget'!$F$5:$F$1005,$B67,'Detailed Budget'!$BI$5:$BI$1005)&gt;0,SUMIF('Detailed Budget'!$F$5:$F$1005,$B67,'Detailed Budget'!$BI$5:$BI$1005),"")</f>
        <v/>
      </c>
      <c r="S67" s="44" t="str">
        <f>IF(SUMIF('Detailed Budget'!$F$5:$F$1005,$B67,'Detailed Budget'!$BN$5:$BN$1005)&gt;0,SUMIF('Detailed Budget'!$F$5:$F$1005,$B67,'Detailed Budget'!$BN$5:$BN$1005),"")</f>
        <v/>
      </c>
      <c r="T67" s="44" t="str">
        <f>IF(SUMIF('Detailed Budget'!$F$5:$F$1005,$B67,'Detailed Budget'!$BP$5:$BP$1005)&gt;0,SUMIF('Detailed Budget'!$F$5:$F$1005,$B67,'Detailed Budget'!$BP$5:$BP$1005),"")</f>
        <v/>
      </c>
      <c r="U67" s="44" t="str">
        <f>IF(SUMIF('Detailed Budget'!$F$5:$F$1005,$B67,'Detailed Budget'!$BR$5:$BR$1005)&gt;0,SUMIF('Detailed Budget'!$F$5:$F$1005,$B67,'Detailed Budget'!$BR$5:$BR$1005),"")</f>
        <v/>
      </c>
      <c r="V67" s="44" t="str">
        <f>IF(SUMIF('Detailed Budget'!$F$5:$F$1005,$B66,'Detailed Budget'!$BT$5:$BT$1005)&gt;0,SUMIF('Detailed Budget'!$F$5:$F$1005,$B66,'Detailed Budget'!$BT$5:$BT$1005),"")</f>
        <v/>
      </c>
      <c r="W67" s="45" t="str">
        <f>IF(SUMIF('Detailed Budget'!$F$5:$F$1005,$B67,'Detailed Budget'!$BV$5:$BV$1005)&gt;0,SUMIF('Detailed Budget'!$F$5:$F$1005,$B67,'Detailed Budget'!$BV$5:$BV$1005),"")</f>
        <v/>
      </c>
      <c r="X67" s="44" t="str">
        <f t="shared" si="2"/>
        <v/>
      </c>
      <c r="Y67" s="124" t="str">
        <f t="shared" si="1"/>
        <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row>
    <row r="68" spans="1:63" s="35" customFormat="1" ht="15" hidden="1" x14ac:dyDescent="0.25">
      <c r="A68" s="42"/>
      <c r="B68" s="81" t="str">
        <f t="array" ref="B68">IFERROR(INDEX(IntIdList,MATCH(0,COUNTIF(IntIdList,"&lt;"&amp;IntIdList)-SUM(COUNTIF(IntIdList,B$16:B67)),0)),"")</f>
        <v/>
      </c>
      <c r="C68" s="43" t="str">
        <f>IFERROR(INDEX('Data Sheet'!$D$29:$D$174,MATCH(B68,'Data Sheet'!$E$29:$E$174,0)) &amp; " - " &amp; INDEX('Data Sheet'!$C$29:$C$174,MATCH(B68,'Data Sheet'!$E$29:$E$174,0)),"")</f>
        <v/>
      </c>
      <c r="D68" s="44" t="str">
        <f>IF(SUMIF('Detailed Budget'!$F$5:$F$1005,$B68,'Detailed Budget'!$AA$5:$AA$1005)&gt;0,SUMIF('Detailed Budget'!$F$5:$F$1005,$B68,'Detailed Budget'!$AA$5:$AA$1005),"")</f>
        <v/>
      </c>
      <c r="E68" s="44" t="str">
        <f>IF(SUMIF('Detailed Budget'!$F$5:$F$1005,$B68,'Detailed Budget'!$AC$5:$AC$1005)&gt;0,SUMIF('Detailed Budget'!$F$5:$F$1005,$B68,'Detailed Budget'!$AC$5:$AC$1005),"")</f>
        <v/>
      </c>
      <c r="F68" s="44" t="str">
        <f>IF(SUMIF('Detailed Budget'!$F$5:$F$1005,$B68,'Detailed Budget'!$AE$5:$AE$1005)&gt;0,SUMIF('Detailed Budget'!$F$5:$F$1005,$B68,'Detailed Budget'!$AE$5:$AE$1005),"")</f>
        <v/>
      </c>
      <c r="G68" s="44" t="str">
        <f>IF(SUMIF('Detailed Budget'!$F$5:$F$1005,$B68,'Detailed Budget'!$AG$5:$AG$1005)&gt;0,SUMIF('Detailed Budget'!$F$5:$F$1005,$B68,'Detailed Budget'!$AG$5:$AG$1005),"")</f>
        <v/>
      </c>
      <c r="H68" s="45" t="str">
        <f>IF(SUMIF('Detailed Budget'!$F$5:$F$1005,$B68,'Detailed Budget'!$AI$5:$AI$1005)&gt;0,SUMIF('Detailed Budget'!$F$5:$F$1005,$B68,'Detailed Budget'!$AI$5:$AI$1005),"")</f>
        <v/>
      </c>
      <c r="I68" s="44" t="str">
        <f>IF(SUMIF('Detailed Budget'!$F$5:$F$1005,$B68,'Detailed Budget'!$AN$5:$AN$1005)&gt;0,SUMIF('Detailed Budget'!$F$5:$F$1005,$B68,'Detailed Budget'!$AN$5:$AN$1005),"")</f>
        <v/>
      </c>
      <c r="J68" s="44" t="str">
        <f>IF(SUMIF('Detailed Budget'!$F$5:$F$1005,$B68,'Detailed Budget'!$AP$5:$AP$1005)&gt;0,SUMIF('Detailed Budget'!$F$5:$F$1005,$B68,'Detailed Budget'!$AP$5:$AP$1005),"")</f>
        <v/>
      </c>
      <c r="K68" s="44" t="str">
        <f>IF(SUMIF('Detailed Budget'!$F$5:$F$1005,$B68,'Detailed Budget'!$AR$5:$AR$1005)&gt;0,SUMIF('Detailed Budget'!$F$5:$F$1005,$B68,'Detailed Budget'!$AR$5:$AR$1005),"")</f>
        <v/>
      </c>
      <c r="L68" s="44" t="str">
        <f>IF(SUMIF('Detailed Budget'!$F$5:$F$1005,$B68,'Detailed Budget'!$AT$5:$AT$1005)&gt;0,SUMIF('Detailed Budget'!$F$5:$F$1005,$B68,'Detailed Budget'!$AT$5:$AT$1005),"")</f>
        <v/>
      </c>
      <c r="M68" s="45" t="str">
        <f>IF(SUMIF('Detailed Budget'!$F$5:$F$1005,$B68,'Detailed Budget'!$AV$5:$AV$1005)&gt;0,SUMIF('Detailed Budget'!$F$5:$F$1005,$B68,'Detailed Budget'!$AV$5:$AV$1005),"")</f>
        <v/>
      </c>
      <c r="N68" s="44" t="str">
        <f>IF(SUMIF('Detailed Budget'!$F$5:$F$1005,$B68,'Detailed Budget'!$BA$5:$BA$1005)&gt;0,SUMIF('Detailed Budget'!$F$5:$F$1005,$B68,'Detailed Budget'!$BA$5:$BA$1005),"")</f>
        <v/>
      </c>
      <c r="O68" s="44" t="str">
        <f>IF(SUMIF('Detailed Budget'!$F$5:$F$1005,$B68,'Detailed Budget'!$BC$5:$BC$1005)&gt;0,SUMIF('Detailed Budget'!$F$5:$F$1005,$B68,'Detailed Budget'!$BC$5:$BC$1005),"")</f>
        <v/>
      </c>
      <c r="P68" s="44" t="str">
        <f>IF(SUMIF('Detailed Budget'!$F$5:$F$1005,$B68,'Detailed Budget'!$BE$5:$BE$1005)&gt;0,SUMIF('Detailed Budget'!$F$5:$F$1005,$B68,'Detailed Budget'!$BE$5:$BE$1005),"")</f>
        <v/>
      </c>
      <c r="Q68" s="44" t="str">
        <f>IF(SUMIF('Detailed Budget'!$F$5:$F$1005,$B68,'Detailed Budget'!$BG$5:$BG$1005)&gt;0,SUMIF('Detailed Budget'!$F$5:$F$1005,$B68,'Detailed Budget'!$BG$5:$BG$1005),"")</f>
        <v/>
      </c>
      <c r="R68" s="45" t="str">
        <f>IF(SUMIF('Detailed Budget'!$F$5:$F$1005,$B68,'Detailed Budget'!$BI$5:$BI$1005)&gt;0,SUMIF('Detailed Budget'!$F$5:$F$1005,$B68,'Detailed Budget'!$BI$5:$BI$1005),"")</f>
        <v/>
      </c>
      <c r="S68" s="44" t="str">
        <f>IF(SUMIF('Detailed Budget'!$F$5:$F$1005,$B68,'Detailed Budget'!$BN$5:$BN$1005)&gt;0,SUMIF('Detailed Budget'!$F$5:$F$1005,$B68,'Detailed Budget'!$BN$5:$BN$1005),"")</f>
        <v/>
      </c>
      <c r="T68" s="44" t="str">
        <f>IF(SUMIF('Detailed Budget'!$F$5:$F$1005,$B68,'Detailed Budget'!$BP$5:$BP$1005)&gt;0,SUMIF('Detailed Budget'!$F$5:$F$1005,$B68,'Detailed Budget'!$BP$5:$BP$1005),"")</f>
        <v/>
      </c>
      <c r="U68" s="44" t="str">
        <f>IF(SUMIF('Detailed Budget'!$F$5:$F$1005,$B68,'Detailed Budget'!$BR$5:$BR$1005)&gt;0,SUMIF('Detailed Budget'!$F$5:$F$1005,$B68,'Detailed Budget'!$BR$5:$BR$1005),"")</f>
        <v/>
      </c>
      <c r="V68" s="44" t="str">
        <f>IF(SUMIF('Detailed Budget'!$F$5:$F$1005,$B67,'Detailed Budget'!$BT$5:$BT$1005)&gt;0,SUMIF('Detailed Budget'!$F$5:$F$1005,$B67,'Detailed Budget'!$BT$5:$BT$1005),"")</f>
        <v/>
      </c>
      <c r="W68" s="45" t="str">
        <f>IF(SUMIF('Detailed Budget'!$F$5:$F$1005,$B68,'Detailed Budget'!$BV$5:$BV$1005)&gt;0,SUMIF('Detailed Budget'!$F$5:$F$1005,$B68,'Detailed Budget'!$BV$5:$BV$1005),"")</f>
        <v/>
      </c>
      <c r="X68" s="44" t="str">
        <f t="shared" si="2"/>
        <v/>
      </c>
      <c r="Y68" s="124" t="str">
        <f t="shared" si="1"/>
        <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row>
    <row r="69" spans="1:63" s="35" customFormat="1" ht="15" hidden="1" x14ac:dyDescent="0.25">
      <c r="A69" s="42"/>
      <c r="B69" s="81" t="str">
        <f t="array" ref="B69">IFERROR(INDEX(IntIdList,MATCH(0,COUNTIF(IntIdList,"&lt;"&amp;IntIdList)-SUM(COUNTIF(IntIdList,B$16:B68)),0)),"")</f>
        <v/>
      </c>
      <c r="C69" s="43" t="str">
        <f>IFERROR(INDEX('Data Sheet'!$D$29:$D$174,MATCH(B69,'Data Sheet'!$E$29:$E$174,0)) &amp; " - " &amp; INDEX('Data Sheet'!$C$29:$C$174,MATCH(B69,'Data Sheet'!$E$29:$E$174,0)),"")</f>
        <v/>
      </c>
      <c r="D69" s="44" t="str">
        <f>IF(SUMIF('Detailed Budget'!$F$5:$F$1005,$B69,'Detailed Budget'!$AA$5:$AA$1005)&gt;0,SUMIF('Detailed Budget'!$F$5:$F$1005,$B69,'Detailed Budget'!$AA$5:$AA$1005),"")</f>
        <v/>
      </c>
      <c r="E69" s="44" t="str">
        <f>IF(SUMIF('Detailed Budget'!$F$5:$F$1005,$B69,'Detailed Budget'!$AC$5:$AC$1005)&gt;0,SUMIF('Detailed Budget'!$F$5:$F$1005,$B69,'Detailed Budget'!$AC$5:$AC$1005),"")</f>
        <v/>
      </c>
      <c r="F69" s="44" t="str">
        <f>IF(SUMIF('Detailed Budget'!$F$5:$F$1005,$B69,'Detailed Budget'!$AE$5:$AE$1005)&gt;0,SUMIF('Detailed Budget'!$F$5:$F$1005,$B69,'Detailed Budget'!$AE$5:$AE$1005),"")</f>
        <v/>
      </c>
      <c r="G69" s="44" t="str">
        <f>IF(SUMIF('Detailed Budget'!$F$5:$F$1005,$B69,'Detailed Budget'!$AG$5:$AG$1005)&gt;0,SUMIF('Detailed Budget'!$F$5:$F$1005,$B69,'Detailed Budget'!$AG$5:$AG$1005),"")</f>
        <v/>
      </c>
      <c r="H69" s="45" t="str">
        <f>IF(SUMIF('Detailed Budget'!$F$5:$F$1005,$B69,'Detailed Budget'!$AI$5:$AI$1005)&gt;0,SUMIF('Detailed Budget'!$F$5:$F$1005,$B69,'Detailed Budget'!$AI$5:$AI$1005),"")</f>
        <v/>
      </c>
      <c r="I69" s="44" t="str">
        <f>IF(SUMIF('Detailed Budget'!$F$5:$F$1005,$B69,'Detailed Budget'!$AN$5:$AN$1005)&gt;0,SUMIF('Detailed Budget'!$F$5:$F$1005,$B69,'Detailed Budget'!$AN$5:$AN$1005),"")</f>
        <v/>
      </c>
      <c r="J69" s="44" t="str">
        <f>IF(SUMIF('Detailed Budget'!$F$5:$F$1005,$B69,'Detailed Budget'!$AP$5:$AP$1005)&gt;0,SUMIF('Detailed Budget'!$F$5:$F$1005,$B69,'Detailed Budget'!$AP$5:$AP$1005),"")</f>
        <v/>
      </c>
      <c r="K69" s="44" t="str">
        <f>IF(SUMIF('Detailed Budget'!$F$5:$F$1005,$B69,'Detailed Budget'!$AR$5:$AR$1005)&gt;0,SUMIF('Detailed Budget'!$F$5:$F$1005,$B69,'Detailed Budget'!$AR$5:$AR$1005),"")</f>
        <v/>
      </c>
      <c r="L69" s="44" t="str">
        <f>IF(SUMIF('Detailed Budget'!$F$5:$F$1005,$B69,'Detailed Budget'!$AT$5:$AT$1005)&gt;0,SUMIF('Detailed Budget'!$F$5:$F$1005,$B69,'Detailed Budget'!$AT$5:$AT$1005),"")</f>
        <v/>
      </c>
      <c r="M69" s="45" t="str">
        <f>IF(SUMIF('Detailed Budget'!$F$5:$F$1005,$B69,'Detailed Budget'!$AV$5:$AV$1005)&gt;0,SUMIF('Detailed Budget'!$F$5:$F$1005,$B69,'Detailed Budget'!$AV$5:$AV$1005),"")</f>
        <v/>
      </c>
      <c r="N69" s="44" t="str">
        <f>IF(SUMIF('Detailed Budget'!$F$5:$F$1005,$B69,'Detailed Budget'!$BA$5:$BA$1005)&gt;0,SUMIF('Detailed Budget'!$F$5:$F$1005,$B69,'Detailed Budget'!$BA$5:$BA$1005),"")</f>
        <v/>
      </c>
      <c r="O69" s="44" t="str">
        <f>IF(SUMIF('Detailed Budget'!$F$5:$F$1005,$B69,'Detailed Budget'!$BC$5:$BC$1005)&gt;0,SUMIF('Detailed Budget'!$F$5:$F$1005,$B69,'Detailed Budget'!$BC$5:$BC$1005),"")</f>
        <v/>
      </c>
      <c r="P69" s="44" t="str">
        <f>IF(SUMIF('Detailed Budget'!$F$5:$F$1005,$B69,'Detailed Budget'!$BE$5:$BE$1005)&gt;0,SUMIF('Detailed Budget'!$F$5:$F$1005,$B69,'Detailed Budget'!$BE$5:$BE$1005),"")</f>
        <v/>
      </c>
      <c r="Q69" s="44" t="str">
        <f>IF(SUMIF('Detailed Budget'!$F$5:$F$1005,$B69,'Detailed Budget'!$BG$5:$BG$1005)&gt;0,SUMIF('Detailed Budget'!$F$5:$F$1005,$B69,'Detailed Budget'!$BG$5:$BG$1005),"")</f>
        <v/>
      </c>
      <c r="R69" s="45" t="str">
        <f>IF(SUMIF('Detailed Budget'!$F$5:$F$1005,$B69,'Detailed Budget'!$BI$5:$BI$1005)&gt;0,SUMIF('Detailed Budget'!$F$5:$F$1005,$B69,'Detailed Budget'!$BI$5:$BI$1005),"")</f>
        <v/>
      </c>
      <c r="S69" s="44" t="str">
        <f>IF(SUMIF('Detailed Budget'!$F$5:$F$1005,$B69,'Detailed Budget'!$BN$5:$BN$1005)&gt;0,SUMIF('Detailed Budget'!$F$5:$F$1005,$B69,'Detailed Budget'!$BN$5:$BN$1005),"")</f>
        <v/>
      </c>
      <c r="T69" s="44" t="str">
        <f>IF(SUMIF('Detailed Budget'!$F$5:$F$1005,$B69,'Detailed Budget'!$BP$5:$BP$1005)&gt;0,SUMIF('Detailed Budget'!$F$5:$F$1005,$B69,'Detailed Budget'!$BP$5:$BP$1005),"")</f>
        <v/>
      </c>
      <c r="U69" s="44" t="str">
        <f>IF(SUMIF('Detailed Budget'!$F$5:$F$1005,$B69,'Detailed Budget'!$BR$5:$BR$1005)&gt;0,SUMIF('Detailed Budget'!$F$5:$F$1005,$B69,'Detailed Budget'!$BR$5:$BR$1005),"")</f>
        <v/>
      </c>
      <c r="V69" s="44" t="str">
        <f>IF(SUMIF('Detailed Budget'!$F$5:$F$1005,$B68,'Detailed Budget'!$BT$5:$BT$1005)&gt;0,SUMIF('Detailed Budget'!$F$5:$F$1005,$B68,'Detailed Budget'!$BT$5:$BT$1005),"")</f>
        <v/>
      </c>
      <c r="W69" s="45" t="str">
        <f>IF(SUMIF('Detailed Budget'!$F$5:$F$1005,$B69,'Detailed Budget'!$BV$5:$BV$1005)&gt;0,SUMIF('Detailed Budget'!$F$5:$F$1005,$B69,'Detailed Budget'!$BV$5:$BV$1005),"")</f>
        <v/>
      </c>
      <c r="X69" s="44" t="str">
        <f t="shared" si="2"/>
        <v/>
      </c>
      <c r="Y69" s="124" t="str">
        <f t="shared" si="1"/>
        <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row>
    <row r="70" spans="1:63" s="35" customFormat="1" ht="15" hidden="1" x14ac:dyDescent="0.25">
      <c r="A70" s="42"/>
      <c r="B70" s="81" t="str">
        <f t="array" ref="B70">IFERROR(INDEX(IntIdList,MATCH(0,COUNTIF(IntIdList,"&lt;"&amp;IntIdList)-SUM(COUNTIF(IntIdList,B$16:B69)),0)),"")</f>
        <v/>
      </c>
      <c r="C70" s="43" t="str">
        <f>IFERROR(INDEX('Data Sheet'!$D$29:$D$174,MATCH(B70,'Data Sheet'!$E$29:$E$174,0)) &amp; " - " &amp; INDEX('Data Sheet'!$C$29:$C$174,MATCH(B70,'Data Sheet'!$E$29:$E$174,0)),"")</f>
        <v/>
      </c>
      <c r="D70" s="44" t="str">
        <f>IF(SUMIF('Detailed Budget'!$F$5:$F$1005,$B70,'Detailed Budget'!$AA$5:$AA$1005)&gt;0,SUMIF('Detailed Budget'!$F$5:$F$1005,$B70,'Detailed Budget'!$AA$5:$AA$1005),"")</f>
        <v/>
      </c>
      <c r="E70" s="44" t="str">
        <f>IF(SUMIF('Detailed Budget'!$F$5:$F$1005,$B70,'Detailed Budget'!$AC$5:$AC$1005)&gt;0,SUMIF('Detailed Budget'!$F$5:$F$1005,$B70,'Detailed Budget'!$AC$5:$AC$1005),"")</f>
        <v/>
      </c>
      <c r="F70" s="44" t="str">
        <f>IF(SUMIF('Detailed Budget'!$F$5:$F$1005,$B70,'Detailed Budget'!$AE$5:$AE$1005)&gt;0,SUMIF('Detailed Budget'!$F$5:$F$1005,$B70,'Detailed Budget'!$AE$5:$AE$1005),"")</f>
        <v/>
      </c>
      <c r="G70" s="44" t="str">
        <f>IF(SUMIF('Detailed Budget'!$F$5:$F$1005,$B70,'Detailed Budget'!$AG$5:$AG$1005)&gt;0,SUMIF('Detailed Budget'!$F$5:$F$1005,$B70,'Detailed Budget'!$AG$5:$AG$1005),"")</f>
        <v/>
      </c>
      <c r="H70" s="45" t="str">
        <f>IF(SUMIF('Detailed Budget'!$F$5:$F$1005,$B70,'Detailed Budget'!$AI$5:$AI$1005)&gt;0,SUMIF('Detailed Budget'!$F$5:$F$1005,$B70,'Detailed Budget'!$AI$5:$AI$1005),"")</f>
        <v/>
      </c>
      <c r="I70" s="44" t="str">
        <f>IF(SUMIF('Detailed Budget'!$F$5:$F$1005,$B70,'Detailed Budget'!$AN$5:$AN$1005)&gt;0,SUMIF('Detailed Budget'!$F$5:$F$1005,$B70,'Detailed Budget'!$AN$5:$AN$1005),"")</f>
        <v/>
      </c>
      <c r="J70" s="44" t="str">
        <f>IF(SUMIF('Detailed Budget'!$F$5:$F$1005,$B70,'Detailed Budget'!$AP$5:$AP$1005)&gt;0,SUMIF('Detailed Budget'!$F$5:$F$1005,$B70,'Detailed Budget'!$AP$5:$AP$1005),"")</f>
        <v/>
      </c>
      <c r="K70" s="44" t="str">
        <f>IF(SUMIF('Detailed Budget'!$F$5:$F$1005,$B70,'Detailed Budget'!$AR$5:$AR$1005)&gt;0,SUMIF('Detailed Budget'!$F$5:$F$1005,$B70,'Detailed Budget'!$AR$5:$AR$1005),"")</f>
        <v/>
      </c>
      <c r="L70" s="44" t="str">
        <f>IF(SUMIF('Detailed Budget'!$F$5:$F$1005,$B70,'Detailed Budget'!$AT$5:$AT$1005)&gt;0,SUMIF('Detailed Budget'!$F$5:$F$1005,$B70,'Detailed Budget'!$AT$5:$AT$1005),"")</f>
        <v/>
      </c>
      <c r="M70" s="45" t="str">
        <f>IF(SUMIF('Detailed Budget'!$F$5:$F$1005,$B70,'Detailed Budget'!$AV$5:$AV$1005)&gt;0,SUMIF('Detailed Budget'!$F$5:$F$1005,$B70,'Detailed Budget'!$AV$5:$AV$1005),"")</f>
        <v/>
      </c>
      <c r="N70" s="44" t="str">
        <f>IF(SUMIF('Detailed Budget'!$F$5:$F$1005,$B70,'Detailed Budget'!$BA$5:$BA$1005)&gt;0,SUMIF('Detailed Budget'!$F$5:$F$1005,$B70,'Detailed Budget'!$BA$5:$BA$1005),"")</f>
        <v/>
      </c>
      <c r="O70" s="44" t="str">
        <f>IF(SUMIF('Detailed Budget'!$F$5:$F$1005,$B70,'Detailed Budget'!$BC$5:$BC$1005)&gt;0,SUMIF('Detailed Budget'!$F$5:$F$1005,$B70,'Detailed Budget'!$BC$5:$BC$1005),"")</f>
        <v/>
      </c>
      <c r="P70" s="44" t="str">
        <f>IF(SUMIF('Detailed Budget'!$F$5:$F$1005,$B70,'Detailed Budget'!$BE$5:$BE$1005)&gt;0,SUMIF('Detailed Budget'!$F$5:$F$1005,$B70,'Detailed Budget'!$BE$5:$BE$1005),"")</f>
        <v/>
      </c>
      <c r="Q70" s="44" t="str">
        <f>IF(SUMIF('Detailed Budget'!$F$5:$F$1005,$B70,'Detailed Budget'!$BG$5:$BG$1005)&gt;0,SUMIF('Detailed Budget'!$F$5:$F$1005,$B70,'Detailed Budget'!$BG$5:$BG$1005),"")</f>
        <v/>
      </c>
      <c r="R70" s="45" t="str">
        <f>IF(SUMIF('Detailed Budget'!$F$5:$F$1005,$B70,'Detailed Budget'!$BI$5:$BI$1005)&gt;0,SUMIF('Detailed Budget'!$F$5:$F$1005,$B70,'Detailed Budget'!$BI$5:$BI$1005),"")</f>
        <v/>
      </c>
      <c r="S70" s="44" t="str">
        <f>IF(SUMIF('Detailed Budget'!$F$5:$F$1005,$B70,'Detailed Budget'!$BN$5:$BN$1005)&gt;0,SUMIF('Detailed Budget'!$F$5:$F$1005,$B70,'Detailed Budget'!$BN$5:$BN$1005),"")</f>
        <v/>
      </c>
      <c r="T70" s="44" t="str">
        <f>IF(SUMIF('Detailed Budget'!$F$5:$F$1005,$B70,'Detailed Budget'!$BP$5:$BP$1005)&gt;0,SUMIF('Detailed Budget'!$F$5:$F$1005,$B70,'Detailed Budget'!$BP$5:$BP$1005),"")</f>
        <v/>
      </c>
      <c r="U70" s="44" t="str">
        <f>IF(SUMIF('Detailed Budget'!$F$5:$F$1005,$B70,'Detailed Budget'!$BR$5:$BR$1005)&gt;0,SUMIF('Detailed Budget'!$F$5:$F$1005,$B70,'Detailed Budget'!$BR$5:$BR$1005),"")</f>
        <v/>
      </c>
      <c r="V70" s="44" t="str">
        <f>IF(SUMIF('Detailed Budget'!$F$5:$F$1005,$B69,'Detailed Budget'!$BT$5:$BT$1005)&gt;0,SUMIF('Detailed Budget'!$F$5:$F$1005,$B69,'Detailed Budget'!$BT$5:$BT$1005),"")</f>
        <v/>
      </c>
      <c r="W70" s="45" t="str">
        <f>IF(SUMIF('Detailed Budget'!$F$5:$F$1005,$B70,'Detailed Budget'!$BV$5:$BV$1005)&gt;0,SUMIF('Detailed Budget'!$F$5:$F$1005,$B70,'Detailed Budget'!$BV$5:$BV$1005),"")</f>
        <v/>
      </c>
      <c r="X70" s="44" t="str">
        <f t="shared" si="2"/>
        <v/>
      </c>
      <c r="Y70" s="124" t="str">
        <f t="shared" si="1"/>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row>
    <row r="71" spans="1:63" s="35" customFormat="1" ht="15" hidden="1" x14ac:dyDescent="0.25">
      <c r="A71" s="42"/>
      <c r="B71" s="81" t="str">
        <f t="array" ref="B71">IFERROR(INDEX(IntIdList,MATCH(0,COUNTIF(IntIdList,"&lt;"&amp;IntIdList)-SUM(COUNTIF(IntIdList,B$16:B70)),0)),"")</f>
        <v/>
      </c>
      <c r="C71" s="43" t="str">
        <f>IFERROR(INDEX('Data Sheet'!$D$29:$D$174,MATCH(B71,'Data Sheet'!$E$29:$E$174,0)) &amp; " - " &amp; INDEX('Data Sheet'!$C$29:$C$174,MATCH(B71,'Data Sheet'!$E$29:$E$174,0)),"")</f>
        <v/>
      </c>
      <c r="D71" s="44" t="str">
        <f>IF(SUMIF('Detailed Budget'!$F$5:$F$1005,$B71,'Detailed Budget'!$AA$5:$AA$1005)&gt;0,SUMIF('Detailed Budget'!$F$5:$F$1005,$B71,'Detailed Budget'!$AA$5:$AA$1005),"")</f>
        <v/>
      </c>
      <c r="E71" s="44" t="str">
        <f>IF(SUMIF('Detailed Budget'!$F$5:$F$1005,$B71,'Detailed Budget'!$AC$5:$AC$1005)&gt;0,SUMIF('Detailed Budget'!$F$5:$F$1005,$B71,'Detailed Budget'!$AC$5:$AC$1005),"")</f>
        <v/>
      </c>
      <c r="F71" s="44" t="str">
        <f>IF(SUMIF('Detailed Budget'!$F$5:$F$1005,$B71,'Detailed Budget'!$AE$5:$AE$1005)&gt;0,SUMIF('Detailed Budget'!$F$5:$F$1005,$B71,'Detailed Budget'!$AE$5:$AE$1005),"")</f>
        <v/>
      </c>
      <c r="G71" s="44" t="str">
        <f>IF(SUMIF('Detailed Budget'!$F$5:$F$1005,$B71,'Detailed Budget'!$AG$5:$AG$1005)&gt;0,SUMIF('Detailed Budget'!$F$5:$F$1005,$B71,'Detailed Budget'!$AG$5:$AG$1005),"")</f>
        <v/>
      </c>
      <c r="H71" s="45" t="str">
        <f>IF(SUMIF('Detailed Budget'!$F$5:$F$1005,$B71,'Detailed Budget'!$AI$5:$AI$1005)&gt;0,SUMIF('Detailed Budget'!$F$5:$F$1005,$B71,'Detailed Budget'!$AI$5:$AI$1005),"")</f>
        <v/>
      </c>
      <c r="I71" s="44" t="str">
        <f>IF(SUMIF('Detailed Budget'!$F$5:$F$1005,$B71,'Detailed Budget'!$AN$5:$AN$1005)&gt;0,SUMIF('Detailed Budget'!$F$5:$F$1005,$B71,'Detailed Budget'!$AN$5:$AN$1005),"")</f>
        <v/>
      </c>
      <c r="J71" s="44" t="str">
        <f>IF(SUMIF('Detailed Budget'!$F$5:$F$1005,$B71,'Detailed Budget'!$AP$5:$AP$1005)&gt;0,SUMIF('Detailed Budget'!$F$5:$F$1005,$B71,'Detailed Budget'!$AP$5:$AP$1005),"")</f>
        <v/>
      </c>
      <c r="K71" s="44" t="str">
        <f>IF(SUMIF('Detailed Budget'!$F$5:$F$1005,$B71,'Detailed Budget'!$AR$5:$AR$1005)&gt;0,SUMIF('Detailed Budget'!$F$5:$F$1005,$B71,'Detailed Budget'!$AR$5:$AR$1005),"")</f>
        <v/>
      </c>
      <c r="L71" s="44" t="str">
        <f>IF(SUMIF('Detailed Budget'!$F$5:$F$1005,$B71,'Detailed Budget'!$AT$5:$AT$1005)&gt;0,SUMIF('Detailed Budget'!$F$5:$F$1005,$B71,'Detailed Budget'!$AT$5:$AT$1005),"")</f>
        <v/>
      </c>
      <c r="M71" s="45" t="str">
        <f>IF(SUMIF('Detailed Budget'!$F$5:$F$1005,$B71,'Detailed Budget'!$AV$5:$AV$1005)&gt;0,SUMIF('Detailed Budget'!$F$5:$F$1005,$B71,'Detailed Budget'!$AV$5:$AV$1005),"")</f>
        <v/>
      </c>
      <c r="N71" s="44" t="str">
        <f>IF(SUMIF('Detailed Budget'!$F$5:$F$1005,$B71,'Detailed Budget'!$BA$5:$BA$1005)&gt;0,SUMIF('Detailed Budget'!$F$5:$F$1005,$B71,'Detailed Budget'!$BA$5:$BA$1005),"")</f>
        <v/>
      </c>
      <c r="O71" s="44" t="str">
        <f>IF(SUMIF('Detailed Budget'!$F$5:$F$1005,$B71,'Detailed Budget'!$BC$5:$BC$1005)&gt;0,SUMIF('Detailed Budget'!$F$5:$F$1005,$B71,'Detailed Budget'!$BC$5:$BC$1005),"")</f>
        <v/>
      </c>
      <c r="P71" s="44" t="str">
        <f>IF(SUMIF('Detailed Budget'!$F$5:$F$1005,$B71,'Detailed Budget'!$BE$5:$BE$1005)&gt;0,SUMIF('Detailed Budget'!$F$5:$F$1005,$B71,'Detailed Budget'!$BE$5:$BE$1005),"")</f>
        <v/>
      </c>
      <c r="Q71" s="44" t="str">
        <f>IF(SUMIF('Detailed Budget'!$F$5:$F$1005,$B71,'Detailed Budget'!$BG$5:$BG$1005)&gt;0,SUMIF('Detailed Budget'!$F$5:$F$1005,$B71,'Detailed Budget'!$BG$5:$BG$1005),"")</f>
        <v/>
      </c>
      <c r="R71" s="45" t="str">
        <f>IF(SUMIF('Detailed Budget'!$F$5:$F$1005,$B71,'Detailed Budget'!$BI$5:$BI$1005)&gt;0,SUMIF('Detailed Budget'!$F$5:$F$1005,$B71,'Detailed Budget'!$BI$5:$BI$1005),"")</f>
        <v/>
      </c>
      <c r="S71" s="44" t="str">
        <f>IF(SUMIF('Detailed Budget'!$F$5:$F$1005,$B71,'Detailed Budget'!$BN$5:$BN$1005)&gt;0,SUMIF('Detailed Budget'!$F$5:$F$1005,$B71,'Detailed Budget'!$BN$5:$BN$1005),"")</f>
        <v/>
      </c>
      <c r="T71" s="44" t="str">
        <f>IF(SUMIF('Detailed Budget'!$F$5:$F$1005,$B71,'Detailed Budget'!$BP$5:$BP$1005)&gt;0,SUMIF('Detailed Budget'!$F$5:$F$1005,$B71,'Detailed Budget'!$BP$5:$BP$1005),"")</f>
        <v/>
      </c>
      <c r="U71" s="44" t="str">
        <f>IF(SUMIF('Detailed Budget'!$F$5:$F$1005,$B71,'Detailed Budget'!$BR$5:$BR$1005)&gt;0,SUMIF('Detailed Budget'!$F$5:$F$1005,$B71,'Detailed Budget'!$BR$5:$BR$1005),"")</f>
        <v/>
      </c>
      <c r="V71" s="44" t="str">
        <f>IF(SUMIF('Detailed Budget'!$F$5:$F$1005,$B70,'Detailed Budget'!$BT$5:$BT$1005)&gt;0,SUMIF('Detailed Budget'!$F$5:$F$1005,$B70,'Detailed Budget'!$BT$5:$BT$1005),"")</f>
        <v/>
      </c>
      <c r="W71" s="45" t="str">
        <f>IF(SUMIF('Detailed Budget'!$F$5:$F$1005,$B71,'Detailed Budget'!$BV$5:$BV$1005)&gt;0,SUMIF('Detailed Budget'!$F$5:$F$1005,$B71,'Detailed Budget'!$BV$5:$BV$1005),"")</f>
        <v/>
      </c>
      <c r="X71" s="44" t="str">
        <f t="shared" si="2"/>
        <v/>
      </c>
      <c r="Y71" s="124" t="str">
        <f t="shared" si="1"/>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row>
    <row r="72" spans="1:63" s="35" customFormat="1" ht="15" hidden="1" x14ac:dyDescent="0.25">
      <c r="A72" s="42"/>
      <c r="B72" s="81" t="str">
        <f t="array" ref="B72">IFERROR(INDEX(IntIdList,MATCH(0,COUNTIF(IntIdList,"&lt;"&amp;IntIdList)-SUM(COUNTIF(IntIdList,B$16:B71)),0)),"")</f>
        <v/>
      </c>
      <c r="C72" s="43" t="str">
        <f>IFERROR(INDEX('Data Sheet'!$D$29:$D$174,MATCH(B72,'Data Sheet'!$E$29:$E$174,0)) &amp; " - " &amp; INDEX('Data Sheet'!$C$29:$C$174,MATCH(B72,'Data Sheet'!$E$29:$E$174,0)),"")</f>
        <v/>
      </c>
      <c r="D72" s="44" t="str">
        <f>IF(SUMIF('Detailed Budget'!$F$5:$F$1005,$B72,'Detailed Budget'!$AA$5:$AA$1005)&gt;0,SUMIF('Detailed Budget'!$F$5:$F$1005,$B72,'Detailed Budget'!$AA$5:$AA$1005),"")</f>
        <v/>
      </c>
      <c r="E72" s="44" t="str">
        <f>IF(SUMIF('Detailed Budget'!$F$5:$F$1005,$B72,'Detailed Budget'!$AC$5:$AC$1005)&gt;0,SUMIF('Detailed Budget'!$F$5:$F$1005,$B72,'Detailed Budget'!$AC$5:$AC$1005),"")</f>
        <v/>
      </c>
      <c r="F72" s="44" t="str">
        <f>IF(SUMIF('Detailed Budget'!$F$5:$F$1005,$B72,'Detailed Budget'!$AE$5:$AE$1005)&gt;0,SUMIF('Detailed Budget'!$F$5:$F$1005,$B72,'Detailed Budget'!$AE$5:$AE$1005),"")</f>
        <v/>
      </c>
      <c r="G72" s="44" t="str">
        <f>IF(SUMIF('Detailed Budget'!$F$5:$F$1005,$B72,'Detailed Budget'!$AG$5:$AG$1005)&gt;0,SUMIF('Detailed Budget'!$F$5:$F$1005,$B72,'Detailed Budget'!$AG$5:$AG$1005),"")</f>
        <v/>
      </c>
      <c r="H72" s="45" t="str">
        <f>IF(SUMIF('Detailed Budget'!$F$5:$F$1005,$B72,'Detailed Budget'!$AI$5:$AI$1005)&gt;0,SUMIF('Detailed Budget'!$F$5:$F$1005,$B72,'Detailed Budget'!$AI$5:$AI$1005),"")</f>
        <v/>
      </c>
      <c r="I72" s="44" t="str">
        <f>IF(SUMIF('Detailed Budget'!$F$5:$F$1005,$B72,'Detailed Budget'!$AN$5:$AN$1005)&gt;0,SUMIF('Detailed Budget'!$F$5:$F$1005,$B72,'Detailed Budget'!$AN$5:$AN$1005),"")</f>
        <v/>
      </c>
      <c r="J72" s="44" t="str">
        <f>IF(SUMIF('Detailed Budget'!$F$5:$F$1005,$B72,'Detailed Budget'!$AP$5:$AP$1005)&gt;0,SUMIF('Detailed Budget'!$F$5:$F$1005,$B72,'Detailed Budget'!$AP$5:$AP$1005),"")</f>
        <v/>
      </c>
      <c r="K72" s="44" t="str">
        <f>IF(SUMIF('Detailed Budget'!$F$5:$F$1005,$B72,'Detailed Budget'!$AR$5:$AR$1005)&gt;0,SUMIF('Detailed Budget'!$F$5:$F$1005,$B72,'Detailed Budget'!$AR$5:$AR$1005),"")</f>
        <v/>
      </c>
      <c r="L72" s="44" t="str">
        <f>IF(SUMIF('Detailed Budget'!$F$5:$F$1005,$B72,'Detailed Budget'!$AT$5:$AT$1005)&gt;0,SUMIF('Detailed Budget'!$F$5:$F$1005,$B72,'Detailed Budget'!$AT$5:$AT$1005),"")</f>
        <v/>
      </c>
      <c r="M72" s="45" t="str">
        <f>IF(SUMIF('Detailed Budget'!$F$5:$F$1005,$B72,'Detailed Budget'!$AV$5:$AV$1005)&gt;0,SUMIF('Detailed Budget'!$F$5:$F$1005,$B72,'Detailed Budget'!$AV$5:$AV$1005),"")</f>
        <v/>
      </c>
      <c r="N72" s="44" t="str">
        <f>IF(SUMIF('Detailed Budget'!$F$5:$F$1005,$B72,'Detailed Budget'!$BA$5:$BA$1005)&gt;0,SUMIF('Detailed Budget'!$F$5:$F$1005,$B72,'Detailed Budget'!$BA$5:$BA$1005),"")</f>
        <v/>
      </c>
      <c r="O72" s="44" t="str">
        <f>IF(SUMIF('Detailed Budget'!$F$5:$F$1005,$B72,'Detailed Budget'!$BC$5:$BC$1005)&gt;0,SUMIF('Detailed Budget'!$F$5:$F$1005,$B72,'Detailed Budget'!$BC$5:$BC$1005),"")</f>
        <v/>
      </c>
      <c r="P72" s="44" t="str">
        <f>IF(SUMIF('Detailed Budget'!$F$5:$F$1005,$B72,'Detailed Budget'!$BE$5:$BE$1005)&gt;0,SUMIF('Detailed Budget'!$F$5:$F$1005,$B72,'Detailed Budget'!$BE$5:$BE$1005),"")</f>
        <v/>
      </c>
      <c r="Q72" s="44" t="str">
        <f>IF(SUMIF('Detailed Budget'!$F$5:$F$1005,$B72,'Detailed Budget'!$BG$5:$BG$1005)&gt;0,SUMIF('Detailed Budget'!$F$5:$F$1005,$B72,'Detailed Budget'!$BG$5:$BG$1005),"")</f>
        <v/>
      </c>
      <c r="R72" s="45" t="str">
        <f>IF(SUMIF('Detailed Budget'!$F$5:$F$1005,$B72,'Detailed Budget'!$BI$5:$BI$1005)&gt;0,SUMIF('Detailed Budget'!$F$5:$F$1005,$B72,'Detailed Budget'!$BI$5:$BI$1005),"")</f>
        <v/>
      </c>
      <c r="S72" s="44" t="str">
        <f>IF(SUMIF('Detailed Budget'!$F$5:$F$1005,$B72,'Detailed Budget'!$BN$5:$BN$1005)&gt;0,SUMIF('Detailed Budget'!$F$5:$F$1005,$B72,'Detailed Budget'!$BN$5:$BN$1005),"")</f>
        <v/>
      </c>
      <c r="T72" s="44" t="str">
        <f>IF(SUMIF('Detailed Budget'!$F$5:$F$1005,$B72,'Detailed Budget'!$BP$5:$BP$1005)&gt;0,SUMIF('Detailed Budget'!$F$5:$F$1005,$B72,'Detailed Budget'!$BP$5:$BP$1005),"")</f>
        <v/>
      </c>
      <c r="U72" s="44" t="str">
        <f>IF(SUMIF('Detailed Budget'!$F$5:$F$1005,$B72,'Detailed Budget'!$BR$5:$BR$1005)&gt;0,SUMIF('Detailed Budget'!$F$5:$F$1005,$B72,'Detailed Budget'!$BR$5:$BR$1005),"")</f>
        <v/>
      </c>
      <c r="V72" s="44" t="str">
        <f>IF(SUMIF('Detailed Budget'!$F$5:$F$1005,$B71,'Detailed Budget'!$BT$5:$BT$1005)&gt;0,SUMIF('Detailed Budget'!$F$5:$F$1005,$B71,'Detailed Budget'!$BT$5:$BT$1005),"")</f>
        <v/>
      </c>
      <c r="W72" s="45" t="str">
        <f>IF(SUMIF('Detailed Budget'!$F$5:$F$1005,$B72,'Detailed Budget'!$BV$5:$BV$1005)&gt;0,SUMIF('Detailed Budget'!$F$5:$F$1005,$B72,'Detailed Budget'!$BV$5:$BV$1005),"")</f>
        <v/>
      </c>
      <c r="X72" s="44" t="str">
        <f t="shared" si="2"/>
        <v/>
      </c>
      <c r="Y72" s="124" t="str">
        <f t="shared" si="1"/>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row>
    <row r="73" spans="1:63" s="35" customFormat="1" ht="15" hidden="1" x14ac:dyDescent="0.25">
      <c r="A73" s="42"/>
      <c r="B73" s="81" t="str">
        <f t="array" ref="B73">IFERROR(INDEX(IntIdList,MATCH(0,COUNTIF(IntIdList,"&lt;"&amp;IntIdList)-SUM(COUNTIF(IntIdList,B$16:B72)),0)),"")</f>
        <v/>
      </c>
      <c r="C73" s="43" t="str">
        <f>IFERROR(INDEX('Data Sheet'!$D$29:$D$174,MATCH(B73,'Data Sheet'!$E$29:$E$174,0)) &amp; " - " &amp; INDEX('Data Sheet'!$C$29:$C$174,MATCH(B73,'Data Sheet'!$E$29:$E$174,0)),"")</f>
        <v/>
      </c>
      <c r="D73" s="44" t="str">
        <f>IF(SUMIF('Detailed Budget'!$F$5:$F$1005,$B73,'Detailed Budget'!$AA$5:$AA$1005)&gt;0,SUMIF('Detailed Budget'!$F$5:$F$1005,$B73,'Detailed Budget'!$AA$5:$AA$1005),"")</f>
        <v/>
      </c>
      <c r="E73" s="44" t="str">
        <f>IF(SUMIF('Detailed Budget'!$F$5:$F$1005,$B73,'Detailed Budget'!$AC$5:$AC$1005)&gt;0,SUMIF('Detailed Budget'!$F$5:$F$1005,$B73,'Detailed Budget'!$AC$5:$AC$1005),"")</f>
        <v/>
      </c>
      <c r="F73" s="44" t="str">
        <f>IF(SUMIF('Detailed Budget'!$F$5:$F$1005,$B73,'Detailed Budget'!$AE$5:$AE$1005)&gt;0,SUMIF('Detailed Budget'!$F$5:$F$1005,$B73,'Detailed Budget'!$AE$5:$AE$1005),"")</f>
        <v/>
      </c>
      <c r="G73" s="44" t="str">
        <f>IF(SUMIF('Detailed Budget'!$F$5:$F$1005,$B73,'Detailed Budget'!$AG$5:$AG$1005)&gt;0,SUMIF('Detailed Budget'!$F$5:$F$1005,$B73,'Detailed Budget'!$AG$5:$AG$1005),"")</f>
        <v/>
      </c>
      <c r="H73" s="45" t="str">
        <f>IF(SUMIF('Detailed Budget'!$F$5:$F$1005,$B73,'Detailed Budget'!$AI$5:$AI$1005)&gt;0,SUMIF('Detailed Budget'!$F$5:$F$1005,$B73,'Detailed Budget'!$AI$5:$AI$1005),"")</f>
        <v/>
      </c>
      <c r="I73" s="44" t="str">
        <f>IF(SUMIF('Detailed Budget'!$F$5:$F$1005,$B73,'Detailed Budget'!$AN$5:$AN$1005)&gt;0,SUMIF('Detailed Budget'!$F$5:$F$1005,$B73,'Detailed Budget'!$AN$5:$AN$1005),"")</f>
        <v/>
      </c>
      <c r="J73" s="44" t="str">
        <f>IF(SUMIF('Detailed Budget'!$F$5:$F$1005,$B73,'Detailed Budget'!$AP$5:$AP$1005)&gt;0,SUMIF('Detailed Budget'!$F$5:$F$1005,$B73,'Detailed Budget'!$AP$5:$AP$1005),"")</f>
        <v/>
      </c>
      <c r="K73" s="44" t="str">
        <f>IF(SUMIF('Detailed Budget'!$F$5:$F$1005,$B73,'Detailed Budget'!$AR$5:$AR$1005)&gt;0,SUMIF('Detailed Budget'!$F$5:$F$1005,$B73,'Detailed Budget'!$AR$5:$AR$1005),"")</f>
        <v/>
      </c>
      <c r="L73" s="44" t="str">
        <f>IF(SUMIF('Detailed Budget'!$F$5:$F$1005,$B73,'Detailed Budget'!$AT$5:$AT$1005)&gt;0,SUMIF('Detailed Budget'!$F$5:$F$1005,$B73,'Detailed Budget'!$AT$5:$AT$1005),"")</f>
        <v/>
      </c>
      <c r="M73" s="45" t="str">
        <f>IF(SUMIF('Detailed Budget'!$F$5:$F$1005,$B73,'Detailed Budget'!$AV$5:$AV$1005)&gt;0,SUMIF('Detailed Budget'!$F$5:$F$1005,$B73,'Detailed Budget'!$AV$5:$AV$1005),"")</f>
        <v/>
      </c>
      <c r="N73" s="44" t="str">
        <f>IF(SUMIF('Detailed Budget'!$F$5:$F$1005,$B73,'Detailed Budget'!$BA$5:$BA$1005)&gt;0,SUMIF('Detailed Budget'!$F$5:$F$1005,$B73,'Detailed Budget'!$BA$5:$BA$1005),"")</f>
        <v/>
      </c>
      <c r="O73" s="44" t="str">
        <f>IF(SUMIF('Detailed Budget'!$F$5:$F$1005,$B73,'Detailed Budget'!$BC$5:$BC$1005)&gt;0,SUMIF('Detailed Budget'!$F$5:$F$1005,$B73,'Detailed Budget'!$BC$5:$BC$1005),"")</f>
        <v/>
      </c>
      <c r="P73" s="44" t="str">
        <f>IF(SUMIF('Detailed Budget'!$F$5:$F$1005,$B73,'Detailed Budget'!$BE$5:$BE$1005)&gt;0,SUMIF('Detailed Budget'!$F$5:$F$1005,$B73,'Detailed Budget'!$BE$5:$BE$1005),"")</f>
        <v/>
      </c>
      <c r="Q73" s="44" t="str">
        <f>IF(SUMIF('Detailed Budget'!$F$5:$F$1005,$B73,'Detailed Budget'!$BG$5:$BG$1005)&gt;0,SUMIF('Detailed Budget'!$F$5:$F$1005,$B73,'Detailed Budget'!$BG$5:$BG$1005),"")</f>
        <v/>
      </c>
      <c r="R73" s="45" t="str">
        <f>IF(SUMIF('Detailed Budget'!$F$5:$F$1005,$B73,'Detailed Budget'!$BI$5:$BI$1005)&gt;0,SUMIF('Detailed Budget'!$F$5:$F$1005,$B73,'Detailed Budget'!$BI$5:$BI$1005),"")</f>
        <v/>
      </c>
      <c r="S73" s="44" t="str">
        <f>IF(SUMIF('Detailed Budget'!$F$5:$F$1005,$B73,'Detailed Budget'!$BN$5:$BN$1005)&gt;0,SUMIF('Detailed Budget'!$F$5:$F$1005,$B73,'Detailed Budget'!$BN$5:$BN$1005),"")</f>
        <v/>
      </c>
      <c r="T73" s="44" t="str">
        <f>IF(SUMIF('Detailed Budget'!$F$5:$F$1005,$B73,'Detailed Budget'!$BP$5:$BP$1005)&gt;0,SUMIF('Detailed Budget'!$F$5:$F$1005,$B73,'Detailed Budget'!$BP$5:$BP$1005),"")</f>
        <v/>
      </c>
      <c r="U73" s="44" t="str">
        <f>IF(SUMIF('Detailed Budget'!$F$5:$F$1005,$B73,'Detailed Budget'!$BR$5:$BR$1005)&gt;0,SUMIF('Detailed Budget'!$F$5:$F$1005,$B73,'Detailed Budget'!$BR$5:$BR$1005),"")</f>
        <v/>
      </c>
      <c r="V73" s="44" t="str">
        <f>IF(SUMIF('Detailed Budget'!$F$5:$F$1005,$B72,'Detailed Budget'!$BT$5:$BT$1005)&gt;0,SUMIF('Detailed Budget'!$F$5:$F$1005,$B72,'Detailed Budget'!$BT$5:$BT$1005),"")</f>
        <v/>
      </c>
      <c r="W73" s="45" t="str">
        <f>IF(SUMIF('Detailed Budget'!$F$5:$F$1005,$B73,'Detailed Budget'!$BV$5:$BV$1005)&gt;0,SUMIF('Detailed Budget'!$F$5:$F$1005,$B73,'Detailed Budget'!$BV$5:$BV$1005),"")</f>
        <v/>
      </c>
      <c r="X73" s="44" t="str">
        <f t="shared" si="2"/>
        <v/>
      </c>
      <c r="Y73" s="124" t="str">
        <f t="shared" si="1"/>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row>
    <row r="74" spans="1:63" s="35" customFormat="1" ht="15" hidden="1" x14ac:dyDescent="0.25">
      <c r="A74" s="42"/>
      <c r="B74" s="81" t="str">
        <f t="array" ref="B74">IFERROR(INDEX(IntIdList,MATCH(0,COUNTIF(IntIdList,"&lt;"&amp;IntIdList)-SUM(COUNTIF(IntIdList,B$16:B73)),0)),"")</f>
        <v/>
      </c>
      <c r="C74" s="43" t="str">
        <f>IFERROR(INDEX('Data Sheet'!$D$29:$D$174,MATCH(B74,'Data Sheet'!$E$29:$E$174,0)) &amp; " - " &amp; INDEX('Data Sheet'!$C$29:$C$174,MATCH(B74,'Data Sheet'!$E$29:$E$174,0)),"")</f>
        <v/>
      </c>
      <c r="D74" s="44" t="str">
        <f>IF(SUMIF('Detailed Budget'!$F$5:$F$1005,$B74,'Detailed Budget'!$AA$5:$AA$1005)&gt;0,SUMIF('Detailed Budget'!$F$5:$F$1005,$B74,'Detailed Budget'!$AA$5:$AA$1005),"")</f>
        <v/>
      </c>
      <c r="E74" s="44" t="str">
        <f>IF(SUMIF('Detailed Budget'!$F$5:$F$1005,$B74,'Detailed Budget'!$AC$5:$AC$1005)&gt;0,SUMIF('Detailed Budget'!$F$5:$F$1005,$B74,'Detailed Budget'!$AC$5:$AC$1005),"")</f>
        <v/>
      </c>
      <c r="F74" s="44" t="str">
        <f>IF(SUMIF('Detailed Budget'!$F$5:$F$1005,$B74,'Detailed Budget'!$AE$5:$AE$1005)&gt;0,SUMIF('Detailed Budget'!$F$5:$F$1005,$B74,'Detailed Budget'!$AE$5:$AE$1005),"")</f>
        <v/>
      </c>
      <c r="G74" s="44" t="str">
        <f>IF(SUMIF('Detailed Budget'!$F$5:$F$1005,$B74,'Detailed Budget'!$AG$5:$AG$1005)&gt;0,SUMIF('Detailed Budget'!$F$5:$F$1005,$B74,'Detailed Budget'!$AG$5:$AG$1005),"")</f>
        <v/>
      </c>
      <c r="H74" s="45" t="str">
        <f>IF(SUMIF('Detailed Budget'!$F$5:$F$1005,$B74,'Detailed Budget'!$AI$5:$AI$1005)&gt;0,SUMIF('Detailed Budget'!$F$5:$F$1005,$B74,'Detailed Budget'!$AI$5:$AI$1005),"")</f>
        <v/>
      </c>
      <c r="I74" s="44" t="str">
        <f>IF(SUMIF('Detailed Budget'!$F$5:$F$1005,$B74,'Detailed Budget'!$AN$5:$AN$1005)&gt;0,SUMIF('Detailed Budget'!$F$5:$F$1005,$B74,'Detailed Budget'!$AN$5:$AN$1005),"")</f>
        <v/>
      </c>
      <c r="J74" s="44" t="str">
        <f>IF(SUMIF('Detailed Budget'!$F$5:$F$1005,$B74,'Detailed Budget'!$AP$5:$AP$1005)&gt;0,SUMIF('Detailed Budget'!$F$5:$F$1005,$B74,'Detailed Budget'!$AP$5:$AP$1005),"")</f>
        <v/>
      </c>
      <c r="K74" s="44" t="str">
        <f>IF(SUMIF('Detailed Budget'!$F$5:$F$1005,$B74,'Detailed Budget'!$AR$5:$AR$1005)&gt;0,SUMIF('Detailed Budget'!$F$5:$F$1005,$B74,'Detailed Budget'!$AR$5:$AR$1005),"")</f>
        <v/>
      </c>
      <c r="L74" s="44" t="str">
        <f>IF(SUMIF('Detailed Budget'!$F$5:$F$1005,$B74,'Detailed Budget'!$AT$5:$AT$1005)&gt;0,SUMIF('Detailed Budget'!$F$5:$F$1005,$B74,'Detailed Budget'!$AT$5:$AT$1005),"")</f>
        <v/>
      </c>
      <c r="M74" s="45" t="str">
        <f>IF(SUMIF('Detailed Budget'!$F$5:$F$1005,$B74,'Detailed Budget'!$AV$5:$AV$1005)&gt;0,SUMIF('Detailed Budget'!$F$5:$F$1005,$B74,'Detailed Budget'!$AV$5:$AV$1005),"")</f>
        <v/>
      </c>
      <c r="N74" s="44" t="str">
        <f>IF(SUMIF('Detailed Budget'!$F$5:$F$1005,$B74,'Detailed Budget'!$BA$5:$BA$1005)&gt;0,SUMIF('Detailed Budget'!$F$5:$F$1005,$B74,'Detailed Budget'!$BA$5:$BA$1005),"")</f>
        <v/>
      </c>
      <c r="O74" s="44" t="str">
        <f>IF(SUMIF('Detailed Budget'!$F$5:$F$1005,$B74,'Detailed Budget'!$BC$5:$BC$1005)&gt;0,SUMIF('Detailed Budget'!$F$5:$F$1005,$B74,'Detailed Budget'!$BC$5:$BC$1005),"")</f>
        <v/>
      </c>
      <c r="P74" s="44" t="str">
        <f>IF(SUMIF('Detailed Budget'!$F$5:$F$1005,$B74,'Detailed Budget'!$BE$5:$BE$1005)&gt;0,SUMIF('Detailed Budget'!$F$5:$F$1005,$B74,'Detailed Budget'!$BE$5:$BE$1005),"")</f>
        <v/>
      </c>
      <c r="Q74" s="44" t="str">
        <f>IF(SUMIF('Detailed Budget'!$F$5:$F$1005,$B74,'Detailed Budget'!$BG$5:$BG$1005)&gt;0,SUMIF('Detailed Budget'!$F$5:$F$1005,$B74,'Detailed Budget'!$BG$5:$BG$1005),"")</f>
        <v/>
      </c>
      <c r="R74" s="45" t="str">
        <f>IF(SUMIF('Detailed Budget'!$F$5:$F$1005,$B74,'Detailed Budget'!$BI$5:$BI$1005)&gt;0,SUMIF('Detailed Budget'!$F$5:$F$1005,$B74,'Detailed Budget'!$BI$5:$BI$1005),"")</f>
        <v/>
      </c>
      <c r="S74" s="44" t="str">
        <f>IF(SUMIF('Detailed Budget'!$F$5:$F$1005,$B74,'Detailed Budget'!$BN$5:$BN$1005)&gt;0,SUMIF('Detailed Budget'!$F$5:$F$1005,$B74,'Detailed Budget'!$BN$5:$BN$1005),"")</f>
        <v/>
      </c>
      <c r="T74" s="44" t="str">
        <f>IF(SUMIF('Detailed Budget'!$F$5:$F$1005,$B74,'Detailed Budget'!$BP$5:$BP$1005)&gt;0,SUMIF('Detailed Budget'!$F$5:$F$1005,$B74,'Detailed Budget'!$BP$5:$BP$1005),"")</f>
        <v/>
      </c>
      <c r="U74" s="44" t="str">
        <f>IF(SUMIF('Detailed Budget'!$F$5:$F$1005,$B74,'Detailed Budget'!$BR$5:$BR$1005)&gt;0,SUMIF('Detailed Budget'!$F$5:$F$1005,$B74,'Detailed Budget'!$BR$5:$BR$1005),"")</f>
        <v/>
      </c>
      <c r="V74" s="44" t="str">
        <f>IF(SUMIF('Detailed Budget'!$F$5:$F$1005,$B73,'Detailed Budget'!$BT$5:$BT$1005)&gt;0,SUMIF('Detailed Budget'!$F$5:$F$1005,$B73,'Detailed Budget'!$BT$5:$BT$1005),"")</f>
        <v/>
      </c>
      <c r="W74" s="45" t="str">
        <f>IF(SUMIF('Detailed Budget'!$F$5:$F$1005,$B74,'Detailed Budget'!$BV$5:$BV$1005)&gt;0,SUMIF('Detailed Budget'!$F$5:$F$1005,$B74,'Detailed Budget'!$BV$5:$BV$1005),"")</f>
        <v/>
      </c>
      <c r="X74" s="44" t="str">
        <f t="shared" si="2"/>
        <v/>
      </c>
      <c r="Y74" s="124" t="str">
        <f t="shared" si="1"/>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row>
    <row r="75" spans="1:63" s="35" customFormat="1" ht="15" hidden="1" x14ac:dyDescent="0.25">
      <c r="A75" s="42"/>
      <c r="B75" s="81" t="str">
        <f t="array" ref="B75">IFERROR(INDEX(IntIdList,MATCH(0,COUNTIF(IntIdList,"&lt;"&amp;IntIdList)-SUM(COUNTIF(IntIdList,B$16:B74)),0)),"")</f>
        <v/>
      </c>
      <c r="C75" s="43" t="str">
        <f>IFERROR(INDEX('Data Sheet'!$D$29:$D$174,MATCH(B75,'Data Sheet'!$E$29:$E$174,0)) &amp; " - " &amp; INDEX('Data Sheet'!$C$29:$C$174,MATCH(B75,'Data Sheet'!$E$29:$E$174,0)),"")</f>
        <v/>
      </c>
      <c r="D75" s="44" t="str">
        <f>IF(SUMIF('Detailed Budget'!$F$5:$F$1005,$B75,'Detailed Budget'!$AA$5:$AA$1005)&gt;0,SUMIF('Detailed Budget'!$F$5:$F$1005,$B75,'Detailed Budget'!$AA$5:$AA$1005),"")</f>
        <v/>
      </c>
      <c r="E75" s="44" t="str">
        <f>IF(SUMIF('Detailed Budget'!$F$5:$F$1005,$B75,'Detailed Budget'!$AC$5:$AC$1005)&gt;0,SUMIF('Detailed Budget'!$F$5:$F$1005,$B75,'Detailed Budget'!$AC$5:$AC$1005),"")</f>
        <v/>
      </c>
      <c r="F75" s="44" t="str">
        <f>IF(SUMIF('Detailed Budget'!$F$5:$F$1005,$B75,'Detailed Budget'!$AE$5:$AE$1005)&gt;0,SUMIF('Detailed Budget'!$F$5:$F$1005,$B75,'Detailed Budget'!$AE$5:$AE$1005),"")</f>
        <v/>
      </c>
      <c r="G75" s="44" t="str">
        <f>IF(SUMIF('Detailed Budget'!$F$5:$F$1005,$B75,'Detailed Budget'!$AG$5:$AG$1005)&gt;0,SUMIF('Detailed Budget'!$F$5:$F$1005,$B75,'Detailed Budget'!$AG$5:$AG$1005),"")</f>
        <v/>
      </c>
      <c r="H75" s="45" t="str">
        <f>IF(SUMIF('Detailed Budget'!$F$5:$F$1005,$B75,'Detailed Budget'!$AI$5:$AI$1005)&gt;0,SUMIF('Detailed Budget'!$F$5:$F$1005,$B75,'Detailed Budget'!$AI$5:$AI$1005),"")</f>
        <v/>
      </c>
      <c r="I75" s="44" t="str">
        <f>IF(SUMIF('Detailed Budget'!$F$5:$F$1005,$B75,'Detailed Budget'!$AN$5:$AN$1005)&gt;0,SUMIF('Detailed Budget'!$F$5:$F$1005,$B75,'Detailed Budget'!$AN$5:$AN$1005),"")</f>
        <v/>
      </c>
      <c r="J75" s="44" t="str">
        <f>IF(SUMIF('Detailed Budget'!$F$5:$F$1005,$B75,'Detailed Budget'!$AP$5:$AP$1005)&gt;0,SUMIF('Detailed Budget'!$F$5:$F$1005,$B75,'Detailed Budget'!$AP$5:$AP$1005),"")</f>
        <v/>
      </c>
      <c r="K75" s="44" t="str">
        <f>IF(SUMIF('Detailed Budget'!$F$5:$F$1005,$B75,'Detailed Budget'!$AR$5:$AR$1005)&gt;0,SUMIF('Detailed Budget'!$F$5:$F$1005,$B75,'Detailed Budget'!$AR$5:$AR$1005),"")</f>
        <v/>
      </c>
      <c r="L75" s="44" t="str">
        <f>IF(SUMIF('Detailed Budget'!$F$5:$F$1005,$B75,'Detailed Budget'!$AT$5:$AT$1005)&gt;0,SUMIF('Detailed Budget'!$F$5:$F$1005,$B75,'Detailed Budget'!$AT$5:$AT$1005),"")</f>
        <v/>
      </c>
      <c r="M75" s="45" t="str">
        <f>IF(SUMIF('Detailed Budget'!$F$5:$F$1005,$B75,'Detailed Budget'!$AV$5:$AV$1005)&gt;0,SUMIF('Detailed Budget'!$F$5:$F$1005,$B75,'Detailed Budget'!$AV$5:$AV$1005),"")</f>
        <v/>
      </c>
      <c r="N75" s="44" t="str">
        <f>IF(SUMIF('Detailed Budget'!$F$5:$F$1005,$B75,'Detailed Budget'!$BA$5:$BA$1005)&gt;0,SUMIF('Detailed Budget'!$F$5:$F$1005,$B75,'Detailed Budget'!$BA$5:$BA$1005),"")</f>
        <v/>
      </c>
      <c r="O75" s="44" t="str">
        <f>IF(SUMIF('Detailed Budget'!$F$5:$F$1005,$B75,'Detailed Budget'!$BC$5:$BC$1005)&gt;0,SUMIF('Detailed Budget'!$F$5:$F$1005,$B75,'Detailed Budget'!$BC$5:$BC$1005),"")</f>
        <v/>
      </c>
      <c r="P75" s="44" t="str">
        <f>IF(SUMIF('Detailed Budget'!$F$5:$F$1005,$B75,'Detailed Budget'!$BE$5:$BE$1005)&gt;0,SUMIF('Detailed Budget'!$F$5:$F$1005,$B75,'Detailed Budget'!$BE$5:$BE$1005),"")</f>
        <v/>
      </c>
      <c r="Q75" s="44" t="str">
        <f>IF(SUMIF('Detailed Budget'!$F$5:$F$1005,$B75,'Detailed Budget'!$BG$5:$BG$1005)&gt;0,SUMIF('Detailed Budget'!$F$5:$F$1005,$B75,'Detailed Budget'!$BG$5:$BG$1005),"")</f>
        <v/>
      </c>
      <c r="R75" s="45" t="str">
        <f>IF(SUMIF('Detailed Budget'!$F$5:$F$1005,$B75,'Detailed Budget'!$BI$5:$BI$1005)&gt;0,SUMIF('Detailed Budget'!$F$5:$F$1005,$B75,'Detailed Budget'!$BI$5:$BI$1005),"")</f>
        <v/>
      </c>
      <c r="S75" s="44" t="str">
        <f>IF(SUMIF('Detailed Budget'!$F$5:$F$1005,$B75,'Detailed Budget'!$BN$5:$BN$1005)&gt;0,SUMIF('Detailed Budget'!$F$5:$F$1005,$B75,'Detailed Budget'!$BN$5:$BN$1005),"")</f>
        <v/>
      </c>
      <c r="T75" s="44" t="str">
        <f>IF(SUMIF('Detailed Budget'!$F$5:$F$1005,$B75,'Detailed Budget'!$BP$5:$BP$1005)&gt;0,SUMIF('Detailed Budget'!$F$5:$F$1005,$B75,'Detailed Budget'!$BP$5:$BP$1005),"")</f>
        <v/>
      </c>
      <c r="U75" s="44" t="str">
        <f>IF(SUMIF('Detailed Budget'!$F$5:$F$1005,$B75,'Detailed Budget'!$BR$5:$BR$1005)&gt;0,SUMIF('Detailed Budget'!$F$5:$F$1005,$B75,'Detailed Budget'!$BR$5:$BR$1005),"")</f>
        <v/>
      </c>
      <c r="V75" s="44" t="str">
        <f>IF(SUMIF('Detailed Budget'!$F$5:$F$1005,$B74,'Detailed Budget'!$BT$5:$BT$1005)&gt;0,SUMIF('Detailed Budget'!$F$5:$F$1005,$B74,'Detailed Budget'!$BT$5:$BT$1005),"")</f>
        <v/>
      </c>
      <c r="W75" s="45" t="str">
        <f>IF(SUMIF('Detailed Budget'!$F$5:$F$1005,$B75,'Detailed Budget'!$BV$5:$BV$1005)&gt;0,SUMIF('Detailed Budget'!$F$5:$F$1005,$B75,'Detailed Budget'!$BV$5:$BV$1005),"")</f>
        <v/>
      </c>
      <c r="X75" s="44" t="str">
        <f t="shared" si="2"/>
        <v/>
      </c>
      <c r="Y75" s="124" t="str">
        <f t="shared" si="1"/>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row>
    <row r="76" spans="1:63" s="35" customFormat="1" ht="15" hidden="1" x14ac:dyDescent="0.25">
      <c r="A76" s="42"/>
      <c r="B76" s="81" t="str">
        <f t="array" ref="B76">IFERROR(INDEX(IntIdList,MATCH(0,COUNTIF(IntIdList,"&lt;"&amp;IntIdList)-SUM(COUNTIF(IntIdList,B$16:B75)),0)),"")</f>
        <v/>
      </c>
      <c r="C76" s="43" t="str">
        <f>IFERROR(INDEX('Data Sheet'!$D$29:$D$174,MATCH(B76,'Data Sheet'!$E$29:$E$174,0)) &amp; " - " &amp; INDEX('Data Sheet'!$C$29:$C$174,MATCH(B76,'Data Sheet'!$E$29:$E$174,0)),"")</f>
        <v/>
      </c>
      <c r="D76" s="44" t="str">
        <f>IF(SUMIF('Detailed Budget'!$F$5:$F$1005,$B76,'Detailed Budget'!$AA$5:$AA$1005)&gt;0,SUMIF('Detailed Budget'!$F$5:$F$1005,$B76,'Detailed Budget'!$AA$5:$AA$1005),"")</f>
        <v/>
      </c>
      <c r="E76" s="44" t="str">
        <f>IF(SUMIF('Detailed Budget'!$F$5:$F$1005,$B76,'Detailed Budget'!$AC$5:$AC$1005)&gt;0,SUMIF('Detailed Budget'!$F$5:$F$1005,$B76,'Detailed Budget'!$AC$5:$AC$1005),"")</f>
        <v/>
      </c>
      <c r="F76" s="44" t="str">
        <f>IF(SUMIF('Detailed Budget'!$F$5:$F$1005,$B76,'Detailed Budget'!$AE$5:$AE$1005)&gt;0,SUMIF('Detailed Budget'!$F$5:$F$1005,$B76,'Detailed Budget'!$AE$5:$AE$1005),"")</f>
        <v/>
      </c>
      <c r="G76" s="44" t="str">
        <f>IF(SUMIF('Detailed Budget'!$F$5:$F$1005,$B76,'Detailed Budget'!$AG$5:$AG$1005)&gt;0,SUMIF('Detailed Budget'!$F$5:$F$1005,$B76,'Detailed Budget'!$AG$5:$AG$1005),"")</f>
        <v/>
      </c>
      <c r="H76" s="45" t="str">
        <f>IF(SUMIF('Detailed Budget'!$F$5:$F$1005,$B76,'Detailed Budget'!$AI$5:$AI$1005)&gt;0,SUMIF('Detailed Budget'!$F$5:$F$1005,$B76,'Detailed Budget'!$AI$5:$AI$1005),"")</f>
        <v/>
      </c>
      <c r="I76" s="44" t="str">
        <f>IF(SUMIF('Detailed Budget'!$F$5:$F$1005,$B76,'Detailed Budget'!$AN$5:$AN$1005)&gt;0,SUMIF('Detailed Budget'!$F$5:$F$1005,$B76,'Detailed Budget'!$AN$5:$AN$1005),"")</f>
        <v/>
      </c>
      <c r="J76" s="44" t="str">
        <f>IF(SUMIF('Detailed Budget'!$F$5:$F$1005,$B76,'Detailed Budget'!$AP$5:$AP$1005)&gt;0,SUMIF('Detailed Budget'!$F$5:$F$1005,$B76,'Detailed Budget'!$AP$5:$AP$1005),"")</f>
        <v/>
      </c>
      <c r="K76" s="44" t="str">
        <f>IF(SUMIF('Detailed Budget'!$F$5:$F$1005,$B76,'Detailed Budget'!$AR$5:$AR$1005)&gt;0,SUMIF('Detailed Budget'!$F$5:$F$1005,$B76,'Detailed Budget'!$AR$5:$AR$1005),"")</f>
        <v/>
      </c>
      <c r="L76" s="44" t="str">
        <f>IF(SUMIF('Detailed Budget'!$F$5:$F$1005,$B76,'Detailed Budget'!$AT$5:$AT$1005)&gt;0,SUMIF('Detailed Budget'!$F$5:$F$1005,$B76,'Detailed Budget'!$AT$5:$AT$1005),"")</f>
        <v/>
      </c>
      <c r="M76" s="45" t="str">
        <f>IF(SUMIF('Detailed Budget'!$F$5:$F$1005,$B76,'Detailed Budget'!$AV$5:$AV$1005)&gt;0,SUMIF('Detailed Budget'!$F$5:$F$1005,$B76,'Detailed Budget'!$AV$5:$AV$1005),"")</f>
        <v/>
      </c>
      <c r="N76" s="44" t="str">
        <f>IF(SUMIF('Detailed Budget'!$F$5:$F$1005,$B76,'Detailed Budget'!$BA$5:$BA$1005)&gt;0,SUMIF('Detailed Budget'!$F$5:$F$1005,$B76,'Detailed Budget'!$BA$5:$BA$1005),"")</f>
        <v/>
      </c>
      <c r="O76" s="44" t="str">
        <f>IF(SUMIF('Detailed Budget'!$F$5:$F$1005,$B76,'Detailed Budget'!$BC$5:$BC$1005)&gt;0,SUMIF('Detailed Budget'!$F$5:$F$1005,$B76,'Detailed Budget'!$BC$5:$BC$1005),"")</f>
        <v/>
      </c>
      <c r="P76" s="44" t="str">
        <f>IF(SUMIF('Detailed Budget'!$F$5:$F$1005,$B76,'Detailed Budget'!$BE$5:$BE$1005)&gt;0,SUMIF('Detailed Budget'!$F$5:$F$1005,$B76,'Detailed Budget'!$BE$5:$BE$1005),"")</f>
        <v/>
      </c>
      <c r="Q76" s="44" t="str">
        <f>IF(SUMIF('Detailed Budget'!$F$5:$F$1005,$B76,'Detailed Budget'!$BG$5:$BG$1005)&gt;0,SUMIF('Detailed Budget'!$F$5:$F$1005,$B76,'Detailed Budget'!$BG$5:$BG$1005),"")</f>
        <v/>
      </c>
      <c r="R76" s="45" t="str">
        <f>IF(SUMIF('Detailed Budget'!$F$5:$F$1005,$B76,'Detailed Budget'!$BI$5:$BI$1005)&gt;0,SUMIF('Detailed Budget'!$F$5:$F$1005,$B76,'Detailed Budget'!$BI$5:$BI$1005),"")</f>
        <v/>
      </c>
      <c r="S76" s="44" t="str">
        <f>IF(SUMIF('Detailed Budget'!$F$5:$F$1005,$B76,'Detailed Budget'!$BN$5:$BN$1005)&gt;0,SUMIF('Detailed Budget'!$F$5:$F$1005,$B76,'Detailed Budget'!$BN$5:$BN$1005),"")</f>
        <v/>
      </c>
      <c r="T76" s="44" t="str">
        <f>IF(SUMIF('Detailed Budget'!$F$5:$F$1005,$B76,'Detailed Budget'!$BP$5:$BP$1005)&gt;0,SUMIF('Detailed Budget'!$F$5:$F$1005,$B76,'Detailed Budget'!$BP$5:$BP$1005),"")</f>
        <v/>
      </c>
      <c r="U76" s="44" t="str">
        <f>IF(SUMIF('Detailed Budget'!$F$5:$F$1005,$B76,'Detailed Budget'!$BR$5:$BR$1005)&gt;0,SUMIF('Detailed Budget'!$F$5:$F$1005,$B76,'Detailed Budget'!$BR$5:$BR$1005),"")</f>
        <v/>
      </c>
      <c r="V76" s="44" t="str">
        <f>IF(SUMIF('Detailed Budget'!$F$5:$F$1005,$B75,'Detailed Budget'!$BT$5:$BT$1005)&gt;0,SUMIF('Detailed Budget'!$F$5:$F$1005,$B75,'Detailed Budget'!$BT$5:$BT$1005),"")</f>
        <v/>
      </c>
      <c r="W76" s="45" t="str">
        <f>IF(SUMIF('Detailed Budget'!$F$5:$F$1005,$B76,'Detailed Budget'!$BV$5:$BV$1005)&gt;0,SUMIF('Detailed Budget'!$F$5:$F$1005,$B76,'Detailed Budget'!$BV$5:$BV$1005),"")</f>
        <v/>
      </c>
      <c r="X76" s="44" t="str">
        <f t="shared" si="2"/>
        <v/>
      </c>
      <c r="Y76" s="124" t="str">
        <f t="shared" si="1"/>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row>
    <row r="77" spans="1:63" s="35" customFormat="1" ht="15" hidden="1" x14ac:dyDescent="0.25">
      <c r="A77" s="42"/>
      <c r="B77" s="81" t="str">
        <f t="array" ref="B77">IFERROR(INDEX(IntIdList,MATCH(0,COUNTIF(IntIdList,"&lt;"&amp;IntIdList)-SUM(COUNTIF(IntIdList,B$16:B76)),0)),"")</f>
        <v/>
      </c>
      <c r="C77" s="43" t="str">
        <f>IFERROR(INDEX('Data Sheet'!$D$29:$D$174,MATCH(B77,'Data Sheet'!$E$29:$E$174,0)) &amp; " - " &amp; INDEX('Data Sheet'!$C$29:$C$174,MATCH(B77,'Data Sheet'!$E$29:$E$174,0)),"")</f>
        <v/>
      </c>
      <c r="D77" s="44" t="str">
        <f>IF(SUMIF('Detailed Budget'!$F$5:$F$1005,$B77,'Detailed Budget'!$AA$5:$AA$1005)&gt;0,SUMIF('Detailed Budget'!$F$5:$F$1005,$B77,'Detailed Budget'!$AA$5:$AA$1005),"")</f>
        <v/>
      </c>
      <c r="E77" s="44" t="str">
        <f>IF(SUMIF('Detailed Budget'!$F$5:$F$1005,$B77,'Detailed Budget'!$AC$5:$AC$1005)&gt;0,SUMIF('Detailed Budget'!$F$5:$F$1005,$B77,'Detailed Budget'!$AC$5:$AC$1005),"")</f>
        <v/>
      </c>
      <c r="F77" s="44" t="str">
        <f>IF(SUMIF('Detailed Budget'!$F$5:$F$1005,$B77,'Detailed Budget'!$AE$5:$AE$1005)&gt;0,SUMIF('Detailed Budget'!$F$5:$F$1005,$B77,'Detailed Budget'!$AE$5:$AE$1005),"")</f>
        <v/>
      </c>
      <c r="G77" s="44" t="str">
        <f>IF(SUMIF('Detailed Budget'!$F$5:$F$1005,$B77,'Detailed Budget'!$AG$5:$AG$1005)&gt;0,SUMIF('Detailed Budget'!$F$5:$F$1005,$B77,'Detailed Budget'!$AG$5:$AG$1005),"")</f>
        <v/>
      </c>
      <c r="H77" s="45" t="str">
        <f>IF(SUMIF('Detailed Budget'!$F$5:$F$1005,$B77,'Detailed Budget'!$AI$5:$AI$1005)&gt;0,SUMIF('Detailed Budget'!$F$5:$F$1005,$B77,'Detailed Budget'!$AI$5:$AI$1005),"")</f>
        <v/>
      </c>
      <c r="I77" s="44" t="str">
        <f>IF(SUMIF('Detailed Budget'!$F$5:$F$1005,$B77,'Detailed Budget'!$AN$5:$AN$1005)&gt;0,SUMIF('Detailed Budget'!$F$5:$F$1005,$B77,'Detailed Budget'!$AN$5:$AN$1005),"")</f>
        <v/>
      </c>
      <c r="J77" s="44" t="str">
        <f>IF(SUMIF('Detailed Budget'!$F$5:$F$1005,$B77,'Detailed Budget'!$AP$5:$AP$1005)&gt;0,SUMIF('Detailed Budget'!$F$5:$F$1005,$B77,'Detailed Budget'!$AP$5:$AP$1005),"")</f>
        <v/>
      </c>
      <c r="K77" s="44" t="str">
        <f>IF(SUMIF('Detailed Budget'!$F$5:$F$1005,$B77,'Detailed Budget'!$AR$5:$AR$1005)&gt;0,SUMIF('Detailed Budget'!$F$5:$F$1005,$B77,'Detailed Budget'!$AR$5:$AR$1005),"")</f>
        <v/>
      </c>
      <c r="L77" s="44" t="str">
        <f>IF(SUMIF('Detailed Budget'!$F$5:$F$1005,$B77,'Detailed Budget'!$AT$5:$AT$1005)&gt;0,SUMIF('Detailed Budget'!$F$5:$F$1005,$B77,'Detailed Budget'!$AT$5:$AT$1005),"")</f>
        <v/>
      </c>
      <c r="M77" s="45" t="str">
        <f>IF(SUMIF('Detailed Budget'!$F$5:$F$1005,$B77,'Detailed Budget'!$AV$5:$AV$1005)&gt;0,SUMIF('Detailed Budget'!$F$5:$F$1005,$B77,'Detailed Budget'!$AV$5:$AV$1005),"")</f>
        <v/>
      </c>
      <c r="N77" s="44" t="str">
        <f>IF(SUMIF('Detailed Budget'!$F$5:$F$1005,$B77,'Detailed Budget'!$BA$5:$BA$1005)&gt;0,SUMIF('Detailed Budget'!$F$5:$F$1005,$B77,'Detailed Budget'!$BA$5:$BA$1005),"")</f>
        <v/>
      </c>
      <c r="O77" s="44" t="str">
        <f>IF(SUMIF('Detailed Budget'!$F$5:$F$1005,$B77,'Detailed Budget'!$BC$5:$BC$1005)&gt;0,SUMIF('Detailed Budget'!$F$5:$F$1005,$B77,'Detailed Budget'!$BC$5:$BC$1005),"")</f>
        <v/>
      </c>
      <c r="P77" s="44" t="str">
        <f>IF(SUMIF('Detailed Budget'!$F$5:$F$1005,$B77,'Detailed Budget'!$BE$5:$BE$1005)&gt;0,SUMIF('Detailed Budget'!$F$5:$F$1005,$B77,'Detailed Budget'!$BE$5:$BE$1005),"")</f>
        <v/>
      </c>
      <c r="Q77" s="44" t="str">
        <f>IF(SUMIF('Detailed Budget'!$F$5:$F$1005,$B77,'Detailed Budget'!$BG$5:$BG$1005)&gt;0,SUMIF('Detailed Budget'!$F$5:$F$1005,$B77,'Detailed Budget'!$BG$5:$BG$1005),"")</f>
        <v/>
      </c>
      <c r="R77" s="45" t="str">
        <f>IF(SUMIF('Detailed Budget'!$F$5:$F$1005,$B77,'Detailed Budget'!$BI$5:$BI$1005)&gt;0,SUMIF('Detailed Budget'!$F$5:$F$1005,$B77,'Detailed Budget'!$BI$5:$BI$1005),"")</f>
        <v/>
      </c>
      <c r="S77" s="44" t="str">
        <f>IF(SUMIF('Detailed Budget'!$F$5:$F$1005,$B77,'Detailed Budget'!$BN$5:$BN$1005)&gt;0,SUMIF('Detailed Budget'!$F$5:$F$1005,$B77,'Detailed Budget'!$BN$5:$BN$1005),"")</f>
        <v/>
      </c>
      <c r="T77" s="44" t="str">
        <f>IF(SUMIF('Detailed Budget'!$F$5:$F$1005,$B77,'Detailed Budget'!$BP$5:$BP$1005)&gt;0,SUMIF('Detailed Budget'!$F$5:$F$1005,$B77,'Detailed Budget'!$BP$5:$BP$1005),"")</f>
        <v/>
      </c>
      <c r="U77" s="44" t="str">
        <f>IF(SUMIF('Detailed Budget'!$F$5:$F$1005,$B77,'Detailed Budget'!$BR$5:$BR$1005)&gt;0,SUMIF('Detailed Budget'!$F$5:$F$1005,$B77,'Detailed Budget'!$BR$5:$BR$1005),"")</f>
        <v/>
      </c>
      <c r="V77" s="44" t="str">
        <f>IF(SUMIF('Detailed Budget'!$F$5:$F$1005,$B76,'Detailed Budget'!$BT$5:$BT$1005)&gt;0,SUMIF('Detailed Budget'!$F$5:$F$1005,$B76,'Detailed Budget'!$BT$5:$BT$1005),"")</f>
        <v/>
      </c>
      <c r="W77" s="45" t="str">
        <f>IF(SUMIF('Detailed Budget'!$F$5:$F$1005,$B77,'Detailed Budget'!$BV$5:$BV$1005)&gt;0,SUMIF('Detailed Budget'!$F$5:$F$1005,$B77,'Detailed Budget'!$BV$5:$BV$1005),"")</f>
        <v/>
      </c>
      <c r="X77" s="44" t="str">
        <f t="shared" si="2"/>
        <v/>
      </c>
      <c r="Y77" s="124" t="str">
        <f t="shared" si="1"/>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row>
    <row r="78" spans="1:63" s="35" customFormat="1" ht="15" hidden="1" x14ac:dyDescent="0.25">
      <c r="A78" s="42"/>
      <c r="B78" s="81" t="str">
        <f t="array" ref="B78">IFERROR(INDEX(IntIdList,MATCH(0,COUNTIF(IntIdList,"&lt;"&amp;IntIdList)-SUM(COUNTIF(IntIdList,B$16:B77)),0)),"")</f>
        <v/>
      </c>
      <c r="C78" s="43" t="str">
        <f>IFERROR(INDEX('Data Sheet'!$D$29:$D$174,MATCH(B78,'Data Sheet'!$E$29:$E$174,0)) &amp; " - " &amp; INDEX('Data Sheet'!$C$29:$C$174,MATCH(B78,'Data Sheet'!$E$29:$E$174,0)),"")</f>
        <v/>
      </c>
      <c r="D78" s="44" t="str">
        <f>IF(SUMIF('Detailed Budget'!$F$5:$F$1005,$B78,'Detailed Budget'!$AA$5:$AA$1005)&gt;0,SUMIF('Detailed Budget'!$F$5:$F$1005,$B78,'Detailed Budget'!$AA$5:$AA$1005),"")</f>
        <v/>
      </c>
      <c r="E78" s="44" t="str">
        <f>IF(SUMIF('Detailed Budget'!$F$5:$F$1005,$B78,'Detailed Budget'!$AC$5:$AC$1005)&gt;0,SUMIF('Detailed Budget'!$F$5:$F$1005,$B78,'Detailed Budget'!$AC$5:$AC$1005),"")</f>
        <v/>
      </c>
      <c r="F78" s="44" t="str">
        <f>IF(SUMIF('Detailed Budget'!$F$5:$F$1005,$B78,'Detailed Budget'!$AE$5:$AE$1005)&gt;0,SUMIF('Detailed Budget'!$F$5:$F$1005,$B78,'Detailed Budget'!$AE$5:$AE$1005),"")</f>
        <v/>
      </c>
      <c r="G78" s="44" t="str">
        <f>IF(SUMIF('Detailed Budget'!$F$5:$F$1005,$B78,'Detailed Budget'!$AG$5:$AG$1005)&gt;0,SUMIF('Detailed Budget'!$F$5:$F$1005,$B78,'Detailed Budget'!$AG$5:$AG$1005),"")</f>
        <v/>
      </c>
      <c r="H78" s="45" t="str">
        <f>IF(SUMIF('Detailed Budget'!$F$5:$F$1005,$B78,'Detailed Budget'!$AI$5:$AI$1005)&gt;0,SUMIF('Detailed Budget'!$F$5:$F$1005,$B78,'Detailed Budget'!$AI$5:$AI$1005),"")</f>
        <v/>
      </c>
      <c r="I78" s="44" t="str">
        <f>IF(SUMIF('Detailed Budget'!$F$5:$F$1005,$B78,'Detailed Budget'!$AN$5:$AN$1005)&gt;0,SUMIF('Detailed Budget'!$F$5:$F$1005,$B78,'Detailed Budget'!$AN$5:$AN$1005),"")</f>
        <v/>
      </c>
      <c r="J78" s="44" t="str">
        <f>IF(SUMIF('Detailed Budget'!$F$5:$F$1005,$B78,'Detailed Budget'!$AP$5:$AP$1005)&gt;0,SUMIF('Detailed Budget'!$F$5:$F$1005,$B78,'Detailed Budget'!$AP$5:$AP$1005),"")</f>
        <v/>
      </c>
      <c r="K78" s="44" t="str">
        <f>IF(SUMIF('Detailed Budget'!$F$5:$F$1005,$B78,'Detailed Budget'!$AR$5:$AR$1005)&gt;0,SUMIF('Detailed Budget'!$F$5:$F$1005,$B78,'Detailed Budget'!$AR$5:$AR$1005),"")</f>
        <v/>
      </c>
      <c r="L78" s="44" t="str">
        <f>IF(SUMIF('Detailed Budget'!$F$5:$F$1005,$B78,'Detailed Budget'!$AT$5:$AT$1005)&gt;0,SUMIF('Detailed Budget'!$F$5:$F$1005,$B78,'Detailed Budget'!$AT$5:$AT$1005),"")</f>
        <v/>
      </c>
      <c r="M78" s="45" t="str">
        <f>IF(SUMIF('Detailed Budget'!$F$5:$F$1005,$B78,'Detailed Budget'!$AV$5:$AV$1005)&gt;0,SUMIF('Detailed Budget'!$F$5:$F$1005,$B78,'Detailed Budget'!$AV$5:$AV$1005),"")</f>
        <v/>
      </c>
      <c r="N78" s="44" t="str">
        <f>IF(SUMIF('Detailed Budget'!$F$5:$F$1005,$B78,'Detailed Budget'!$BA$5:$BA$1005)&gt;0,SUMIF('Detailed Budget'!$F$5:$F$1005,$B78,'Detailed Budget'!$BA$5:$BA$1005),"")</f>
        <v/>
      </c>
      <c r="O78" s="44" t="str">
        <f>IF(SUMIF('Detailed Budget'!$F$5:$F$1005,$B78,'Detailed Budget'!$BC$5:$BC$1005)&gt;0,SUMIF('Detailed Budget'!$F$5:$F$1005,$B78,'Detailed Budget'!$BC$5:$BC$1005),"")</f>
        <v/>
      </c>
      <c r="P78" s="44" t="str">
        <f>IF(SUMIF('Detailed Budget'!$F$5:$F$1005,$B78,'Detailed Budget'!$BE$5:$BE$1005)&gt;0,SUMIF('Detailed Budget'!$F$5:$F$1005,$B78,'Detailed Budget'!$BE$5:$BE$1005),"")</f>
        <v/>
      </c>
      <c r="Q78" s="44" t="str">
        <f>IF(SUMIF('Detailed Budget'!$F$5:$F$1005,$B78,'Detailed Budget'!$BG$5:$BG$1005)&gt;0,SUMIF('Detailed Budget'!$F$5:$F$1005,$B78,'Detailed Budget'!$BG$5:$BG$1005),"")</f>
        <v/>
      </c>
      <c r="R78" s="45" t="str">
        <f>IF(SUMIF('Detailed Budget'!$F$5:$F$1005,$B78,'Detailed Budget'!$BI$5:$BI$1005)&gt;0,SUMIF('Detailed Budget'!$F$5:$F$1005,$B78,'Detailed Budget'!$BI$5:$BI$1005),"")</f>
        <v/>
      </c>
      <c r="S78" s="44" t="str">
        <f>IF(SUMIF('Detailed Budget'!$F$5:$F$1005,$B78,'Detailed Budget'!$BN$5:$BN$1005)&gt;0,SUMIF('Detailed Budget'!$F$5:$F$1005,$B78,'Detailed Budget'!$BN$5:$BN$1005),"")</f>
        <v/>
      </c>
      <c r="T78" s="44" t="str">
        <f>IF(SUMIF('Detailed Budget'!$F$5:$F$1005,$B78,'Detailed Budget'!$BP$5:$BP$1005)&gt;0,SUMIF('Detailed Budget'!$F$5:$F$1005,$B78,'Detailed Budget'!$BP$5:$BP$1005),"")</f>
        <v/>
      </c>
      <c r="U78" s="44" t="str">
        <f>IF(SUMIF('Detailed Budget'!$F$5:$F$1005,$B78,'Detailed Budget'!$BR$5:$BR$1005)&gt;0,SUMIF('Detailed Budget'!$F$5:$F$1005,$B78,'Detailed Budget'!$BR$5:$BR$1005),"")</f>
        <v/>
      </c>
      <c r="V78" s="44" t="str">
        <f>IF(SUMIF('Detailed Budget'!$F$5:$F$1005,$B77,'Detailed Budget'!$BT$5:$BT$1005)&gt;0,SUMIF('Detailed Budget'!$F$5:$F$1005,$B77,'Detailed Budget'!$BT$5:$BT$1005),"")</f>
        <v/>
      </c>
      <c r="W78" s="45" t="str">
        <f>IF(SUMIF('Detailed Budget'!$F$5:$F$1005,$B78,'Detailed Budget'!$BV$5:$BV$1005)&gt;0,SUMIF('Detailed Budget'!$F$5:$F$1005,$B78,'Detailed Budget'!$BV$5:$BV$1005),"")</f>
        <v/>
      </c>
      <c r="X78" s="44" t="str">
        <f t="shared" si="2"/>
        <v/>
      </c>
      <c r="Y78" s="124" t="str">
        <f t="shared" si="1"/>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row>
    <row r="79" spans="1:63" s="35" customFormat="1" ht="15" hidden="1" x14ac:dyDescent="0.25">
      <c r="A79" s="42"/>
      <c r="B79" s="81" t="str">
        <f t="array" ref="B79">IFERROR(INDEX(IntIdList,MATCH(0,COUNTIF(IntIdList,"&lt;"&amp;IntIdList)-SUM(COUNTIF(IntIdList,B$16:B78)),0)),"")</f>
        <v/>
      </c>
      <c r="C79" s="43" t="str">
        <f>IFERROR(INDEX('Data Sheet'!$D$29:$D$174,MATCH(B79,'Data Sheet'!$E$29:$E$174,0)) &amp; " - " &amp; INDEX('Data Sheet'!$C$29:$C$174,MATCH(B79,'Data Sheet'!$E$29:$E$174,0)),"")</f>
        <v/>
      </c>
      <c r="D79" s="44" t="str">
        <f>IF(SUMIF('Detailed Budget'!$F$5:$F$1005,$B79,'Detailed Budget'!$AA$5:$AA$1005)&gt;0,SUMIF('Detailed Budget'!$F$5:$F$1005,$B79,'Detailed Budget'!$AA$5:$AA$1005),"")</f>
        <v/>
      </c>
      <c r="E79" s="44" t="str">
        <f>IF(SUMIF('Detailed Budget'!$F$5:$F$1005,$B79,'Detailed Budget'!$AC$5:$AC$1005)&gt;0,SUMIF('Detailed Budget'!$F$5:$F$1005,$B79,'Detailed Budget'!$AC$5:$AC$1005),"")</f>
        <v/>
      </c>
      <c r="F79" s="44" t="str">
        <f>IF(SUMIF('Detailed Budget'!$F$5:$F$1005,$B79,'Detailed Budget'!$AE$5:$AE$1005)&gt;0,SUMIF('Detailed Budget'!$F$5:$F$1005,$B79,'Detailed Budget'!$AE$5:$AE$1005),"")</f>
        <v/>
      </c>
      <c r="G79" s="44" t="str">
        <f>IF(SUMIF('Detailed Budget'!$F$5:$F$1005,$B79,'Detailed Budget'!$AG$5:$AG$1005)&gt;0,SUMIF('Detailed Budget'!$F$5:$F$1005,$B79,'Detailed Budget'!$AG$5:$AG$1005),"")</f>
        <v/>
      </c>
      <c r="H79" s="45" t="str">
        <f>IF(SUMIF('Detailed Budget'!$F$5:$F$1005,$B79,'Detailed Budget'!$AI$5:$AI$1005)&gt;0,SUMIF('Detailed Budget'!$F$5:$F$1005,$B79,'Detailed Budget'!$AI$5:$AI$1005),"")</f>
        <v/>
      </c>
      <c r="I79" s="44" t="str">
        <f>IF(SUMIF('Detailed Budget'!$F$5:$F$1005,$B79,'Detailed Budget'!$AN$5:$AN$1005)&gt;0,SUMIF('Detailed Budget'!$F$5:$F$1005,$B79,'Detailed Budget'!$AN$5:$AN$1005),"")</f>
        <v/>
      </c>
      <c r="J79" s="44" t="str">
        <f>IF(SUMIF('Detailed Budget'!$F$5:$F$1005,$B79,'Detailed Budget'!$AP$5:$AP$1005)&gt;0,SUMIF('Detailed Budget'!$F$5:$F$1005,$B79,'Detailed Budget'!$AP$5:$AP$1005),"")</f>
        <v/>
      </c>
      <c r="K79" s="44" t="str">
        <f>IF(SUMIF('Detailed Budget'!$F$5:$F$1005,$B79,'Detailed Budget'!$AR$5:$AR$1005)&gt;0,SUMIF('Detailed Budget'!$F$5:$F$1005,$B79,'Detailed Budget'!$AR$5:$AR$1005),"")</f>
        <v/>
      </c>
      <c r="L79" s="44" t="str">
        <f>IF(SUMIF('Detailed Budget'!$F$5:$F$1005,$B79,'Detailed Budget'!$AT$5:$AT$1005)&gt;0,SUMIF('Detailed Budget'!$F$5:$F$1005,$B79,'Detailed Budget'!$AT$5:$AT$1005),"")</f>
        <v/>
      </c>
      <c r="M79" s="45" t="str">
        <f>IF(SUMIF('Detailed Budget'!$F$5:$F$1005,$B79,'Detailed Budget'!$AV$5:$AV$1005)&gt;0,SUMIF('Detailed Budget'!$F$5:$F$1005,$B79,'Detailed Budget'!$AV$5:$AV$1005),"")</f>
        <v/>
      </c>
      <c r="N79" s="44" t="str">
        <f>IF(SUMIF('Detailed Budget'!$F$5:$F$1005,$B79,'Detailed Budget'!$BA$5:$BA$1005)&gt;0,SUMIF('Detailed Budget'!$F$5:$F$1005,$B79,'Detailed Budget'!$BA$5:$BA$1005),"")</f>
        <v/>
      </c>
      <c r="O79" s="44" t="str">
        <f>IF(SUMIF('Detailed Budget'!$F$5:$F$1005,$B79,'Detailed Budget'!$BC$5:$BC$1005)&gt;0,SUMIF('Detailed Budget'!$F$5:$F$1005,$B79,'Detailed Budget'!$BC$5:$BC$1005),"")</f>
        <v/>
      </c>
      <c r="P79" s="44" t="str">
        <f>IF(SUMIF('Detailed Budget'!$F$5:$F$1005,$B79,'Detailed Budget'!$BE$5:$BE$1005)&gt;0,SUMIF('Detailed Budget'!$F$5:$F$1005,$B79,'Detailed Budget'!$BE$5:$BE$1005),"")</f>
        <v/>
      </c>
      <c r="Q79" s="44" t="str">
        <f>IF(SUMIF('Detailed Budget'!$F$5:$F$1005,$B79,'Detailed Budget'!$BG$5:$BG$1005)&gt;0,SUMIF('Detailed Budget'!$F$5:$F$1005,$B79,'Detailed Budget'!$BG$5:$BG$1005),"")</f>
        <v/>
      </c>
      <c r="R79" s="45" t="str">
        <f>IF(SUMIF('Detailed Budget'!$F$5:$F$1005,$B79,'Detailed Budget'!$BI$5:$BI$1005)&gt;0,SUMIF('Detailed Budget'!$F$5:$F$1005,$B79,'Detailed Budget'!$BI$5:$BI$1005),"")</f>
        <v/>
      </c>
      <c r="S79" s="44" t="str">
        <f>IF(SUMIF('Detailed Budget'!$F$5:$F$1005,$B79,'Detailed Budget'!$BN$5:$BN$1005)&gt;0,SUMIF('Detailed Budget'!$F$5:$F$1005,$B79,'Detailed Budget'!$BN$5:$BN$1005),"")</f>
        <v/>
      </c>
      <c r="T79" s="44" t="str">
        <f>IF(SUMIF('Detailed Budget'!$F$5:$F$1005,$B79,'Detailed Budget'!$BP$5:$BP$1005)&gt;0,SUMIF('Detailed Budget'!$F$5:$F$1005,$B79,'Detailed Budget'!$BP$5:$BP$1005),"")</f>
        <v/>
      </c>
      <c r="U79" s="44" t="str">
        <f>IF(SUMIF('Detailed Budget'!$F$5:$F$1005,$B79,'Detailed Budget'!$BR$5:$BR$1005)&gt;0,SUMIF('Detailed Budget'!$F$5:$F$1005,$B79,'Detailed Budget'!$BR$5:$BR$1005),"")</f>
        <v/>
      </c>
      <c r="V79" s="44" t="str">
        <f>IF(SUMIF('Detailed Budget'!$F$5:$F$1005,$B78,'Detailed Budget'!$BT$5:$BT$1005)&gt;0,SUMIF('Detailed Budget'!$F$5:$F$1005,$B78,'Detailed Budget'!$BT$5:$BT$1005),"")</f>
        <v/>
      </c>
      <c r="W79" s="45" t="str">
        <f>IF(SUMIF('Detailed Budget'!$F$5:$F$1005,$B79,'Detailed Budget'!$BV$5:$BV$1005)&gt;0,SUMIF('Detailed Budget'!$F$5:$F$1005,$B79,'Detailed Budget'!$BV$5:$BV$1005),"")</f>
        <v/>
      </c>
      <c r="X79" s="44" t="str">
        <f t="shared" si="2"/>
        <v/>
      </c>
      <c r="Y79" s="124" t="str">
        <f t="shared" si="1"/>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row>
    <row r="80" spans="1:63" s="35" customFormat="1" ht="15" hidden="1" x14ac:dyDescent="0.25">
      <c r="A80" s="42"/>
      <c r="B80" s="81" t="str">
        <f t="array" ref="B80">IFERROR(INDEX(IntIdList,MATCH(0,COUNTIF(IntIdList,"&lt;"&amp;IntIdList)-SUM(COUNTIF(IntIdList,B$16:B79)),0)),"")</f>
        <v/>
      </c>
      <c r="C80" s="43" t="str">
        <f>IFERROR(INDEX('Data Sheet'!$D$29:$D$174,MATCH(B80,'Data Sheet'!$E$29:$E$174,0)) &amp; " - " &amp; INDEX('Data Sheet'!$C$29:$C$174,MATCH(B80,'Data Sheet'!$E$29:$E$174,0)),"")</f>
        <v/>
      </c>
      <c r="D80" s="44" t="str">
        <f>IF(SUMIF('Detailed Budget'!$F$5:$F$1005,$B80,'Detailed Budget'!$AA$5:$AA$1005)&gt;0,SUMIF('Detailed Budget'!$F$5:$F$1005,$B80,'Detailed Budget'!$AA$5:$AA$1005),"")</f>
        <v/>
      </c>
      <c r="E80" s="44" t="str">
        <f>IF(SUMIF('Detailed Budget'!$F$5:$F$1005,$B80,'Detailed Budget'!$AC$5:$AC$1005)&gt;0,SUMIF('Detailed Budget'!$F$5:$F$1005,$B80,'Detailed Budget'!$AC$5:$AC$1005),"")</f>
        <v/>
      </c>
      <c r="F80" s="44" t="str">
        <f>IF(SUMIF('Detailed Budget'!$F$5:$F$1005,$B80,'Detailed Budget'!$AE$5:$AE$1005)&gt;0,SUMIF('Detailed Budget'!$F$5:$F$1005,$B80,'Detailed Budget'!$AE$5:$AE$1005),"")</f>
        <v/>
      </c>
      <c r="G80" s="44" t="str">
        <f>IF(SUMIF('Detailed Budget'!$F$5:$F$1005,$B80,'Detailed Budget'!$AG$5:$AG$1005)&gt;0,SUMIF('Detailed Budget'!$F$5:$F$1005,$B80,'Detailed Budget'!$AG$5:$AG$1005),"")</f>
        <v/>
      </c>
      <c r="H80" s="45" t="str">
        <f>IF(SUMIF('Detailed Budget'!$F$5:$F$1005,$B80,'Detailed Budget'!$AI$5:$AI$1005)&gt;0,SUMIF('Detailed Budget'!$F$5:$F$1005,$B80,'Detailed Budget'!$AI$5:$AI$1005),"")</f>
        <v/>
      </c>
      <c r="I80" s="44" t="str">
        <f>IF(SUMIF('Detailed Budget'!$F$5:$F$1005,$B80,'Detailed Budget'!$AN$5:$AN$1005)&gt;0,SUMIF('Detailed Budget'!$F$5:$F$1005,$B80,'Detailed Budget'!$AN$5:$AN$1005),"")</f>
        <v/>
      </c>
      <c r="J80" s="44" t="str">
        <f>IF(SUMIF('Detailed Budget'!$F$5:$F$1005,$B80,'Detailed Budget'!$AP$5:$AP$1005)&gt;0,SUMIF('Detailed Budget'!$F$5:$F$1005,$B80,'Detailed Budget'!$AP$5:$AP$1005),"")</f>
        <v/>
      </c>
      <c r="K80" s="44" t="str">
        <f>IF(SUMIF('Detailed Budget'!$F$5:$F$1005,$B80,'Detailed Budget'!$AR$5:$AR$1005)&gt;0,SUMIF('Detailed Budget'!$F$5:$F$1005,$B80,'Detailed Budget'!$AR$5:$AR$1005),"")</f>
        <v/>
      </c>
      <c r="L80" s="44" t="str">
        <f>IF(SUMIF('Detailed Budget'!$F$5:$F$1005,$B80,'Detailed Budget'!$AT$5:$AT$1005)&gt;0,SUMIF('Detailed Budget'!$F$5:$F$1005,$B80,'Detailed Budget'!$AT$5:$AT$1005),"")</f>
        <v/>
      </c>
      <c r="M80" s="45" t="str">
        <f>IF(SUMIF('Detailed Budget'!$F$5:$F$1005,$B80,'Detailed Budget'!$AV$5:$AV$1005)&gt;0,SUMIF('Detailed Budget'!$F$5:$F$1005,$B80,'Detailed Budget'!$AV$5:$AV$1005),"")</f>
        <v/>
      </c>
      <c r="N80" s="44" t="str">
        <f>IF(SUMIF('Detailed Budget'!$F$5:$F$1005,$B80,'Detailed Budget'!$BA$5:$BA$1005)&gt;0,SUMIF('Detailed Budget'!$F$5:$F$1005,$B80,'Detailed Budget'!$BA$5:$BA$1005),"")</f>
        <v/>
      </c>
      <c r="O80" s="44" t="str">
        <f>IF(SUMIF('Detailed Budget'!$F$5:$F$1005,$B80,'Detailed Budget'!$BC$5:$BC$1005)&gt;0,SUMIF('Detailed Budget'!$F$5:$F$1005,$B80,'Detailed Budget'!$BC$5:$BC$1005),"")</f>
        <v/>
      </c>
      <c r="P80" s="44" t="str">
        <f>IF(SUMIF('Detailed Budget'!$F$5:$F$1005,$B80,'Detailed Budget'!$BE$5:$BE$1005)&gt;0,SUMIF('Detailed Budget'!$F$5:$F$1005,$B80,'Detailed Budget'!$BE$5:$BE$1005),"")</f>
        <v/>
      </c>
      <c r="Q80" s="44" t="str">
        <f>IF(SUMIF('Detailed Budget'!$F$5:$F$1005,$B80,'Detailed Budget'!$BG$5:$BG$1005)&gt;0,SUMIF('Detailed Budget'!$F$5:$F$1005,$B80,'Detailed Budget'!$BG$5:$BG$1005),"")</f>
        <v/>
      </c>
      <c r="R80" s="45" t="str">
        <f>IF(SUMIF('Detailed Budget'!$F$5:$F$1005,$B80,'Detailed Budget'!$BI$5:$BI$1005)&gt;0,SUMIF('Detailed Budget'!$F$5:$F$1005,$B80,'Detailed Budget'!$BI$5:$BI$1005),"")</f>
        <v/>
      </c>
      <c r="S80" s="44" t="str">
        <f>IF(SUMIF('Detailed Budget'!$F$5:$F$1005,$B80,'Detailed Budget'!$BN$5:$BN$1005)&gt;0,SUMIF('Detailed Budget'!$F$5:$F$1005,$B80,'Detailed Budget'!$BN$5:$BN$1005),"")</f>
        <v/>
      </c>
      <c r="T80" s="44" t="str">
        <f>IF(SUMIF('Detailed Budget'!$F$5:$F$1005,$B80,'Detailed Budget'!$BP$5:$BP$1005)&gt;0,SUMIF('Detailed Budget'!$F$5:$F$1005,$B80,'Detailed Budget'!$BP$5:$BP$1005),"")</f>
        <v/>
      </c>
      <c r="U80" s="44" t="str">
        <f>IF(SUMIF('Detailed Budget'!$F$5:$F$1005,$B80,'Detailed Budget'!$BR$5:$BR$1005)&gt;0,SUMIF('Detailed Budget'!$F$5:$F$1005,$B80,'Detailed Budget'!$BR$5:$BR$1005),"")</f>
        <v/>
      </c>
      <c r="V80" s="44" t="str">
        <f>IF(SUMIF('Detailed Budget'!$F$5:$F$1005,$B79,'Detailed Budget'!$BT$5:$BT$1005)&gt;0,SUMIF('Detailed Budget'!$F$5:$F$1005,$B79,'Detailed Budget'!$BT$5:$BT$1005),"")</f>
        <v/>
      </c>
      <c r="W80" s="45" t="str">
        <f>IF(SUMIF('Detailed Budget'!$F$5:$F$1005,$B80,'Detailed Budget'!$BV$5:$BV$1005)&gt;0,SUMIF('Detailed Budget'!$F$5:$F$1005,$B80,'Detailed Budget'!$BV$5:$BV$1005),"")</f>
        <v/>
      </c>
      <c r="X80" s="44" t="str">
        <f t="shared" si="2"/>
        <v/>
      </c>
      <c r="Y80" s="124" t="str">
        <f t="shared" si="1"/>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row>
    <row r="81" spans="1:63" s="35" customFormat="1" ht="15" hidden="1" x14ac:dyDescent="0.25">
      <c r="A81" s="42"/>
      <c r="B81" s="81" t="str">
        <f t="array" ref="B81">IFERROR(INDEX(IntIdList,MATCH(0,COUNTIF(IntIdList,"&lt;"&amp;IntIdList)-SUM(COUNTIF(IntIdList,B$16:B80)),0)),"")</f>
        <v/>
      </c>
      <c r="C81" s="43" t="str">
        <f>IFERROR(INDEX('Data Sheet'!$D$29:$D$174,MATCH(B81,'Data Sheet'!$E$29:$E$174,0)) &amp; " - " &amp; INDEX('Data Sheet'!$C$29:$C$174,MATCH(B81,'Data Sheet'!$E$29:$E$174,0)),"")</f>
        <v/>
      </c>
      <c r="D81" s="44" t="str">
        <f>IF(SUMIF('Detailed Budget'!$F$5:$F$1005,$B81,'Detailed Budget'!$AA$5:$AA$1005)&gt;0,SUMIF('Detailed Budget'!$F$5:$F$1005,$B81,'Detailed Budget'!$AA$5:$AA$1005),"")</f>
        <v/>
      </c>
      <c r="E81" s="44" t="str">
        <f>IF(SUMIF('Detailed Budget'!$F$5:$F$1005,$B81,'Detailed Budget'!$AC$5:$AC$1005)&gt;0,SUMIF('Detailed Budget'!$F$5:$F$1005,$B81,'Detailed Budget'!$AC$5:$AC$1005),"")</f>
        <v/>
      </c>
      <c r="F81" s="44" t="str">
        <f>IF(SUMIF('Detailed Budget'!$F$5:$F$1005,$B81,'Detailed Budget'!$AE$5:$AE$1005)&gt;0,SUMIF('Detailed Budget'!$F$5:$F$1005,$B81,'Detailed Budget'!$AE$5:$AE$1005),"")</f>
        <v/>
      </c>
      <c r="G81" s="44" t="str">
        <f>IF(SUMIF('Detailed Budget'!$F$5:$F$1005,$B81,'Detailed Budget'!$AG$5:$AG$1005)&gt;0,SUMIF('Detailed Budget'!$F$5:$F$1005,$B81,'Detailed Budget'!$AG$5:$AG$1005),"")</f>
        <v/>
      </c>
      <c r="H81" s="45" t="str">
        <f>IF(SUMIF('Detailed Budget'!$F$5:$F$1005,$B81,'Detailed Budget'!$AI$5:$AI$1005)&gt;0,SUMIF('Detailed Budget'!$F$5:$F$1005,$B81,'Detailed Budget'!$AI$5:$AI$1005),"")</f>
        <v/>
      </c>
      <c r="I81" s="44" t="str">
        <f>IF(SUMIF('Detailed Budget'!$F$5:$F$1005,$B81,'Detailed Budget'!$AN$5:$AN$1005)&gt;0,SUMIF('Detailed Budget'!$F$5:$F$1005,$B81,'Detailed Budget'!$AN$5:$AN$1005),"")</f>
        <v/>
      </c>
      <c r="J81" s="44" t="str">
        <f>IF(SUMIF('Detailed Budget'!$F$5:$F$1005,$B81,'Detailed Budget'!$AP$5:$AP$1005)&gt;0,SUMIF('Detailed Budget'!$F$5:$F$1005,$B81,'Detailed Budget'!$AP$5:$AP$1005),"")</f>
        <v/>
      </c>
      <c r="K81" s="44" t="str">
        <f>IF(SUMIF('Detailed Budget'!$F$5:$F$1005,$B81,'Detailed Budget'!$AR$5:$AR$1005)&gt;0,SUMIF('Detailed Budget'!$F$5:$F$1005,$B81,'Detailed Budget'!$AR$5:$AR$1005),"")</f>
        <v/>
      </c>
      <c r="L81" s="44" t="str">
        <f>IF(SUMIF('Detailed Budget'!$F$5:$F$1005,$B81,'Detailed Budget'!$AT$5:$AT$1005)&gt;0,SUMIF('Detailed Budget'!$F$5:$F$1005,$B81,'Detailed Budget'!$AT$5:$AT$1005),"")</f>
        <v/>
      </c>
      <c r="M81" s="45" t="str">
        <f>IF(SUMIF('Detailed Budget'!$F$5:$F$1005,$B81,'Detailed Budget'!$AV$5:$AV$1005)&gt;0,SUMIF('Detailed Budget'!$F$5:$F$1005,$B81,'Detailed Budget'!$AV$5:$AV$1005),"")</f>
        <v/>
      </c>
      <c r="N81" s="44" t="str">
        <f>IF(SUMIF('Detailed Budget'!$F$5:$F$1005,$B81,'Detailed Budget'!$BA$5:$BA$1005)&gt;0,SUMIF('Detailed Budget'!$F$5:$F$1005,$B81,'Detailed Budget'!$BA$5:$BA$1005),"")</f>
        <v/>
      </c>
      <c r="O81" s="44" t="str">
        <f>IF(SUMIF('Detailed Budget'!$F$5:$F$1005,$B81,'Detailed Budget'!$BC$5:$BC$1005)&gt;0,SUMIF('Detailed Budget'!$F$5:$F$1005,$B81,'Detailed Budget'!$BC$5:$BC$1005),"")</f>
        <v/>
      </c>
      <c r="P81" s="44" t="str">
        <f>IF(SUMIF('Detailed Budget'!$F$5:$F$1005,$B81,'Detailed Budget'!$BE$5:$BE$1005)&gt;0,SUMIF('Detailed Budget'!$F$5:$F$1005,$B81,'Detailed Budget'!$BE$5:$BE$1005),"")</f>
        <v/>
      </c>
      <c r="Q81" s="44" t="str">
        <f>IF(SUMIF('Detailed Budget'!$F$5:$F$1005,$B81,'Detailed Budget'!$BG$5:$BG$1005)&gt;0,SUMIF('Detailed Budget'!$F$5:$F$1005,$B81,'Detailed Budget'!$BG$5:$BG$1005),"")</f>
        <v/>
      </c>
      <c r="R81" s="45" t="str">
        <f>IF(SUMIF('Detailed Budget'!$F$5:$F$1005,$B81,'Detailed Budget'!$BI$5:$BI$1005)&gt;0,SUMIF('Detailed Budget'!$F$5:$F$1005,$B81,'Detailed Budget'!$BI$5:$BI$1005),"")</f>
        <v/>
      </c>
      <c r="S81" s="44" t="str">
        <f>IF(SUMIF('Detailed Budget'!$F$5:$F$1005,$B81,'Detailed Budget'!$BN$5:$BN$1005)&gt;0,SUMIF('Detailed Budget'!$F$5:$F$1005,$B81,'Detailed Budget'!$BN$5:$BN$1005),"")</f>
        <v/>
      </c>
      <c r="T81" s="44" t="str">
        <f>IF(SUMIF('Detailed Budget'!$F$5:$F$1005,$B81,'Detailed Budget'!$BP$5:$BP$1005)&gt;0,SUMIF('Detailed Budget'!$F$5:$F$1005,$B81,'Detailed Budget'!$BP$5:$BP$1005),"")</f>
        <v/>
      </c>
      <c r="U81" s="44" t="str">
        <f>IF(SUMIF('Detailed Budget'!$F$5:$F$1005,$B81,'Detailed Budget'!$BR$5:$BR$1005)&gt;0,SUMIF('Detailed Budget'!$F$5:$F$1005,$B81,'Detailed Budget'!$BR$5:$BR$1005),"")</f>
        <v/>
      </c>
      <c r="V81" s="44" t="str">
        <f>IF(SUMIF('Detailed Budget'!$F$5:$F$1005,$B80,'Detailed Budget'!$BT$5:$BT$1005)&gt;0,SUMIF('Detailed Budget'!$F$5:$F$1005,$B80,'Detailed Budget'!$BT$5:$BT$1005),"")</f>
        <v/>
      </c>
      <c r="W81" s="45" t="str">
        <f>IF(SUMIF('Detailed Budget'!$F$5:$F$1005,$B81,'Detailed Budget'!$BV$5:$BV$1005)&gt;0,SUMIF('Detailed Budget'!$F$5:$F$1005,$B81,'Detailed Budget'!$BV$5:$BV$1005),"")</f>
        <v/>
      </c>
      <c r="X81" s="44" t="str">
        <f t="shared" si="2"/>
        <v/>
      </c>
      <c r="Y81" s="124" t="str">
        <f t="shared" si="1"/>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row>
    <row r="82" spans="1:63" s="35" customFormat="1" ht="15" hidden="1" x14ac:dyDescent="0.25">
      <c r="A82" s="42"/>
      <c r="B82" s="81" t="str">
        <f t="array" ref="B82">IFERROR(INDEX(IntIdList,MATCH(0,COUNTIF(IntIdList,"&lt;"&amp;IntIdList)-SUM(COUNTIF(IntIdList,B$16:B81)),0)),"")</f>
        <v/>
      </c>
      <c r="C82" s="43" t="str">
        <f>IFERROR(INDEX('Data Sheet'!$D$29:$D$174,MATCH(B82,'Data Sheet'!$E$29:$E$174,0)) &amp; " - " &amp; INDEX('Data Sheet'!$C$29:$C$174,MATCH(B82,'Data Sheet'!$E$29:$E$174,0)),"")</f>
        <v/>
      </c>
      <c r="D82" s="44" t="str">
        <f>IF(SUMIF('Detailed Budget'!$F$5:$F$1005,$B82,'Detailed Budget'!$AA$5:$AA$1005)&gt;0,SUMIF('Detailed Budget'!$F$5:$F$1005,$B82,'Detailed Budget'!$AA$5:$AA$1005),"")</f>
        <v/>
      </c>
      <c r="E82" s="44" t="str">
        <f>IF(SUMIF('Detailed Budget'!$F$5:$F$1005,$B82,'Detailed Budget'!$AC$5:$AC$1005)&gt;0,SUMIF('Detailed Budget'!$F$5:$F$1005,$B82,'Detailed Budget'!$AC$5:$AC$1005),"")</f>
        <v/>
      </c>
      <c r="F82" s="44" t="str">
        <f>IF(SUMIF('Detailed Budget'!$F$5:$F$1005,$B82,'Detailed Budget'!$AE$5:$AE$1005)&gt;0,SUMIF('Detailed Budget'!$F$5:$F$1005,$B82,'Detailed Budget'!$AE$5:$AE$1005),"")</f>
        <v/>
      </c>
      <c r="G82" s="44" t="str">
        <f>IF(SUMIF('Detailed Budget'!$F$5:$F$1005,$B82,'Detailed Budget'!$AG$5:$AG$1005)&gt;0,SUMIF('Detailed Budget'!$F$5:$F$1005,$B82,'Detailed Budget'!$AG$5:$AG$1005),"")</f>
        <v/>
      </c>
      <c r="H82" s="45" t="str">
        <f>IF(SUMIF('Detailed Budget'!$F$5:$F$1005,$B82,'Detailed Budget'!$AI$5:$AI$1005)&gt;0,SUMIF('Detailed Budget'!$F$5:$F$1005,$B82,'Detailed Budget'!$AI$5:$AI$1005),"")</f>
        <v/>
      </c>
      <c r="I82" s="44" t="str">
        <f>IF(SUMIF('Detailed Budget'!$F$5:$F$1005,$B82,'Detailed Budget'!$AN$5:$AN$1005)&gt;0,SUMIF('Detailed Budget'!$F$5:$F$1005,$B82,'Detailed Budget'!$AN$5:$AN$1005),"")</f>
        <v/>
      </c>
      <c r="J82" s="44" t="str">
        <f>IF(SUMIF('Detailed Budget'!$F$5:$F$1005,$B82,'Detailed Budget'!$AP$5:$AP$1005)&gt;0,SUMIF('Detailed Budget'!$F$5:$F$1005,$B82,'Detailed Budget'!$AP$5:$AP$1005),"")</f>
        <v/>
      </c>
      <c r="K82" s="44" t="str">
        <f>IF(SUMIF('Detailed Budget'!$F$5:$F$1005,$B82,'Detailed Budget'!$AR$5:$AR$1005)&gt;0,SUMIF('Detailed Budget'!$F$5:$F$1005,$B82,'Detailed Budget'!$AR$5:$AR$1005),"")</f>
        <v/>
      </c>
      <c r="L82" s="44" t="str">
        <f>IF(SUMIF('Detailed Budget'!$F$5:$F$1005,$B82,'Detailed Budget'!$AT$5:$AT$1005)&gt;0,SUMIF('Detailed Budget'!$F$5:$F$1005,$B82,'Detailed Budget'!$AT$5:$AT$1005),"")</f>
        <v/>
      </c>
      <c r="M82" s="45" t="str">
        <f>IF(SUMIF('Detailed Budget'!$F$5:$F$1005,$B82,'Detailed Budget'!$AV$5:$AV$1005)&gt;0,SUMIF('Detailed Budget'!$F$5:$F$1005,$B82,'Detailed Budget'!$AV$5:$AV$1005),"")</f>
        <v/>
      </c>
      <c r="N82" s="44" t="str">
        <f>IF(SUMIF('Detailed Budget'!$F$5:$F$1005,$B82,'Detailed Budget'!$BA$5:$BA$1005)&gt;0,SUMIF('Detailed Budget'!$F$5:$F$1005,$B82,'Detailed Budget'!$BA$5:$BA$1005),"")</f>
        <v/>
      </c>
      <c r="O82" s="44" t="str">
        <f>IF(SUMIF('Detailed Budget'!$F$5:$F$1005,$B82,'Detailed Budget'!$BC$5:$BC$1005)&gt;0,SUMIF('Detailed Budget'!$F$5:$F$1005,$B82,'Detailed Budget'!$BC$5:$BC$1005),"")</f>
        <v/>
      </c>
      <c r="P82" s="44" t="str">
        <f>IF(SUMIF('Detailed Budget'!$F$5:$F$1005,$B82,'Detailed Budget'!$BE$5:$BE$1005)&gt;0,SUMIF('Detailed Budget'!$F$5:$F$1005,$B82,'Detailed Budget'!$BE$5:$BE$1005),"")</f>
        <v/>
      </c>
      <c r="Q82" s="44" t="str">
        <f>IF(SUMIF('Detailed Budget'!$F$5:$F$1005,$B82,'Detailed Budget'!$BG$5:$BG$1005)&gt;0,SUMIF('Detailed Budget'!$F$5:$F$1005,$B82,'Detailed Budget'!$BG$5:$BG$1005),"")</f>
        <v/>
      </c>
      <c r="R82" s="45" t="str">
        <f>IF(SUMIF('Detailed Budget'!$F$5:$F$1005,$B82,'Detailed Budget'!$BI$5:$BI$1005)&gt;0,SUMIF('Detailed Budget'!$F$5:$F$1005,$B82,'Detailed Budget'!$BI$5:$BI$1005),"")</f>
        <v/>
      </c>
      <c r="S82" s="44" t="str">
        <f>IF(SUMIF('Detailed Budget'!$F$5:$F$1005,$B82,'Detailed Budget'!$BN$5:$BN$1005)&gt;0,SUMIF('Detailed Budget'!$F$5:$F$1005,$B82,'Detailed Budget'!$BN$5:$BN$1005),"")</f>
        <v/>
      </c>
      <c r="T82" s="44" t="str">
        <f>IF(SUMIF('Detailed Budget'!$F$5:$F$1005,$B82,'Detailed Budget'!$BP$5:$BP$1005)&gt;0,SUMIF('Detailed Budget'!$F$5:$F$1005,$B82,'Detailed Budget'!$BP$5:$BP$1005),"")</f>
        <v/>
      </c>
      <c r="U82" s="44" t="str">
        <f>IF(SUMIF('Detailed Budget'!$F$5:$F$1005,$B82,'Detailed Budget'!$BR$5:$BR$1005)&gt;0,SUMIF('Detailed Budget'!$F$5:$F$1005,$B82,'Detailed Budget'!$BR$5:$BR$1005),"")</f>
        <v/>
      </c>
      <c r="V82" s="44" t="str">
        <f>IF(SUMIF('Detailed Budget'!$F$5:$F$1005,$B81,'Detailed Budget'!$BT$5:$BT$1005)&gt;0,SUMIF('Detailed Budget'!$F$5:$F$1005,$B81,'Detailed Budget'!$BT$5:$BT$1005),"")</f>
        <v/>
      </c>
      <c r="W82" s="45" t="str">
        <f>IF(SUMIF('Detailed Budget'!$F$5:$F$1005,$B82,'Detailed Budget'!$BV$5:$BV$1005)&gt;0,SUMIF('Detailed Budget'!$F$5:$F$1005,$B82,'Detailed Budget'!$BV$5:$BV$1005),"")</f>
        <v/>
      </c>
      <c r="X82" s="44" t="str">
        <f t="shared" si="2"/>
        <v/>
      </c>
      <c r="Y82" s="124" t="str">
        <f t="shared" ref="Y82:Y107" si="3">IFERROR(X82/$X$107,"")</f>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row>
    <row r="83" spans="1:63" s="35" customFormat="1" ht="15" hidden="1" x14ac:dyDescent="0.25">
      <c r="A83" s="42"/>
      <c r="B83" s="81" t="str">
        <f t="array" ref="B83">IFERROR(INDEX(IntIdList,MATCH(0,COUNTIF(IntIdList,"&lt;"&amp;IntIdList)-SUM(COUNTIF(IntIdList,B$16:B82)),0)),"")</f>
        <v/>
      </c>
      <c r="C83" s="43" t="str">
        <f>IFERROR(INDEX('Data Sheet'!$D$29:$D$174,MATCH(B83,'Data Sheet'!$E$29:$E$174,0)) &amp; " - " &amp; INDEX('Data Sheet'!$C$29:$C$174,MATCH(B83,'Data Sheet'!$E$29:$E$174,0)),"")</f>
        <v/>
      </c>
      <c r="D83" s="44" t="str">
        <f>IF(SUMIF('Detailed Budget'!$F$5:$F$1005,$B83,'Detailed Budget'!$AA$5:$AA$1005)&gt;0,SUMIF('Detailed Budget'!$F$5:$F$1005,$B83,'Detailed Budget'!$AA$5:$AA$1005),"")</f>
        <v/>
      </c>
      <c r="E83" s="44" t="str">
        <f>IF(SUMIF('Detailed Budget'!$F$5:$F$1005,$B83,'Detailed Budget'!$AC$5:$AC$1005)&gt;0,SUMIF('Detailed Budget'!$F$5:$F$1005,$B83,'Detailed Budget'!$AC$5:$AC$1005),"")</f>
        <v/>
      </c>
      <c r="F83" s="44" t="str">
        <f>IF(SUMIF('Detailed Budget'!$F$5:$F$1005,$B83,'Detailed Budget'!$AE$5:$AE$1005)&gt;0,SUMIF('Detailed Budget'!$F$5:$F$1005,$B83,'Detailed Budget'!$AE$5:$AE$1005),"")</f>
        <v/>
      </c>
      <c r="G83" s="44" t="str">
        <f>IF(SUMIF('Detailed Budget'!$F$5:$F$1005,$B83,'Detailed Budget'!$AG$5:$AG$1005)&gt;0,SUMIF('Detailed Budget'!$F$5:$F$1005,$B83,'Detailed Budget'!$AG$5:$AG$1005),"")</f>
        <v/>
      </c>
      <c r="H83" s="45" t="str">
        <f>IF(SUMIF('Detailed Budget'!$F$5:$F$1005,$B83,'Detailed Budget'!$AI$5:$AI$1005)&gt;0,SUMIF('Detailed Budget'!$F$5:$F$1005,$B83,'Detailed Budget'!$AI$5:$AI$1005),"")</f>
        <v/>
      </c>
      <c r="I83" s="44" t="str">
        <f>IF(SUMIF('Detailed Budget'!$F$5:$F$1005,$B83,'Detailed Budget'!$AN$5:$AN$1005)&gt;0,SUMIF('Detailed Budget'!$F$5:$F$1005,$B83,'Detailed Budget'!$AN$5:$AN$1005),"")</f>
        <v/>
      </c>
      <c r="J83" s="44" t="str">
        <f>IF(SUMIF('Detailed Budget'!$F$5:$F$1005,$B83,'Detailed Budget'!$AP$5:$AP$1005)&gt;0,SUMIF('Detailed Budget'!$F$5:$F$1005,$B83,'Detailed Budget'!$AP$5:$AP$1005),"")</f>
        <v/>
      </c>
      <c r="K83" s="44" t="str">
        <f>IF(SUMIF('Detailed Budget'!$F$5:$F$1005,$B83,'Detailed Budget'!$AR$5:$AR$1005)&gt;0,SUMIF('Detailed Budget'!$F$5:$F$1005,$B83,'Detailed Budget'!$AR$5:$AR$1005),"")</f>
        <v/>
      </c>
      <c r="L83" s="44" t="str">
        <f>IF(SUMIF('Detailed Budget'!$F$5:$F$1005,$B83,'Detailed Budget'!$AT$5:$AT$1005)&gt;0,SUMIF('Detailed Budget'!$F$5:$F$1005,$B83,'Detailed Budget'!$AT$5:$AT$1005),"")</f>
        <v/>
      </c>
      <c r="M83" s="45" t="str">
        <f>IF(SUMIF('Detailed Budget'!$F$5:$F$1005,$B83,'Detailed Budget'!$AV$5:$AV$1005)&gt;0,SUMIF('Detailed Budget'!$F$5:$F$1005,$B83,'Detailed Budget'!$AV$5:$AV$1005),"")</f>
        <v/>
      </c>
      <c r="N83" s="44" t="str">
        <f>IF(SUMIF('Detailed Budget'!$F$5:$F$1005,$B83,'Detailed Budget'!$BA$5:$BA$1005)&gt;0,SUMIF('Detailed Budget'!$F$5:$F$1005,$B83,'Detailed Budget'!$BA$5:$BA$1005),"")</f>
        <v/>
      </c>
      <c r="O83" s="44" t="str">
        <f>IF(SUMIF('Detailed Budget'!$F$5:$F$1005,$B83,'Detailed Budget'!$BC$5:$BC$1005)&gt;0,SUMIF('Detailed Budget'!$F$5:$F$1005,$B83,'Detailed Budget'!$BC$5:$BC$1005),"")</f>
        <v/>
      </c>
      <c r="P83" s="44" t="str">
        <f>IF(SUMIF('Detailed Budget'!$F$5:$F$1005,$B83,'Detailed Budget'!$BE$5:$BE$1005)&gt;0,SUMIF('Detailed Budget'!$F$5:$F$1005,$B83,'Detailed Budget'!$BE$5:$BE$1005),"")</f>
        <v/>
      </c>
      <c r="Q83" s="44" t="str">
        <f>IF(SUMIF('Detailed Budget'!$F$5:$F$1005,$B83,'Detailed Budget'!$BG$5:$BG$1005)&gt;0,SUMIF('Detailed Budget'!$F$5:$F$1005,$B83,'Detailed Budget'!$BG$5:$BG$1005),"")</f>
        <v/>
      </c>
      <c r="R83" s="45" t="str">
        <f>IF(SUMIF('Detailed Budget'!$F$5:$F$1005,$B83,'Detailed Budget'!$BI$5:$BI$1005)&gt;0,SUMIF('Detailed Budget'!$F$5:$F$1005,$B83,'Detailed Budget'!$BI$5:$BI$1005),"")</f>
        <v/>
      </c>
      <c r="S83" s="44" t="str">
        <f>IF(SUMIF('Detailed Budget'!$F$5:$F$1005,$B83,'Detailed Budget'!$BN$5:$BN$1005)&gt;0,SUMIF('Detailed Budget'!$F$5:$F$1005,$B83,'Detailed Budget'!$BN$5:$BN$1005),"")</f>
        <v/>
      </c>
      <c r="T83" s="44" t="str">
        <f>IF(SUMIF('Detailed Budget'!$F$5:$F$1005,$B83,'Detailed Budget'!$BP$5:$BP$1005)&gt;0,SUMIF('Detailed Budget'!$F$5:$F$1005,$B83,'Detailed Budget'!$BP$5:$BP$1005),"")</f>
        <v/>
      </c>
      <c r="U83" s="44" t="str">
        <f>IF(SUMIF('Detailed Budget'!$F$5:$F$1005,$B83,'Detailed Budget'!$BR$5:$BR$1005)&gt;0,SUMIF('Detailed Budget'!$F$5:$F$1005,$B83,'Detailed Budget'!$BR$5:$BR$1005),"")</f>
        <v/>
      </c>
      <c r="V83" s="44" t="str">
        <f>IF(SUMIF('Detailed Budget'!$F$5:$F$1005,$B82,'Detailed Budget'!$BT$5:$BT$1005)&gt;0,SUMIF('Detailed Budget'!$F$5:$F$1005,$B82,'Detailed Budget'!$BT$5:$BT$1005),"")</f>
        <v/>
      </c>
      <c r="W83" s="45" t="str">
        <f>IF(SUMIF('Detailed Budget'!$F$5:$F$1005,$B83,'Detailed Budget'!$BV$5:$BV$1005)&gt;0,SUMIF('Detailed Budget'!$F$5:$F$1005,$B83,'Detailed Budget'!$BV$5:$BV$1005),"")</f>
        <v/>
      </c>
      <c r="X83" s="44" t="str">
        <f t="shared" si="2"/>
        <v/>
      </c>
      <c r="Y83" s="124" t="str">
        <f t="shared" si="3"/>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row>
    <row r="84" spans="1:63" s="35" customFormat="1" ht="15" hidden="1" x14ac:dyDescent="0.25">
      <c r="A84" s="42"/>
      <c r="B84" s="81" t="str">
        <f t="array" ref="B84">IFERROR(INDEX(IntIdList,MATCH(0,COUNTIF(IntIdList,"&lt;"&amp;IntIdList)-SUM(COUNTIF(IntIdList,B$16:B83)),0)),"")</f>
        <v/>
      </c>
      <c r="C84" s="43" t="str">
        <f>IFERROR(INDEX('Data Sheet'!$D$29:$D$174,MATCH(B84,'Data Sheet'!$E$29:$E$174,0)) &amp; " - " &amp; INDEX('Data Sheet'!$C$29:$C$174,MATCH(B84,'Data Sheet'!$E$29:$E$174,0)),"")</f>
        <v/>
      </c>
      <c r="D84" s="44" t="str">
        <f>IF(SUMIF('Detailed Budget'!$F$5:$F$1005,$B84,'Detailed Budget'!$AA$5:$AA$1005)&gt;0,SUMIF('Detailed Budget'!$F$5:$F$1005,$B84,'Detailed Budget'!$AA$5:$AA$1005),"")</f>
        <v/>
      </c>
      <c r="E84" s="44" t="str">
        <f>IF(SUMIF('Detailed Budget'!$F$5:$F$1005,$B84,'Detailed Budget'!$AC$5:$AC$1005)&gt;0,SUMIF('Detailed Budget'!$F$5:$F$1005,$B84,'Detailed Budget'!$AC$5:$AC$1005),"")</f>
        <v/>
      </c>
      <c r="F84" s="44" t="str">
        <f>IF(SUMIF('Detailed Budget'!$F$5:$F$1005,$B84,'Detailed Budget'!$AE$5:$AE$1005)&gt;0,SUMIF('Detailed Budget'!$F$5:$F$1005,$B84,'Detailed Budget'!$AE$5:$AE$1005),"")</f>
        <v/>
      </c>
      <c r="G84" s="44" t="str">
        <f>IF(SUMIF('Detailed Budget'!$F$5:$F$1005,$B84,'Detailed Budget'!$AG$5:$AG$1005)&gt;0,SUMIF('Detailed Budget'!$F$5:$F$1005,$B84,'Detailed Budget'!$AG$5:$AG$1005),"")</f>
        <v/>
      </c>
      <c r="H84" s="45" t="str">
        <f>IF(SUMIF('Detailed Budget'!$F$5:$F$1005,$B84,'Detailed Budget'!$AI$5:$AI$1005)&gt;0,SUMIF('Detailed Budget'!$F$5:$F$1005,$B84,'Detailed Budget'!$AI$5:$AI$1005),"")</f>
        <v/>
      </c>
      <c r="I84" s="44" t="str">
        <f>IF(SUMIF('Detailed Budget'!$F$5:$F$1005,$B84,'Detailed Budget'!$AN$5:$AN$1005)&gt;0,SUMIF('Detailed Budget'!$F$5:$F$1005,$B84,'Detailed Budget'!$AN$5:$AN$1005),"")</f>
        <v/>
      </c>
      <c r="J84" s="44" t="str">
        <f>IF(SUMIF('Detailed Budget'!$F$5:$F$1005,$B84,'Detailed Budget'!$AP$5:$AP$1005)&gt;0,SUMIF('Detailed Budget'!$F$5:$F$1005,$B84,'Detailed Budget'!$AP$5:$AP$1005),"")</f>
        <v/>
      </c>
      <c r="K84" s="44" t="str">
        <f>IF(SUMIF('Detailed Budget'!$F$5:$F$1005,$B84,'Detailed Budget'!$AR$5:$AR$1005)&gt;0,SUMIF('Detailed Budget'!$F$5:$F$1005,$B84,'Detailed Budget'!$AR$5:$AR$1005),"")</f>
        <v/>
      </c>
      <c r="L84" s="44" t="str">
        <f>IF(SUMIF('Detailed Budget'!$F$5:$F$1005,$B84,'Detailed Budget'!$AT$5:$AT$1005)&gt;0,SUMIF('Detailed Budget'!$F$5:$F$1005,$B84,'Detailed Budget'!$AT$5:$AT$1005),"")</f>
        <v/>
      </c>
      <c r="M84" s="45" t="str">
        <f>IF(SUMIF('Detailed Budget'!$F$5:$F$1005,$B84,'Detailed Budget'!$AV$5:$AV$1005)&gt;0,SUMIF('Detailed Budget'!$F$5:$F$1005,$B84,'Detailed Budget'!$AV$5:$AV$1005),"")</f>
        <v/>
      </c>
      <c r="N84" s="44" t="str">
        <f>IF(SUMIF('Detailed Budget'!$F$5:$F$1005,$B84,'Detailed Budget'!$BA$5:$BA$1005)&gt;0,SUMIF('Detailed Budget'!$F$5:$F$1005,$B84,'Detailed Budget'!$BA$5:$BA$1005),"")</f>
        <v/>
      </c>
      <c r="O84" s="44" t="str">
        <f>IF(SUMIF('Detailed Budget'!$F$5:$F$1005,$B84,'Detailed Budget'!$BC$5:$BC$1005)&gt;0,SUMIF('Detailed Budget'!$F$5:$F$1005,$B84,'Detailed Budget'!$BC$5:$BC$1005),"")</f>
        <v/>
      </c>
      <c r="P84" s="44" t="str">
        <f>IF(SUMIF('Detailed Budget'!$F$5:$F$1005,$B84,'Detailed Budget'!$BE$5:$BE$1005)&gt;0,SUMIF('Detailed Budget'!$F$5:$F$1005,$B84,'Detailed Budget'!$BE$5:$BE$1005),"")</f>
        <v/>
      </c>
      <c r="Q84" s="44" t="str">
        <f>IF(SUMIF('Detailed Budget'!$F$5:$F$1005,$B84,'Detailed Budget'!$BG$5:$BG$1005)&gt;0,SUMIF('Detailed Budget'!$F$5:$F$1005,$B84,'Detailed Budget'!$BG$5:$BG$1005),"")</f>
        <v/>
      </c>
      <c r="R84" s="45" t="str">
        <f>IF(SUMIF('Detailed Budget'!$F$5:$F$1005,$B84,'Detailed Budget'!$BI$5:$BI$1005)&gt;0,SUMIF('Detailed Budget'!$F$5:$F$1005,$B84,'Detailed Budget'!$BI$5:$BI$1005),"")</f>
        <v/>
      </c>
      <c r="S84" s="44" t="str">
        <f>IF(SUMIF('Detailed Budget'!$F$5:$F$1005,$B84,'Detailed Budget'!$BN$5:$BN$1005)&gt;0,SUMIF('Detailed Budget'!$F$5:$F$1005,$B84,'Detailed Budget'!$BN$5:$BN$1005),"")</f>
        <v/>
      </c>
      <c r="T84" s="44" t="str">
        <f>IF(SUMIF('Detailed Budget'!$F$5:$F$1005,$B84,'Detailed Budget'!$BP$5:$BP$1005)&gt;0,SUMIF('Detailed Budget'!$F$5:$F$1005,$B84,'Detailed Budget'!$BP$5:$BP$1005),"")</f>
        <v/>
      </c>
      <c r="U84" s="44" t="str">
        <f>IF(SUMIF('Detailed Budget'!$F$5:$F$1005,$B84,'Detailed Budget'!$BR$5:$BR$1005)&gt;0,SUMIF('Detailed Budget'!$F$5:$F$1005,$B84,'Detailed Budget'!$BR$5:$BR$1005),"")</f>
        <v/>
      </c>
      <c r="V84" s="44" t="str">
        <f>IF(SUMIF('Detailed Budget'!$F$5:$F$1005,$B83,'Detailed Budget'!$BT$5:$BT$1005)&gt;0,SUMIF('Detailed Budget'!$F$5:$F$1005,$B83,'Detailed Budget'!$BT$5:$BT$1005),"")</f>
        <v/>
      </c>
      <c r="W84" s="45" t="str">
        <f>IF(SUMIF('Detailed Budget'!$F$5:$F$1005,$B84,'Detailed Budget'!$BV$5:$BV$1005)&gt;0,SUMIF('Detailed Budget'!$F$5:$F$1005,$B84,'Detailed Budget'!$BV$5:$BV$1005),"")</f>
        <v/>
      </c>
      <c r="X84" s="44" t="str">
        <f t="shared" si="2"/>
        <v/>
      </c>
      <c r="Y84" s="124" t="str">
        <f t="shared" si="3"/>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row>
    <row r="85" spans="1:63" s="35" customFormat="1" ht="15" hidden="1" x14ac:dyDescent="0.25">
      <c r="A85" s="42"/>
      <c r="B85" s="81" t="str">
        <f t="array" ref="B85">IFERROR(INDEX(IntIdList,MATCH(0,COUNTIF(IntIdList,"&lt;"&amp;IntIdList)-SUM(COUNTIF(IntIdList,B$16:B84)),0)),"")</f>
        <v/>
      </c>
      <c r="C85" s="43" t="str">
        <f>IFERROR(INDEX('Data Sheet'!$D$29:$D$174,MATCH(B85,'Data Sheet'!$E$29:$E$174,0)) &amp; " - " &amp; INDEX('Data Sheet'!$C$29:$C$174,MATCH(B85,'Data Sheet'!$E$29:$E$174,0)),"")</f>
        <v/>
      </c>
      <c r="D85" s="44" t="str">
        <f>IF(SUMIF('Detailed Budget'!$F$5:$F$1005,$B85,'Detailed Budget'!$AA$5:$AA$1005)&gt;0,SUMIF('Detailed Budget'!$F$5:$F$1005,$B85,'Detailed Budget'!$AA$5:$AA$1005),"")</f>
        <v/>
      </c>
      <c r="E85" s="44" t="str">
        <f>IF(SUMIF('Detailed Budget'!$F$5:$F$1005,$B85,'Detailed Budget'!$AC$5:$AC$1005)&gt;0,SUMIF('Detailed Budget'!$F$5:$F$1005,$B85,'Detailed Budget'!$AC$5:$AC$1005),"")</f>
        <v/>
      </c>
      <c r="F85" s="44" t="str">
        <f>IF(SUMIF('Detailed Budget'!$F$5:$F$1005,$B85,'Detailed Budget'!$AE$5:$AE$1005)&gt;0,SUMIF('Detailed Budget'!$F$5:$F$1005,$B85,'Detailed Budget'!$AE$5:$AE$1005),"")</f>
        <v/>
      </c>
      <c r="G85" s="44" t="str">
        <f>IF(SUMIF('Detailed Budget'!$F$5:$F$1005,$B85,'Detailed Budget'!$AG$5:$AG$1005)&gt;0,SUMIF('Detailed Budget'!$F$5:$F$1005,$B85,'Detailed Budget'!$AG$5:$AG$1005),"")</f>
        <v/>
      </c>
      <c r="H85" s="45" t="str">
        <f>IF(SUMIF('Detailed Budget'!$F$5:$F$1005,$B85,'Detailed Budget'!$AI$5:$AI$1005)&gt;0,SUMIF('Detailed Budget'!$F$5:$F$1005,$B85,'Detailed Budget'!$AI$5:$AI$1005),"")</f>
        <v/>
      </c>
      <c r="I85" s="44" t="str">
        <f>IF(SUMIF('Detailed Budget'!$F$5:$F$1005,$B85,'Detailed Budget'!$AN$5:$AN$1005)&gt;0,SUMIF('Detailed Budget'!$F$5:$F$1005,$B85,'Detailed Budget'!$AN$5:$AN$1005),"")</f>
        <v/>
      </c>
      <c r="J85" s="44" t="str">
        <f>IF(SUMIF('Detailed Budget'!$F$5:$F$1005,$B85,'Detailed Budget'!$AP$5:$AP$1005)&gt;0,SUMIF('Detailed Budget'!$F$5:$F$1005,$B85,'Detailed Budget'!$AP$5:$AP$1005),"")</f>
        <v/>
      </c>
      <c r="K85" s="44" t="str">
        <f>IF(SUMIF('Detailed Budget'!$F$5:$F$1005,$B85,'Detailed Budget'!$AR$5:$AR$1005)&gt;0,SUMIF('Detailed Budget'!$F$5:$F$1005,$B85,'Detailed Budget'!$AR$5:$AR$1005),"")</f>
        <v/>
      </c>
      <c r="L85" s="44" t="str">
        <f>IF(SUMIF('Detailed Budget'!$F$5:$F$1005,$B85,'Detailed Budget'!$AT$5:$AT$1005)&gt;0,SUMIF('Detailed Budget'!$F$5:$F$1005,$B85,'Detailed Budget'!$AT$5:$AT$1005),"")</f>
        <v/>
      </c>
      <c r="M85" s="45" t="str">
        <f>IF(SUMIF('Detailed Budget'!$F$5:$F$1005,$B85,'Detailed Budget'!$AV$5:$AV$1005)&gt;0,SUMIF('Detailed Budget'!$F$5:$F$1005,$B85,'Detailed Budget'!$AV$5:$AV$1005),"")</f>
        <v/>
      </c>
      <c r="N85" s="44" t="str">
        <f>IF(SUMIF('Detailed Budget'!$F$5:$F$1005,$B85,'Detailed Budget'!$BA$5:$BA$1005)&gt;0,SUMIF('Detailed Budget'!$F$5:$F$1005,$B85,'Detailed Budget'!$BA$5:$BA$1005),"")</f>
        <v/>
      </c>
      <c r="O85" s="44" t="str">
        <f>IF(SUMIF('Detailed Budget'!$F$5:$F$1005,$B85,'Detailed Budget'!$BC$5:$BC$1005)&gt;0,SUMIF('Detailed Budget'!$F$5:$F$1005,$B85,'Detailed Budget'!$BC$5:$BC$1005),"")</f>
        <v/>
      </c>
      <c r="P85" s="44" t="str">
        <f>IF(SUMIF('Detailed Budget'!$F$5:$F$1005,$B85,'Detailed Budget'!$BE$5:$BE$1005)&gt;0,SUMIF('Detailed Budget'!$F$5:$F$1005,$B85,'Detailed Budget'!$BE$5:$BE$1005),"")</f>
        <v/>
      </c>
      <c r="Q85" s="44" t="str">
        <f>IF(SUMIF('Detailed Budget'!$F$5:$F$1005,$B85,'Detailed Budget'!$BG$5:$BG$1005)&gt;0,SUMIF('Detailed Budget'!$F$5:$F$1005,$B85,'Detailed Budget'!$BG$5:$BG$1005),"")</f>
        <v/>
      </c>
      <c r="R85" s="45" t="str">
        <f>IF(SUMIF('Detailed Budget'!$F$5:$F$1005,$B85,'Detailed Budget'!$BI$5:$BI$1005)&gt;0,SUMIF('Detailed Budget'!$F$5:$F$1005,$B85,'Detailed Budget'!$BI$5:$BI$1005),"")</f>
        <v/>
      </c>
      <c r="S85" s="44" t="str">
        <f>IF(SUMIF('Detailed Budget'!$F$5:$F$1005,$B85,'Detailed Budget'!$BN$5:$BN$1005)&gt;0,SUMIF('Detailed Budget'!$F$5:$F$1005,$B85,'Detailed Budget'!$BN$5:$BN$1005),"")</f>
        <v/>
      </c>
      <c r="T85" s="44" t="str">
        <f>IF(SUMIF('Detailed Budget'!$F$5:$F$1005,$B85,'Detailed Budget'!$BP$5:$BP$1005)&gt;0,SUMIF('Detailed Budget'!$F$5:$F$1005,$B85,'Detailed Budget'!$BP$5:$BP$1005),"")</f>
        <v/>
      </c>
      <c r="U85" s="44" t="str">
        <f>IF(SUMIF('Detailed Budget'!$F$5:$F$1005,$B85,'Detailed Budget'!$BR$5:$BR$1005)&gt;0,SUMIF('Detailed Budget'!$F$5:$F$1005,$B85,'Detailed Budget'!$BR$5:$BR$1005),"")</f>
        <v/>
      </c>
      <c r="V85" s="44" t="str">
        <f>IF(SUMIF('Detailed Budget'!$F$5:$F$1005,$B84,'Detailed Budget'!$BT$5:$BT$1005)&gt;0,SUMIF('Detailed Budget'!$F$5:$F$1005,$B84,'Detailed Budget'!$BT$5:$BT$1005),"")</f>
        <v/>
      </c>
      <c r="W85" s="45" t="str">
        <f>IF(SUMIF('Detailed Budget'!$F$5:$F$1005,$B85,'Detailed Budget'!$BV$5:$BV$1005)&gt;0,SUMIF('Detailed Budget'!$F$5:$F$1005,$B85,'Detailed Budget'!$BV$5:$BV$1005),"")</f>
        <v/>
      </c>
      <c r="X85" s="44" t="str">
        <f t="shared" si="2"/>
        <v/>
      </c>
      <c r="Y85" s="124" t="str">
        <f t="shared" si="3"/>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row>
    <row r="86" spans="1:63" s="35" customFormat="1" ht="15" hidden="1" x14ac:dyDescent="0.25">
      <c r="A86" s="42"/>
      <c r="B86" s="81" t="str">
        <f t="array" ref="B86">IFERROR(INDEX(IntIdList,MATCH(0,COUNTIF(IntIdList,"&lt;"&amp;IntIdList)-SUM(COUNTIF(IntIdList,B$16:B85)),0)),"")</f>
        <v/>
      </c>
      <c r="C86" s="43" t="str">
        <f>IFERROR(INDEX('Data Sheet'!$D$29:$D$174,MATCH(B86,'Data Sheet'!$E$29:$E$174,0)) &amp; " - " &amp; INDEX('Data Sheet'!$C$29:$C$174,MATCH(B86,'Data Sheet'!$E$29:$E$174,0)),"")</f>
        <v/>
      </c>
      <c r="D86" s="44" t="str">
        <f>IF(SUMIF('Detailed Budget'!$F$5:$F$1005,$B86,'Detailed Budget'!$AA$5:$AA$1005)&gt;0,SUMIF('Detailed Budget'!$F$5:$F$1005,$B86,'Detailed Budget'!$AA$5:$AA$1005),"")</f>
        <v/>
      </c>
      <c r="E86" s="44" t="str">
        <f>IF(SUMIF('Detailed Budget'!$F$5:$F$1005,$B86,'Detailed Budget'!$AC$5:$AC$1005)&gt;0,SUMIF('Detailed Budget'!$F$5:$F$1005,$B86,'Detailed Budget'!$AC$5:$AC$1005),"")</f>
        <v/>
      </c>
      <c r="F86" s="44" t="str">
        <f>IF(SUMIF('Detailed Budget'!$F$5:$F$1005,$B86,'Detailed Budget'!$AE$5:$AE$1005)&gt;0,SUMIF('Detailed Budget'!$F$5:$F$1005,$B86,'Detailed Budget'!$AE$5:$AE$1005),"")</f>
        <v/>
      </c>
      <c r="G86" s="44" t="str">
        <f>IF(SUMIF('Detailed Budget'!$F$5:$F$1005,$B86,'Detailed Budget'!$AG$5:$AG$1005)&gt;0,SUMIF('Detailed Budget'!$F$5:$F$1005,$B86,'Detailed Budget'!$AG$5:$AG$1005),"")</f>
        <v/>
      </c>
      <c r="H86" s="45" t="str">
        <f>IF(SUMIF('Detailed Budget'!$F$5:$F$1005,$B86,'Detailed Budget'!$AI$5:$AI$1005)&gt;0,SUMIF('Detailed Budget'!$F$5:$F$1005,$B86,'Detailed Budget'!$AI$5:$AI$1005),"")</f>
        <v/>
      </c>
      <c r="I86" s="44" t="str">
        <f>IF(SUMIF('Detailed Budget'!$F$5:$F$1005,$B86,'Detailed Budget'!$AN$5:$AN$1005)&gt;0,SUMIF('Detailed Budget'!$F$5:$F$1005,$B86,'Detailed Budget'!$AN$5:$AN$1005),"")</f>
        <v/>
      </c>
      <c r="J86" s="44" t="str">
        <f>IF(SUMIF('Detailed Budget'!$F$5:$F$1005,$B86,'Detailed Budget'!$AP$5:$AP$1005)&gt;0,SUMIF('Detailed Budget'!$F$5:$F$1005,$B86,'Detailed Budget'!$AP$5:$AP$1005),"")</f>
        <v/>
      </c>
      <c r="K86" s="44" t="str">
        <f>IF(SUMIF('Detailed Budget'!$F$5:$F$1005,$B86,'Detailed Budget'!$AR$5:$AR$1005)&gt;0,SUMIF('Detailed Budget'!$F$5:$F$1005,$B86,'Detailed Budget'!$AR$5:$AR$1005),"")</f>
        <v/>
      </c>
      <c r="L86" s="44" t="str">
        <f>IF(SUMIF('Detailed Budget'!$F$5:$F$1005,$B86,'Detailed Budget'!$AT$5:$AT$1005)&gt;0,SUMIF('Detailed Budget'!$F$5:$F$1005,$B86,'Detailed Budget'!$AT$5:$AT$1005),"")</f>
        <v/>
      </c>
      <c r="M86" s="45" t="str">
        <f>IF(SUMIF('Detailed Budget'!$F$5:$F$1005,$B86,'Detailed Budget'!$AV$5:$AV$1005)&gt;0,SUMIF('Detailed Budget'!$F$5:$F$1005,$B86,'Detailed Budget'!$AV$5:$AV$1005),"")</f>
        <v/>
      </c>
      <c r="N86" s="44" t="str">
        <f>IF(SUMIF('Detailed Budget'!$F$5:$F$1005,$B86,'Detailed Budget'!$BA$5:$BA$1005)&gt;0,SUMIF('Detailed Budget'!$F$5:$F$1005,$B86,'Detailed Budget'!$BA$5:$BA$1005),"")</f>
        <v/>
      </c>
      <c r="O86" s="44" t="str">
        <f>IF(SUMIF('Detailed Budget'!$F$5:$F$1005,$B86,'Detailed Budget'!$BC$5:$BC$1005)&gt;0,SUMIF('Detailed Budget'!$F$5:$F$1005,$B86,'Detailed Budget'!$BC$5:$BC$1005),"")</f>
        <v/>
      </c>
      <c r="P86" s="44" t="str">
        <f>IF(SUMIF('Detailed Budget'!$F$5:$F$1005,$B86,'Detailed Budget'!$BE$5:$BE$1005)&gt;0,SUMIF('Detailed Budget'!$F$5:$F$1005,$B86,'Detailed Budget'!$BE$5:$BE$1005),"")</f>
        <v/>
      </c>
      <c r="Q86" s="44" t="str">
        <f>IF(SUMIF('Detailed Budget'!$F$5:$F$1005,$B86,'Detailed Budget'!$BG$5:$BG$1005)&gt;0,SUMIF('Detailed Budget'!$F$5:$F$1005,$B86,'Detailed Budget'!$BG$5:$BG$1005),"")</f>
        <v/>
      </c>
      <c r="R86" s="45" t="str">
        <f>IF(SUMIF('Detailed Budget'!$F$5:$F$1005,$B86,'Detailed Budget'!$BI$5:$BI$1005)&gt;0,SUMIF('Detailed Budget'!$F$5:$F$1005,$B86,'Detailed Budget'!$BI$5:$BI$1005),"")</f>
        <v/>
      </c>
      <c r="S86" s="44" t="str">
        <f>IF(SUMIF('Detailed Budget'!$F$5:$F$1005,$B86,'Detailed Budget'!$BN$5:$BN$1005)&gt;0,SUMIF('Detailed Budget'!$F$5:$F$1005,$B86,'Detailed Budget'!$BN$5:$BN$1005),"")</f>
        <v/>
      </c>
      <c r="T86" s="44" t="str">
        <f>IF(SUMIF('Detailed Budget'!$F$5:$F$1005,$B86,'Detailed Budget'!$BP$5:$BP$1005)&gt;0,SUMIF('Detailed Budget'!$F$5:$F$1005,$B86,'Detailed Budget'!$BP$5:$BP$1005),"")</f>
        <v/>
      </c>
      <c r="U86" s="44" t="str">
        <f>IF(SUMIF('Detailed Budget'!$F$5:$F$1005,$B86,'Detailed Budget'!$BR$5:$BR$1005)&gt;0,SUMIF('Detailed Budget'!$F$5:$F$1005,$B86,'Detailed Budget'!$BR$5:$BR$1005),"")</f>
        <v/>
      </c>
      <c r="V86" s="44" t="str">
        <f>IF(SUMIF('Detailed Budget'!$F$5:$F$1005,$B85,'Detailed Budget'!$BT$5:$BT$1005)&gt;0,SUMIF('Detailed Budget'!$F$5:$F$1005,$B85,'Detailed Budget'!$BT$5:$BT$1005),"")</f>
        <v/>
      </c>
      <c r="W86" s="45" t="str">
        <f>IF(SUMIF('Detailed Budget'!$F$5:$F$1005,$B86,'Detailed Budget'!$BV$5:$BV$1005)&gt;0,SUMIF('Detailed Budget'!$F$5:$F$1005,$B86,'Detailed Budget'!$BV$5:$BV$1005),"")</f>
        <v/>
      </c>
      <c r="X86" s="44" t="str">
        <f t="shared" si="2"/>
        <v/>
      </c>
      <c r="Y86" s="124" t="str">
        <f t="shared" si="3"/>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row>
    <row r="87" spans="1:63" s="35" customFormat="1" ht="15" hidden="1" x14ac:dyDescent="0.25">
      <c r="A87" s="42"/>
      <c r="B87" s="81" t="str">
        <f t="array" ref="B87">IFERROR(INDEX(IntIdList,MATCH(0,COUNTIF(IntIdList,"&lt;"&amp;IntIdList)-SUM(COUNTIF(IntIdList,B$16:B86)),0)),"")</f>
        <v/>
      </c>
      <c r="C87" s="43" t="str">
        <f>IFERROR(INDEX('Data Sheet'!$D$29:$D$174,MATCH(B87,'Data Sheet'!$E$29:$E$174,0)) &amp; " - " &amp; INDEX('Data Sheet'!$C$29:$C$174,MATCH(B87,'Data Sheet'!$E$29:$E$174,0)),"")</f>
        <v/>
      </c>
      <c r="D87" s="44" t="str">
        <f>IF(SUMIF('Detailed Budget'!$F$5:$F$1005,$B87,'Detailed Budget'!$AA$5:$AA$1005)&gt;0,SUMIF('Detailed Budget'!$F$5:$F$1005,$B87,'Detailed Budget'!$AA$5:$AA$1005),"")</f>
        <v/>
      </c>
      <c r="E87" s="44" t="str">
        <f>IF(SUMIF('Detailed Budget'!$F$5:$F$1005,$B87,'Detailed Budget'!$AC$5:$AC$1005)&gt;0,SUMIF('Detailed Budget'!$F$5:$F$1005,$B87,'Detailed Budget'!$AC$5:$AC$1005),"")</f>
        <v/>
      </c>
      <c r="F87" s="44" t="str">
        <f>IF(SUMIF('Detailed Budget'!$F$5:$F$1005,$B87,'Detailed Budget'!$AE$5:$AE$1005)&gt;0,SUMIF('Detailed Budget'!$F$5:$F$1005,$B87,'Detailed Budget'!$AE$5:$AE$1005),"")</f>
        <v/>
      </c>
      <c r="G87" s="44" t="str">
        <f>IF(SUMIF('Detailed Budget'!$F$5:$F$1005,$B87,'Detailed Budget'!$AG$5:$AG$1005)&gt;0,SUMIF('Detailed Budget'!$F$5:$F$1005,$B87,'Detailed Budget'!$AG$5:$AG$1005),"")</f>
        <v/>
      </c>
      <c r="H87" s="45" t="str">
        <f>IF(SUMIF('Detailed Budget'!$F$5:$F$1005,$B87,'Detailed Budget'!$AI$5:$AI$1005)&gt;0,SUMIF('Detailed Budget'!$F$5:$F$1005,$B87,'Detailed Budget'!$AI$5:$AI$1005),"")</f>
        <v/>
      </c>
      <c r="I87" s="44" t="str">
        <f>IF(SUMIF('Detailed Budget'!$F$5:$F$1005,$B87,'Detailed Budget'!$AN$5:$AN$1005)&gt;0,SUMIF('Detailed Budget'!$F$5:$F$1005,$B87,'Detailed Budget'!$AN$5:$AN$1005),"")</f>
        <v/>
      </c>
      <c r="J87" s="44" t="str">
        <f>IF(SUMIF('Detailed Budget'!$F$5:$F$1005,$B87,'Detailed Budget'!$AP$5:$AP$1005)&gt;0,SUMIF('Detailed Budget'!$F$5:$F$1005,$B87,'Detailed Budget'!$AP$5:$AP$1005),"")</f>
        <v/>
      </c>
      <c r="K87" s="44" t="str">
        <f>IF(SUMIF('Detailed Budget'!$F$5:$F$1005,$B87,'Detailed Budget'!$AR$5:$AR$1005)&gt;0,SUMIF('Detailed Budget'!$F$5:$F$1005,$B87,'Detailed Budget'!$AR$5:$AR$1005),"")</f>
        <v/>
      </c>
      <c r="L87" s="44" t="str">
        <f>IF(SUMIF('Detailed Budget'!$F$5:$F$1005,$B87,'Detailed Budget'!$AT$5:$AT$1005)&gt;0,SUMIF('Detailed Budget'!$F$5:$F$1005,$B87,'Detailed Budget'!$AT$5:$AT$1005),"")</f>
        <v/>
      </c>
      <c r="M87" s="45" t="str">
        <f>IF(SUMIF('Detailed Budget'!$F$5:$F$1005,$B87,'Detailed Budget'!$AV$5:$AV$1005)&gt;0,SUMIF('Detailed Budget'!$F$5:$F$1005,$B87,'Detailed Budget'!$AV$5:$AV$1005),"")</f>
        <v/>
      </c>
      <c r="N87" s="44" t="str">
        <f>IF(SUMIF('Detailed Budget'!$F$5:$F$1005,$B87,'Detailed Budget'!$BA$5:$BA$1005)&gt;0,SUMIF('Detailed Budget'!$F$5:$F$1005,$B87,'Detailed Budget'!$BA$5:$BA$1005),"")</f>
        <v/>
      </c>
      <c r="O87" s="44" t="str">
        <f>IF(SUMIF('Detailed Budget'!$F$5:$F$1005,$B87,'Detailed Budget'!$BC$5:$BC$1005)&gt;0,SUMIF('Detailed Budget'!$F$5:$F$1005,$B87,'Detailed Budget'!$BC$5:$BC$1005),"")</f>
        <v/>
      </c>
      <c r="P87" s="44" t="str">
        <f>IF(SUMIF('Detailed Budget'!$F$5:$F$1005,$B87,'Detailed Budget'!$BE$5:$BE$1005)&gt;0,SUMIF('Detailed Budget'!$F$5:$F$1005,$B87,'Detailed Budget'!$BE$5:$BE$1005),"")</f>
        <v/>
      </c>
      <c r="Q87" s="44" t="str">
        <f>IF(SUMIF('Detailed Budget'!$F$5:$F$1005,$B87,'Detailed Budget'!$BG$5:$BG$1005)&gt;0,SUMIF('Detailed Budget'!$F$5:$F$1005,$B87,'Detailed Budget'!$BG$5:$BG$1005),"")</f>
        <v/>
      </c>
      <c r="R87" s="45" t="str">
        <f>IF(SUMIF('Detailed Budget'!$F$5:$F$1005,$B87,'Detailed Budget'!$BI$5:$BI$1005)&gt;0,SUMIF('Detailed Budget'!$F$5:$F$1005,$B87,'Detailed Budget'!$BI$5:$BI$1005),"")</f>
        <v/>
      </c>
      <c r="S87" s="44" t="str">
        <f>IF(SUMIF('Detailed Budget'!$F$5:$F$1005,$B87,'Detailed Budget'!$BN$5:$BN$1005)&gt;0,SUMIF('Detailed Budget'!$F$5:$F$1005,$B87,'Detailed Budget'!$BN$5:$BN$1005),"")</f>
        <v/>
      </c>
      <c r="T87" s="44" t="str">
        <f>IF(SUMIF('Detailed Budget'!$F$5:$F$1005,$B87,'Detailed Budget'!$BP$5:$BP$1005)&gt;0,SUMIF('Detailed Budget'!$F$5:$F$1005,$B87,'Detailed Budget'!$BP$5:$BP$1005),"")</f>
        <v/>
      </c>
      <c r="U87" s="44" t="str">
        <f>IF(SUMIF('Detailed Budget'!$F$5:$F$1005,$B87,'Detailed Budget'!$BR$5:$BR$1005)&gt;0,SUMIF('Detailed Budget'!$F$5:$F$1005,$B87,'Detailed Budget'!$BR$5:$BR$1005),"")</f>
        <v/>
      </c>
      <c r="V87" s="44" t="str">
        <f>IF(SUMIF('Detailed Budget'!$F$5:$F$1005,$B86,'Detailed Budget'!$BT$5:$BT$1005)&gt;0,SUMIF('Detailed Budget'!$F$5:$F$1005,$B86,'Detailed Budget'!$BT$5:$BT$1005),"")</f>
        <v/>
      </c>
      <c r="W87" s="45" t="str">
        <f>IF(SUMIF('Detailed Budget'!$F$5:$F$1005,$B87,'Detailed Budget'!$BV$5:$BV$1005)&gt;0,SUMIF('Detailed Budget'!$F$5:$F$1005,$B87,'Detailed Budget'!$BV$5:$BV$1005),"")</f>
        <v/>
      </c>
      <c r="X87" s="44" t="str">
        <f t="shared" si="2"/>
        <v/>
      </c>
      <c r="Y87" s="124" t="str">
        <f t="shared" si="3"/>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row>
    <row r="88" spans="1:63" s="35" customFormat="1" ht="15" hidden="1" x14ac:dyDescent="0.25">
      <c r="A88" s="42"/>
      <c r="B88" s="81" t="str">
        <f t="array" ref="B88">IFERROR(INDEX(IntIdList,MATCH(0,COUNTIF(IntIdList,"&lt;"&amp;IntIdList)-SUM(COUNTIF(IntIdList,B$16:B87)),0)),"")</f>
        <v/>
      </c>
      <c r="C88" s="43" t="str">
        <f>IFERROR(INDEX('Data Sheet'!$D$29:$D$174,MATCH(B88,'Data Sheet'!$E$29:$E$174,0)) &amp; " - " &amp; INDEX('Data Sheet'!$C$29:$C$174,MATCH(B88,'Data Sheet'!$E$29:$E$174,0)),"")</f>
        <v/>
      </c>
      <c r="D88" s="44" t="str">
        <f>IF(SUMIF('Detailed Budget'!$F$5:$F$1005,$B88,'Detailed Budget'!$AA$5:$AA$1005)&gt;0,SUMIF('Detailed Budget'!$F$5:$F$1005,$B88,'Detailed Budget'!$AA$5:$AA$1005),"")</f>
        <v/>
      </c>
      <c r="E88" s="44" t="str">
        <f>IF(SUMIF('Detailed Budget'!$F$5:$F$1005,$B88,'Detailed Budget'!$AC$5:$AC$1005)&gt;0,SUMIF('Detailed Budget'!$F$5:$F$1005,$B88,'Detailed Budget'!$AC$5:$AC$1005),"")</f>
        <v/>
      </c>
      <c r="F88" s="44" t="str">
        <f>IF(SUMIF('Detailed Budget'!$F$5:$F$1005,$B88,'Detailed Budget'!$AE$5:$AE$1005)&gt;0,SUMIF('Detailed Budget'!$F$5:$F$1005,$B88,'Detailed Budget'!$AE$5:$AE$1005),"")</f>
        <v/>
      </c>
      <c r="G88" s="44" t="str">
        <f>IF(SUMIF('Detailed Budget'!$F$5:$F$1005,$B88,'Detailed Budget'!$AG$5:$AG$1005)&gt;0,SUMIF('Detailed Budget'!$F$5:$F$1005,$B88,'Detailed Budget'!$AG$5:$AG$1005),"")</f>
        <v/>
      </c>
      <c r="H88" s="45" t="str">
        <f>IF(SUMIF('Detailed Budget'!$F$5:$F$1005,$B88,'Detailed Budget'!$AI$5:$AI$1005)&gt;0,SUMIF('Detailed Budget'!$F$5:$F$1005,$B88,'Detailed Budget'!$AI$5:$AI$1005),"")</f>
        <v/>
      </c>
      <c r="I88" s="44" t="str">
        <f>IF(SUMIF('Detailed Budget'!$F$5:$F$1005,$B88,'Detailed Budget'!$AN$5:$AN$1005)&gt;0,SUMIF('Detailed Budget'!$F$5:$F$1005,$B88,'Detailed Budget'!$AN$5:$AN$1005),"")</f>
        <v/>
      </c>
      <c r="J88" s="44" t="str">
        <f>IF(SUMIF('Detailed Budget'!$F$5:$F$1005,$B88,'Detailed Budget'!$AP$5:$AP$1005)&gt;0,SUMIF('Detailed Budget'!$F$5:$F$1005,$B88,'Detailed Budget'!$AP$5:$AP$1005),"")</f>
        <v/>
      </c>
      <c r="K88" s="44" t="str">
        <f>IF(SUMIF('Detailed Budget'!$F$5:$F$1005,$B88,'Detailed Budget'!$AR$5:$AR$1005)&gt;0,SUMIF('Detailed Budget'!$F$5:$F$1005,$B88,'Detailed Budget'!$AR$5:$AR$1005),"")</f>
        <v/>
      </c>
      <c r="L88" s="44" t="str">
        <f>IF(SUMIF('Detailed Budget'!$F$5:$F$1005,$B88,'Detailed Budget'!$AT$5:$AT$1005)&gt;0,SUMIF('Detailed Budget'!$F$5:$F$1005,$B88,'Detailed Budget'!$AT$5:$AT$1005),"")</f>
        <v/>
      </c>
      <c r="M88" s="45" t="str">
        <f>IF(SUMIF('Detailed Budget'!$F$5:$F$1005,$B88,'Detailed Budget'!$AV$5:$AV$1005)&gt;0,SUMIF('Detailed Budget'!$F$5:$F$1005,$B88,'Detailed Budget'!$AV$5:$AV$1005),"")</f>
        <v/>
      </c>
      <c r="N88" s="44" t="str">
        <f>IF(SUMIF('Detailed Budget'!$F$5:$F$1005,$B88,'Detailed Budget'!$BA$5:$BA$1005)&gt;0,SUMIF('Detailed Budget'!$F$5:$F$1005,$B88,'Detailed Budget'!$BA$5:$BA$1005),"")</f>
        <v/>
      </c>
      <c r="O88" s="44" t="str">
        <f>IF(SUMIF('Detailed Budget'!$F$5:$F$1005,$B88,'Detailed Budget'!$BC$5:$BC$1005)&gt;0,SUMIF('Detailed Budget'!$F$5:$F$1005,$B88,'Detailed Budget'!$BC$5:$BC$1005),"")</f>
        <v/>
      </c>
      <c r="P88" s="44" t="str">
        <f>IF(SUMIF('Detailed Budget'!$F$5:$F$1005,$B88,'Detailed Budget'!$BE$5:$BE$1005)&gt;0,SUMIF('Detailed Budget'!$F$5:$F$1005,$B88,'Detailed Budget'!$BE$5:$BE$1005),"")</f>
        <v/>
      </c>
      <c r="Q88" s="44" t="str">
        <f>IF(SUMIF('Detailed Budget'!$F$5:$F$1005,$B88,'Detailed Budget'!$BG$5:$BG$1005)&gt;0,SUMIF('Detailed Budget'!$F$5:$F$1005,$B88,'Detailed Budget'!$BG$5:$BG$1005),"")</f>
        <v/>
      </c>
      <c r="R88" s="45" t="str">
        <f>IF(SUMIF('Detailed Budget'!$F$5:$F$1005,$B88,'Detailed Budget'!$BI$5:$BI$1005)&gt;0,SUMIF('Detailed Budget'!$F$5:$F$1005,$B88,'Detailed Budget'!$BI$5:$BI$1005),"")</f>
        <v/>
      </c>
      <c r="S88" s="44" t="str">
        <f>IF(SUMIF('Detailed Budget'!$F$5:$F$1005,$B88,'Detailed Budget'!$BN$5:$BN$1005)&gt;0,SUMIF('Detailed Budget'!$F$5:$F$1005,$B88,'Detailed Budget'!$BN$5:$BN$1005),"")</f>
        <v/>
      </c>
      <c r="T88" s="44" t="str">
        <f>IF(SUMIF('Detailed Budget'!$F$5:$F$1005,$B88,'Detailed Budget'!$BP$5:$BP$1005)&gt;0,SUMIF('Detailed Budget'!$F$5:$F$1005,$B88,'Detailed Budget'!$BP$5:$BP$1005),"")</f>
        <v/>
      </c>
      <c r="U88" s="44" t="str">
        <f>IF(SUMIF('Detailed Budget'!$F$5:$F$1005,$B88,'Detailed Budget'!$BR$5:$BR$1005)&gt;0,SUMIF('Detailed Budget'!$F$5:$F$1005,$B88,'Detailed Budget'!$BR$5:$BR$1005),"")</f>
        <v/>
      </c>
      <c r="V88" s="44" t="str">
        <f>IF(SUMIF('Detailed Budget'!$F$5:$F$1005,$B87,'Detailed Budget'!$BT$5:$BT$1005)&gt;0,SUMIF('Detailed Budget'!$F$5:$F$1005,$B87,'Detailed Budget'!$BT$5:$BT$1005),"")</f>
        <v/>
      </c>
      <c r="W88" s="45" t="str">
        <f>IF(SUMIF('Detailed Budget'!$F$5:$F$1005,$B88,'Detailed Budget'!$BV$5:$BV$1005)&gt;0,SUMIF('Detailed Budget'!$F$5:$F$1005,$B88,'Detailed Budget'!$BV$5:$BV$1005),"")</f>
        <v/>
      </c>
      <c r="X88" s="44" t="str">
        <f t="shared" ref="X88:X106" si="4">IF(SUM(H88,M88,R88,W88)&gt;0,SUM(H88,M88,R88,W88),"")</f>
        <v/>
      </c>
      <c r="Y88" s="124" t="str">
        <f t="shared" si="3"/>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row>
    <row r="89" spans="1:63" s="35" customFormat="1" ht="15" hidden="1" x14ac:dyDescent="0.25">
      <c r="A89" s="42"/>
      <c r="B89" s="81" t="str">
        <f t="array" ref="B89">IFERROR(INDEX(IntIdList,MATCH(0,COUNTIF(IntIdList,"&lt;"&amp;IntIdList)-SUM(COUNTIF(IntIdList,B$16:B88)),0)),"")</f>
        <v/>
      </c>
      <c r="C89" s="43" t="str">
        <f>IFERROR(INDEX('Data Sheet'!$D$29:$D$174,MATCH(B89,'Data Sheet'!$E$29:$E$174,0)) &amp; " - " &amp; INDEX('Data Sheet'!$C$29:$C$174,MATCH(B89,'Data Sheet'!$E$29:$E$174,0)),"")</f>
        <v/>
      </c>
      <c r="D89" s="44" t="str">
        <f>IF(SUMIF('Detailed Budget'!$F$5:$F$1005,$B89,'Detailed Budget'!$AA$5:$AA$1005)&gt;0,SUMIF('Detailed Budget'!$F$5:$F$1005,$B89,'Detailed Budget'!$AA$5:$AA$1005),"")</f>
        <v/>
      </c>
      <c r="E89" s="44" t="str">
        <f>IF(SUMIF('Detailed Budget'!$F$5:$F$1005,$B89,'Detailed Budget'!$AC$5:$AC$1005)&gt;0,SUMIF('Detailed Budget'!$F$5:$F$1005,$B89,'Detailed Budget'!$AC$5:$AC$1005),"")</f>
        <v/>
      </c>
      <c r="F89" s="44" t="str">
        <f>IF(SUMIF('Detailed Budget'!$F$5:$F$1005,$B89,'Detailed Budget'!$AE$5:$AE$1005)&gt;0,SUMIF('Detailed Budget'!$F$5:$F$1005,$B89,'Detailed Budget'!$AE$5:$AE$1005),"")</f>
        <v/>
      </c>
      <c r="G89" s="44" t="str">
        <f>IF(SUMIF('Detailed Budget'!$F$5:$F$1005,$B89,'Detailed Budget'!$AG$5:$AG$1005)&gt;0,SUMIF('Detailed Budget'!$F$5:$F$1005,$B89,'Detailed Budget'!$AG$5:$AG$1005),"")</f>
        <v/>
      </c>
      <c r="H89" s="45" t="str">
        <f>IF(SUMIF('Detailed Budget'!$F$5:$F$1005,$B89,'Detailed Budget'!$AI$5:$AI$1005)&gt;0,SUMIF('Detailed Budget'!$F$5:$F$1005,$B89,'Detailed Budget'!$AI$5:$AI$1005),"")</f>
        <v/>
      </c>
      <c r="I89" s="44" t="str">
        <f>IF(SUMIF('Detailed Budget'!$F$5:$F$1005,$B89,'Detailed Budget'!$AN$5:$AN$1005)&gt;0,SUMIF('Detailed Budget'!$F$5:$F$1005,$B89,'Detailed Budget'!$AN$5:$AN$1005),"")</f>
        <v/>
      </c>
      <c r="J89" s="44" t="str">
        <f>IF(SUMIF('Detailed Budget'!$F$5:$F$1005,$B89,'Detailed Budget'!$AP$5:$AP$1005)&gt;0,SUMIF('Detailed Budget'!$F$5:$F$1005,$B89,'Detailed Budget'!$AP$5:$AP$1005),"")</f>
        <v/>
      </c>
      <c r="K89" s="44" t="str">
        <f>IF(SUMIF('Detailed Budget'!$F$5:$F$1005,$B89,'Detailed Budget'!$AR$5:$AR$1005)&gt;0,SUMIF('Detailed Budget'!$F$5:$F$1005,$B89,'Detailed Budget'!$AR$5:$AR$1005),"")</f>
        <v/>
      </c>
      <c r="L89" s="44" t="str">
        <f>IF(SUMIF('Detailed Budget'!$F$5:$F$1005,$B89,'Detailed Budget'!$AT$5:$AT$1005)&gt;0,SUMIF('Detailed Budget'!$F$5:$F$1005,$B89,'Detailed Budget'!$AT$5:$AT$1005),"")</f>
        <v/>
      </c>
      <c r="M89" s="45" t="str">
        <f>IF(SUMIF('Detailed Budget'!$F$5:$F$1005,$B89,'Detailed Budget'!$AV$5:$AV$1005)&gt;0,SUMIF('Detailed Budget'!$F$5:$F$1005,$B89,'Detailed Budget'!$AV$5:$AV$1005),"")</f>
        <v/>
      </c>
      <c r="N89" s="44" t="str">
        <f>IF(SUMIF('Detailed Budget'!$F$5:$F$1005,$B89,'Detailed Budget'!$BA$5:$BA$1005)&gt;0,SUMIF('Detailed Budget'!$F$5:$F$1005,$B89,'Detailed Budget'!$BA$5:$BA$1005),"")</f>
        <v/>
      </c>
      <c r="O89" s="44" t="str">
        <f>IF(SUMIF('Detailed Budget'!$F$5:$F$1005,$B89,'Detailed Budget'!$BC$5:$BC$1005)&gt;0,SUMIF('Detailed Budget'!$F$5:$F$1005,$B89,'Detailed Budget'!$BC$5:$BC$1005),"")</f>
        <v/>
      </c>
      <c r="P89" s="44" t="str">
        <f>IF(SUMIF('Detailed Budget'!$F$5:$F$1005,$B89,'Detailed Budget'!$BE$5:$BE$1005)&gt;0,SUMIF('Detailed Budget'!$F$5:$F$1005,$B89,'Detailed Budget'!$BE$5:$BE$1005),"")</f>
        <v/>
      </c>
      <c r="Q89" s="44" t="str">
        <f>IF(SUMIF('Detailed Budget'!$F$5:$F$1005,$B89,'Detailed Budget'!$BG$5:$BG$1005)&gt;0,SUMIF('Detailed Budget'!$F$5:$F$1005,$B89,'Detailed Budget'!$BG$5:$BG$1005),"")</f>
        <v/>
      </c>
      <c r="R89" s="45" t="str">
        <f>IF(SUMIF('Detailed Budget'!$F$5:$F$1005,$B89,'Detailed Budget'!$BI$5:$BI$1005)&gt;0,SUMIF('Detailed Budget'!$F$5:$F$1005,$B89,'Detailed Budget'!$BI$5:$BI$1005),"")</f>
        <v/>
      </c>
      <c r="S89" s="44" t="str">
        <f>IF(SUMIF('Detailed Budget'!$F$5:$F$1005,$B89,'Detailed Budget'!$BN$5:$BN$1005)&gt;0,SUMIF('Detailed Budget'!$F$5:$F$1005,$B89,'Detailed Budget'!$BN$5:$BN$1005),"")</f>
        <v/>
      </c>
      <c r="T89" s="44" t="str">
        <f>IF(SUMIF('Detailed Budget'!$F$5:$F$1005,$B89,'Detailed Budget'!$BP$5:$BP$1005)&gt;0,SUMIF('Detailed Budget'!$F$5:$F$1005,$B89,'Detailed Budget'!$BP$5:$BP$1005),"")</f>
        <v/>
      </c>
      <c r="U89" s="44" t="str">
        <f>IF(SUMIF('Detailed Budget'!$F$5:$F$1005,$B89,'Detailed Budget'!$BR$5:$BR$1005)&gt;0,SUMIF('Detailed Budget'!$F$5:$F$1005,$B89,'Detailed Budget'!$BR$5:$BR$1005),"")</f>
        <v/>
      </c>
      <c r="V89" s="44" t="str">
        <f>IF(SUMIF('Detailed Budget'!$F$5:$F$1005,$B88,'Detailed Budget'!$BT$5:$BT$1005)&gt;0,SUMIF('Detailed Budget'!$F$5:$F$1005,$B88,'Detailed Budget'!$BT$5:$BT$1005),"")</f>
        <v/>
      </c>
      <c r="W89" s="45" t="str">
        <f>IF(SUMIF('Detailed Budget'!$F$5:$F$1005,$B89,'Detailed Budget'!$BV$5:$BV$1005)&gt;0,SUMIF('Detailed Budget'!$F$5:$F$1005,$B89,'Detailed Budget'!$BV$5:$BV$1005),"")</f>
        <v/>
      </c>
      <c r="X89" s="44" t="str">
        <f t="shared" si="4"/>
        <v/>
      </c>
      <c r="Y89" s="124" t="str">
        <f t="shared" si="3"/>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row>
    <row r="90" spans="1:63" s="35" customFormat="1" ht="15" hidden="1" x14ac:dyDescent="0.25">
      <c r="A90" s="42"/>
      <c r="B90" s="81" t="str">
        <f t="array" ref="B90">IFERROR(INDEX(IntIdList,MATCH(0,COUNTIF(IntIdList,"&lt;"&amp;IntIdList)-SUM(COUNTIF(IntIdList,B$16:B89)),0)),"")</f>
        <v/>
      </c>
      <c r="C90" s="43" t="str">
        <f>IFERROR(INDEX('Data Sheet'!$D$29:$D$174,MATCH(B90,'Data Sheet'!$E$29:$E$174,0)) &amp; " - " &amp; INDEX('Data Sheet'!$C$29:$C$174,MATCH(B90,'Data Sheet'!$E$29:$E$174,0)),"")</f>
        <v/>
      </c>
      <c r="D90" s="44" t="str">
        <f>IF(SUMIF('Detailed Budget'!$F$5:$F$1005,$B90,'Detailed Budget'!$AA$5:$AA$1005)&gt;0,SUMIF('Detailed Budget'!$F$5:$F$1005,$B90,'Detailed Budget'!$AA$5:$AA$1005),"")</f>
        <v/>
      </c>
      <c r="E90" s="44" t="str">
        <f>IF(SUMIF('Detailed Budget'!$F$5:$F$1005,$B90,'Detailed Budget'!$AC$5:$AC$1005)&gt;0,SUMIF('Detailed Budget'!$F$5:$F$1005,$B90,'Detailed Budget'!$AC$5:$AC$1005),"")</f>
        <v/>
      </c>
      <c r="F90" s="44" t="str">
        <f>IF(SUMIF('Detailed Budget'!$F$5:$F$1005,$B90,'Detailed Budget'!$AE$5:$AE$1005)&gt;0,SUMIF('Detailed Budget'!$F$5:$F$1005,$B90,'Detailed Budget'!$AE$5:$AE$1005),"")</f>
        <v/>
      </c>
      <c r="G90" s="44" t="str">
        <f>IF(SUMIF('Detailed Budget'!$F$5:$F$1005,$B90,'Detailed Budget'!$AG$5:$AG$1005)&gt;0,SUMIF('Detailed Budget'!$F$5:$F$1005,$B90,'Detailed Budget'!$AG$5:$AG$1005),"")</f>
        <v/>
      </c>
      <c r="H90" s="45" t="str">
        <f>IF(SUMIF('Detailed Budget'!$F$5:$F$1005,$B90,'Detailed Budget'!$AI$5:$AI$1005)&gt;0,SUMIF('Detailed Budget'!$F$5:$F$1005,$B90,'Detailed Budget'!$AI$5:$AI$1005),"")</f>
        <v/>
      </c>
      <c r="I90" s="44" t="str">
        <f>IF(SUMIF('Detailed Budget'!$F$5:$F$1005,$B90,'Detailed Budget'!$AN$5:$AN$1005)&gt;0,SUMIF('Detailed Budget'!$F$5:$F$1005,$B90,'Detailed Budget'!$AN$5:$AN$1005),"")</f>
        <v/>
      </c>
      <c r="J90" s="44" t="str">
        <f>IF(SUMIF('Detailed Budget'!$F$5:$F$1005,$B90,'Detailed Budget'!$AP$5:$AP$1005)&gt;0,SUMIF('Detailed Budget'!$F$5:$F$1005,$B90,'Detailed Budget'!$AP$5:$AP$1005),"")</f>
        <v/>
      </c>
      <c r="K90" s="44" t="str">
        <f>IF(SUMIF('Detailed Budget'!$F$5:$F$1005,$B90,'Detailed Budget'!$AR$5:$AR$1005)&gt;0,SUMIF('Detailed Budget'!$F$5:$F$1005,$B90,'Detailed Budget'!$AR$5:$AR$1005),"")</f>
        <v/>
      </c>
      <c r="L90" s="44" t="str">
        <f>IF(SUMIF('Detailed Budget'!$F$5:$F$1005,$B90,'Detailed Budget'!$AT$5:$AT$1005)&gt;0,SUMIF('Detailed Budget'!$F$5:$F$1005,$B90,'Detailed Budget'!$AT$5:$AT$1005),"")</f>
        <v/>
      </c>
      <c r="M90" s="45" t="str">
        <f>IF(SUMIF('Detailed Budget'!$F$5:$F$1005,$B90,'Detailed Budget'!$AV$5:$AV$1005)&gt;0,SUMIF('Detailed Budget'!$F$5:$F$1005,$B90,'Detailed Budget'!$AV$5:$AV$1005),"")</f>
        <v/>
      </c>
      <c r="N90" s="44" t="str">
        <f>IF(SUMIF('Detailed Budget'!$F$5:$F$1005,$B90,'Detailed Budget'!$BA$5:$BA$1005)&gt;0,SUMIF('Detailed Budget'!$F$5:$F$1005,$B90,'Detailed Budget'!$BA$5:$BA$1005),"")</f>
        <v/>
      </c>
      <c r="O90" s="44" t="str">
        <f>IF(SUMIF('Detailed Budget'!$F$5:$F$1005,$B90,'Detailed Budget'!$BC$5:$BC$1005)&gt;0,SUMIF('Detailed Budget'!$F$5:$F$1005,$B90,'Detailed Budget'!$BC$5:$BC$1005),"")</f>
        <v/>
      </c>
      <c r="P90" s="44" t="str">
        <f>IF(SUMIF('Detailed Budget'!$F$5:$F$1005,$B90,'Detailed Budget'!$BE$5:$BE$1005)&gt;0,SUMIF('Detailed Budget'!$F$5:$F$1005,$B90,'Detailed Budget'!$BE$5:$BE$1005),"")</f>
        <v/>
      </c>
      <c r="Q90" s="44" t="str">
        <f>IF(SUMIF('Detailed Budget'!$F$5:$F$1005,$B90,'Detailed Budget'!$BG$5:$BG$1005)&gt;0,SUMIF('Detailed Budget'!$F$5:$F$1005,$B90,'Detailed Budget'!$BG$5:$BG$1005),"")</f>
        <v/>
      </c>
      <c r="R90" s="45" t="str">
        <f>IF(SUMIF('Detailed Budget'!$F$5:$F$1005,$B90,'Detailed Budget'!$BI$5:$BI$1005)&gt;0,SUMIF('Detailed Budget'!$F$5:$F$1005,$B90,'Detailed Budget'!$BI$5:$BI$1005),"")</f>
        <v/>
      </c>
      <c r="S90" s="44" t="str">
        <f>IF(SUMIF('Detailed Budget'!$F$5:$F$1005,$B90,'Detailed Budget'!$BN$5:$BN$1005)&gt;0,SUMIF('Detailed Budget'!$F$5:$F$1005,$B90,'Detailed Budget'!$BN$5:$BN$1005),"")</f>
        <v/>
      </c>
      <c r="T90" s="44" t="str">
        <f>IF(SUMIF('Detailed Budget'!$F$5:$F$1005,$B90,'Detailed Budget'!$BP$5:$BP$1005)&gt;0,SUMIF('Detailed Budget'!$F$5:$F$1005,$B90,'Detailed Budget'!$BP$5:$BP$1005),"")</f>
        <v/>
      </c>
      <c r="U90" s="44" t="str">
        <f>IF(SUMIF('Detailed Budget'!$F$5:$F$1005,$B90,'Detailed Budget'!$BR$5:$BR$1005)&gt;0,SUMIF('Detailed Budget'!$F$5:$F$1005,$B90,'Detailed Budget'!$BR$5:$BR$1005),"")</f>
        <v/>
      </c>
      <c r="V90" s="44" t="str">
        <f>IF(SUMIF('Detailed Budget'!$F$5:$F$1005,$B89,'Detailed Budget'!$BT$5:$BT$1005)&gt;0,SUMIF('Detailed Budget'!$F$5:$F$1005,$B89,'Detailed Budget'!$BT$5:$BT$1005),"")</f>
        <v/>
      </c>
      <c r="W90" s="45" t="str">
        <f>IF(SUMIF('Detailed Budget'!$F$5:$F$1005,$B90,'Detailed Budget'!$BV$5:$BV$1005)&gt;0,SUMIF('Detailed Budget'!$F$5:$F$1005,$B90,'Detailed Budget'!$BV$5:$BV$1005),"")</f>
        <v/>
      </c>
      <c r="X90" s="44" t="str">
        <f t="shared" si="4"/>
        <v/>
      </c>
      <c r="Y90" s="124" t="str">
        <f t="shared" si="3"/>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row>
    <row r="91" spans="1:63" s="35" customFormat="1" ht="15" hidden="1" x14ac:dyDescent="0.25">
      <c r="A91" s="42"/>
      <c r="B91" s="81" t="str">
        <f t="array" ref="B91">IFERROR(INDEX(IntIdList,MATCH(0,COUNTIF(IntIdList,"&lt;"&amp;IntIdList)-SUM(COUNTIF(IntIdList,B$16:B90)),0)),"")</f>
        <v/>
      </c>
      <c r="C91" s="43" t="str">
        <f>IFERROR(INDEX('Data Sheet'!$D$29:$D$174,MATCH(B91,'Data Sheet'!$E$29:$E$174,0)) &amp; " - " &amp; INDEX('Data Sheet'!$C$29:$C$174,MATCH(B91,'Data Sheet'!$E$29:$E$174,0)),"")</f>
        <v/>
      </c>
      <c r="D91" s="44" t="str">
        <f>IF(SUMIF('Detailed Budget'!$F$5:$F$1005,$B91,'Detailed Budget'!$AA$5:$AA$1005)&gt;0,SUMIF('Detailed Budget'!$F$5:$F$1005,$B91,'Detailed Budget'!$AA$5:$AA$1005),"")</f>
        <v/>
      </c>
      <c r="E91" s="44" t="str">
        <f>IF(SUMIF('Detailed Budget'!$F$5:$F$1005,$B91,'Detailed Budget'!$AC$5:$AC$1005)&gt;0,SUMIF('Detailed Budget'!$F$5:$F$1005,$B91,'Detailed Budget'!$AC$5:$AC$1005),"")</f>
        <v/>
      </c>
      <c r="F91" s="44" t="str">
        <f>IF(SUMIF('Detailed Budget'!$F$5:$F$1005,$B91,'Detailed Budget'!$AE$5:$AE$1005)&gt;0,SUMIF('Detailed Budget'!$F$5:$F$1005,$B91,'Detailed Budget'!$AE$5:$AE$1005),"")</f>
        <v/>
      </c>
      <c r="G91" s="44" t="str">
        <f>IF(SUMIF('Detailed Budget'!$F$5:$F$1005,$B91,'Detailed Budget'!$AG$5:$AG$1005)&gt;0,SUMIF('Detailed Budget'!$F$5:$F$1005,$B91,'Detailed Budget'!$AG$5:$AG$1005),"")</f>
        <v/>
      </c>
      <c r="H91" s="45" t="str">
        <f>IF(SUMIF('Detailed Budget'!$F$5:$F$1005,$B91,'Detailed Budget'!$AI$5:$AI$1005)&gt;0,SUMIF('Detailed Budget'!$F$5:$F$1005,$B91,'Detailed Budget'!$AI$5:$AI$1005),"")</f>
        <v/>
      </c>
      <c r="I91" s="44" t="str">
        <f>IF(SUMIF('Detailed Budget'!$F$5:$F$1005,$B91,'Detailed Budget'!$AN$5:$AN$1005)&gt;0,SUMIF('Detailed Budget'!$F$5:$F$1005,$B91,'Detailed Budget'!$AN$5:$AN$1005),"")</f>
        <v/>
      </c>
      <c r="J91" s="44" t="str">
        <f>IF(SUMIF('Detailed Budget'!$F$5:$F$1005,$B91,'Detailed Budget'!$AP$5:$AP$1005)&gt;0,SUMIF('Detailed Budget'!$F$5:$F$1005,$B91,'Detailed Budget'!$AP$5:$AP$1005),"")</f>
        <v/>
      </c>
      <c r="K91" s="44" t="str">
        <f>IF(SUMIF('Detailed Budget'!$F$5:$F$1005,$B91,'Detailed Budget'!$AR$5:$AR$1005)&gt;0,SUMIF('Detailed Budget'!$F$5:$F$1005,$B91,'Detailed Budget'!$AR$5:$AR$1005),"")</f>
        <v/>
      </c>
      <c r="L91" s="44" t="str">
        <f>IF(SUMIF('Detailed Budget'!$F$5:$F$1005,$B91,'Detailed Budget'!$AT$5:$AT$1005)&gt;0,SUMIF('Detailed Budget'!$F$5:$F$1005,$B91,'Detailed Budget'!$AT$5:$AT$1005),"")</f>
        <v/>
      </c>
      <c r="M91" s="45" t="str">
        <f>IF(SUMIF('Detailed Budget'!$F$5:$F$1005,$B91,'Detailed Budget'!$AV$5:$AV$1005)&gt;0,SUMIF('Detailed Budget'!$F$5:$F$1005,$B91,'Detailed Budget'!$AV$5:$AV$1005),"")</f>
        <v/>
      </c>
      <c r="N91" s="44" t="str">
        <f>IF(SUMIF('Detailed Budget'!$F$5:$F$1005,$B91,'Detailed Budget'!$BA$5:$BA$1005)&gt;0,SUMIF('Detailed Budget'!$F$5:$F$1005,$B91,'Detailed Budget'!$BA$5:$BA$1005),"")</f>
        <v/>
      </c>
      <c r="O91" s="44" t="str">
        <f>IF(SUMIF('Detailed Budget'!$F$5:$F$1005,$B91,'Detailed Budget'!$BC$5:$BC$1005)&gt;0,SUMIF('Detailed Budget'!$F$5:$F$1005,$B91,'Detailed Budget'!$BC$5:$BC$1005),"")</f>
        <v/>
      </c>
      <c r="P91" s="44" t="str">
        <f>IF(SUMIF('Detailed Budget'!$F$5:$F$1005,$B91,'Detailed Budget'!$BE$5:$BE$1005)&gt;0,SUMIF('Detailed Budget'!$F$5:$F$1005,$B91,'Detailed Budget'!$BE$5:$BE$1005),"")</f>
        <v/>
      </c>
      <c r="Q91" s="44" t="str">
        <f>IF(SUMIF('Detailed Budget'!$F$5:$F$1005,$B91,'Detailed Budget'!$BG$5:$BG$1005)&gt;0,SUMIF('Detailed Budget'!$F$5:$F$1005,$B91,'Detailed Budget'!$BG$5:$BG$1005),"")</f>
        <v/>
      </c>
      <c r="R91" s="45" t="str">
        <f>IF(SUMIF('Detailed Budget'!$F$5:$F$1005,$B91,'Detailed Budget'!$BI$5:$BI$1005)&gt;0,SUMIF('Detailed Budget'!$F$5:$F$1005,$B91,'Detailed Budget'!$BI$5:$BI$1005),"")</f>
        <v/>
      </c>
      <c r="S91" s="44" t="str">
        <f>IF(SUMIF('Detailed Budget'!$F$5:$F$1005,$B91,'Detailed Budget'!$BN$5:$BN$1005)&gt;0,SUMIF('Detailed Budget'!$F$5:$F$1005,$B91,'Detailed Budget'!$BN$5:$BN$1005),"")</f>
        <v/>
      </c>
      <c r="T91" s="44" t="str">
        <f>IF(SUMIF('Detailed Budget'!$F$5:$F$1005,$B91,'Detailed Budget'!$BP$5:$BP$1005)&gt;0,SUMIF('Detailed Budget'!$F$5:$F$1005,$B91,'Detailed Budget'!$BP$5:$BP$1005),"")</f>
        <v/>
      </c>
      <c r="U91" s="44" t="str">
        <f>IF(SUMIF('Detailed Budget'!$F$5:$F$1005,$B91,'Detailed Budget'!$BR$5:$BR$1005)&gt;0,SUMIF('Detailed Budget'!$F$5:$F$1005,$B91,'Detailed Budget'!$BR$5:$BR$1005),"")</f>
        <v/>
      </c>
      <c r="V91" s="44" t="str">
        <f>IF(SUMIF('Detailed Budget'!$F$5:$F$1005,$B90,'Detailed Budget'!$BT$5:$BT$1005)&gt;0,SUMIF('Detailed Budget'!$F$5:$F$1005,$B90,'Detailed Budget'!$BT$5:$BT$1005),"")</f>
        <v/>
      </c>
      <c r="W91" s="45" t="str">
        <f>IF(SUMIF('Detailed Budget'!$F$5:$F$1005,$B91,'Detailed Budget'!$BV$5:$BV$1005)&gt;0,SUMIF('Detailed Budget'!$F$5:$F$1005,$B91,'Detailed Budget'!$BV$5:$BV$1005),"")</f>
        <v/>
      </c>
      <c r="X91" s="44" t="str">
        <f t="shared" si="4"/>
        <v/>
      </c>
      <c r="Y91" s="124" t="str">
        <f t="shared" si="3"/>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row>
    <row r="92" spans="1:63" s="35" customFormat="1" ht="15" hidden="1" x14ac:dyDescent="0.25">
      <c r="A92" s="42"/>
      <c r="B92" s="81" t="str">
        <f t="array" ref="B92">IFERROR(INDEX(IntIdList,MATCH(0,COUNTIF(IntIdList,"&lt;"&amp;IntIdList)-SUM(COUNTIF(IntIdList,B$16:B91)),0)),"")</f>
        <v/>
      </c>
      <c r="C92" s="43" t="str">
        <f>IFERROR(INDEX('Data Sheet'!$D$29:$D$174,MATCH(B92,'Data Sheet'!$E$29:$E$174,0)) &amp; " - " &amp; INDEX('Data Sheet'!$C$29:$C$174,MATCH(B92,'Data Sheet'!$E$29:$E$174,0)),"")</f>
        <v/>
      </c>
      <c r="D92" s="44" t="str">
        <f>IF(SUMIF('Detailed Budget'!$F$5:$F$1005,$B92,'Detailed Budget'!$AA$5:$AA$1005)&gt;0,SUMIF('Detailed Budget'!$F$5:$F$1005,$B92,'Detailed Budget'!$AA$5:$AA$1005),"")</f>
        <v/>
      </c>
      <c r="E92" s="44" t="str">
        <f>IF(SUMIF('Detailed Budget'!$F$5:$F$1005,$B92,'Detailed Budget'!$AC$5:$AC$1005)&gt;0,SUMIF('Detailed Budget'!$F$5:$F$1005,$B92,'Detailed Budget'!$AC$5:$AC$1005),"")</f>
        <v/>
      </c>
      <c r="F92" s="44" t="str">
        <f>IF(SUMIF('Detailed Budget'!$F$5:$F$1005,$B92,'Detailed Budget'!$AE$5:$AE$1005)&gt;0,SUMIF('Detailed Budget'!$F$5:$F$1005,$B92,'Detailed Budget'!$AE$5:$AE$1005),"")</f>
        <v/>
      </c>
      <c r="G92" s="44" t="str">
        <f>IF(SUMIF('Detailed Budget'!$F$5:$F$1005,$B92,'Detailed Budget'!$AG$5:$AG$1005)&gt;0,SUMIF('Detailed Budget'!$F$5:$F$1005,$B92,'Detailed Budget'!$AG$5:$AG$1005),"")</f>
        <v/>
      </c>
      <c r="H92" s="45" t="str">
        <f>IF(SUMIF('Detailed Budget'!$F$5:$F$1005,$B92,'Detailed Budget'!$AI$5:$AI$1005)&gt;0,SUMIF('Detailed Budget'!$F$5:$F$1005,$B92,'Detailed Budget'!$AI$5:$AI$1005),"")</f>
        <v/>
      </c>
      <c r="I92" s="44" t="str">
        <f>IF(SUMIF('Detailed Budget'!$F$5:$F$1005,$B92,'Detailed Budget'!$AN$5:$AN$1005)&gt;0,SUMIF('Detailed Budget'!$F$5:$F$1005,$B92,'Detailed Budget'!$AN$5:$AN$1005),"")</f>
        <v/>
      </c>
      <c r="J92" s="44" t="str">
        <f>IF(SUMIF('Detailed Budget'!$F$5:$F$1005,$B92,'Detailed Budget'!$AP$5:$AP$1005)&gt;0,SUMIF('Detailed Budget'!$F$5:$F$1005,$B92,'Detailed Budget'!$AP$5:$AP$1005),"")</f>
        <v/>
      </c>
      <c r="K92" s="44" t="str">
        <f>IF(SUMIF('Detailed Budget'!$F$5:$F$1005,$B92,'Detailed Budget'!$AR$5:$AR$1005)&gt;0,SUMIF('Detailed Budget'!$F$5:$F$1005,$B92,'Detailed Budget'!$AR$5:$AR$1005),"")</f>
        <v/>
      </c>
      <c r="L92" s="44" t="str">
        <f>IF(SUMIF('Detailed Budget'!$F$5:$F$1005,$B92,'Detailed Budget'!$AT$5:$AT$1005)&gt;0,SUMIF('Detailed Budget'!$F$5:$F$1005,$B92,'Detailed Budget'!$AT$5:$AT$1005),"")</f>
        <v/>
      </c>
      <c r="M92" s="45" t="str">
        <f>IF(SUMIF('Detailed Budget'!$F$5:$F$1005,$B92,'Detailed Budget'!$AV$5:$AV$1005)&gt;0,SUMIF('Detailed Budget'!$F$5:$F$1005,$B92,'Detailed Budget'!$AV$5:$AV$1005),"")</f>
        <v/>
      </c>
      <c r="N92" s="44" t="str">
        <f>IF(SUMIF('Detailed Budget'!$F$5:$F$1005,$B92,'Detailed Budget'!$BA$5:$BA$1005)&gt;0,SUMIF('Detailed Budget'!$F$5:$F$1005,$B92,'Detailed Budget'!$BA$5:$BA$1005),"")</f>
        <v/>
      </c>
      <c r="O92" s="44" t="str">
        <f>IF(SUMIF('Detailed Budget'!$F$5:$F$1005,$B92,'Detailed Budget'!$BC$5:$BC$1005)&gt;0,SUMIF('Detailed Budget'!$F$5:$F$1005,$B92,'Detailed Budget'!$BC$5:$BC$1005),"")</f>
        <v/>
      </c>
      <c r="P92" s="44" t="str">
        <f>IF(SUMIF('Detailed Budget'!$F$5:$F$1005,$B92,'Detailed Budget'!$BE$5:$BE$1005)&gt;0,SUMIF('Detailed Budget'!$F$5:$F$1005,$B92,'Detailed Budget'!$BE$5:$BE$1005),"")</f>
        <v/>
      </c>
      <c r="Q92" s="44" t="str">
        <f>IF(SUMIF('Detailed Budget'!$F$5:$F$1005,$B92,'Detailed Budget'!$BG$5:$BG$1005)&gt;0,SUMIF('Detailed Budget'!$F$5:$F$1005,$B92,'Detailed Budget'!$BG$5:$BG$1005),"")</f>
        <v/>
      </c>
      <c r="R92" s="45" t="str">
        <f>IF(SUMIF('Detailed Budget'!$F$5:$F$1005,$B92,'Detailed Budget'!$BI$5:$BI$1005)&gt;0,SUMIF('Detailed Budget'!$F$5:$F$1005,$B92,'Detailed Budget'!$BI$5:$BI$1005),"")</f>
        <v/>
      </c>
      <c r="S92" s="44" t="str">
        <f>IF(SUMIF('Detailed Budget'!$F$5:$F$1005,$B92,'Detailed Budget'!$BN$5:$BN$1005)&gt;0,SUMIF('Detailed Budget'!$F$5:$F$1005,$B92,'Detailed Budget'!$BN$5:$BN$1005),"")</f>
        <v/>
      </c>
      <c r="T92" s="44" t="str">
        <f>IF(SUMIF('Detailed Budget'!$F$5:$F$1005,$B92,'Detailed Budget'!$BP$5:$BP$1005)&gt;0,SUMIF('Detailed Budget'!$F$5:$F$1005,$B92,'Detailed Budget'!$BP$5:$BP$1005),"")</f>
        <v/>
      </c>
      <c r="U92" s="44" t="str">
        <f>IF(SUMIF('Detailed Budget'!$F$5:$F$1005,$B92,'Detailed Budget'!$BR$5:$BR$1005)&gt;0,SUMIF('Detailed Budget'!$F$5:$F$1005,$B92,'Detailed Budget'!$BR$5:$BR$1005),"")</f>
        <v/>
      </c>
      <c r="V92" s="44" t="str">
        <f>IF(SUMIF('Detailed Budget'!$F$5:$F$1005,$B91,'Detailed Budget'!$BT$5:$BT$1005)&gt;0,SUMIF('Detailed Budget'!$F$5:$F$1005,$B91,'Detailed Budget'!$BT$5:$BT$1005),"")</f>
        <v/>
      </c>
      <c r="W92" s="45" t="str">
        <f>IF(SUMIF('Detailed Budget'!$F$5:$F$1005,$B92,'Detailed Budget'!$BV$5:$BV$1005)&gt;0,SUMIF('Detailed Budget'!$F$5:$F$1005,$B92,'Detailed Budget'!$BV$5:$BV$1005),"")</f>
        <v/>
      </c>
      <c r="X92" s="44" t="str">
        <f t="shared" si="4"/>
        <v/>
      </c>
      <c r="Y92" s="124" t="str">
        <f t="shared" si="3"/>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row>
    <row r="93" spans="1:63" s="35" customFormat="1" ht="15" hidden="1" x14ac:dyDescent="0.25">
      <c r="A93" s="42"/>
      <c r="B93" s="81" t="str">
        <f t="array" ref="B93">IFERROR(INDEX(IntIdList,MATCH(0,COUNTIF(IntIdList,"&lt;"&amp;IntIdList)-SUM(COUNTIF(IntIdList,B$16:B92)),0)),"")</f>
        <v/>
      </c>
      <c r="C93" s="43" t="str">
        <f>IFERROR(INDEX('Data Sheet'!$D$29:$D$174,MATCH(B93,'Data Sheet'!$E$29:$E$174,0)) &amp; " - " &amp; INDEX('Data Sheet'!$C$29:$C$174,MATCH(B93,'Data Sheet'!$E$29:$E$174,0)),"")</f>
        <v/>
      </c>
      <c r="D93" s="44" t="str">
        <f>IF(SUMIF('Detailed Budget'!$F$5:$F$1005,$B93,'Detailed Budget'!$AA$5:$AA$1005)&gt;0,SUMIF('Detailed Budget'!$F$5:$F$1005,$B93,'Detailed Budget'!$AA$5:$AA$1005),"")</f>
        <v/>
      </c>
      <c r="E93" s="44" t="str">
        <f>IF(SUMIF('Detailed Budget'!$F$5:$F$1005,$B93,'Detailed Budget'!$AC$5:$AC$1005)&gt;0,SUMIF('Detailed Budget'!$F$5:$F$1005,$B93,'Detailed Budget'!$AC$5:$AC$1005),"")</f>
        <v/>
      </c>
      <c r="F93" s="44" t="str">
        <f>IF(SUMIF('Detailed Budget'!$F$5:$F$1005,$B93,'Detailed Budget'!$AE$5:$AE$1005)&gt;0,SUMIF('Detailed Budget'!$F$5:$F$1005,$B93,'Detailed Budget'!$AE$5:$AE$1005),"")</f>
        <v/>
      </c>
      <c r="G93" s="44" t="str">
        <f>IF(SUMIF('Detailed Budget'!$F$5:$F$1005,$B93,'Detailed Budget'!$AG$5:$AG$1005)&gt;0,SUMIF('Detailed Budget'!$F$5:$F$1005,$B93,'Detailed Budget'!$AG$5:$AG$1005),"")</f>
        <v/>
      </c>
      <c r="H93" s="45" t="str">
        <f>IF(SUMIF('Detailed Budget'!$F$5:$F$1005,$B93,'Detailed Budget'!$AI$5:$AI$1005)&gt;0,SUMIF('Detailed Budget'!$F$5:$F$1005,$B93,'Detailed Budget'!$AI$5:$AI$1005),"")</f>
        <v/>
      </c>
      <c r="I93" s="44" t="str">
        <f>IF(SUMIF('Detailed Budget'!$F$5:$F$1005,$B93,'Detailed Budget'!$AN$5:$AN$1005)&gt;0,SUMIF('Detailed Budget'!$F$5:$F$1005,$B93,'Detailed Budget'!$AN$5:$AN$1005),"")</f>
        <v/>
      </c>
      <c r="J93" s="44" t="str">
        <f>IF(SUMIF('Detailed Budget'!$F$5:$F$1005,$B93,'Detailed Budget'!$AP$5:$AP$1005)&gt;0,SUMIF('Detailed Budget'!$F$5:$F$1005,$B93,'Detailed Budget'!$AP$5:$AP$1005),"")</f>
        <v/>
      </c>
      <c r="K93" s="44" t="str">
        <f>IF(SUMIF('Detailed Budget'!$F$5:$F$1005,$B93,'Detailed Budget'!$AR$5:$AR$1005)&gt;0,SUMIF('Detailed Budget'!$F$5:$F$1005,$B93,'Detailed Budget'!$AR$5:$AR$1005),"")</f>
        <v/>
      </c>
      <c r="L93" s="44" t="str">
        <f>IF(SUMIF('Detailed Budget'!$F$5:$F$1005,$B93,'Detailed Budget'!$AT$5:$AT$1005)&gt;0,SUMIF('Detailed Budget'!$F$5:$F$1005,$B93,'Detailed Budget'!$AT$5:$AT$1005),"")</f>
        <v/>
      </c>
      <c r="M93" s="45" t="str">
        <f>IF(SUMIF('Detailed Budget'!$F$5:$F$1005,$B93,'Detailed Budget'!$AV$5:$AV$1005)&gt;0,SUMIF('Detailed Budget'!$F$5:$F$1005,$B93,'Detailed Budget'!$AV$5:$AV$1005),"")</f>
        <v/>
      </c>
      <c r="N93" s="44" t="str">
        <f>IF(SUMIF('Detailed Budget'!$F$5:$F$1005,$B93,'Detailed Budget'!$BA$5:$BA$1005)&gt;0,SUMIF('Detailed Budget'!$F$5:$F$1005,$B93,'Detailed Budget'!$BA$5:$BA$1005),"")</f>
        <v/>
      </c>
      <c r="O93" s="44" t="str">
        <f>IF(SUMIF('Detailed Budget'!$F$5:$F$1005,$B93,'Detailed Budget'!$BC$5:$BC$1005)&gt;0,SUMIF('Detailed Budget'!$F$5:$F$1005,$B93,'Detailed Budget'!$BC$5:$BC$1005),"")</f>
        <v/>
      </c>
      <c r="P93" s="44" t="str">
        <f>IF(SUMIF('Detailed Budget'!$F$5:$F$1005,$B93,'Detailed Budget'!$BE$5:$BE$1005)&gt;0,SUMIF('Detailed Budget'!$F$5:$F$1005,$B93,'Detailed Budget'!$BE$5:$BE$1005),"")</f>
        <v/>
      </c>
      <c r="Q93" s="44" t="str">
        <f>IF(SUMIF('Detailed Budget'!$F$5:$F$1005,$B93,'Detailed Budget'!$BG$5:$BG$1005)&gt;0,SUMIF('Detailed Budget'!$F$5:$F$1005,$B93,'Detailed Budget'!$BG$5:$BG$1005),"")</f>
        <v/>
      </c>
      <c r="R93" s="45" t="str">
        <f>IF(SUMIF('Detailed Budget'!$F$5:$F$1005,$B93,'Detailed Budget'!$BI$5:$BI$1005)&gt;0,SUMIF('Detailed Budget'!$F$5:$F$1005,$B93,'Detailed Budget'!$BI$5:$BI$1005),"")</f>
        <v/>
      </c>
      <c r="S93" s="44" t="str">
        <f>IF(SUMIF('Detailed Budget'!$F$5:$F$1005,$B93,'Detailed Budget'!$BN$5:$BN$1005)&gt;0,SUMIF('Detailed Budget'!$F$5:$F$1005,$B93,'Detailed Budget'!$BN$5:$BN$1005),"")</f>
        <v/>
      </c>
      <c r="T93" s="44" t="str">
        <f>IF(SUMIF('Detailed Budget'!$F$5:$F$1005,$B93,'Detailed Budget'!$BP$5:$BP$1005)&gt;0,SUMIF('Detailed Budget'!$F$5:$F$1005,$B93,'Detailed Budget'!$BP$5:$BP$1005),"")</f>
        <v/>
      </c>
      <c r="U93" s="44" t="str">
        <f>IF(SUMIF('Detailed Budget'!$F$5:$F$1005,$B93,'Detailed Budget'!$BR$5:$BR$1005)&gt;0,SUMIF('Detailed Budget'!$F$5:$F$1005,$B93,'Detailed Budget'!$BR$5:$BR$1005),"")</f>
        <v/>
      </c>
      <c r="V93" s="44" t="str">
        <f>IF(SUMIF('Detailed Budget'!$F$5:$F$1005,$B92,'Detailed Budget'!$BT$5:$BT$1005)&gt;0,SUMIF('Detailed Budget'!$F$5:$F$1005,$B92,'Detailed Budget'!$BT$5:$BT$1005),"")</f>
        <v/>
      </c>
      <c r="W93" s="45" t="str">
        <f>IF(SUMIF('Detailed Budget'!$F$5:$F$1005,$B93,'Detailed Budget'!$BV$5:$BV$1005)&gt;0,SUMIF('Detailed Budget'!$F$5:$F$1005,$B93,'Detailed Budget'!$BV$5:$BV$1005),"")</f>
        <v/>
      </c>
      <c r="X93" s="44" t="str">
        <f t="shared" si="4"/>
        <v/>
      </c>
      <c r="Y93" s="124" t="str">
        <f t="shared" si="3"/>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row>
    <row r="94" spans="1:63" s="35" customFormat="1" ht="15" hidden="1" x14ac:dyDescent="0.25">
      <c r="A94" s="42"/>
      <c r="B94" s="81" t="str">
        <f t="array" ref="B94">IFERROR(INDEX(IntIdList,MATCH(0,COUNTIF(IntIdList,"&lt;"&amp;IntIdList)-SUM(COUNTIF(IntIdList,B$16:B93)),0)),"")</f>
        <v/>
      </c>
      <c r="C94" s="43" t="str">
        <f>IFERROR(INDEX('Data Sheet'!$D$29:$D$174,MATCH(B94,'Data Sheet'!$E$29:$E$174,0)) &amp; " - " &amp; INDEX('Data Sheet'!$C$29:$C$174,MATCH(B94,'Data Sheet'!$E$29:$E$174,0)),"")</f>
        <v/>
      </c>
      <c r="D94" s="44" t="str">
        <f>IF(SUMIF('Detailed Budget'!$F$5:$F$1005,$B94,'Detailed Budget'!$AA$5:$AA$1005)&gt;0,SUMIF('Detailed Budget'!$F$5:$F$1005,$B94,'Detailed Budget'!$AA$5:$AA$1005),"")</f>
        <v/>
      </c>
      <c r="E94" s="44" t="str">
        <f>IF(SUMIF('Detailed Budget'!$F$5:$F$1005,$B94,'Detailed Budget'!$AC$5:$AC$1005)&gt;0,SUMIF('Detailed Budget'!$F$5:$F$1005,$B94,'Detailed Budget'!$AC$5:$AC$1005),"")</f>
        <v/>
      </c>
      <c r="F94" s="44" t="str">
        <f>IF(SUMIF('Detailed Budget'!$F$5:$F$1005,$B94,'Detailed Budget'!$AE$5:$AE$1005)&gt;0,SUMIF('Detailed Budget'!$F$5:$F$1005,$B94,'Detailed Budget'!$AE$5:$AE$1005),"")</f>
        <v/>
      </c>
      <c r="G94" s="44" t="str">
        <f>IF(SUMIF('Detailed Budget'!$F$5:$F$1005,$B94,'Detailed Budget'!$AG$5:$AG$1005)&gt;0,SUMIF('Detailed Budget'!$F$5:$F$1005,$B94,'Detailed Budget'!$AG$5:$AG$1005),"")</f>
        <v/>
      </c>
      <c r="H94" s="45" t="str">
        <f>IF(SUMIF('Detailed Budget'!$F$5:$F$1005,$B94,'Detailed Budget'!$AI$5:$AI$1005)&gt;0,SUMIF('Detailed Budget'!$F$5:$F$1005,$B94,'Detailed Budget'!$AI$5:$AI$1005),"")</f>
        <v/>
      </c>
      <c r="I94" s="44" t="str">
        <f>IF(SUMIF('Detailed Budget'!$F$5:$F$1005,$B94,'Detailed Budget'!$AN$5:$AN$1005)&gt;0,SUMIF('Detailed Budget'!$F$5:$F$1005,$B94,'Detailed Budget'!$AN$5:$AN$1005),"")</f>
        <v/>
      </c>
      <c r="J94" s="44" t="str">
        <f>IF(SUMIF('Detailed Budget'!$F$5:$F$1005,$B94,'Detailed Budget'!$AP$5:$AP$1005)&gt;0,SUMIF('Detailed Budget'!$F$5:$F$1005,$B94,'Detailed Budget'!$AP$5:$AP$1005),"")</f>
        <v/>
      </c>
      <c r="K94" s="44" t="str">
        <f>IF(SUMIF('Detailed Budget'!$F$5:$F$1005,$B94,'Detailed Budget'!$AR$5:$AR$1005)&gt;0,SUMIF('Detailed Budget'!$F$5:$F$1005,$B94,'Detailed Budget'!$AR$5:$AR$1005),"")</f>
        <v/>
      </c>
      <c r="L94" s="44" t="str">
        <f>IF(SUMIF('Detailed Budget'!$F$5:$F$1005,$B94,'Detailed Budget'!$AT$5:$AT$1005)&gt;0,SUMIF('Detailed Budget'!$F$5:$F$1005,$B94,'Detailed Budget'!$AT$5:$AT$1005),"")</f>
        <v/>
      </c>
      <c r="M94" s="45" t="str">
        <f>IF(SUMIF('Detailed Budget'!$F$5:$F$1005,$B94,'Detailed Budget'!$AV$5:$AV$1005)&gt;0,SUMIF('Detailed Budget'!$F$5:$F$1005,$B94,'Detailed Budget'!$AV$5:$AV$1005),"")</f>
        <v/>
      </c>
      <c r="N94" s="44" t="str">
        <f>IF(SUMIF('Detailed Budget'!$F$5:$F$1005,$B94,'Detailed Budget'!$BA$5:$BA$1005)&gt;0,SUMIF('Detailed Budget'!$F$5:$F$1005,$B94,'Detailed Budget'!$BA$5:$BA$1005),"")</f>
        <v/>
      </c>
      <c r="O94" s="44" t="str">
        <f>IF(SUMIF('Detailed Budget'!$F$5:$F$1005,$B94,'Detailed Budget'!$BC$5:$BC$1005)&gt;0,SUMIF('Detailed Budget'!$F$5:$F$1005,$B94,'Detailed Budget'!$BC$5:$BC$1005),"")</f>
        <v/>
      </c>
      <c r="P94" s="44" t="str">
        <f>IF(SUMIF('Detailed Budget'!$F$5:$F$1005,$B94,'Detailed Budget'!$BE$5:$BE$1005)&gt;0,SUMIF('Detailed Budget'!$F$5:$F$1005,$B94,'Detailed Budget'!$BE$5:$BE$1005),"")</f>
        <v/>
      </c>
      <c r="Q94" s="44" t="str">
        <f>IF(SUMIF('Detailed Budget'!$F$5:$F$1005,$B94,'Detailed Budget'!$BG$5:$BG$1005)&gt;0,SUMIF('Detailed Budget'!$F$5:$F$1005,$B94,'Detailed Budget'!$BG$5:$BG$1005),"")</f>
        <v/>
      </c>
      <c r="R94" s="45" t="str">
        <f>IF(SUMIF('Detailed Budget'!$F$5:$F$1005,$B94,'Detailed Budget'!$BI$5:$BI$1005)&gt;0,SUMIF('Detailed Budget'!$F$5:$F$1005,$B94,'Detailed Budget'!$BI$5:$BI$1005),"")</f>
        <v/>
      </c>
      <c r="S94" s="44" t="str">
        <f>IF(SUMIF('Detailed Budget'!$F$5:$F$1005,$B94,'Detailed Budget'!$BN$5:$BN$1005)&gt;0,SUMIF('Detailed Budget'!$F$5:$F$1005,$B94,'Detailed Budget'!$BN$5:$BN$1005),"")</f>
        <v/>
      </c>
      <c r="T94" s="44" t="str">
        <f>IF(SUMIF('Detailed Budget'!$F$5:$F$1005,$B94,'Detailed Budget'!$BP$5:$BP$1005)&gt;0,SUMIF('Detailed Budget'!$F$5:$F$1005,$B94,'Detailed Budget'!$BP$5:$BP$1005),"")</f>
        <v/>
      </c>
      <c r="U94" s="44" t="str">
        <f>IF(SUMIF('Detailed Budget'!$F$5:$F$1005,$B94,'Detailed Budget'!$BR$5:$BR$1005)&gt;0,SUMIF('Detailed Budget'!$F$5:$F$1005,$B94,'Detailed Budget'!$BR$5:$BR$1005),"")</f>
        <v/>
      </c>
      <c r="V94" s="44" t="str">
        <f>IF(SUMIF('Detailed Budget'!$F$5:$F$1005,$B93,'Detailed Budget'!$BT$5:$BT$1005)&gt;0,SUMIF('Detailed Budget'!$F$5:$F$1005,$B93,'Detailed Budget'!$BT$5:$BT$1005),"")</f>
        <v/>
      </c>
      <c r="W94" s="45" t="str">
        <f>IF(SUMIF('Detailed Budget'!$F$5:$F$1005,$B94,'Detailed Budget'!$BV$5:$BV$1005)&gt;0,SUMIF('Detailed Budget'!$F$5:$F$1005,$B94,'Detailed Budget'!$BV$5:$BV$1005),"")</f>
        <v/>
      </c>
      <c r="X94" s="44" t="str">
        <f t="shared" si="4"/>
        <v/>
      </c>
      <c r="Y94" s="124" t="str">
        <f t="shared" si="3"/>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row>
    <row r="95" spans="1:63" s="35" customFormat="1" ht="15" hidden="1" x14ac:dyDescent="0.25">
      <c r="A95" s="42"/>
      <c r="B95" s="81" t="str">
        <f t="array" ref="B95">IFERROR(INDEX(IntIdList,MATCH(0,COUNTIF(IntIdList,"&lt;"&amp;IntIdList)-SUM(COUNTIF(IntIdList,B$16:B94)),0)),"")</f>
        <v/>
      </c>
      <c r="C95" s="43" t="str">
        <f>IFERROR(INDEX('Data Sheet'!$D$29:$D$174,MATCH(B95,'Data Sheet'!$E$29:$E$174,0)) &amp; " - " &amp; INDEX('Data Sheet'!$C$29:$C$174,MATCH(B95,'Data Sheet'!$E$29:$E$174,0)),"")</f>
        <v/>
      </c>
      <c r="D95" s="44" t="str">
        <f>IF(SUMIF('Detailed Budget'!$F$5:$F$1005,$B95,'Detailed Budget'!$AA$5:$AA$1005)&gt;0,SUMIF('Detailed Budget'!$F$5:$F$1005,$B95,'Detailed Budget'!$AA$5:$AA$1005),"")</f>
        <v/>
      </c>
      <c r="E95" s="44" t="str">
        <f>IF(SUMIF('Detailed Budget'!$F$5:$F$1005,$B95,'Detailed Budget'!$AC$5:$AC$1005)&gt;0,SUMIF('Detailed Budget'!$F$5:$F$1005,$B95,'Detailed Budget'!$AC$5:$AC$1005),"")</f>
        <v/>
      </c>
      <c r="F95" s="44" t="str">
        <f>IF(SUMIF('Detailed Budget'!$F$5:$F$1005,$B95,'Detailed Budget'!$AE$5:$AE$1005)&gt;0,SUMIF('Detailed Budget'!$F$5:$F$1005,$B95,'Detailed Budget'!$AE$5:$AE$1005),"")</f>
        <v/>
      </c>
      <c r="G95" s="44" t="str">
        <f>IF(SUMIF('Detailed Budget'!$F$5:$F$1005,$B95,'Detailed Budget'!$AG$5:$AG$1005)&gt;0,SUMIF('Detailed Budget'!$F$5:$F$1005,$B95,'Detailed Budget'!$AG$5:$AG$1005),"")</f>
        <v/>
      </c>
      <c r="H95" s="45" t="str">
        <f>IF(SUMIF('Detailed Budget'!$F$5:$F$1005,$B95,'Detailed Budget'!$AI$5:$AI$1005)&gt;0,SUMIF('Detailed Budget'!$F$5:$F$1005,$B95,'Detailed Budget'!$AI$5:$AI$1005),"")</f>
        <v/>
      </c>
      <c r="I95" s="44" t="str">
        <f>IF(SUMIF('Detailed Budget'!$F$5:$F$1005,$B95,'Detailed Budget'!$AN$5:$AN$1005)&gt;0,SUMIF('Detailed Budget'!$F$5:$F$1005,$B95,'Detailed Budget'!$AN$5:$AN$1005),"")</f>
        <v/>
      </c>
      <c r="J95" s="44" t="str">
        <f>IF(SUMIF('Detailed Budget'!$F$5:$F$1005,$B95,'Detailed Budget'!$AP$5:$AP$1005)&gt;0,SUMIF('Detailed Budget'!$F$5:$F$1005,$B95,'Detailed Budget'!$AP$5:$AP$1005),"")</f>
        <v/>
      </c>
      <c r="K95" s="44" t="str">
        <f>IF(SUMIF('Detailed Budget'!$F$5:$F$1005,$B95,'Detailed Budget'!$AR$5:$AR$1005)&gt;0,SUMIF('Detailed Budget'!$F$5:$F$1005,$B95,'Detailed Budget'!$AR$5:$AR$1005),"")</f>
        <v/>
      </c>
      <c r="L95" s="44" t="str">
        <f>IF(SUMIF('Detailed Budget'!$F$5:$F$1005,$B95,'Detailed Budget'!$AT$5:$AT$1005)&gt;0,SUMIF('Detailed Budget'!$F$5:$F$1005,$B95,'Detailed Budget'!$AT$5:$AT$1005),"")</f>
        <v/>
      </c>
      <c r="M95" s="45" t="str">
        <f>IF(SUMIF('Detailed Budget'!$F$5:$F$1005,$B95,'Detailed Budget'!$AV$5:$AV$1005)&gt;0,SUMIF('Detailed Budget'!$F$5:$F$1005,$B95,'Detailed Budget'!$AV$5:$AV$1005),"")</f>
        <v/>
      </c>
      <c r="N95" s="44" t="str">
        <f>IF(SUMIF('Detailed Budget'!$F$5:$F$1005,$B95,'Detailed Budget'!$BA$5:$BA$1005)&gt;0,SUMIF('Detailed Budget'!$F$5:$F$1005,$B95,'Detailed Budget'!$BA$5:$BA$1005),"")</f>
        <v/>
      </c>
      <c r="O95" s="44" t="str">
        <f>IF(SUMIF('Detailed Budget'!$F$5:$F$1005,$B95,'Detailed Budget'!$BC$5:$BC$1005)&gt;0,SUMIF('Detailed Budget'!$F$5:$F$1005,$B95,'Detailed Budget'!$BC$5:$BC$1005),"")</f>
        <v/>
      </c>
      <c r="P95" s="44" t="str">
        <f>IF(SUMIF('Detailed Budget'!$F$5:$F$1005,$B95,'Detailed Budget'!$BE$5:$BE$1005)&gt;0,SUMIF('Detailed Budget'!$F$5:$F$1005,$B95,'Detailed Budget'!$BE$5:$BE$1005),"")</f>
        <v/>
      </c>
      <c r="Q95" s="44" t="str">
        <f>IF(SUMIF('Detailed Budget'!$F$5:$F$1005,$B95,'Detailed Budget'!$BG$5:$BG$1005)&gt;0,SUMIF('Detailed Budget'!$F$5:$F$1005,$B95,'Detailed Budget'!$BG$5:$BG$1005),"")</f>
        <v/>
      </c>
      <c r="R95" s="45" t="str">
        <f>IF(SUMIF('Detailed Budget'!$F$5:$F$1005,$B95,'Detailed Budget'!$BI$5:$BI$1005)&gt;0,SUMIF('Detailed Budget'!$F$5:$F$1005,$B95,'Detailed Budget'!$BI$5:$BI$1005),"")</f>
        <v/>
      </c>
      <c r="S95" s="44" t="str">
        <f>IF(SUMIF('Detailed Budget'!$F$5:$F$1005,$B95,'Detailed Budget'!$BN$5:$BN$1005)&gt;0,SUMIF('Detailed Budget'!$F$5:$F$1005,$B95,'Detailed Budget'!$BN$5:$BN$1005),"")</f>
        <v/>
      </c>
      <c r="T95" s="44" t="str">
        <f>IF(SUMIF('Detailed Budget'!$F$5:$F$1005,$B95,'Detailed Budget'!$BP$5:$BP$1005)&gt;0,SUMIF('Detailed Budget'!$F$5:$F$1005,$B95,'Detailed Budget'!$BP$5:$BP$1005),"")</f>
        <v/>
      </c>
      <c r="U95" s="44" t="str">
        <f>IF(SUMIF('Detailed Budget'!$F$5:$F$1005,$B95,'Detailed Budget'!$BR$5:$BR$1005)&gt;0,SUMIF('Detailed Budget'!$F$5:$F$1005,$B95,'Detailed Budget'!$BR$5:$BR$1005),"")</f>
        <v/>
      </c>
      <c r="V95" s="44" t="str">
        <f>IF(SUMIF('Detailed Budget'!$F$5:$F$1005,$B94,'Detailed Budget'!$BT$5:$BT$1005)&gt;0,SUMIF('Detailed Budget'!$F$5:$F$1005,$B94,'Detailed Budget'!$BT$5:$BT$1005),"")</f>
        <v/>
      </c>
      <c r="W95" s="45" t="str">
        <f>IF(SUMIF('Detailed Budget'!$F$5:$F$1005,$B95,'Detailed Budget'!$BV$5:$BV$1005)&gt;0,SUMIF('Detailed Budget'!$F$5:$F$1005,$B95,'Detailed Budget'!$BV$5:$BV$1005),"")</f>
        <v/>
      </c>
      <c r="X95" s="44" t="str">
        <f t="shared" si="4"/>
        <v/>
      </c>
      <c r="Y95" s="124" t="str">
        <f t="shared" si="3"/>
        <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row>
    <row r="96" spans="1:63" s="35" customFormat="1" ht="15" hidden="1" x14ac:dyDescent="0.25">
      <c r="A96" s="42"/>
      <c r="B96" s="81" t="str">
        <f t="array" ref="B96">IFERROR(INDEX(IntIdList,MATCH(0,COUNTIF(IntIdList,"&lt;"&amp;IntIdList)-SUM(COUNTIF(IntIdList,B$16:B95)),0)),"")</f>
        <v/>
      </c>
      <c r="C96" s="43" t="str">
        <f>IFERROR(INDEX('Data Sheet'!$D$29:$D$174,MATCH(B96,'Data Sheet'!$E$29:$E$174,0)) &amp; " - " &amp; INDEX('Data Sheet'!$C$29:$C$174,MATCH(B96,'Data Sheet'!$E$29:$E$174,0)),"")</f>
        <v/>
      </c>
      <c r="D96" s="44" t="str">
        <f>IF(SUMIF('Detailed Budget'!$F$5:$F$1005,$B96,'Detailed Budget'!$AA$5:$AA$1005)&gt;0,SUMIF('Detailed Budget'!$F$5:$F$1005,$B96,'Detailed Budget'!$AA$5:$AA$1005),"")</f>
        <v/>
      </c>
      <c r="E96" s="44" t="str">
        <f>IF(SUMIF('Detailed Budget'!$F$5:$F$1005,$B96,'Detailed Budget'!$AC$5:$AC$1005)&gt;0,SUMIF('Detailed Budget'!$F$5:$F$1005,$B96,'Detailed Budget'!$AC$5:$AC$1005),"")</f>
        <v/>
      </c>
      <c r="F96" s="44" t="str">
        <f>IF(SUMIF('Detailed Budget'!$F$5:$F$1005,$B96,'Detailed Budget'!$AE$5:$AE$1005)&gt;0,SUMIF('Detailed Budget'!$F$5:$F$1005,$B96,'Detailed Budget'!$AE$5:$AE$1005),"")</f>
        <v/>
      </c>
      <c r="G96" s="44" t="str">
        <f>IF(SUMIF('Detailed Budget'!$F$5:$F$1005,$B96,'Detailed Budget'!$AG$5:$AG$1005)&gt;0,SUMIF('Detailed Budget'!$F$5:$F$1005,$B96,'Detailed Budget'!$AG$5:$AG$1005),"")</f>
        <v/>
      </c>
      <c r="H96" s="45" t="str">
        <f>IF(SUMIF('Detailed Budget'!$F$5:$F$1005,$B96,'Detailed Budget'!$AI$5:$AI$1005)&gt;0,SUMIF('Detailed Budget'!$F$5:$F$1005,$B96,'Detailed Budget'!$AI$5:$AI$1005),"")</f>
        <v/>
      </c>
      <c r="I96" s="44" t="str">
        <f>IF(SUMIF('Detailed Budget'!$F$5:$F$1005,$B96,'Detailed Budget'!$AN$5:$AN$1005)&gt;0,SUMIF('Detailed Budget'!$F$5:$F$1005,$B96,'Detailed Budget'!$AN$5:$AN$1005),"")</f>
        <v/>
      </c>
      <c r="J96" s="44" t="str">
        <f>IF(SUMIF('Detailed Budget'!$F$5:$F$1005,$B96,'Detailed Budget'!$AP$5:$AP$1005)&gt;0,SUMIF('Detailed Budget'!$F$5:$F$1005,$B96,'Detailed Budget'!$AP$5:$AP$1005),"")</f>
        <v/>
      </c>
      <c r="K96" s="44" t="str">
        <f>IF(SUMIF('Detailed Budget'!$F$5:$F$1005,$B96,'Detailed Budget'!$AR$5:$AR$1005)&gt;0,SUMIF('Detailed Budget'!$F$5:$F$1005,$B96,'Detailed Budget'!$AR$5:$AR$1005),"")</f>
        <v/>
      </c>
      <c r="L96" s="44" t="str">
        <f>IF(SUMIF('Detailed Budget'!$F$5:$F$1005,$B96,'Detailed Budget'!$AT$5:$AT$1005)&gt;0,SUMIF('Detailed Budget'!$F$5:$F$1005,$B96,'Detailed Budget'!$AT$5:$AT$1005),"")</f>
        <v/>
      </c>
      <c r="M96" s="45" t="str">
        <f>IF(SUMIF('Detailed Budget'!$F$5:$F$1005,$B96,'Detailed Budget'!$AV$5:$AV$1005)&gt;0,SUMIF('Detailed Budget'!$F$5:$F$1005,$B96,'Detailed Budget'!$AV$5:$AV$1005),"")</f>
        <v/>
      </c>
      <c r="N96" s="44" t="str">
        <f>IF(SUMIF('Detailed Budget'!$F$5:$F$1005,$B96,'Detailed Budget'!$BA$5:$BA$1005)&gt;0,SUMIF('Detailed Budget'!$F$5:$F$1005,$B96,'Detailed Budget'!$BA$5:$BA$1005),"")</f>
        <v/>
      </c>
      <c r="O96" s="44" t="str">
        <f>IF(SUMIF('Detailed Budget'!$F$5:$F$1005,$B96,'Detailed Budget'!$BC$5:$BC$1005)&gt;0,SUMIF('Detailed Budget'!$F$5:$F$1005,$B96,'Detailed Budget'!$BC$5:$BC$1005),"")</f>
        <v/>
      </c>
      <c r="P96" s="44" t="str">
        <f>IF(SUMIF('Detailed Budget'!$F$5:$F$1005,$B96,'Detailed Budget'!$BE$5:$BE$1005)&gt;0,SUMIF('Detailed Budget'!$F$5:$F$1005,$B96,'Detailed Budget'!$BE$5:$BE$1005),"")</f>
        <v/>
      </c>
      <c r="Q96" s="44" t="str">
        <f>IF(SUMIF('Detailed Budget'!$F$5:$F$1005,$B96,'Detailed Budget'!$BG$5:$BG$1005)&gt;0,SUMIF('Detailed Budget'!$F$5:$F$1005,$B96,'Detailed Budget'!$BG$5:$BG$1005),"")</f>
        <v/>
      </c>
      <c r="R96" s="45" t="str">
        <f>IF(SUMIF('Detailed Budget'!$F$5:$F$1005,$B96,'Detailed Budget'!$BI$5:$BI$1005)&gt;0,SUMIF('Detailed Budget'!$F$5:$F$1005,$B96,'Detailed Budget'!$BI$5:$BI$1005),"")</f>
        <v/>
      </c>
      <c r="S96" s="44" t="str">
        <f>IF(SUMIF('Detailed Budget'!$F$5:$F$1005,$B96,'Detailed Budget'!$BN$5:$BN$1005)&gt;0,SUMIF('Detailed Budget'!$F$5:$F$1005,$B96,'Detailed Budget'!$BN$5:$BN$1005),"")</f>
        <v/>
      </c>
      <c r="T96" s="44" t="str">
        <f>IF(SUMIF('Detailed Budget'!$F$5:$F$1005,$B96,'Detailed Budget'!$BP$5:$BP$1005)&gt;0,SUMIF('Detailed Budget'!$F$5:$F$1005,$B96,'Detailed Budget'!$BP$5:$BP$1005),"")</f>
        <v/>
      </c>
      <c r="U96" s="44" t="str">
        <f>IF(SUMIF('Detailed Budget'!$F$5:$F$1005,$B96,'Detailed Budget'!$BR$5:$BR$1005)&gt;0,SUMIF('Detailed Budget'!$F$5:$F$1005,$B96,'Detailed Budget'!$BR$5:$BR$1005),"")</f>
        <v/>
      </c>
      <c r="V96" s="44" t="str">
        <f>IF(SUMIF('Detailed Budget'!$F$5:$F$1005,$B95,'Detailed Budget'!$BT$5:$BT$1005)&gt;0,SUMIF('Detailed Budget'!$F$5:$F$1005,$B95,'Detailed Budget'!$BT$5:$BT$1005),"")</f>
        <v/>
      </c>
      <c r="W96" s="45" t="str">
        <f>IF(SUMIF('Detailed Budget'!$F$5:$F$1005,$B96,'Detailed Budget'!$BV$5:$BV$1005)&gt;0,SUMIF('Detailed Budget'!$F$5:$F$1005,$B96,'Detailed Budget'!$BV$5:$BV$1005),"")</f>
        <v/>
      </c>
      <c r="X96" s="44" t="str">
        <f t="shared" si="4"/>
        <v/>
      </c>
      <c r="Y96" s="124" t="str">
        <f t="shared" si="3"/>
        <v/>
      </c>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row>
    <row r="97" spans="1:63" s="35" customFormat="1" ht="15" hidden="1" x14ac:dyDescent="0.25">
      <c r="A97" s="42"/>
      <c r="B97" s="81" t="str">
        <f t="array" ref="B97">IFERROR(INDEX(IntIdList,MATCH(0,COUNTIF(IntIdList,"&lt;"&amp;IntIdList)-SUM(COUNTIF(IntIdList,B$16:B96)),0)),"")</f>
        <v/>
      </c>
      <c r="C97" s="43" t="str">
        <f>IFERROR(INDEX('Data Sheet'!$D$29:$D$174,MATCH(B97,'Data Sheet'!$E$29:$E$174,0)) &amp; " - " &amp; INDEX('Data Sheet'!$C$29:$C$174,MATCH(B97,'Data Sheet'!$E$29:$E$174,0)),"")</f>
        <v/>
      </c>
      <c r="D97" s="44" t="str">
        <f>IF(SUMIF('Detailed Budget'!$F$5:$F$1005,$B97,'Detailed Budget'!$AA$5:$AA$1005)&gt;0,SUMIF('Detailed Budget'!$F$5:$F$1005,$B97,'Detailed Budget'!$AA$5:$AA$1005),"")</f>
        <v/>
      </c>
      <c r="E97" s="44" t="str">
        <f>IF(SUMIF('Detailed Budget'!$F$5:$F$1005,$B97,'Detailed Budget'!$AC$5:$AC$1005)&gt;0,SUMIF('Detailed Budget'!$F$5:$F$1005,$B97,'Detailed Budget'!$AC$5:$AC$1005),"")</f>
        <v/>
      </c>
      <c r="F97" s="44" t="str">
        <f>IF(SUMIF('Detailed Budget'!$F$5:$F$1005,$B97,'Detailed Budget'!$AE$5:$AE$1005)&gt;0,SUMIF('Detailed Budget'!$F$5:$F$1005,$B97,'Detailed Budget'!$AE$5:$AE$1005),"")</f>
        <v/>
      </c>
      <c r="G97" s="44" t="str">
        <f>IF(SUMIF('Detailed Budget'!$F$5:$F$1005,$B97,'Detailed Budget'!$AG$5:$AG$1005)&gt;0,SUMIF('Detailed Budget'!$F$5:$F$1005,$B97,'Detailed Budget'!$AG$5:$AG$1005),"")</f>
        <v/>
      </c>
      <c r="H97" s="45" t="str">
        <f>IF(SUMIF('Detailed Budget'!$F$5:$F$1005,$B97,'Detailed Budget'!$AI$5:$AI$1005)&gt;0,SUMIF('Detailed Budget'!$F$5:$F$1005,$B97,'Detailed Budget'!$AI$5:$AI$1005),"")</f>
        <v/>
      </c>
      <c r="I97" s="44" t="str">
        <f>IF(SUMIF('Detailed Budget'!$F$5:$F$1005,$B97,'Detailed Budget'!$AN$5:$AN$1005)&gt;0,SUMIF('Detailed Budget'!$F$5:$F$1005,$B97,'Detailed Budget'!$AN$5:$AN$1005),"")</f>
        <v/>
      </c>
      <c r="J97" s="44" t="str">
        <f>IF(SUMIF('Detailed Budget'!$F$5:$F$1005,$B97,'Detailed Budget'!$AP$5:$AP$1005)&gt;0,SUMIF('Detailed Budget'!$F$5:$F$1005,$B97,'Detailed Budget'!$AP$5:$AP$1005),"")</f>
        <v/>
      </c>
      <c r="K97" s="44" t="str">
        <f>IF(SUMIF('Detailed Budget'!$F$5:$F$1005,$B97,'Detailed Budget'!$AR$5:$AR$1005)&gt;0,SUMIF('Detailed Budget'!$F$5:$F$1005,$B97,'Detailed Budget'!$AR$5:$AR$1005),"")</f>
        <v/>
      </c>
      <c r="L97" s="44" t="str">
        <f>IF(SUMIF('Detailed Budget'!$F$5:$F$1005,$B97,'Detailed Budget'!$AT$5:$AT$1005)&gt;0,SUMIF('Detailed Budget'!$F$5:$F$1005,$B97,'Detailed Budget'!$AT$5:$AT$1005),"")</f>
        <v/>
      </c>
      <c r="M97" s="45" t="str">
        <f>IF(SUMIF('Detailed Budget'!$F$5:$F$1005,$B97,'Detailed Budget'!$AV$5:$AV$1005)&gt;0,SUMIF('Detailed Budget'!$F$5:$F$1005,$B97,'Detailed Budget'!$AV$5:$AV$1005),"")</f>
        <v/>
      </c>
      <c r="N97" s="44" t="str">
        <f>IF(SUMIF('Detailed Budget'!$F$5:$F$1005,$B97,'Detailed Budget'!$BA$5:$BA$1005)&gt;0,SUMIF('Detailed Budget'!$F$5:$F$1005,$B97,'Detailed Budget'!$BA$5:$BA$1005),"")</f>
        <v/>
      </c>
      <c r="O97" s="44" t="str">
        <f>IF(SUMIF('Detailed Budget'!$F$5:$F$1005,$B97,'Detailed Budget'!$BC$5:$BC$1005)&gt;0,SUMIF('Detailed Budget'!$F$5:$F$1005,$B97,'Detailed Budget'!$BC$5:$BC$1005),"")</f>
        <v/>
      </c>
      <c r="P97" s="44" t="str">
        <f>IF(SUMIF('Detailed Budget'!$F$5:$F$1005,$B97,'Detailed Budget'!$BE$5:$BE$1005)&gt;0,SUMIF('Detailed Budget'!$F$5:$F$1005,$B97,'Detailed Budget'!$BE$5:$BE$1005),"")</f>
        <v/>
      </c>
      <c r="Q97" s="44" t="str">
        <f>IF(SUMIF('Detailed Budget'!$F$5:$F$1005,$B97,'Detailed Budget'!$BG$5:$BG$1005)&gt;0,SUMIF('Detailed Budget'!$F$5:$F$1005,$B97,'Detailed Budget'!$BG$5:$BG$1005),"")</f>
        <v/>
      </c>
      <c r="R97" s="45" t="str">
        <f>IF(SUMIF('Detailed Budget'!$F$5:$F$1005,$B97,'Detailed Budget'!$BI$5:$BI$1005)&gt;0,SUMIF('Detailed Budget'!$F$5:$F$1005,$B97,'Detailed Budget'!$BI$5:$BI$1005),"")</f>
        <v/>
      </c>
      <c r="S97" s="44" t="str">
        <f>IF(SUMIF('Detailed Budget'!$F$5:$F$1005,$B97,'Detailed Budget'!$BN$5:$BN$1005)&gt;0,SUMIF('Detailed Budget'!$F$5:$F$1005,$B97,'Detailed Budget'!$BN$5:$BN$1005),"")</f>
        <v/>
      </c>
      <c r="T97" s="44" t="str">
        <f>IF(SUMIF('Detailed Budget'!$F$5:$F$1005,$B97,'Detailed Budget'!$BP$5:$BP$1005)&gt;0,SUMIF('Detailed Budget'!$F$5:$F$1005,$B97,'Detailed Budget'!$BP$5:$BP$1005),"")</f>
        <v/>
      </c>
      <c r="U97" s="44" t="str">
        <f>IF(SUMIF('Detailed Budget'!$F$5:$F$1005,$B97,'Detailed Budget'!$BR$5:$BR$1005)&gt;0,SUMIF('Detailed Budget'!$F$5:$F$1005,$B97,'Detailed Budget'!$BR$5:$BR$1005),"")</f>
        <v/>
      </c>
      <c r="V97" s="44" t="str">
        <f>IF(SUMIF('Detailed Budget'!$F$5:$F$1005,$B96,'Detailed Budget'!$BT$5:$BT$1005)&gt;0,SUMIF('Detailed Budget'!$F$5:$F$1005,$B96,'Detailed Budget'!$BT$5:$BT$1005),"")</f>
        <v/>
      </c>
      <c r="W97" s="45" t="str">
        <f>IF(SUMIF('Detailed Budget'!$F$5:$F$1005,$B97,'Detailed Budget'!$BV$5:$BV$1005)&gt;0,SUMIF('Detailed Budget'!$F$5:$F$1005,$B97,'Detailed Budget'!$BV$5:$BV$1005),"")</f>
        <v/>
      </c>
      <c r="X97" s="44" t="str">
        <f t="shared" si="4"/>
        <v/>
      </c>
      <c r="Y97" s="124" t="str">
        <f t="shared" si="3"/>
        <v/>
      </c>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row>
    <row r="98" spans="1:63" s="35" customFormat="1" ht="15" hidden="1" x14ac:dyDescent="0.25">
      <c r="A98" s="42"/>
      <c r="B98" s="81" t="str">
        <f t="array" ref="B98">IFERROR(INDEX(IntIdList,MATCH(0,COUNTIF(IntIdList,"&lt;"&amp;IntIdList)-SUM(COUNTIF(IntIdList,B$16:B97)),0)),"")</f>
        <v/>
      </c>
      <c r="C98" s="43" t="str">
        <f>IFERROR(INDEX('Data Sheet'!$D$29:$D$174,MATCH(B98,'Data Sheet'!$E$29:$E$174,0)) &amp; " - " &amp; INDEX('Data Sheet'!$C$29:$C$174,MATCH(B98,'Data Sheet'!$E$29:$E$174,0)),"")</f>
        <v/>
      </c>
      <c r="D98" s="44" t="str">
        <f>IF(SUMIF('Detailed Budget'!$F$5:$F$1005,$B98,'Detailed Budget'!$AA$5:$AA$1005)&gt;0,SUMIF('Detailed Budget'!$F$5:$F$1005,$B98,'Detailed Budget'!$AA$5:$AA$1005),"")</f>
        <v/>
      </c>
      <c r="E98" s="44" t="str">
        <f>IF(SUMIF('Detailed Budget'!$F$5:$F$1005,$B98,'Detailed Budget'!$AC$5:$AC$1005)&gt;0,SUMIF('Detailed Budget'!$F$5:$F$1005,$B98,'Detailed Budget'!$AC$5:$AC$1005),"")</f>
        <v/>
      </c>
      <c r="F98" s="44" t="str">
        <f>IF(SUMIF('Detailed Budget'!$F$5:$F$1005,$B98,'Detailed Budget'!$AE$5:$AE$1005)&gt;0,SUMIF('Detailed Budget'!$F$5:$F$1005,$B98,'Detailed Budget'!$AE$5:$AE$1005),"")</f>
        <v/>
      </c>
      <c r="G98" s="44" t="str">
        <f>IF(SUMIF('Detailed Budget'!$F$5:$F$1005,$B98,'Detailed Budget'!$AG$5:$AG$1005)&gt;0,SUMIF('Detailed Budget'!$F$5:$F$1005,$B98,'Detailed Budget'!$AG$5:$AG$1005),"")</f>
        <v/>
      </c>
      <c r="H98" s="45" t="str">
        <f>IF(SUMIF('Detailed Budget'!$F$5:$F$1005,$B98,'Detailed Budget'!$AI$5:$AI$1005)&gt;0,SUMIF('Detailed Budget'!$F$5:$F$1005,$B98,'Detailed Budget'!$AI$5:$AI$1005),"")</f>
        <v/>
      </c>
      <c r="I98" s="44" t="str">
        <f>IF(SUMIF('Detailed Budget'!$F$5:$F$1005,$B98,'Detailed Budget'!$AN$5:$AN$1005)&gt;0,SUMIF('Detailed Budget'!$F$5:$F$1005,$B98,'Detailed Budget'!$AN$5:$AN$1005),"")</f>
        <v/>
      </c>
      <c r="J98" s="44" t="str">
        <f>IF(SUMIF('Detailed Budget'!$F$5:$F$1005,$B98,'Detailed Budget'!$AP$5:$AP$1005)&gt;0,SUMIF('Detailed Budget'!$F$5:$F$1005,$B98,'Detailed Budget'!$AP$5:$AP$1005),"")</f>
        <v/>
      </c>
      <c r="K98" s="44" t="str">
        <f>IF(SUMIF('Detailed Budget'!$F$5:$F$1005,$B98,'Detailed Budget'!$AR$5:$AR$1005)&gt;0,SUMIF('Detailed Budget'!$F$5:$F$1005,$B98,'Detailed Budget'!$AR$5:$AR$1005),"")</f>
        <v/>
      </c>
      <c r="L98" s="44" t="str">
        <f>IF(SUMIF('Detailed Budget'!$F$5:$F$1005,$B98,'Detailed Budget'!$AT$5:$AT$1005)&gt;0,SUMIF('Detailed Budget'!$F$5:$F$1005,$B98,'Detailed Budget'!$AT$5:$AT$1005),"")</f>
        <v/>
      </c>
      <c r="M98" s="45" t="str">
        <f>IF(SUMIF('Detailed Budget'!$F$5:$F$1005,$B98,'Detailed Budget'!$AV$5:$AV$1005)&gt;0,SUMIF('Detailed Budget'!$F$5:$F$1005,$B98,'Detailed Budget'!$AV$5:$AV$1005),"")</f>
        <v/>
      </c>
      <c r="N98" s="44" t="str">
        <f>IF(SUMIF('Detailed Budget'!$F$5:$F$1005,$B98,'Detailed Budget'!$BA$5:$BA$1005)&gt;0,SUMIF('Detailed Budget'!$F$5:$F$1005,$B98,'Detailed Budget'!$BA$5:$BA$1005),"")</f>
        <v/>
      </c>
      <c r="O98" s="44" t="str">
        <f>IF(SUMIF('Detailed Budget'!$F$5:$F$1005,$B98,'Detailed Budget'!$BC$5:$BC$1005)&gt;0,SUMIF('Detailed Budget'!$F$5:$F$1005,$B98,'Detailed Budget'!$BC$5:$BC$1005),"")</f>
        <v/>
      </c>
      <c r="P98" s="44" t="str">
        <f>IF(SUMIF('Detailed Budget'!$F$5:$F$1005,$B98,'Detailed Budget'!$BE$5:$BE$1005)&gt;0,SUMIF('Detailed Budget'!$F$5:$F$1005,$B98,'Detailed Budget'!$BE$5:$BE$1005),"")</f>
        <v/>
      </c>
      <c r="Q98" s="44" t="str">
        <f>IF(SUMIF('Detailed Budget'!$F$5:$F$1005,$B98,'Detailed Budget'!$BG$5:$BG$1005)&gt;0,SUMIF('Detailed Budget'!$F$5:$F$1005,$B98,'Detailed Budget'!$BG$5:$BG$1005),"")</f>
        <v/>
      </c>
      <c r="R98" s="45" t="str">
        <f>IF(SUMIF('Detailed Budget'!$F$5:$F$1005,$B98,'Detailed Budget'!$BI$5:$BI$1005)&gt;0,SUMIF('Detailed Budget'!$F$5:$F$1005,$B98,'Detailed Budget'!$BI$5:$BI$1005),"")</f>
        <v/>
      </c>
      <c r="S98" s="44" t="str">
        <f>IF(SUMIF('Detailed Budget'!$F$5:$F$1005,$B98,'Detailed Budget'!$BN$5:$BN$1005)&gt;0,SUMIF('Detailed Budget'!$F$5:$F$1005,$B98,'Detailed Budget'!$BN$5:$BN$1005),"")</f>
        <v/>
      </c>
      <c r="T98" s="44" t="str">
        <f>IF(SUMIF('Detailed Budget'!$F$5:$F$1005,$B98,'Detailed Budget'!$BP$5:$BP$1005)&gt;0,SUMIF('Detailed Budget'!$F$5:$F$1005,$B98,'Detailed Budget'!$BP$5:$BP$1005),"")</f>
        <v/>
      </c>
      <c r="U98" s="44" t="str">
        <f>IF(SUMIF('Detailed Budget'!$F$5:$F$1005,$B98,'Detailed Budget'!$BR$5:$BR$1005)&gt;0,SUMIF('Detailed Budget'!$F$5:$F$1005,$B98,'Detailed Budget'!$BR$5:$BR$1005),"")</f>
        <v/>
      </c>
      <c r="V98" s="44" t="str">
        <f>IF(SUMIF('Detailed Budget'!$F$5:$F$1005,$B97,'Detailed Budget'!$BT$5:$BT$1005)&gt;0,SUMIF('Detailed Budget'!$F$5:$F$1005,$B97,'Detailed Budget'!$BT$5:$BT$1005),"")</f>
        <v/>
      </c>
      <c r="W98" s="45" t="str">
        <f>IF(SUMIF('Detailed Budget'!$F$5:$F$1005,$B98,'Detailed Budget'!$BV$5:$BV$1005)&gt;0,SUMIF('Detailed Budget'!$F$5:$F$1005,$B98,'Detailed Budget'!$BV$5:$BV$1005),"")</f>
        <v/>
      </c>
      <c r="X98" s="44" t="str">
        <f t="shared" si="4"/>
        <v/>
      </c>
      <c r="Y98" s="124" t="str">
        <f t="shared" si="3"/>
        <v/>
      </c>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row>
    <row r="99" spans="1:63" s="35" customFormat="1" ht="15" hidden="1" x14ac:dyDescent="0.25">
      <c r="A99" s="42"/>
      <c r="B99" s="81" t="str">
        <f t="array" ref="B99">IFERROR(INDEX(IntIdList,MATCH(0,COUNTIF(IntIdList,"&lt;"&amp;IntIdList)-SUM(COUNTIF(IntIdList,B$16:B98)),0)),"")</f>
        <v/>
      </c>
      <c r="C99" s="43" t="str">
        <f>IFERROR(INDEX('Data Sheet'!$D$29:$D$174,MATCH(B99,'Data Sheet'!$E$29:$E$174,0)) &amp; " - " &amp; INDEX('Data Sheet'!$C$29:$C$174,MATCH(B99,'Data Sheet'!$E$29:$E$174,0)),"")</f>
        <v/>
      </c>
      <c r="D99" s="44" t="str">
        <f>IF(SUMIF('Detailed Budget'!$F$5:$F$1005,$B99,'Detailed Budget'!$AA$5:$AA$1005)&gt;0,SUMIF('Detailed Budget'!$F$5:$F$1005,$B99,'Detailed Budget'!$AA$5:$AA$1005),"")</f>
        <v/>
      </c>
      <c r="E99" s="44" t="str">
        <f>IF(SUMIF('Detailed Budget'!$F$5:$F$1005,$B99,'Detailed Budget'!$AC$5:$AC$1005)&gt;0,SUMIF('Detailed Budget'!$F$5:$F$1005,$B99,'Detailed Budget'!$AC$5:$AC$1005),"")</f>
        <v/>
      </c>
      <c r="F99" s="44" t="str">
        <f>IF(SUMIF('Detailed Budget'!$F$5:$F$1005,$B99,'Detailed Budget'!$AE$5:$AE$1005)&gt;0,SUMIF('Detailed Budget'!$F$5:$F$1005,$B99,'Detailed Budget'!$AE$5:$AE$1005),"")</f>
        <v/>
      </c>
      <c r="G99" s="44" t="str">
        <f>IF(SUMIF('Detailed Budget'!$F$5:$F$1005,$B99,'Detailed Budget'!$AG$5:$AG$1005)&gt;0,SUMIF('Detailed Budget'!$F$5:$F$1005,$B99,'Detailed Budget'!$AG$5:$AG$1005),"")</f>
        <v/>
      </c>
      <c r="H99" s="45" t="str">
        <f>IF(SUMIF('Detailed Budget'!$F$5:$F$1005,$B99,'Detailed Budget'!$AI$5:$AI$1005)&gt;0,SUMIF('Detailed Budget'!$F$5:$F$1005,$B99,'Detailed Budget'!$AI$5:$AI$1005),"")</f>
        <v/>
      </c>
      <c r="I99" s="44" t="str">
        <f>IF(SUMIF('Detailed Budget'!$F$5:$F$1005,$B99,'Detailed Budget'!$AN$5:$AN$1005)&gt;0,SUMIF('Detailed Budget'!$F$5:$F$1005,$B99,'Detailed Budget'!$AN$5:$AN$1005),"")</f>
        <v/>
      </c>
      <c r="J99" s="44" t="str">
        <f>IF(SUMIF('Detailed Budget'!$F$5:$F$1005,$B99,'Detailed Budget'!$AP$5:$AP$1005)&gt;0,SUMIF('Detailed Budget'!$F$5:$F$1005,$B99,'Detailed Budget'!$AP$5:$AP$1005),"")</f>
        <v/>
      </c>
      <c r="K99" s="44" t="str">
        <f>IF(SUMIF('Detailed Budget'!$F$5:$F$1005,$B99,'Detailed Budget'!$AR$5:$AR$1005)&gt;0,SUMIF('Detailed Budget'!$F$5:$F$1005,$B99,'Detailed Budget'!$AR$5:$AR$1005),"")</f>
        <v/>
      </c>
      <c r="L99" s="44" t="str">
        <f>IF(SUMIF('Detailed Budget'!$F$5:$F$1005,$B99,'Detailed Budget'!$AT$5:$AT$1005)&gt;0,SUMIF('Detailed Budget'!$F$5:$F$1005,$B99,'Detailed Budget'!$AT$5:$AT$1005),"")</f>
        <v/>
      </c>
      <c r="M99" s="45" t="str">
        <f>IF(SUMIF('Detailed Budget'!$F$5:$F$1005,$B99,'Detailed Budget'!$AV$5:$AV$1005)&gt;0,SUMIF('Detailed Budget'!$F$5:$F$1005,$B99,'Detailed Budget'!$AV$5:$AV$1005),"")</f>
        <v/>
      </c>
      <c r="N99" s="44" t="str">
        <f>IF(SUMIF('Detailed Budget'!$F$5:$F$1005,$B99,'Detailed Budget'!$BA$5:$BA$1005)&gt;0,SUMIF('Detailed Budget'!$F$5:$F$1005,$B99,'Detailed Budget'!$BA$5:$BA$1005),"")</f>
        <v/>
      </c>
      <c r="O99" s="44" t="str">
        <f>IF(SUMIF('Detailed Budget'!$F$5:$F$1005,$B99,'Detailed Budget'!$BC$5:$BC$1005)&gt;0,SUMIF('Detailed Budget'!$F$5:$F$1005,$B99,'Detailed Budget'!$BC$5:$BC$1005),"")</f>
        <v/>
      </c>
      <c r="P99" s="44" t="str">
        <f>IF(SUMIF('Detailed Budget'!$F$5:$F$1005,$B99,'Detailed Budget'!$BE$5:$BE$1005)&gt;0,SUMIF('Detailed Budget'!$F$5:$F$1005,$B99,'Detailed Budget'!$BE$5:$BE$1005),"")</f>
        <v/>
      </c>
      <c r="Q99" s="44" t="str">
        <f>IF(SUMIF('Detailed Budget'!$F$5:$F$1005,$B99,'Detailed Budget'!$BG$5:$BG$1005)&gt;0,SUMIF('Detailed Budget'!$F$5:$F$1005,$B99,'Detailed Budget'!$BG$5:$BG$1005),"")</f>
        <v/>
      </c>
      <c r="R99" s="45" t="str">
        <f>IF(SUMIF('Detailed Budget'!$F$5:$F$1005,$B99,'Detailed Budget'!$BI$5:$BI$1005)&gt;0,SUMIF('Detailed Budget'!$F$5:$F$1005,$B99,'Detailed Budget'!$BI$5:$BI$1005),"")</f>
        <v/>
      </c>
      <c r="S99" s="44" t="str">
        <f>IF(SUMIF('Detailed Budget'!$F$5:$F$1005,$B99,'Detailed Budget'!$BN$5:$BN$1005)&gt;0,SUMIF('Detailed Budget'!$F$5:$F$1005,$B99,'Detailed Budget'!$BN$5:$BN$1005),"")</f>
        <v/>
      </c>
      <c r="T99" s="44" t="str">
        <f>IF(SUMIF('Detailed Budget'!$F$5:$F$1005,$B99,'Detailed Budget'!$BP$5:$BP$1005)&gt;0,SUMIF('Detailed Budget'!$F$5:$F$1005,$B99,'Detailed Budget'!$BP$5:$BP$1005),"")</f>
        <v/>
      </c>
      <c r="U99" s="44" t="str">
        <f>IF(SUMIF('Detailed Budget'!$F$5:$F$1005,$B99,'Detailed Budget'!$BR$5:$BR$1005)&gt;0,SUMIF('Detailed Budget'!$F$5:$F$1005,$B99,'Detailed Budget'!$BR$5:$BR$1005),"")</f>
        <v/>
      </c>
      <c r="V99" s="44" t="str">
        <f>IF(SUMIF('Detailed Budget'!$F$5:$F$1005,$B98,'Detailed Budget'!$BT$5:$BT$1005)&gt;0,SUMIF('Detailed Budget'!$F$5:$F$1005,$B98,'Detailed Budget'!$BT$5:$BT$1005),"")</f>
        <v/>
      </c>
      <c r="W99" s="45" t="str">
        <f>IF(SUMIF('Detailed Budget'!$F$5:$F$1005,$B99,'Detailed Budget'!$BV$5:$BV$1005)&gt;0,SUMIF('Detailed Budget'!$F$5:$F$1005,$B99,'Detailed Budget'!$BV$5:$BV$1005),"")</f>
        <v/>
      </c>
      <c r="X99" s="44" t="str">
        <f t="shared" si="4"/>
        <v/>
      </c>
      <c r="Y99" s="124" t="str">
        <f t="shared" si="3"/>
        <v/>
      </c>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row>
    <row r="100" spans="1:63" s="35" customFormat="1" ht="15" hidden="1" x14ac:dyDescent="0.25">
      <c r="A100" s="42"/>
      <c r="B100" s="81" t="str">
        <f t="array" ref="B100">IFERROR(INDEX(IntIdList,MATCH(0,COUNTIF(IntIdList,"&lt;"&amp;IntIdList)-SUM(COUNTIF(IntIdList,B$16:B99)),0)),"")</f>
        <v/>
      </c>
      <c r="C100" s="43" t="str">
        <f>IFERROR(INDEX('Data Sheet'!$D$29:$D$174,MATCH(B100,'Data Sheet'!$E$29:$E$174,0)) &amp; " - " &amp; INDEX('Data Sheet'!$C$29:$C$174,MATCH(B100,'Data Sheet'!$E$29:$E$174,0)),"")</f>
        <v/>
      </c>
      <c r="D100" s="44" t="str">
        <f>IF(SUMIF('Detailed Budget'!$F$5:$F$1005,$B100,'Detailed Budget'!$AA$5:$AA$1005)&gt;0,SUMIF('Detailed Budget'!$F$5:$F$1005,$B100,'Detailed Budget'!$AA$5:$AA$1005),"")</f>
        <v/>
      </c>
      <c r="E100" s="44" t="str">
        <f>IF(SUMIF('Detailed Budget'!$F$5:$F$1005,$B100,'Detailed Budget'!$AC$5:$AC$1005)&gt;0,SUMIF('Detailed Budget'!$F$5:$F$1005,$B100,'Detailed Budget'!$AC$5:$AC$1005),"")</f>
        <v/>
      </c>
      <c r="F100" s="44" t="str">
        <f>IF(SUMIF('Detailed Budget'!$F$5:$F$1005,$B100,'Detailed Budget'!$AE$5:$AE$1005)&gt;0,SUMIF('Detailed Budget'!$F$5:$F$1005,$B100,'Detailed Budget'!$AE$5:$AE$1005),"")</f>
        <v/>
      </c>
      <c r="G100" s="44" t="str">
        <f>IF(SUMIF('Detailed Budget'!$F$5:$F$1005,$B100,'Detailed Budget'!$AG$5:$AG$1005)&gt;0,SUMIF('Detailed Budget'!$F$5:$F$1005,$B100,'Detailed Budget'!$AG$5:$AG$1005),"")</f>
        <v/>
      </c>
      <c r="H100" s="45" t="str">
        <f>IF(SUMIF('Detailed Budget'!$F$5:$F$1005,$B100,'Detailed Budget'!$AI$5:$AI$1005)&gt;0,SUMIF('Detailed Budget'!$F$5:$F$1005,$B100,'Detailed Budget'!$AI$5:$AI$1005),"")</f>
        <v/>
      </c>
      <c r="I100" s="44" t="str">
        <f>IF(SUMIF('Detailed Budget'!$F$5:$F$1005,$B100,'Detailed Budget'!$AN$5:$AN$1005)&gt;0,SUMIF('Detailed Budget'!$F$5:$F$1005,$B100,'Detailed Budget'!$AN$5:$AN$1005),"")</f>
        <v/>
      </c>
      <c r="J100" s="44" t="str">
        <f>IF(SUMIF('Detailed Budget'!$F$5:$F$1005,$B100,'Detailed Budget'!$AP$5:$AP$1005)&gt;0,SUMIF('Detailed Budget'!$F$5:$F$1005,$B100,'Detailed Budget'!$AP$5:$AP$1005),"")</f>
        <v/>
      </c>
      <c r="K100" s="44" t="str">
        <f>IF(SUMIF('Detailed Budget'!$F$5:$F$1005,$B100,'Detailed Budget'!$AR$5:$AR$1005)&gt;0,SUMIF('Detailed Budget'!$F$5:$F$1005,$B100,'Detailed Budget'!$AR$5:$AR$1005),"")</f>
        <v/>
      </c>
      <c r="L100" s="44" t="str">
        <f>IF(SUMIF('Detailed Budget'!$F$5:$F$1005,$B100,'Detailed Budget'!$AT$5:$AT$1005)&gt;0,SUMIF('Detailed Budget'!$F$5:$F$1005,$B100,'Detailed Budget'!$AT$5:$AT$1005),"")</f>
        <v/>
      </c>
      <c r="M100" s="45" t="str">
        <f>IF(SUMIF('Detailed Budget'!$F$5:$F$1005,$B100,'Detailed Budget'!$AV$5:$AV$1005)&gt;0,SUMIF('Detailed Budget'!$F$5:$F$1005,$B100,'Detailed Budget'!$AV$5:$AV$1005),"")</f>
        <v/>
      </c>
      <c r="N100" s="44" t="str">
        <f>IF(SUMIF('Detailed Budget'!$F$5:$F$1005,$B100,'Detailed Budget'!$BA$5:$BA$1005)&gt;0,SUMIF('Detailed Budget'!$F$5:$F$1005,$B100,'Detailed Budget'!$BA$5:$BA$1005),"")</f>
        <v/>
      </c>
      <c r="O100" s="44" t="str">
        <f>IF(SUMIF('Detailed Budget'!$F$5:$F$1005,$B100,'Detailed Budget'!$BC$5:$BC$1005)&gt;0,SUMIF('Detailed Budget'!$F$5:$F$1005,$B100,'Detailed Budget'!$BC$5:$BC$1005),"")</f>
        <v/>
      </c>
      <c r="P100" s="44" t="str">
        <f>IF(SUMIF('Detailed Budget'!$F$5:$F$1005,$B100,'Detailed Budget'!$BE$5:$BE$1005)&gt;0,SUMIF('Detailed Budget'!$F$5:$F$1005,$B100,'Detailed Budget'!$BE$5:$BE$1005),"")</f>
        <v/>
      </c>
      <c r="Q100" s="44" t="str">
        <f>IF(SUMIF('Detailed Budget'!$F$5:$F$1005,$B100,'Detailed Budget'!$BG$5:$BG$1005)&gt;0,SUMIF('Detailed Budget'!$F$5:$F$1005,$B100,'Detailed Budget'!$BG$5:$BG$1005),"")</f>
        <v/>
      </c>
      <c r="R100" s="45" t="str">
        <f>IF(SUMIF('Detailed Budget'!$F$5:$F$1005,$B100,'Detailed Budget'!$BI$5:$BI$1005)&gt;0,SUMIF('Detailed Budget'!$F$5:$F$1005,$B100,'Detailed Budget'!$BI$5:$BI$1005),"")</f>
        <v/>
      </c>
      <c r="S100" s="44" t="str">
        <f>IF(SUMIF('Detailed Budget'!$F$5:$F$1005,$B100,'Detailed Budget'!$BN$5:$BN$1005)&gt;0,SUMIF('Detailed Budget'!$F$5:$F$1005,$B100,'Detailed Budget'!$BN$5:$BN$1005),"")</f>
        <v/>
      </c>
      <c r="T100" s="44" t="str">
        <f>IF(SUMIF('Detailed Budget'!$F$5:$F$1005,$B100,'Detailed Budget'!$BP$5:$BP$1005)&gt;0,SUMIF('Detailed Budget'!$F$5:$F$1005,$B100,'Detailed Budget'!$BP$5:$BP$1005),"")</f>
        <v/>
      </c>
      <c r="U100" s="44" t="str">
        <f>IF(SUMIF('Detailed Budget'!$F$5:$F$1005,$B100,'Detailed Budget'!$BR$5:$BR$1005)&gt;0,SUMIF('Detailed Budget'!$F$5:$F$1005,$B100,'Detailed Budget'!$BR$5:$BR$1005),"")</f>
        <v/>
      </c>
      <c r="V100" s="44" t="str">
        <f>IF(SUMIF('Detailed Budget'!$F$5:$F$1005,$B99,'Detailed Budget'!$BT$5:$BT$1005)&gt;0,SUMIF('Detailed Budget'!$F$5:$F$1005,$B99,'Detailed Budget'!$BT$5:$BT$1005),"")</f>
        <v/>
      </c>
      <c r="W100" s="45" t="str">
        <f>IF(SUMIF('Detailed Budget'!$F$5:$F$1005,$B100,'Detailed Budget'!$BV$5:$BV$1005)&gt;0,SUMIF('Detailed Budget'!$F$5:$F$1005,$B100,'Detailed Budget'!$BV$5:$BV$1005),"")</f>
        <v/>
      </c>
      <c r="X100" s="44" t="str">
        <f t="shared" si="4"/>
        <v/>
      </c>
      <c r="Y100" s="124" t="str">
        <f t="shared" si="3"/>
        <v/>
      </c>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row>
    <row r="101" spans="1:63" s="35" customFormat="1" ht="15" hidden="1" x14ac:dyDescent="0.25">
      <c r="A101" s="42"/>
      <c r="B101" s="81" t="str">
        <f t="array" ref="B101">IFERROR(INDEX(IntIdList,MATCH(0,COUNTIF(IntIdList,"&lt;"&amp;IntIdList)-SUM(COUNTIF(IntIdList,B$16:B100)),0)),"")</f>
        <v/>
      </c>
      <c r="C101" s="43" t="str">
        <f>IFERROR(INDEX('Data Sheet'!$D$29:$D$174,MATCH(B101,'Data Sheet'!$E$29:$E$174,0)) &amp; " - " &amp; INDEX('Data Sheet'!$C$29:$C$174,MATCH(B101,'Data Sheet'!$E$29:$E$174,0)),"")</f>
        <v/>
      </c>
      <c r="D101" s="44" t="str">
        <f>IF(SUMIF('Detailed Budget'!$F$5:$F$1005,$B101,'Detailed Budget'!$AA$5:$AA$1005)&gt;0,SUMIF('Detailed Budget'!$F$5:$F$1005,$B101,'Detailed Budget'!$AA$5:$AA$1005),"")</f>
        <v/>
      </c>
      <c r="E101" s="44" t="str">
        <f>IF(SUMIF('Detailed Budget'!$F$5:$F$1005,$B101,'Detailed Budget'!$AC$5:$AC$1005)&gt;0,SUMIF('Detailed Budget'!$F$5:$F$1005,$B101,'Detailed Budget'!$AC$5:$AC$1005),"")</f>
        <v/>
      </c>
      <c r="F101" s="44" t="str">
        <f>IF(SUMIF('Detailed Budget'!$F$5:$F$1005,$B101,'Detailed Budget'!$AE$5:$AE$1005)&gt;0,SUMIF('Detailed Budget'!$F$5:$F$1005,$B101,'Detailed Budget'!$AE$5:$AE$1005),"")</f>
        <v/>
      </c>
      <c r="G101" s="44" t="str">
        <f>IF(SUMIF('Detailed Budget'!$F$5:$F$1005,$B101,'Detailed Budget'!$AG$5:$AG$1005)&gt;0,SUMIF('Detailed Budget'!$F$5:$F$1005,$B101,'Detailed Budget'!$AG$5:$AG$1005),"")</f>
        <v/>
      </c>
      <c r="H101" s="45" t="str">
        <f>IF(SUMIF('Detailed Budget'!$F$5:$F$1005,$B101,'Detailed Budget'!$AI$5:$AI$1005)&gt;0,SUMIF('Detailed Budget'!$F$5:$F$1005,$B101,'Detailed Budget'!$AI$5:$AI$1005),"")</f>
        <v/>
      </c>
      <c r="I101" s="44" t="str">
        <f>IF(SUMIF('Detailed Budget'!$F$5:$F$1005,$B101,'Detailed Budget'!$AN$5:$AN$1005)&gt;0,SUMIF('Detailed Budget'!$F$5:$F$1005,$B101,'Detailed Budget'!$AN$5:$AN$1005),"")</f>
        <v/>
      </c>
      <c r="J101" s="44" t="str">
        <f>IF(SUMIF('Detailed Budget'!$F$5:$F$1005,$B101,'Detailed Budget'!$AP$5:$AP$1005)&gt;0,SUMIF('Detailed Budget'!$F$5:$F$1005,$B101,'Detailed Budget'!$AP$5:$AP$1005),"")</f>
        <v/>
      </c>
      <c r="K101" s="44" t="str">
        <f>IF(SUMIF('Detailed Budget'!$F$5:$F$1005,$B101,'Detailed Budget'!$AR$5:$AR$1005)&gt;0,SUMIF('Detailed Budget'!$F$5:$F$1005,$B101,'Detailed Budget'!$AR$5:$AR$1005),"")</f>
        <v/>
      </c>
      <c r="L101" s="44" t="str">
        <f>IF(SUMIF('Detailed Budget'!$F$5:$F$1005,$B101,'Detailed Budget'!$AT$5:$AT$1005)&gt;0,SUMIF('Detailed Budget'!$F$5:$F$1005,$B101,'Detailed Budget'!$AT$5:$AT$1005),"")</f>
        <v/>
      </c>
      <c r="M101" s="45" t="str">
        <f>IF(SUMIF('Detailed Budget'!$F$5:$F$1005,$B101,'Detailed Budget'!$AV$5:$AV$1005)&gt;0,SUMIF('Detailed Budget'!$F$5:$F$1005,$B101,'Detailed Budget'!$AV$5:$AV$1005),"")</f>
        <v/>
      </c>
      <c r="N101" s="44" t="str">
        <f>IF(SUMIF('Detailed Budget'!$F$5:$F$1005,$B101,'Detailed Budget'!$BA$5:$BA$1005)&gt;0,SUMIF('Detailed Budget'!$F$5:$F$1005,$B101,'Detailed Budget'!$BA$5:$BA$1005),"")</f>
        <v/>
      </c>
      <c r="O101" s="44" t="str">
        <f>IF(SUMIF('Detailed Budget'!$F$5:$F$1005,$B101,'Detailed Budget'!$BC$5:$BC$1005)&gt;0,SUMIF('Detailed Budget'!$F$5:$F$1005,$B101,'Detailed Budget'!$BC$5:$BC$1005),"")</f>
        <v/>
      </c>
      <c r="P101" s="44" t="str">
        <f>IF(SUMIF('Detailed Budget'!$F$5:$F$1005,$B101,'Detailed Budget'!$BE$5:$BE$1005)&gt;0,SUMIF('Detailed Budget'!$F$5:$F$1005,$B101,'Detailed Budget'!$BE$5:$BE$1005),"")</f>
        <v/>
      </c>
      <c r="Q101" s="44" t="str">
        <f>IF(SUMIF('Detailed Budget'!$F$5:$F$1005,$B101,'Detailed Budget'!$BG$5:$BG$1005)&gt;0,SUMIF('Detailed Budget'!$F$5:$F$1005,$B101,'Detailed Budget'!$BG$5:$BG$1005),"")</f>
        <v/>
      </c>
      <c r="R101" s="45" t="str">
        <f>IF(SUMIF('Detailed Budget'!$F$5:$F$1005,$B101,'Detailed Budget'!$BI$5:$BI$1005)&gt;0,SUMIF('Detailed Budget'!$F$5:$F$1005,$B101,'Detailed Budget'!$BI$5:$BI$1005),"")</f>
        <v/>
      </c>
      <c r="S101" s="44" t="str">
        <f>IF(SUMIF('Detailed Budget'!$F$5:$F$1005,$B101,'Detailed Budget'!$BN$5:$BN$1005)&gt;0,SUMIF('Detailed Budget'!$F$5:$F$1005,$B101,'Detailed Budget'!$BN$5:$BN$1005),"")</f>
        <v/>
      </c>
      <c r="T101" s="44" t="str">
        <f>IF(SUMIF('Detailed Budget'!$F$5:$F$1005,$B101,'Detailed Budget'!$BP$5:$BP$1005)&gt;0,SUMIF('Detailed Budget'!$F$5:$F$1005,$B101,'Detailed Budget'!$BP$5:$BP$1005),"")</f>
        <v/>
      </c>
      <c r="U101" s="44" t="str">
        <f>IF(SUMIF('Detailed Budget'!$F$5:$F$1005,$B101,'Detailed Budget'!$BR$5:$BR$1005)&gt;0,SUMIF('Detailed Budget'!$F$5:$F$1005,$B101,'Detailed Budget'!$BR$5:$BR$1005),"")</f>
        <v/>
      </c>
      <c r="V101" s="44" t="str">
        <f>IF(SUMIF('Detailed Budget'!$F$5:$F$1005,$B100,'Detailed Budget'!$BT$5:$BT$1005)&gt;0,SUMIF('Detailed Budget'!$F$5:$F$1005,$B100,'Detailed Budget'!$BT$5:$BT$1005),"")</f>
        <v/>
      </c>
      <c r="W101" s="45" t="str">
        <f>IF(SUMIF('Detailed Budget'!$F$5:$F$1005,$B101,'Detailed Budget'!$BV$5:$BV$1005)&gt;0,SUMIF('Detailed Budget'!$F$5:$F$1005,$B101,'Detailed Budget'!$BV$5:$BV$1005),"")</f>
        <v/>
      </c>
      <c r="X101" s="44" t="str">
        <f t="shared" si="4"/>
        <v/>
      </c>
      <c r="Y101" s="124" t="str">
        <f t="shared" si="3"/>
        <v/>
      </c>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row>
    <row r="102" spans="1:63" s="35" customFormat="1" ht="15" hidden="1" x14ac:dyDescent="0.25">
      <c r="A102" s="42"/>
      <c r="B102" s="81" t="str">
        <f t="array" ref="B102">IFERROR(INDEX(IntIdList,MATCH(0,COUNTIF(IntIdList,"&lt;"&amp;IntIdList)-SUM(COUNTIF(IntIdList,B$16:B101)),0)),"")</f>
        <v/>
      </c>
      <c r="C102" s="43" t="str">
        <f>IFERROR(INDEX('Data Sheet'!$D$29:$D$174,MATCH(B102,'Data Sheet'!$E$29:$E$174,0)) &amp; " - " &amp; INDEX('Data Sheet'!$C$29:$C$174,MATCH(B102,'Data Sheet'!$E$29:$E$174,0)),"")</f>
        <v/>
      </c>
      <c r="D102" s="44" t="str">
        <f>IF(SUMIF('Detailed Budget'!$F$5:$F$1005,$B102,'Detailed Budget'!$AA$5:$AA$1005)&gt;0,SUMIF('Detailed Budget'!$F$5:$F$1005,$B102,'Detailed Budget'!$AA$5:$AA$1005),"")</f>
        <v/>
      </c>
      <c r="E102" s="44" t="str">
        <f>IF(SUMIF('Detailed Budget'!$F$5:$F$1005,$B102,'Detailed Budget'!$AC$5:$AC$1005)&gt;0,SUMIF('Detailed Budget'!$F$5:$F$1005,$B102,'Detailed Budget'!$AC$5:$AC$1005),"")</f>
        <v/>
      </c>
      <c r="F102" s="44" t="str">
        <f>IF(SUMIF('Detailed Budget'!$F$5:$F$1005,$B102,'Detailed Budget'!$AE$5:$AE$1005)&gt;0,SUMIF('Detailed Budget'!$F$5:$F$1005,$B102,'Detailed Budget'!$AE$5:$AE$1005),"")</f>
        <v/>
      </c>
      <c r="G102" s="44" t="str">
        <f>IF(SUMIF('Detailed Budget'!$F$5:$F$1005,$B102,'Detailed Budget'!$AG$5:$AG$1005)&gt;0,SUMIF('Detailed Budget'!$F$5:$F$1005,$B102,'Detailed Budget'!$AG$5:$AG$1005),"")</f>
        <v/>
      </c>
      <c r="H102" s="45" t="str">
        <f>IF(SUMIF('Detailed Budget'!$F$5:$F$1005,$B102,'Detailed Budget'!$AI$5:$AI$1005)&gt;0,SUMIF('Detailed Budget'!$F$5:$F$1005,$B102,'Detailed Budget'!$AI$5:$AI$1005),"")</f>
        <v/>
      </c>
      <c r="I102" s="44" t="str">
        <f>IF(SUMIF('Detailed Budget'!$F$5:$F$1005,$B102,'Detailed Budget'!$AN$5:$AN$1005)&gt;0,SUMIF('Detailed Budget'!$F$5:$F$1005,$B102,'Detailed Budget'!$AN$5:$AN$1005),"")</f>
        <v/>
      </c>
      <c r="J102" s="44" t="str">
        <f>IF(SUMIF('Detailed Budget'!$F$5:$F$1005,$B102,'Detailed Budget'!$AP$5:$AP$1005)&gt;0,SUMIF('Detailed Budget'!$F$5:$F$1005,$B102,'Detailed Budget'!$AP$5:$AP$1005),"")</f>
        <v/>
      </c>
      <c r="K102" s="44" t="str">
        <f>IF(SUMIF('Detailed Budget'!$F$5:$F$1005,$B102,'Detailed Budget'!$AR$5:$AR$1005)&gt;0,SUMIF('Detailed Budget'!$F$5:$F$1005,$B102,'Detailed Budget'!$AR$5:$AR$1005),"")</f>
        <v/>
      </c>
      <c r="L102" s="44" t="str">
        <f>IF(SUMIF('Detailed Budget'!$F$5:$F$1005,$B102,'Detailed Budget'!$AT$5:$AT$1005)&gt;0,SUMIF('Detailed Budget'!$F$5:$F$1005,$B102,'Detailed Budget'!$AT$5:$AT$1005),"")</f>
        <v/>
      </c>
      <c r="M102" s="45" t="str">
        <f>IF(SUMIF('Detailed Budget'!$F$5:$F$1005,$B102,'Detailed Budget'!$AV$5:$AV$1005)&gt;0,SUMIF('Detailed Budget'!$F$5:$F$1005,$B102,'Detailed Budget'!$AV$5:$AV$1005),"")</f>
        <v/>
      </c>
      <c r="N102" s="44" t="str">
        <f>IF(SUMIF('Detailed Budget'!$F$5:$F$1005,$B102,'Detailed Budget'!$BA$5:$BA$1005)&gt;0,SUMIF('Detailed Budget'!$F$5:$F$1005,$B102,'Detailed Budget'!$BA$5:$BA$1005),"")</f>
        <v/>
      </c>
      <c r="O102" s="44" t="str">
        <f>IF(SUMIF('Detailed Budget'!$F$5:$F$1005,$B102,'Detailed Budget'!$BC$5:$BC$1005)&gt;0,SUMIF('Detailed Budget'!$F$5:$F$1005,$B102,'Detailed Budget'!$BC$5:$BC$1005),"")</f>
        <v/>
      </c>
      <c r="P102" s="44" t="str">
        <f>IF(SUMIF('Detailed Budget'!$F$5:$F$1005,$B102,'Detailed Budget'!$BE$5:$BE$1005)&gt;0,SUMIF('Detailed Budget'!$F$5:$F$1005,$B102,'Detailed Budget'!$BE$5:$BE$1005),"")</f>
        <v/>
      </c>
      <c r="Q102" s="44" t="str">
        <f>IF(SUMIF('Detailed Budget'!$F$5:$F$1005,$B102,'Detailed Budget'!$BG$5:$BG$1005)&gt;0,SUMIF('Detailed Budget'!$F$5:$F$1005,$B102,'Detailed Budget'!$BG$5:$BG$1005),"")</f>
        <v/>
      </c>
      <c r="R102" s="45" t="str">
        <f>IF(SUMIF('Detailed Budget'!$F$5:$F$1005,$B102,'Detailed Budget'!$BI$5:$BI$1005)&gt;0,SUMIF('Detailed Budget'!$F$5:$F$1005,$B102,'Detailed Budget'!$BI$5:$BI$1005),"")</f>
        <v/>
      </c>
      <c r="S102" s="44" t="str">
        <f>IF(SUMIF('Detailed Budget'!$F$5:$F$1005,$B102,'Detailed Budget'!$BN$5:$BN$1005)&gt;0,SUMIF('Detailed Budget'!$F$5:$F$1005,$B102,'Detailed Budget'!$BN$5:$BN$1005),"")</f>
        <v/>
      </c>
      <c r="T102" s="44" t="str">
        <f>IF(SUMIF('Detailed Budget'!$F$5:$F$1005,$B102,'Detailed Budget'!$BP$5:$BP$1005)&gt;0,SUMIF('Detailed Budget'!$F$5:$F$1005,$B102,'Detailed Budget'!$BP$5:$BP$1005),"")</f>
        <v/>
      </c>
      <c r="U102" s="44" t="str">
        <f>IF(SUMIF('Detailed Budget'!$F$5:$F$1005,$B102,'Detailed Budget'!$BR$5:$BR$1005)&gt;0,SUMIF('Detailed Budget'!$F$5:$F$1005,$B102,'Detailed Budget'!$BR$5:$BR$1005),"")</f>
        <v/>
      </c>
      <c r="V102" s="44" t="str">
        <f>IF(SUMIF('Detailed Budget'!$F$5:$F$1005,$B101,'Detailed Budget'!$BT$5:$BT$1005)&gt;0,SUMIF('Detailed Budget'!$F$5:$F$1005,$B101,'Detailed Budget'!$BT$5:$BT$1005),"")</f>
        <v/>
      </c>
      <c r="W102" s="45" t="str">
        <f>IF(SUMIF('Detailed Budget'!$F$5:$F$1005,$B102,'Detailed Budget'!$BV$5:$BV$1005)&gt;0,SUMIF('Detailed Budget'!$F$5:$F$1005,$B102,'Detailed Budget'!$BV$5:$BV$1005),"")</f>
        <v/>
      </c>
      <c r="X102" s="44" t="str">
        <f t="shared" si="4"/>
        <v/>
      </c>
      <c r="Y102" s="124" t="str">
        <f t="shared" si="3"/>
        <v/>
      </c>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row>
    <row r="103" spans="1:63" s="35" customFormat="1" ht="15" hidden="1" x14ac:dyDescent="0.25">
      <c r="A103" s="42"/>
      <c r="B103" s="81" t="str">
        <f t="array" ref="B103">IFERROR(INDEX(IntIdList,MATCH(0,COUNTIF(IntIdList,"&lt;"&amp;IntIdList)-SUM(COUNTIF(IntIdList,B$16:B102)),0)),"")</f>
        <v/>
      </c>
      <c r="C103" s="43" t="str">
        <f>IFERROR(INDEX('Data Sheet'!$D$29:$D$174,MATCH(B103,'Data Sheet'!$E$29:$E$174,0)) &amp; " - " &amp; INDEX('Data Sheet'!$C$29:$C$174,MATCH(B103,'Data Sheet'!$E$29:$E$174,0)),"")</f>
        <v/>
      </c>
      <c r="D103" s="44" t="str">
        <f>IF(SUMIF('Detailed Budget'!$F$5:$F$1005,$B103,'Detailed Budget'!$AA$5:$AA$1005)&gt;0,SUMIF('Detailed Budget'!$F$5:$F$1005,$B103,'Detailed Budget'!$AA$5:$AA$1005),"")</f>
        <v/>
      </c>
      <c r="E103" s="44" t="str">
        <f>IF(SUMIF('Detailed Budget'!$F$5:$F$1005,$B103,'Detailed Budget'!$AC$5:$AC$1005)&gt;0,SUMIF('Detailed Budget'!$F$5:$F$1005,$B103,'Detailed Budget'!$AC$5:$AC$1005),"")</f>
        <v/>
      </c>
      <c r="F103" s="44" t="str">
        <f>IF(SUMIF('Detailed Budget'!$F$5:$F$1005,$B103,'Detailed Budget'!$AE$5:$AE$1005)&gt;0,SUMIF('Detailed Budget'!$F$5:$F$1005,$B103,'Detailed Budget'!$AE$5:$AE$1005),"")</f>
        <v/>
      </c>
      <c r="G103" s="44" t="str">
        <f>IF(SUMIF('Detailed Budget'!$F$5:$F$1005,$B103,'Detailed Budget'!$AG$5:$AG$1005)&gt;0,SUMIF('Detailed Budget'!$F$5:$F$1005,$B103,'Detailed Budget'!$AG$5:$AG$1005),"")</f>
        <v/>
      </c>
      <c r="H103" s="45" t="str">
        <f>IF(SUMIF('Detailed Budget'!$F$5:$F$1005,$B103,'Detailed Budget'!$AI$5:$AI$1005)&gt;0,SUMIF('Detailed Budget'!$F$5:$F$1005,$B103,'Detailed Budget'!$AI$5:$AI$1005),"")</f>
        <v/>
      </c>
      <c r="I103" s="44" t="str">
        <f>IF(SUMIF('Detailed Budget'!$F$5:$F$1005,$B103,'Detailed Budget'!$AN$5:$AN$1005)&gt;0,SUMIF('Detailed Budget'!$F$5:$F$1005,$B103,'Detailed Budget'!$AN$5:$AN$1005),"")</f>
        <v/>
      </c>
      <c r="J103" s="44" t="str">
        <f>IF(SUMIF('Detailed Budget'!$F$5:$F$1005,$B103,'Detailed Budget'!$AP$5:$AP$1005)&gt;0,SUMIF('Detailed Budget'!$F$5:$F$1005,$B103,'Detailed Budget'!$AP$5:$AP$1005),"")</f>
        <v/>
      </c>
      <c r="K103" s="44" t="str">
        <f>IF(SUMIF('Detailed Budget'!$F$5:$F$1005,$B103,'Detailed Budget'!$AR$5:$AR$1005)&gt;0,SUMIF('Detailed Budget'!$F$5:$F$1005,$B103,'Detailed Budget'!$AR$5:$AR$1005),"")</f>
        <v/>
      </c>
      <c r="L103" s="44" t="str">
        <f>IF(SUMIF('Detailed Budget'!$F$5:$F$1005,$B103,'Detailed Budget'!$AT$5:$AT$1005)&gt;0,SUMIF('Detailed Budget'!$F$5:$F$1005,$B103,'Detailed Budget'!$AT$5:$AT$1005),"")</f>
        <v/>
      </c>
      <c r="M103" s="45" t="str">
        <f>IF(SUMIF('Detailed Budget'!$F$5:$F$1005,$B103,'Detailed Budget'!$AV$5:$AV$1005)&gt;0,SUMIF('Detailed Budget'!$F$5:$F$1005,$B103,'Detailed Budget'!$AV$5:$AV$1005),"")</f>
        <v/>
      </c>
      <c r="N103" s="44" t="str">
        <f>IF(SUMIF('Detailed Budget'!$F$5:$F$1005,$B103,'Detailed Budget'!$BA$5:$BA$1005)&gt;0,SUMIF('Detailed Budget'!$F$5:$F$1005,$B103,'Detailed Budget'!$BA$5:$BA$1005),"")</f>
        <v/>
      </c>
      <c r="O103" s="44" t="str">
        <f>IF(SUMIF('Detailed Budget'!$F$5:$F$1005,$B103,'Detailed Budget'!$BC$5:$BC$1005)&gt;0,SUMIF('Detailed Budget'!$F$5:$F$1005,$B103,'Detailed Budget'!$BC$5:$BC$1005),"")</f>
        <v/>
      </c>
      <c r="P103" s="44" t="str">
        <f>IF(SUMIF('Detailed Budget'!$F$5:$F$1005,$B103,'Detailed Budget'!$BE$5:$BE$1005)&gt;0,SUMIF('Detailed Budget'!$F$5:$F$1005,$B103,'Detailed Budget'!$BE$5:$BE$1005),"")</f>
        <v/>
      </c>
      <c r="Q103" s="44" t="str">
        <f>IF(SUMIF('Detailed Budget'!$F$5:$F$1005,$B103,'Detailed Budget'!$BG$5:$BG$1005)&gt;0,SUMIF('Detailed Budget'!$F$5:$F$1005,$B103,'Detailed Budget'!$BG$5:$BG$1005),"")</f>
        <v/>
      </c>
      <c r="R103" s="45" t="str">
        <f>IF(SUMIF('Detailed Budget'!$F$5:$F$1005,$B103,'Detailed Budget'!$BI$5:$BI$1005)&gt;0,SUMIF('Detailed Budget'!$F$5:$F$1005,$B103,'Detailed Budget'!$BI$5:$BI$1005),"")</f>
        <v/>
      </c>
      <c r="S103" s="44" t="str">
        <f>IF(SUMIF('Detailed Budget'!$F$5:$F$1005,$B103,'Detailed Budget'!$BN$5:$BN$1005)&gt;0,SUMIF('Detailed Budget'!$F$5:$F$1005,$B103,'Detailed Budget'!$BN$5:$BN$1005),"")</f>
        <v/>
      </c>
      <c r="T103" s="44" t="str">
        <f>IF(SUMIF('Detailed Budget'!$F$5:$F$1005,$B103,'Detailed Budget'!$BP$5:$BP$1005)&gt;0,SUMIF('Detailed Budget'!$F$5:$F$1005,$B103,'Detailed Budget'!$BP$5:$BP$1005),"")</f>
        <v/>
      </c>
      <c r="U103" s="44" t="str">
        <f>IF(SUMIF('Detailed Budget'!$F$5:$F$1005,$B103,'Detailed Budget'!$BR$5:$BR$1005)&gt;0,SUMIF('Detailed Budget'!$F$5:$F$1005,$B103,'Detailed Budget'!$BR$5:$BR$1005),"")</f>
        <v/>
      </c>
      <c r="V103" s="44" t="str">
        <f>IF(SUMIF('Detailed Budget'!$F$5:$F$1005,$B102,'Detailed Budget'!$BT$5:$BT$1005)&gt;0,SUMIF('Detailed Budget'!$F$5:$F$1005,$B102,'Detailed Budget'!$BT$5:$BT$1005),"")</f>
        <v/>
      </c>
      <c r="W103" s="45" t="str">
        <f>IF(SUMIF('Detailed Budget'!$F$5:$F$1005,$B103,'Detailed Budget'!$BV$5:$BV$1005)&gt;0,SUMIF('Detailed Budget'!$F$5:$F$1005,$B103,'Detailed Budget'!$BV$5:$BV$1005),"")</f>
        <v/>
      </c>
      <c r="X103" s="44" t="str">
        <f t="shared" si="4"/>
        <v/>
      </c>
      <c r="Y103" s="124" t="str">
        <f t="shared" si="3"/>
        <v/>
      </c>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row>
    <row r="104" spans="1:63" s="35" customFormat="1" ht="15" hidden="1" x14ac:dyDescent="0.25">
      <c r="A104" s="42"/>
      <c r="B104" s="81" t="str">
        <f t="array" ref="B104">IFERROR(INDEX(IntIdList,MATCH(0,COUNTIF(IntIdList,"&lt;"&amp;IntIdList)-SUM(COUNTIF(IntIdList,B$16:B103)),0)),"")</f>
        <v/>
      </c>
      <c r="C104" s="43" t="str">
        <f>IFERROR(INDEX('Data Sheet'!$D$29:$D$174,MATCH(B104,'Data Sheet'!$E$29:$E$174,0)) &amp; " - " &amp; INDEX('Data Sheet'!$C$29:$C$174,MATCH(B104,'Data Sheet'!$E$29:$E$174,0)),"")</f>
        <v/>
      </c>
      <c r="D104" s="44" t="str">
        <f>IF(SUMIF('Detailed Budget'!$F$5:$F$1005,$B104,'Detailed Budget'!$AA$5:$AA$1005)&gt;0,SUMIF('Detailed Budget'!$F$5:$F$1005,$B104,'Detailed Budget'!$AA$5:$AA$1005),"")</f>
        <v/>
      </c>
      <c r="E104" s="44" t="str">
        <f>IF(SUMIF('Detailed Budget'!$F$5:$F$1005,$B104,'Detailed Budget'!$AC$5:$AC$1005)&gt;0,SUMIF('Detailed Budget'!$F$5:$F$1005,$B104,'Detailed Budget'!$AC$5:$AC$1005),"")</f>
        <v/>
      </c>
      <c r="F104" s="44" t="str">
        <f>IF(SUMIF('Detailed Budget'!$F$5:$F$1005,$B104,'Detailed Budget'!$AE$5:$AE$1005)&gt;0,SUMIF('Detailed Budget'!$F$5:$F$1005,$B104,'Detailed Budget'!$AE$5:$AE$1005),"")</f>
        <v/>
      </c>
      <c r="G104" s="44" t="str">
        <f>IF(SUMIF('Detailed Budget'!$F$5:$F$1005,$B104,'Detailed Budget'!$AG$5:$AG$1005)&gt;0,SUMIF('Detailed Budget'!$F$5:$F$1005,$B104,'Detailed Budget'!$AG$5:$AG$1005),"")</f>
        <v/>
      </c>
      <c r="H104" s="45" t="str">
        <f>IF(SUMIF('Detailed Budget'!$F$5:$F$1005,$B104,'Detailed Budget'!$AI$5:$AI$1005)&gt;0,SUMIF('Detailed Budget'!$F$5:$F$1005,$B104,'Detailed Budget'!$AI$5:$AI$1005),"")</f>
        <v/>
      </c>
      <c r="I104" s="44" t="str">
        <f>IF(SUMIF('Detailed Budget'!$F$5:$F$1005,$B104,'Detailed Budget'!$AN$5:$AN$1005)&gt;0,SUMIF('Detailed Budget'!$F$5:$F$1005,$B104,'Detailed Budget'!$AN$5:$AN$1005),"")</f>
        <v/>
      </c>
      <c r="J104" s="44" t="str">
        <f>IF(SUMIF('Detailed Budget'!$F$5:$F$1005,$B104,'Detailed Budget'!$AP$5:$AP$1005)&gt;0,SUMIF('Detailed Budget'!$F$5:$F$1005,$B104,'Detailed Budget'!$AP$5:$AP$1005),"")</f>
        <v/>
      </c>
      <c r="K104" s="44" t="str">
        <f>IF(SUMIF('Detailed Budget'!$F$5:$F$1005,$B104,'Detailed Budget'!$AR$5:$AR$1005)&gt;0,SUMIF('Detailed Budget'!$F$5:$F$1005,$B104,'Detailed Budget'!$AR$5:$AR$1005),"")</f>
        <v/>
      </c>
      <c r="L104" s="44" t="str">
        <f>IF(SUMIF('Detailed Budget'!$F$5:$F$1005,$B104,'Detailed Budget'!$AT$5:$AT$1005)&gt;0,SUMIF('Detailed Budget'!$F$5:$F$1005,$B104,'Detailed Budget'!$AT$5:$AT$1005),"")</f>
        <v/>
      </c>
      <c r="M104" s="45" t="str">
        <f>IF(SUMIF('Detailed Budget'!$F$5:$F$1005,$B104,'Detailed Budget'!$AV$5:$AV$1005)&gt;0,SUMIF('Detailed Budget'!$F$5:$F$1005,$B104,'Detailed Budget'!$AV$5:$AV$1005),"")</f>
        <v/>
      </c>
      <c r="N104" s="44" t="str">
        <f>IF(SUMIF('Detailed Budget'!$F$5:$F$1005,$B104,'Detailed Budget'!$BA$5:$BA$1005)&gt;0,SUMIF('Detailed Budget'!$F$5:$F$1005,$B104,'Detailed Budget'!$BA$5:$BA$1005),"")</f>
        <v/>
      </c>
      <c r="O104" s="44" t="str">
        <f>IF(SUMIF('Detailed Budget'!$F$5:$F$1005,$B104,'Detailed Budget'!$BC$5:$BC$1005)&gt;0,SUMIF('Detailed Budget'!$F$5:$F$1005,$B104,'Detailed Budget'!$BC$5:$BC$1005),"")</f>
        <v/>
      </c>
      <c r="P104" s="44" t="str">
        <f>IF(SUMIF('Detailed Budget'!$F$5:$F$1005,$B104,'Detailed Budget'!$BE$5:$BE$1005)&gt;0,SUMIF('Detailed Budget'!$F$5:$F$1005,$B104,'Detailed Budget'!$BE$5:$BE$1005),"")</f>
        <v/>
      </c>
      <c r="Q104" s="44" t="str">
        <f>IF(SUMIF('Detailed Budget'!$F$5:$F$1005,$B104,'Detailed Budget'!$BG$5:$BG$1005)&gt;0,SUMIF('Detailed Budget'!$F$5:$F$1005,$B104,'Detailed Budget'!$BG$5:$BG$1005),"")</f>
        <v/>
      </c>
      <c r="R104" s="45" t="str">
        <f>IF(SUMIF('Detailed Budget'!$F$5:$F$1005,$B104,'Detailed Budget'!$BI$5:$BI$1005)&gt;0,SUMIF('Detailed Budget'!$F$5:$F$1005,$B104,'Detailed Budget'!$BI$5:$BI$1005),"")</f>
        <v/>
      </c>
      <c r="S104" s="44" t="str">
        <f>IF(SUMIF('Detailed Budget'!$F$5:$F$1005,$B104,'Detailed Budget'!$BN$5:$BN$1005)&gt;0,SUMIF('Detailed Budget'!$F$5:$F$1005,$B104,'Detailed Budget'!$BN$5:$BN$1005),"")</f>
        <v/>
      </c>
      <c r="T104" s="44" t="str">
        <f>IF(SUMIF('Detailed Budget'!$F$5:$F$1005,$B104,'Detailed Budget'!$BP$5:$BP$1005)&gt;0,SUMIF('Detailed Budget'!$F$5:$F$1005,$B104,'Detailed Budget'!$BP$5:$BP$1005),"")</f>
        <v/>
      </c>
      <c r="U104" s="44" t="str">
        <f>IF(SUMIF('Detailed Budget'!$F$5:$F$1005,$B104,'Detailed Budget'!$BR$5:$BR$1005)&gt;0,SUMIF('Detailed Budget'!$F$5:$F$1005,$B104,'Detailed Budget'!$BR$5:$BR$1005),"")</f>
        <v/>
      </c>
      <c r="V104" s="44" t="str">
        <f>IF(SUMIF('Detailed Budget'!$F$5:$F$1005,$B103,'Detailed Budget'!$BT$5:$BT$1005)&gt;0,SUMIF('Detailed Budget'!$F$5:$F$1005,$B103,'Detailed Budget'!$BT$5:$BT$1005),"")</f>
        <v/>
      </c>
      <c r="W104" s="45" t="str">
        <f>IF(SUMIF('Detailed Budget'!$F$5:$F$1005,$B104,'Detailed Budget'!$BV$5:$BV$1005)&gt;0,SUMIF('Detailed Budget'!$F$5:$F$1005,$B104,'Detailed Budget'!$BV$5:$BV$1005),"")</f>
        <v/>
      </c>
      <c r="X104" s="44" t="str">
        <f t="shared" si="4"/>
        <v/>
      </c>
      <c r="Y104" s="124" t="str">
        <f t="shared" si="3"/>
        <v/>
      </c>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row>
    <row r="105" spans="1:63" s="35" customFormat="1" ht="15" hidden="1" x14ac:dyDescent="0.25">
      <c r="A105" s="42"/>
      <c r="B105" s="81" t="str">
        <f t="array" ref="B105">IFERROR(INDEX(IntIdList,MATCH(0,COUNTIF(IntIdList,"&lt;"&amp;IntIdList)-SUM(COUNTIF(IntIdList,B$16:B104)),0)),"")</f>
        <v/>
      </c>
      <c r="C105" s="43" t="str">
        <f>IFERROR(INDEX('Data Sheet'!$D$29:$D$174,MATCH(B105,'Data Sheet'!$E$29:$E$174,0)) &amp; " - " &amp; INDEX('Data Sheet'!$C$29:$C$174,MATCH(B105,'Data Sheet'!$E$29:$E$174,0)),"")</f>
        <v/>
      </c>
      <c r="D105" s="44" t="str">
        <f>IF(SUMIF('Detailed Budget'!$F$5:$F$1005,$B105,'Detailed Budget'!$AA$5:$AA$1005)&gt;0,SUMIF('Detailed Budget'!$F$5:$F$1005,$B105,'Detailed Budget'!$AA$5:$AA$1005),"")</f>
        <v/>
      </c>
      <c r="E105" s="44" t="str">
        <f>IF(SUMIF('Detailed Budget'!$F$5:$F$1005,$B105,'Detailed Budget'!$AC$5:$AC$1005)&gt;0,SUMIF('Detailed Budget'!$F$5:$F$1005,$B105,'Detailed Budget'!$AC$5:$AC$1005),"")</f>
        <v/>
      </c>
      <c r="F105" s="44" t="str">
        <f>IF(SUMIF('Detailed Budget'!$F$5:$F$1005,$B105,'Detailed Budget'!$AE$5:$AE$1005)&gt;0,SUMIF('Detailed Budget'!$F$5:$F$1005,$B105,'Detailed Budget'!$AE$5:$AE$1005),"")</f>
        <v/>
      </c>
      <c r="G105" s="44" t="str">
        <f>IF(SUMIF('Detailed Budget'!$F$5:$F$1005,$B105,'Detailed Budget'!$AG$5:$AG$1005)&gt;0,SUMIF('Detailed Budget'!$F$5:$F$1005,$B105,'Detailed Budget'!$AG$5:$AG$1005),"")</f>
        <v/>
      </c>
      <c r="H105" s="45" t="str">
        <f>IF(SUMIF('Detailed Budget'!$F$5:$F$1005,$B105,'Detailed Budget'!$AI$5:$AI$1005)&gt;0,SUMIF('Detailed Budget'!$F$5:$F$1005,$B105,'Detailed Budget'!$AI$5:$AI$1005),"")</f>
        <v/>
      </c>
      <c r="I105" s="44" t="str">
        <f>IF(SUMIF('Detailed Budget'!$F$5:$F$1005,$B105,'Detailed Budget'!$AN$5:$AN$1005)&gt;0,SUMIF('Detailed Budget'!$F$5:$F$1005,$B105,'Detailed Budget'!$AN$5:$AN$1005),"")</f>
        <v/>
      </c>
      <c r="J105" s="44" t="str">
        <f>IF(SUMIF('Detailed Budget'!$F$5:$F$1005,$B105,'Detailed Budget'!$AP$5:$AP$1005)&gt;0,SUMIF('Detailed Budget'!$F$5:$F$1005,$B105,'Detailed Budget'!$AP$5:$AP$1005),"")</f>
        <v/>
      </c>
      <c r="K105" s="44" t="str">
        <f>IF(SUMIF('Detailed Budget'!$F$5:$F$1005,$B105,'Detailed Budget'!$AR$5:$AR$1005)&gt;0,SUMIF('Detailed Budget'!$F$5:$F$1005,$B105,'Detailed Budget'!$AR$5:$AR$1005),"")</f>
        <v/>
      </c>
      <c r="L105" s="44" t="str">
        <f>IF(SUMIF('Detailed Budget'!$F$5:$F$1005,$B105,'Detailed Budget'!$AT$5:$AT$1005)&gt;0,SUMIF('Detailed Budget'!$F$5:$F$1005,$B105,'Detailed Budget'!$AT$5:$AT$1005),"")</f>
        <v/>
      </c>
      <c r="M105" s="45" t="str">
        <f>IF(SUMIF('Detailed Budget'!$F$5:$F$1005,$B105,'Detailed Budget'!$AV$5:$AV$1005)&gt;0,SUMIF('Detailed Budget'!$F$5:$F$1005,$B105,'Detailed Budget'!$AV$5:$AV$1005),"")</f>
        <v/>
      </c>
      <c r="N105" s="44" t="str">
        <f>IF(SUMIF('Detailed Budget'!$F$5:$F$1005,$B105,'Detailed Budget'!$BA$5:$BA$1005)&gt;0,SUMIF('Detailed Budget'!$F$5:$F$1005,$B105,'Detailed Budget'!$BA$5:$BA$1005),"")</f>
        <v/>
      </c>
      <c r="O105" s="44" t="str">
        <f>IF(SUMIF('Detailed Budget'!$F$5:$F$1005,$B105,'Detailed Budget'!$BC$5:$BC$1005)&gt;0,SUMIF('Detailed Budget'!$F$5:$F$1005,$B105,'Detailed Budget'!$BC$5:$BC$1005),"")</f>
        <v/>
      </c>
      <c r="P105" s="44" t="str">
        <f>IF(SUMIF('Detailed Budget'!$F$5:$F$1005,$B105,'Detailed Budget'!$BE$5:$BE$1005)&gt;0,SUMIF('Detailed Budget'!$F$5:$F$1005,$B105,'Detailed Budget'!$BE$5:$BE$1005),"")</f>
        <v/>
      </c>
      <c r="Q105" s="44" t="str">
        <f>IF(SUMIF('Detailed Budget'!$F$5:$F$1005,$B105,'Detailed Budget'!$BG$5:$BG$1005)&gt;0,SUMIF('Detailed Budget'!$F$5:$F$1005,$B105,'Detailed Budget'!$BG$5:$BG$1005),"")</f>
        <v/>
      </c>
      <c r="R105" s="45" t="str">
        <f>IF(SUMIF('Detailed Budget'!$F$5:$F$1005,$B105,'Detailed Budget'!$BI$5:$BI$1005)&gt;0,SUMIF('Detailed Budget'!$F$5:$F$1005,$B105,'Detailed Budget'!$BI$5:$BI$1005),"")</f>
        <v/>
      </c>
      <c r="S105" s="44" t="str">
        <f>IF(SUMIF('Detailed Budget'!$F$5:$F$1005,$B105,'Detailed Budget'!$BN$5:$BN$1005)&gt;0,SUMIF('Detailed Budget'!$F$5:$F$1005,$B105,'Detailed Budget'!$BN$5:$BN$1005),"")</f>
        <v/>
      </c>
      <c r="T105" s="44" t="str">
        <f>IF(SUMIF('Detailed Budget'!$F$5:$F$1005,$B105,'Detailed Budget'!$BP$5:$BP$1005)&gt;0,SUMIF('Detailed Budget'!$F$5:$F$1005,$B105,'Detailed Budget'!$BP$5:$BP$1005),"")</f>
        <v/>
      </c>
      <c r="U105" s="44" t="str">
        <f>IF(SUMIF('Detailed Budget'!$F$5:$F$1005,$B105,'Detailed Budget'!$BR$5:$BR$1005)&gt;0,SUMIF('Detailed Budget'!$F$5:$F$1005,$B105,'Detailed Budget'!$BR$5:$BR$1005),"")</f>
        <v/>
      </c>
      <c r="V105" s="44" t="str">
        <f>IF(SUMIF('Detailed Budget'!$F$5:$F$1005,$B104,'Detailed Budget'!$BT$5:$BT$1005)&gt;0,SUMIF('Detailed Budget'!$F$5:$F$1005,$B104,'Detailed Budget'!$BT$5:$BT$1005),"")</f>
        <v/>
      </c>
      <c r="W105" s="45" t="str">
        <f>IF(SUMIF('Detailed Budget'!$F$5:$F$1005,$B105,'Detailed Budget'!$BV$5:$BV$1005)&gt;0,SUMIF('Detailed Budget'!$F$5:$F$1005,$B105,'Detailed Budget'!$BV$5:$BV$1005),"")</f>
        <v/>
      </c>
      <c r="X105" s="44" t="str">
        <f t="shared" si="4"/>
        <v/>
      </c>
      <c r="Y105" s="124" t="str">
        <f t="shared" si="3"/>
        <v/>
      </c>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row>
    <row r="106" spans="1:63" s="35" customFormat="1" ht="15" hidden="1" x14ac:dyDescent="0.25">
      <c r="A106" s="42"/>
      <c r="B106" s="81" t="str">
        <f t="array" ref="B106">IFERROR(INDEX(IntIdList,MATCH(0,COUNTIF(IntIdList,"&lt;"&amp;IntIdList)-SUM(COUNTIF(IntIdList,B$16:B105)),0)),"")</f>
        <v/>
      </c>
      <c r="C106" s="43" t="str">
        <f>IFERROR(INDEX('Data Sheet'!$D$29:$D$174,MATCH(B106,'Data Sheet'!$E$29:$E$174,0)) &amp; " - " &amp; INDEX('Data Sheet'!$C$29:$C$174,MATCH(B106,'Data Sheet'!$E$29:$E$174,0)),"")</f>
        <v/>
      </c>
      <c r="D106" s="44" t="str">
        <f>IF(SUMIF('Detailed Budget'!$F$5:$F$1005,$B106,'Detailed Budget'!$AA$5:$AA$1005)&gt;0,SUMIF('Detailed Budget'!$F$5:$F$1005,$B106,'Detailed Budget'!$AA$5:$AA$1005),"")</f>
        <v/>
      </c>
      <c r="E106" s="44" t="str">
        <f>IF(SUMIF('Detailed Budget'!$F$5:$F$1005,$B106,'Detailed Budget'!$AC$5:$AC$1005)&gt;0,SUMIF('Detailed Budget'!$F$5:$F$1005,$B106,'Detailed Budget'!$AC$5:$AC$1005),"")</f>
        <v/>
      </c>
      <c r="F106" s="44" t="str">
        <f>IF(SUMIF('Detailed Budget'!$F$5:$F$1005,$B106,'Detailed Budget'!$AE$5:$AE$1005)&gt;0,SUMIF('Detailed Budget'!$F$5:$F$1005,$B106,'Detailed Budget'!$AE$5:$AE$1005),"")</f>
        <v/>
      </c>
      <c r="G106" s="44" t="str">
        <f>IF(SUMIF('Detailed Budget'!$F$5:$F$1005,$B106,'Detailed Budget'!$AG$5:$AG$1005)&gt;0,SUMIF('Detailed Budget'!$F$5:$F$1005,$B106,'Detailed Budget'!$AG$5:$AG$1005),"")</f>
        <v/>
      </c>
      <c r="H106" s="45" t="str">
        <f>IF(SUMIF('Detailed Budget'!$F$5:$F$1005,$B106,'Detailed Budget'!$AI$5:$AI$1005)&gt;0,SUMIF('Detailed Budget'!$F$5:$F$1005,$B106,'Detailed Budget'!$AI$5:$AI$1005),"")</f>
        <v/>
      </c>
      <c r="I106" s="44" t="str">
        <f>IF(SUMIF('Detailed Budget'!$F$5:$F$1005,$B106,'Detailed Budget'!$AN$5:$AN$1005)&gt;0,SUMIF('Detailed Budget'!$F$5:$F$1005,$B106,'Detailed Budget'!$AN$5:$AN$1005),"")</f>
        <v/>
      </c>
      <c r="J106" s="44" t="str">
        <f>IF(SUMIF('Detailed Budget'!$F$5:$F$1005,$B106,'Detailed Budget'!$AP$5:$AP$1005)&gt;0,SUMIF('Detailed Budget'!$F$5:$F$1005,$B106,'Detailed Budget'!$AP$5:$AP$1005),"")</f>
        <v/>
      </c>
      <c r="K106" s="44" t="str">
        <f>IF(SUMIF('Detailed Budget'!$F$5:$F$1005,$B106,'Detailed Budget'!$AR$5:$AR$1005)&gt;0,SUMIF('Detailed Budget'!$F$5:$F$1005,$B106,'Detailed Budget'!$AR$5:$AR$1005),"")</f>
        <v/>
      </c>
      <c r="L106" s="44" t="str">
        <f>IF(SUMIF('Detailed Budget'!$F$5:$F$1005,$B106,'Detailed Budget'!$AT$5:$AT$1005)&gt;0,SUMIF('Detailed Budget'!$F$5:$F$1005,$B106,'Detailed Budget'!$AT$5:$AT$1005),"")</f>
        <v/>
      </c>
      <c r="M106" s="45" t="str">
        <f>IF(SUMIF('Detailed Budget'!$F$5:$F$1005,$B106,'Detailed Budget'!$AV$5:$AV$1005)&gt;0,SUMIF('Detailed Budget'!$F$5:$F$1005,$B106,'Detailed Budget'!$AV$5:$AV$1005),"")</f>
        <v/>
      </c>
      <c r="N106" s="44" t="str">
        <f>IF(SUMIF('Detailed Budget'!$F$5:$F$1005,$B106,'Detailed Budget'!$BA$5:$BA$1005)&gt;0,SUMIF('Detailed Budget'!$F$5:$F$1005,$B106,'Detailed Budget'!$BA$5:$BA$1005),"")</f>
        <v/>
      </c>
      <c r="O106" s="44" t="str">
        <f>IF(SUMIF('Detailed Budget'!$F$5:$F$1005,$B106,'Detailed Budget'!$BC$5:$BC$1005)&gt;0,SUMIF('Detailed Budget'!$F$5:$F$1005,$B106,'Detailed Budget'!$BC$5:$BC$1005),"")</f>
        <v/>
      </c>
      <c r="P106" s="44" t="str">
        <f>IF(SUMIF('Detailed Budget'!$F$5:$F$1005,$B106,'Detailed Budget'!$BE$5:$BE$1005)&gt;0,SUMIF('Detailed Budget'!$F$5:$F$1005,$B106,'Detailed Budget'!$BE$5:$BE$1005),"")</f>
        <v/>
      </c>
      <c r="Q106" s="44" t="str">
        <f>IF(SUMIF('Detailed Budget'!$F$5:$F$1005,$B106,'Detailed Budget'!$BG$5:$BG$1005)&gt;0,SUMIF('Detailed Budget'!$F$5:$F$1005,$B106,'Detailed Budget'!$BG$5:$BG$1005),"")</f>
        <v/>
      </c>
      <c r="R106" s="45" t="str">
        <f>IF(SUMIF('Detailed Budget'!$F$5:$F$1005,$B106,'Detailed Budget'!$BI$5:$BI$1005)&gt;0,SUMIF('Detailed Budget'!$F$5:$F$1005,$B106,'Detailed Budget'!$BI$5:$BI$1005),"")</f>
        <v/>
      </c>
      <c r="S106" s="44" t="str">
        <f>IF(SUMIF('Detailed Budget'!$F$5:$F$1005,$B106,'Detailed Budget'!$BN$5:$BN$1005)&gt;0,SUMIF('Detailed Budget'!$F$5:$F$1005,$B106,'Detailed Budget'!$BN$5:$BN$1005),"")</f>
        <v/>
      </c>
      <c r="T106" s="44" t="str">
        <f>IF(SUMIF('Detailed Budget'!$F$5:$F$1005,$B106,'Detailed Budget'!$BP$5:$BP$1005)&gt;0,SUMIF('Detailed Budget'!$F$5:$F$1005,$B106,'Detailed Budget'!$BP$5:$BP$1005),"")</f>
        <v/>
      </c>
      <c r="U106" s="44" t="str">
        <f>IF(SUMIF('Detailed Budget'!$F$5:$F$1005,$B106,'Detailed Budget'!$BR$5:$BR$1005)&gt;0,SUMIF('Detailed Budget'!$F$5:$F$1005,$B106,'Detailed Budget'!$BR$5:$BR$1005),"")</f>
        <v/>
      </c>
      <c r="V106" s="44" t="str">
        <f>IF(SUMIF('Detailed Budget'!$F$5:$F$1005,$B105,'Detailed Budget'!$BT$5:$BT$1005)&gt;0,SUMIF('Detailed Budget'!$F$5:$F$1005,$B105,'Detailed Budget'!$BT$5:$BT$1005),"")</f>
        <v/>
      </c>
      <c r="W106" s="45" t="str">
        <f>IF(SUMIF('Detailed Budget'!$F$5:$F$1005,$B106,'Detailed Budget'!$BV$5:$BV$1005)&gt;0,SUMIF('Detailed Budget'!$F$5:$F$1005,$B106,'Detailed Budget'!$BV$5:$BV$1005),"")</f>
        <v/>
      </c>
      <c r="X106" s="44" t="str">
        <f t="shared" si="4"/>
        <v/>
      </c>
      <c r="Y106" s="124" t="str">
        <f t="shared" si="3"/>
        <v/>
      </c>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row>
    <row r="107" spans="1:63" s="35" customFormat="1" ht="40.35" customHeight="1" x14ac:dyDescent="0.25">
      <c r="A107" s="74"/>
      <c r="B107" s="74"/>
      <c r="C107" s="73" t="str">
        <f ca="1">Translations!A$174</f>
        <v>Total</v>
      </c>
      <c r="D107" s="48">
        <f t="shared" ref="D107:X107" si="5">SUM(D17:D106)</f>
        <v>1451516.54961346</v>
      </c>
      <c r="E107" s="48">
        <f t="shared" si="5"/>
        <v>294720.31315088744</v>
      </c>
      <c r="F107" s="48">
        <f t="shared" si="5"/>
        <v>217075.38567376207</v>
      </c>
      <c r="G107" s="48">
        <f t="shared" si="5"/>
        <v>283621.58501355274</v>
      </c>
      <c r="H107" s="48">
        <f t="shared" si="5"/>
        <v>2246933.8334516622</v>
      </c>
      <c r="I107" s="48">
        <f t="shared" si="5"/>
        <v>1460333.3750126862</v>
      </c>
      <c r="J107" s="48">
        <f t="shared" si="5"/>
        <v>276858.99165088736</v>
      </c>
      <c r="K107" s="48">
        <f t="shared" si="5"/>
        <v>208593.54817376204</v>
      </c>
      <c r="L107" s="48">
        <f t="shared" si="5"/>
        <v>284139.74751355272</v>
      </c>
      <c r="M107" s="48">
        <f t="shared" si="5"/>
        <v>2229925.6623508884</v>
      </c>
      <c r="N107" s="48">
        <f t="shared" si="5"/>
        <v>1486191.8176191491</v>
      </c>
      <c r="O107" s="48">
        <f t="shared" si="5"/>
        <v>500118.16648696357</v>
      </c>
      <c r="P107" s="48">
        <f t="shared" si="5"/>
        <v>218121.76317376207</v>
      </c>
      <c r="Q107" s="48">
        <f t="shared" si="5"/>
        <v>250358.46326418838</v>
      </c>
      <c r="R107" s="48">
        <f t="shared" si="5"/>
        <v>2454790.2105440632</v>
      </c>
      <c r="S107" s="48">
        <f t="shared" si="5"/>
        <v>0</v>
      </c>
      <c r="T107" s="48">
        <f t="shared" si="5"/>
        <v>0</v>
      </c>
      <c r="U107" s="48">
        <f t="shared" si="5"/>
        <v>0</v>
      </c>
      <c r="V107" s="48">
        <f t="shared" si="5"/>
        <v>0</v>
      </c>
      <c r="W107" s="48">
        <f t="shared" si="5"/>
        <v>0</v>
      </c>
      <c r="X107" s="48">
        <f t="shared" si="5"/>
        <v>6931649.7063466115</v>
      </c>
      <c r="Y107" s="123">
        <f t="shared" si="3"/>
        <v>1</v>
      </c>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row>
    <row r="108" spans="1:63" s="35" customFormat="1" x14ac:dyDescent="0.2">
      <c r="A108" s="42"/>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row>
    <row r="109" spans="1:63" s="35" customFormat="1" x14ac:dyDescent="0.2">
      <c r="A109" s="42"/>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row>
    <row r="110" spans="1:63" s="35" customFormat="1" x14ac:dyDescent="0.2">
      <c r="A110" s="42"/>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row>
    <row r="111" spans="1:63" s="35" customFormat="1" x14ac:dyDescent="0.2">
      <c r="A111" s="42"/>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row>
    <row r="112" spans="1:63" s="35" customFormat="1" x14ac:dyDescent="0.2">
      <c r="A112" s="42"/>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row>
    <row r="113" spans="1:63" s="35" customFormat="1" x14ac:dyDescent="0.2">
      <c r="A113" s="42"/>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row>
    <row r="114" spans="1:63" x14ac:dyDescent="0.2">
      <c r="A114" s="42"/>
    </row>
    <row r="115" spans="1:63" x14ac:dyDescent="0.2">
      <c r="A115" s="42"/>
    </row>
    <row r="116" spans="1:63" x14ac:dyDescent="0.2">
      <c r="A116" s="42"/>
    </row>
    <row r="117" spans="1:63" x14ac:dyDescent="0.2">
      <c r="A117" s="42"/>
    </row>
    <row r="118" spans="1:63" x14ac:dyDescent="0.2">
      <c r="A118" s="42"/>
    </row>
    <row r="119" spans="1:63" x14ac:dyDescent="0.2">
      <c r="A119" s="42"/>
    </row>
    <row r="120" spans="1:63" x14ac:dyDescent="0.2">
      <c r="A120" s="42"/>
    </row>
    <row r="121" spans="1:63" x14ac:dyDescent="0.2">
      <c r="A121" s="42"/>
    </row>
    <row r="122" spans="1:63" x14ac:dyDescent="0.2">
      <c r="A122" s="42"/>
    </row>
    <row r="123" spans="1:63" x14ac:dyDescent="0.2">
      <c r="A123" s="42"/>
    </row>
    <row r="124" spans="1:63" x14ac:dyDescent="0.2">
      <c r="A124" s="42"/>
    </row>
    <row r="125" spans="1:63" x14ac:dyDescent="0.2">
      <c r="A125" s="42"/>
    </row>
    <row r="126" spans="1:63" x14ac:dyDescent="0.2">
      <c r="A126" s="42"/>
    </row>
    <row r="127" spans="1:63" x14ac:dyDescent="0.2">
      <c r="A127" s="42"/>
    </row>
    <row r="128" spans="1:63" x14ac:dyDescent="0.2">
      <c r="A128" s="42"/>
    </row>
    <row r="129" spans="1:1" x14ac:dyDescent="0.2">
      <c r="A129" s="42"/>
    </row>
    <row r="130" spans="1:1" x14ac:dyDescent="0.2">
      <c r="A130" s="42"/>
    </row>
    <row r="131" spans="1:1" x14ac:dyDescent="0.2">
      <c r="A131" s="42"/>
    </row>
    <row r="132" spans="1:1" x14ac:dyDescent="0.2">
      <c r="A132" s="42"/>
    </row>
    <row r="133" spans="1:1" x14ac:dyDescent="0.2">
      <c r="A133" s="42"/>
    </row>
    <row r="134" spans="1:1" x14ac:dyDescent="0.2">
      <c r="A134" s="42"/>
    </row>
    <row r="135" spans="1:1" x14ac:dyDescent="0.2">
      <c r="A135" s="42"/>
    </row>
    <row r="136" spans="1:1" x14ac:dyDescent="0.2">
      <c r="A136" s="42"/>
    </row>
    <row r="137" spans="1:1" x14ac:dyDescent="0.2">
      <c r="A137" s="42"/>
    </row>
    <row r="138" spans="1:1" x14ac:dyDescent="0.2">
      <c r="A138" s="42"/>
    </row>
    <row r="139" spans="1:1" x14ac:dyDescent="0.2">
      <c r="A139" s="42"/>
    </row>
    <row r="140" spans="1:1" x14ac:dyDescent="0.2">
      <c r="A140" s="42"/>
    </row>
    <row r="141" spans="1:1" x14ac:dyDescent="0.2">
      <c r="A141" s="42"/>
    </row>
    <row r="142" spans="1:1" x14ac:dyDescent="0.2">
      <c r="A142" s="42"/>
    </row>
    <row r="143" spans="1:1" x14ac:dyDescent="0.2">
      <c r="A143" s="42"/>
    </row>
    <row r="144" spans="1:1" x14ac:dyDescent="0.2">
      <c r="A144" s="42"/>
    </row>
    <row r="145" spans="1:1" x14ac:dyDescent="0.2">
      <c r="A145" s="42"/>
    </row>
    <row r="146" spans="1:1" x14ac:dyDescent="0.2">
      <c r="A146" s="42"/>
    </row>
    <row r="147" spans="1:1" x14ac:dyDescent="0.2">
      <c r="A147" s="42"/>
    </row>
  </sheetData>
  <sheetProtection algorithmName="SHA-512" hashValue="2vQgfxAJ95oW4ijBdec2eiXsKIIMcA3Ok9XqwePK/jet8GwyJRdaOB/R2a5aIAfTA8WMwKhYxCR7diZJNS48rA==" saltValue="SPbEkf+SyinaP6khoVl72A==" spinCount="100000" sheet="1" objects="1" scenarios="1" formatColumns="0" formatRows="0" sort="0" autoFilter="0"/>
  <autoFilter ref="C16:X107"/>
  <mergeCells count="7">
    <mergeCell ref="D7:F7"/>
    <mergeCell ref="D1:F1"/>
    <mergeCell ref="D2:F2"/>
    <mergeCell ref="D3:F3"/>
    <mergeCell ref="D4:F4"/>
    <mergeCell ref="D5:F5"/>
    <mergeCell ref="D6:F6"/>
  </mergeCells>
  <pageMargins left="0.70866141732283472" right="0.70866141732283472" top="0.74803149606299213" bottom="0.74803149606299213" header="0.31496062992125984" footer="0.31496062992125984"/>
  <pageSetup paperSize="9" scale="3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sheetPr>
  <dimension ref="A1:BV178"/>
  <sheetViews>
    <sheetView topLeftCell="C22" zoomScale="80" zoomScaleNormal="80" workbookViewId="0">
      <selection activeCell="D112" sqref="D112"/>
    </sheetView>
  </sheetViews>
  <sheetFormatPr defaultColWidth="9" defaultRowHeight="15.75" x14ac:dyDescent="0.25"/>
  <cols>
    <col min="1" max="1" width="15" hidden="1" customWidth="1"/>
    <col min="2" max="2" width="9.875" hidden="1" customWidth="1"/>
    <col min="3" max="3" width="33.625" customWidth="1"/>
    <col min="4" max="4" width="14.625" customWidth="1"/>
    <col min="5" max="5" width="16.25" customWidth="1"/>
    <col min="6" max="6" width="15.25" customWidth="1"/>
    <col min="7" max="7" width="19.5" customWidth="1"/>
    <col min="8" max="8" width="15.25" customWidth="1"/>
    <col min="9" max="9" width="13.625" customWidth="1"/>
    <col min="10" max="10" width="19" customWidth="1"/>
    <col min="11" max="11" width="18.75" customWidth="1"/>
    <col min="12" max="12" width="17.5" customWidth="1"/>
    <col min="13" max="13" width="15" customWidth="1"/>
    <col min="14" max="14" width="17.5" customWidth="1"/>
    <col min="15" max="15" width="17.25" customWidth="1"/>
    <col min="16" max="16" width="16.25" customWidth="1"/>
    <col min="17" max="17" width="19.25" customWidth="1"/>
    <col min="18" max="18" width="14.75" customWidth="1"/>
    <col min="19" max="19" width="21" hidden="1" customWidth="1"/>
    <col min="20" max="20" width="17.25" hidden="1" customWidth="1"/>
    <col min="21" max="21" width="17" hidden="1" customWidth="1"/>
    <col min="22" max="22" width="23.25" hidden="1" customWidth="1"/>
    <col min="23" max="23" width="15.25" hidden="1" customWidth="1"/>
    <col min="24" max="24" width="13.125" customWidth="1"/>
    <col min="26" max="74" width="9" style="128"/>
  </cols>
  <sheetData>
    <row r="1" spans="1:74" x14ac:dyDescent="0.25">
      <c r="C1" s="367" t="str">
        <f>Setup!A11</f>
        <v>Component Name</v>
      </c>
      <c r="D1" s="938" t="str">
        <f>'Data Sheet'!$A$280 &amp; IF('Data Sheet'!A281 &lt;&gt; "", "," &amp; 'Data Sheet'!A281 &amp; IF('Data Sheet'!A282 &lt;&gt; "", "," &amp; 'Data Sheet'!A282 &amp; IF('Data Sheet'!A283 &lt;&gt; "", "," &amp; 'Data Sheet'!A283,""),""),"")</f>
        <v>HIV/AIDS</v>
      </c>
      <c r="E1" s="938"/>
      <c r="F1" s="939"/>
    </row>
    <row r="2" spans="1:74" ht="16.5" x14ac:dyDescent="0.25">
      <c r="C2" s="368" t="str">
        <f ca="1">Setup!A4</f>
        <v>Country / Applicant:</v>
      </c>
      <c r="D2" s="940" t="str">
        <f>Setup!C4</f>
        <v>Lao (Peoples Democratic Republic)</v>
      </c>
      <c r="E2" s="940"/>
      <c r="F2" s="941"/>
    </row>
    <row r="3" spans="1:74" ht="16.5" x14ac:dyDescent="0.25">
      <c r="C3" s="368" t="s">
        <v>1745</v>
      </c>
      <c r="D3" s="940" t="str">
        <f>IFERROR(INDEX(Setup!$K$44:$K$71,MATCH("PR",Setup!$D$44:$D$71,0)),"")</f>
        <v>Ministry of Health of the Lao People's Democratic Republic</v>
      </c>
      <c r="E3" s="940"/>
      <c r="F3" s="941"/>
    </row>
    <row r="4" spans="1:74" x14ac:dyDescent="0.25">
      <c r="C4" s="369" t="str">
        <f>Setup!A5</f>
        <v>Application/Grant Name</v>
      </c>
      <c r="D4" s="940" t="str">
        <f>Setup!C5</f>
        <v>LAO-H-GFMOH</v>
      </c>
      <c r="E4" s="940"/>
      <c r="F4" s="941"/>
    </row>
    <row r="5" spans="1:74" x14ac:dyDescent="0.25">
      <c r="C5" s="369" t="str">
        <f>Setup!A6</f>
        <v>IP Start Date</v>
      </c>
      <c r="D5" s="942">
        <f>Setup!C6</f>
        <v>43101</v>
      </c>
      <c r="E5" s="942"/>
      <c r="F5" s="943"/>
    </row>
    <row r="6" spans="1:74" x14ac:dyDescent="0.25">
      <c r="C6" s="369" t="str">
        <f>Setup!A7</f>
        <v>IP End Date</v>
      </c>
      <c r="D6" s="942">
        <f>Setup!C7</f>
        <v>44196</v>
      </c>
      <c r="E6" s="942"/>
      <c r="F6" s="943"/>
    </row>
    <row r="7" spans="1:74" ht="16.5" thickBot="1" x14ac:dyDescent="0.3">
      <c r="C7" s="370" t="s">
        <v>1746</v>
      </c>
      <c r="D7" s="936" t="str">
        <f>Setup!C30</f>
        <v>USD</v>
      </c>
      <c r="E7" s="936"/>
      <c r="F7" s="937"/>
    </row>
    <row r="9" spans="1:74" ht="18" customHeight="1" x14ac:dyDescent="0.25">
      <c r="C9" s="80" t="s">
        <v>1940</v>
      </c>
    </row>
    <row r="10" spans="1:74" ht="18" x14ac:dyDescent="0.25">
      <c r="C10" s="80"/>
    </row>
    <row r="11" spans="1:74" ht="18" x14ac:dyDescent="0.25">
      <c r="C11" s="80"/>
    </row>
    <row r="12" spans="1:74" ht="18.75" thickBot="1" x14ac:dyDescent="0.3">
      <c r="C12" s="80"/>
    </row>
    <row r="13" spans="1:74" ht="18" x14ac:dyDescent="0.25">
      <c r="C13" s="80"/>
      <c r="D13" s="198">
        <f>Setup!C20</f>
        <v>43101</v>
      </c>
      <c r="E13" s="199">
        <f>Setup!C22</f>
        <v>43191</v>
      </c>
      <c r="F13" s="199">
        <f>Setup!C24</f>
        <v>43282</v>
      </c>
      <c r="G13" s="202">
        <f>Setup!C26</f>
        <v>43374</v>
      </c>
      <c r="H13" s="204"/>
      <c r="I13" s="198">
        <f>Setup!E20</f>
        <v>43466</v>
      </c>
      <c r="J13" s="199">
        <f>Setup!E22</f>
        <v>43556</v>
      </c>
      <c r="K13" s="199">
        <f>Setup!E24</f>
        <v>43647</v>
      </c>
      <c r="L13" s="202">
        <f>Setup!E26</f>
        <v>43739</v>
      </c>
      <c r="M13" s="204"/>
      <c r="N13" s="198">
        <f>Setup!G20</f>
        <v>43831</v>
      </c>
      <c r="O13" s="199">
        <f>Setup!G22</f>
        <v>43922</v>
      </c>
      <c r="P13" s="199">
        <f>Setup!G24</f>
        <v>44013</v>
      </c>
      <c r="Q13" s="202">
        <f>Setup!G26</f>
        <v>44105</v>
      </c>
      <c r="R13" s="204"/>
      <c r="S13" s="198" t="str">
        <f>Setup!I20</f>
        <v/>
      </c>
      <c r="T13" s="199" t="str">
        <f>Setup!I22</f>
        <v/>
      </c>
      <c r="U13" s="199" t="str">
        <f>Setup!I24</f>
        <v/>
      </c>
      <c r="V13" s="202" t="str">
        <f>Setup!I26</f>
        <v/>
      </c>
    </row>
    <row r="14" spans="1:74" ht="18.75" thickBot="1" x14ac:dyDescent="0.3">
      <c r="C14" s="80"/>
      <c r="D14" s="200">
        <f>Setup!C21</f>
        <v>43190</v>
      </c>
      <c r="E14" s="201">
        <f>Setup!C23</f>
        <v>43281</v>
      </c>
      <c r="F14" s="201">
        <f>Setup!C25</f>
        <v>43373</v>
      </c>
      <c r="G14" s="203">
        <f>Setup!C27</f>
        <v>43465</v>
      </c>
      <c r="H14" s="204"/>
      <c r="I14" s="200">
        <f>Setup!E21</f>
        <v>43555</v>
      </c>
      <c r="J14" s="201">
        <f>Setup!E23</f>
        <v>43646</v>
      </c>
      <c r="K14" s="201">
        <f>Setup!E25</f>
        <v>43738</v>
      </c>
      <c r="L14" s="203">
        <f>Setup!E27</f>
        <v>43830</v>
      </c>
      <c r="M14" s="204"/>
      <c r="N14" s="200">
        <f>Setup!G21</f>
        <v>43921</v>
      </c>
      <c r="O14" s="201">
        <f>Setup!G23</f>
        <v>44012</v>
      </c>
      <c r="P14" s="201">
        <f>Setup!G25</f>
        <v>44104</v>
      </c>
      <c r="Q14" s="203">
        <f>Setup!G27</f>
        <v>44196</v>
      </c>
      <c r="R14" s="204"/>
      <c r="S14" s="200" t="str">
        <f>Setup!I21</f>
        <v/>
      </c>
      <c r="T14" s="201" t="str">
        <f>Setup!I23</f>
        <v/>
      </c>
      <c r="U14" s="201" t="str">
        <f>Setup!I25</f>
        <v/>
      </c>
      <c r="V14" s="203" t="str">
        <f>Setup!I27</f>
        <v/>
      </c>
    </row>
    <row r="16" spans="1:74" s="79" customFormat="1" ht="15" x14ac:dyDescent="0.25">
      <c r="A16" s="76"/>
      <c r="B16" s="232"/>
      <c r="C16" s="77" t="s">
        <v>1798</v>
      </c>
      <c r="D16" s="78" t="s">
        <v>1168</v>
      </c>
      <c r="E16" s="78" t="s">
        <v>1169</v>
      </c>
      <c r="F16" s="78" t="s">
        <v>1170</v>
      </c>
      <c r="G16" s="78" t="s">
        <v>1171</v>
      </c>
      <c r="H16" s="78" t="str">
        <f ca="1">Translations!A$160</f>
        <v>Year 1</v>
      </c>
      <c r="I16" s="78" t="s">
        <v>1223</v>
      </c>
      <c r="J16" s="78" t="s">
        <v>1224</v>
      </c>
      <c r="K16" s="78" t="s">
        <v>1225</v>
      </c>
      <c r="L16" s="78" t="s">
        <v>1226</v>
      </c>
      <c r="M16" s="78" t="str">
        <f ca="1">Translations!$A$161</f>
        <v>Year 2</v>
      </c>
      <c r="N16" s="78" t="s">
        <v>1227</v>
      </c>
      <c r="O16" s="78" t="s">
        <v>1228</v>
      </c>
      <c r="P16" s="78" t="s">
        <v>1229</v>
      </c>
      <c r="Q16" s="78" t="s">
        <v>1230</v>
      </c>
      <c r="R16" s="78" t="str">
        <f ca="1">Translations!$A$162</f>
        <v>Year 3</v>
      </c>
      <c r="S16" s="78" t="s">
        <v>1231</v>
      </c>
      <c r="T16" s="78" t="s">
        <v>1232</v>
      </c>
      <c r="U16" s="78" t="s">
        <v>1233</v>
      </c>
      <c r="V16" s="78" t="s">
        <v>1234</v>
      </c>
      <c r="W16" s="78" t="str">
        <f ca="1">Translations!A163</f>
        <v>Year 4</v>
      </c>
      <c r="X16" s="78" t="str">
        <f ca="1">Translations!$A$174</f>
        <v>Total</v>
      </c>
      <c r="Y16" s="78" t="s">
        <v>1864</v>
      </c>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row>
    <row r="17" spans="1:25" x14ac:dyDescent="0.25">
      <c r="A17" s="42"/>
      <c r="B17" s="234">
        <f t="array" ref="B17">IFERROR(INDEX(CostInpNoList,MATCH(0,IF(ISBLANK(CostInpNoList),"",COUNTIF(B$16:B16,CostInpNoList)),0)),"")</f>
        <v>12.5</v>
      </c>
      <c r="C17" s="372" t="str">
        <f>IFERROR(INDEX('Data Sheet'!$F$198:$F$275,MATCH(B17,'Data Sheet'!$G$198:$G$275,0)),"")</f>
        <v>12.5 Other LSCTP costs</v>
      </c>
      <c r="D17" s="44">
        <f>IF(SUMIFS('Detailed Budget'!$AA$5:$AA$1005,'Detailed Budget'!$L$5:$L$1005,$B17,'Detailed Budget'!$L$5:$L$1005,"&gt;0")&gt;0,SUMIFS('Detailed Budget'!$AA$5:$AA$1005,'Detailed Budget'!$L$5:$L$1005,$B17,'Detailed Budget'!$L$5:$L$1005,"&gt;0"),"")</f>
        <v>23232.07774000975</v>
      </c>
      <c r="E17" s="44">
        <f>IF(SUMIFS('Detailed Budget'!$AC$5:$AC$1005,'Detailed Budget'!$L$5:$L$1005,$B17,'Detailed Budget'!$L$5:$L$1005,"&gt;0")&gt;0,SUMIFS('Detailed Budget'!$AC$5:$AC$1005,'Detailed Budget'!$L$5:$L$1005,$B17,'Detailed Budget'!$L$5:$L$1005,"&gt;0"),"")</f>
        <v>23232.07774000975</v>
      </c>
      <c r="F17" s="44">
        <f>IF(SUMIFS('Detailed Budget'!$AE$5:$AE$1005,'Detailed Budget'!$L$5:$L$1005,$B17,'Detailed Budget'!$L$5:$L$1005,"&gt;0")&gt;0,SUMIFS('Detailed Budget'!$AE$5:$AE$1005,'Detailed Budget'!$L$5:$L$1005,$B17,'Detailed Budget'!$L$5:$L$1005,"&gt;0"),"")</f>
        <v>23232.07774000975</v>
      </c>
      <c r="G17" s="44">
        <f>IF(SUMIFS('Detailed Budget'!$AG$5:$AG$1005,'Detailed Budget'!$L$5:$L$1005,$B17,'Detailed Budget'!$L$5:$L$1005,"&gt;0")&gt;0,SUMIFS('Detailed Budget'!$AG$5:$AG$1005,'Detailed Budget'!$L$5:$L$1005,$B17,'Detailed Budget'!$L$5:$L$1005,"&gt;0"),"")</f>
        <v>23232.07774000975</v>
      </c>
      <c r="H17" s="45">
        <f>IF(SUMIFS('Detailed Budget'!$AI$5:$AI$1005,'Detailed Budget'!$L$5:$L$1005,$B17,'Detailed Budget'!$L$5:$L$1005,"&gt;0")&gt;0,SUMIFS('Detailed Budget'!$AI$5:$AI$1005,'Detailed Budget'!$L$5:$L$1005,$B17,'Detailed Budget'!$L$5:$L$1005,"&gt;0"),"")</f>
        <v>92928.310960039002</v>
      </c>
      <c r="I17" s="44">
        <f>IF(SUMIFS('Detailed Budget'!$AN$5:$AN$1005,'Detailed Budget'!$L$5:$L$1005,$B17,'Detailed Budget'!$L$5:$L$1005,"&gt;0")&gt;0,SUMIFS('Detailed Budget'!$AN$5:$AN$1005,'Detailed Budget'!$L$5:$L$1005,$B17,'Detailed Budget'!$L$5:$L$1005,"&gt;0"),"")</f>
        <v>23232.07774000975</v>
      </c>
      <c r="J17" s="44">
        <f>IF(SUMIFS('Detailed Budget'!$AP$5:$AP$1005,'Detailed Budget'!$L$5:$L$1005,$B17,'Detailed Budget'!$L$5:$L$1005,"&gt;0")&gt;0,SUMIFS('Detailed Budget'!$AP$5:$AP$1005,'Detailed Budget'!$L$5:$L$1005,$B17,'Detailed Budget'!$L$5:$L$1005,"&gt;0"),"")</f>
        <v>23232.07774000975</v>
      </c>
      <c r="K17" s="44">
        <f>IF(SUMIFS('Detailed Budget'!$AR$5:$AR$1005,'Detailed Budget'!$L$5:$L$1005,$B17,'Detailed Budget'!$L$5:$L$1005,"&gt;0")&gt;0,SUMIFS('Detailed Budget'!$AR$5:$AR$1005,'Detailed Budget'!$L$5:$L$1005,$B17,'Detailed Budget'!$L$5:$L$1005,"&gt;0"),"")</f>
        <v>23232.07774000975</v>
      </c>
      <c r="L17" s="44">
        <f>IF(SUMIFS('Detailed Budget'!$AT$5:$AT$1005,'Detailed Budget'!$L$5:$L$1005,$B17,'Detailed Budget'!$L$5:$L$1005,"&gt;0")&gt;0,SUMIFS('Detailed Budget'!$AT$5:$AT$1005,'Detailed Budget'!$L$5:$L$1005,$B17,'Detailed Budget'!$L$5:$L$1005,"&gt;0"),"")</f>
        <v>23232.07774000975</v>
      </c>
      <c r="M17" s="45">
        <f>IF(SUMIFS('Detailed Budget'!$AV$5:$AV$1005,'Detailed Budget'!$L$5:$L$1005,$B17,'Detailed Budget'!$L$5:$L$1005,"&gt;0")&gt;0,SUMIFS('Detailed Budget'!$AV$5:$AV$1005,'Detailed Budget'!$L$5:$L$1005,$B17,'Detailed Budget'!$L$5:$L$1005,"&gt;0"),"")</f>
        <v>92928.310960039002</v>
      </c>
      <c r="N17" s="44">
        <f>IF(SUMIFS('Detailed Budget'!$BA$5:$BA$1005,'Detailed Budget'!$L$5:$L$1005,$B17,'Detailed Budget'!$L$5:$L$1005,"&gt;0")&gt;0,SUMIFS('Detailed Budget'!$BA$5:$BA$1005,'Detailed Budget'!$L$5:$L$1005,$B17,'Detailed Budget'!$L$5:$L$1005,"&gt;0"),"")</f>
        <v>23232.07774000975</v>
      </c>
      <c r="O17" s="44">
        <f>IF(SUMIFS('Detailed Budget'!$BC$5:$BC$1005,'Detailed Budget'!$L$5:$L$1005,$B17,'Detailed Budget'!$L$5:$L$1005,"&gt;0")&gt;0,SUMIFS('Detailed Budget'!$BC$5:$BC$1005,'Detailed Budget'!$L$5:$L$1005,$B17,'Detailed Budget'!$L$5:$L$1005,"&gt;0"),"")</f>
        <v>23232.07774000975</v>
      </c>
      <c r="P17" s="44">
        <f>IF(SUMIFS('Detailed Budget'!$BE$5:$BE$1005,'Detailed Budget'!$L$5:$L$1005,$B17,'Detailed Budget'!$L$5:$L$1005,"&gt;0")&gt;0,SUMIFS('Detailed Budget'!$BE$5:$BE$1005,'Detailed Budget'!$L$5:$L$1005,$B17,'Detailed Budget'!$L$5:$L$1005,"&gt;0"),"")</f>
        <v>23232.07774000975</v>
      </c>
      <c r="Q17" s="44">
        <f>IF(SUMIFS('Detailed Budget'!$BG$5:$BG$1005,'Detailed Budget'!$L$5:$L$1005,$B17,'Detailed Budget'!$L$5:$L$1005,"&gt;0")&gt;0,SUMIFS('Detailed Budget'!$BG$5:$BG$1005,'Detailed Budget'!$L$5:$L$1005,$B17,'Detailed Budget'!$L$5:$L$1005,"&gt;0"),"")</f>
        <v>23232.07774000975</v>
      </c>
      <c r="R17" s="45">
        <f>IF(SUMIFS('Detailed Budget'!$BI$5:$BI$1005,'Detailed Budget'!$L$5:$L$1005,$B17,'Detailed Budget'!$L$5:$L$1005,"&gt;0")&gt;0,SUMIFS('Detailed Budget'!$BI$5:$BI$1005,'Detailed Budget'!$L$5:$L$1005,$B17,'Detailed Budget'!$L$5:$L$1005,"&gt;0"),"")</f>
        <v>92928.310960039002</v>
      </c>
      <c r="S17" s="44" t="str">
        <f>IF(SUMIFS('Detailed Budget'!$BN$5:$BN$1005,'Detailed Budget'!$L$5:$L$1005,$B17,'Detailed Budget'!$L$5:$L$1005,"&gt;0")&gt;0,SUMIFS('Detailed Budget'!$BN$5:$BN$1005,'Detailed Budget'!$L$5:$L$1005,$B17,'Detailed Budget'!$L$5:$L$1005,"&gt;0"),"")</f>
        <v/>
      </c>
      <c r="T17" s="44" t="str">
        <f>IF(SUMIFS('Detailed Budget'!$BP$5:$BP$1005,'Detailed Budget'!$L$5:$L$1005,$B17,'Detailed Budget'!$L$5:$L$1005,"&gt;0")&gt;0,SUMIFS('Detailed Budget'!$BP$5:$BP$1005,'Detailed Budget'!$L$5:$L$1005,$B17,'Detailed Budget'!$L$5:$L$1005,"&gt;0"),"")</f>
        <v/>
      </c>
      <c r="U17" s="44" t="str">
        <f>IF(SUMIFS('Detailed Budget'!$BR$5:$BR$1005,'Detailed Budget'!$L$5:$L$1005,$B17,'Detailed Budget'!$L$5:$L$1005,"&gt;0")&gt;0,SUMIFS('Detailed Budget'!$BR$5:$BR$1005,'Detailed Budget'!$L$5:$L$1005,$B17,'Detailed Budget'!$L$5:$L$1005,"&gt;0"),"")</f>
        <v/>
      </c>
      <c r="V17" s="44" t="str">
        <f>IF(SUMIFS('Detailed Budget'!$BT$5:$BT$1005,'Detailed Budget'!$L$5:$L$1005,$B17,'Detailed Budget'!$L$5:$L$1005,"&gt;0")&gt;0,SUMIFS('Detailed Budget'!$BT$5:$BT$1005,'Detailed Budget'!$L$5:$L$1005,$B17,'Detailed Budget'!$L$5:$L$1005,"&gt;0"),"")</f>
        <v/>
      </c>
      <c r="W17" s="45" t="str">
        <f>IF(SUMIFS('Detailed Budget'!$BV$5:$BV$1005,'Detailed Budget'!$L$5:$L$1005,$B17,'Detailed Budget'!$L$5:$L$1005,"&gt;0")&gt;0,SUMIFS('Detailed Budget'!$BV$5:$BV$1005,'Detailed Budget'!$L$5:$L$1005,$B17,'Detailed Budget'!$L$5:$L$1005,"&gt;0"),"")</f>
        <v/>
      </c>
      <c r="X17" s="44">
        <f t="shared" ref="X17:X48" si="0">IF(SUM(H17,M17,R17,W17)&gt;0,SUM(H17,M17,R17,W17),"")</f>
        <v>278784.93288011698</v>
      </c>
      <c r="Y17" s="124">
        <f t="shared" ref="Y17:Y48" si="1">IFERROR(X17/$X$107,"")</f>
        <v>4.0219131763808216E-2</v>
      </c>
    </row>
    <row r="18" spans="1:25" ht="26.25" x14ac:dyDescent="0.25">
      <c r="A18" s="35"/>
      <c r="B18" s="234">
        <f t="array" ref="B18">IFERROR(INDEX(CostInpNoList,MATCH(0,IF(ISBLANK(CostInpNoList),"",COUNTIF(B$16:B17,CostInpNoList)),0)),"")</f>
        <v>2.4</v>
      </c>
      <c r="C18" s="372" t="str">
        <f>IFERROR(INDEX('Data Sheet'!$F$198:$F$275,MATCH(B18,'Data Sheet'!$G$198:$G$275,0)),"")</f>
        <v>2.4 Meeting/Advocacy related per diems/transport/other costs</v>
      </c>
      <c r="D18" s="44">
        <f>IF(SUMIFS('Detailed Budget'!$AA$5:$AA$1005,'Detailed Budget'!$L$5:$L$1005,$B18,'Detailed Budget'!$L$5:$L$1005,"&gt;0")&gt;0,SUMIFS('Detailed Budget'!$AA$5:$AA$1005,'Detailed Budget'!$L$5:$L$1005,$B18,'Detailed Budget'!$L$5:$L$1005,"&gt;0"),"")</f>
        <v>14980.812606015545</v>
      </c>
      <c r="E18" s="44">
        <f>IF(SUMIFS('Detailed Budget'!$AC$5:$AC$1005,'Detailed Budget'!$L$5:$L$1005,$B18,'Detailed Budget'!$L$5:$L$1005,"&gt;0")&gt;0,SUMIFS('Detailed Budget'!$AC$5:$AC$1005,'Detailed Budget'!$L$5:$L$1005,$B18,'Detailed Budget'!$L$5:$L$1005,"&gt;0"),"")</f>
        <v>22980.601983600642</v>
      </c>
      <c r="F18" s="44">
        <f>IF(SUMIFS('Detailed Budget'!$AE$5:$AE$1005,'Detailed Budget'!$L$5:$L$1005,$B18,'Detailed Budget'!$L$5:$L$1005,"&gt;0")&gt;0,SUMIFS('Detailed Budget'!$AE$5:$AE$1005,'Detailed Budget'!$L$5:$L$1005,$B18,'Detailed Budget'!$L$5:$L$1005,"&gt;0"),"")</f>
        <v>22250.903853972177</v>
      </c>
      <c r="G18" s="44">
        <f>IF(SUMIFS('Detailed Budget'!$AG$5:$AG$1005,'Detailed Budget'!$L$5:$L$1005,$B18,'Detailed Budget'!$L$5:$L$1005,"&gt;0")&gt;0,SUMIFS('Detailed Budget'!$AG$5:$AG$1005,'Detailed Budget'!$L$5:$L$1005,$B18,'Detailed Budget'!$L$5:$L$1005,"&gt;0"),"")</f>
        <v>49765.534668153698</v>
      </c>
      <c r="H18" s="45">
        <f>IF(SUMIFS('Detailed Budget'!$AI$5:$AI$1005,'Detailed Budget'!$L$5:$L$1005,$B18,'Detailed Budget'!$L$5:$L$1005,"&gt;0")&gt;0,SUMIFS('Detailed Budget'!$AI$5:$AI$1005,'Detailed Budget'!$L$5:$L$1005,$B18,'Detailed Budget'!$L$5:$L$1005,"&gt;0"),"")</f>
        <v>109977.85311174205</v>
      </c>
      <c r="I18" s="44">
        <f>IF(SUMIFS('Detailed Budget'!$AN$5:$AN$1005,'Detailed Budget'!$L$5:$L$1005,$B18,'Detailed Budget'!$L$5:$L$1005,"&gt;0")&gt;0,SUMIFS('Detailed Budget'!$AN$5:$AN$1005,'Detailed Budget'!$L$5:$L$1005,$B18,'Detailed Budget'!$L$5:$L$1005,"&gt;0"),"")</f>
        <v>14051.883663774952</v>
      </c>
      <c r="J18" s="44">
        <f>IF(SUMIFS('Detailed Budget'!$AP$5:$AP$1005,'Detailed Budget'!$L$5:$L$1005,$B18,'Detailed Budget'!$L$5:$L$1005,"&gt;0")&gt;0,SUMIFS('Detailed Budget'!$AP$5:$AP$1005,'Detailed Budget'!$L$5:$L$1005,$B18,'Detailed Budget'!$L$5:$L$1005,"&gt;0"),"")</f>
        <v>22980.601983600642</v>
      </c>
      <c r="K18" s="44">
        <f>IF(SUMIFS('Detailed Budget'!$AR$5:$AR$1005,'Detailed Budget'!$L$5:$L$1005,$B18,'Detailed Budget'!$L$5:$L$1005,"&gt;0")&gt;0,SUMIFS('Detailed Budget'!$AR$5:$AR$1005,'Detailed Budget'!$L$5:$L$1005,$B18,'Detailed Budget'!$L$5:$L$1005,"&gt;0"),"")</f>
        <v>22250.903853972177</v>
      </c>
      <c r="L18" s="44">
        <f>IF(SUMIFS('Detailed Budget'!$AT$5:$AT$1005,'Detailed Budget'!$L$5:$L$1005,$B18,'Detailed Budget'!$L$5:$L$1005,"&gt;0")&gt;0,SUMIFS('Detailed Budget'!$AT$5:$AT$1005,'Detailed Budget'!$L$5:$L$1005,$B18,'Detailed Budget'!$L$5:$L$1005,"&gt;0"),"")</f>
        <v>49765.534668153698</v>
      </c>
      <c r="M18" s="45">
        <f>IF(SUMIFS('Detailed Budget'!$AV$5:$AV$1005,'Detailed Budget'!$L$5:$L$1005,$B18,'Detailed Budget'!$L$5:$L$1005,"&gt;0")&gt;0,SUMIFS('Detailed Budget'!$AV$5:$AV$1005,'Detailed Budget'!$L$5:$L$1005,$B18,'Detailed Budget'!$L$5:$L$1005,"&gt;0"),"")</f>
        <v>109048.92416950146</v>
      </c>
      <c r="N18" s="44">
        <f>IF(SUMIFS('Detailed Budget'!$BA$5:$BA$1005,'Detailed Budget'!$L$5:$L$1005,$B18,'Detailed Budget'!$L$5:$L$1005,"&gt;0")&gt;0,SUMIFS('Detailed Budget'!$BA$5:$BA$1005,'Detailed Budget'!$L$5:$L$1005,$B18,'Detailed Budget'!$L$5:$L$1005,"&gt;0"),"")</f>
        <v>14051.883663774952</v>
      </c>
      <c r="O18" s="44">
        <f>IF(SUMIFS('Detailed Budget'!$BC$5:$BC$1005,'Detailed Budget'!$L$5:$L$1005,$B18,'Detailed Budget'!$L$5:$L$1005,"&gt;0")&gt;0,SUMIFS('Detailed Budget'!$BC$5:$BC$1005,'Detailed Budget'!$L$5:$L$1005,$B18,'Detailed Budget'!$L$5:$L$1005,"&gt;0"),"")</f>
        <v>22980.601983600642</v>
      </c>
      <c r="P18" s="44">
        <f>IF(SUMIFS('Detailed Budget'!$BE$5:$BE$1005,'Detailed Budget'!$L$5:$L$1005,$B18,'Detailed Budget'!$L$5:$L$1005,"&gt;0")&gt;0,SUMIFS('Detailed Budget'!$BE$5:$BE$1005,'Detailed Budget'!$L$5:$L$1005,$B18,'Detailed Budget'!$L$5:$L$1005,"&gt;0"),"")</f>
        <v>22250.903853972177</v>
      </c>
      <c r="Q18" s="44">
        <f>IF(SUMIFS('Detailed Budget'!$BG$5:$BG$1005,'Detailed Budget'!$L$5:$L$1005,$B18,'Detailed Budget'!$L$5:$L$1005,"&gt;0")&gt;0,SUMIFS('Detailed Budget'!$BG$5:$BG$1005,'Detailed Budget'!$L$5:$L$1005,$B18,'Detailed Budget'!$L$5:$L$1005,"&gt;0"),"")</f>
        <v>30456.035418789405</v>
      </c>
      <c r="R18" s="45">
        <f>IF(SUMIFS('Detailed Budget'!$BI$5:$BI$1005,'Detailed Budget'!$L$5:$L$1005,$B18,'Detailed Budget'!$L$5:$L$1005,"&gt;0")&gt;0,SUMIFS('Detailed Budget'!$BI$5:$BI$1005,'Detailed Budget'!$L$5:$L$1005,$B18,'Detailed Budget'!$L$5:$L$1005,"&gt;0"),"")</f>
        <v>89739.424920137171</v>
      </c>
      <c r="S18" s="44" t="str">
        <f>IF(SUMIFS('Detailed Budget'!$BN$5:$BN$1005,'Detailed Budget'!$L$5:$L$1005,$B18,'Detailed Budget'!$L$5:$L$1005,"&gt;0")&gt;0,SUMIFS('Detailed Budget'!$BN$5:$BN$1005,'Detailed Budget'!$L$5:$L$1005,$B18,'Detailed Budget'!$L$5:$L$1005,"&gt;0"),"")</f>
        <v/>
      </c>
      <c r="T18" s="44" t="str">
        <f>IF(SUMIFS('Detailed Budget'!$BP$5:$BP$1005,'Detailed Budget'!$L$5:$L$1005,$B18,'Detailed Budget'!$L$5:$L$1005,"&gt;0")&gt;0,SUMIFS('Detailed Budget'!$BP$5:$BP$1005,'Detailed Budget'!$L$5:$L$1005,$B18,'Detailed Budget'!$L$5:$L$1005,"&gt;0"),"")</f>
        <v/>
      </c>
      <c r="U18" s="44" t="str">
        <f>IF(SUMIFS('Detailed Budget'!$BR$5:$BR$1005,'Detailed Budget'!$L$5:$L$1005,$B18,'Detailed Budget'!$L$5:$L$1005,"&gt;0")&gt;0,SUMIFS('Detailed Budget'!$BR$5:$BR$1005,'Detailed Budget'!$L$5:$L$1005,$B18,'Detailed Budget'!$L$5:$L$1005,"&gt;0"),"")</f>
        <v/>
      </c>
      <c r="V18" s="44" t="str">
        <f>IF(SUMIFS('Detailed Budget'!$BT$5:$BT$1005,'Detailed Budget'!$L$5:$L$1005,$B18,'Detailed Budget'!$L$5:$L$1005,"&gt;0")&gt;0,SUMIFS('Detailed Budget'!$BT$5:$BT$1005,'Detailed Budget'!$L$5:$L$1005,$B18,'Detailed Budget'!$L$5:$L$1005,"&gt;0"),"")</f>
        <v/>
      </c>
      <c r="W18" s="45" t="str">
        <f>IF(SUMIFS('Detailed Budget'!$BV$5:$BV$1005,'Detailed Budget'!$L$5:$L$1005,$B18,'Detailed Budget'!$L$5:$L$1005,"&gt;0")&gt;0,SUMIFS('Detailed Budget'!$BV$5:$BV$1005,'Detailed Budget'!$L$5:$L$1005,$B18,'Detailed Budget'!$L$5:$L$1005,"&gt;0"),"")</f>
        <v/>
      </c>
      <c r="X18" s="44">
        <f t="shared" si="0"/>
        <v>308766.20220138069</v>
      </c>
      <c r="Y18" s="124">
        <f t="shared" si="1"/>
        <v>4.4544403609818102E-2</v>
      </c>
    </row>
    <row r="19" spans="1:25" x14ac:dyDescent="0.25">
      <c r="A19" s="35"/>
      <c r="B19" s="234">
        <f t="array" ref="B19">IFERROR(INDEX(CostInpNoList,MATCH(0,IF(ISBLANK(CostInpNoList),"",COUNTIF(B$16:B18,CostInpNoList)),0)),"")</f>
        <v>2.5</v>
      </c>
      <c r="C19" s="372" t="str">
        <f>IFERROR(INDEX('Data Sheet'!$F$198:$F$275,MATCH(B19,'Data Sheet'!$G$198:$G$275,0)),"")</f>
        <v>2.5 Other Transportation costs</v>
      </c>
      <c r="D19" s="44">
        <f>IF(SUMIFS('Detailed Budget'!$AA$5:$AA$1005,'Detailed Budget'!$L$5:$L$1005,$B19,'Detailed Budget'!$L$5:$L$1005,"&gt;0")&gt;0,SUMIFS('Detailed Budget'!$AA$5:$AA$1005,'Detailed Budget'!$L$5:$L$1005,$B19,'Detailed Budget'!$L$5:$L$1005,"&gt;0"),"")</f>
        <v>5586.4075401455593</v>
      </c>
      <c r="E19" s="44">
        <f>IF(SUMIFS('Detailed Budget'!$AC$5:$AC$1005,'Detailed Budget'!$L$5:$L$1005,$B19,'Detailed Budget'!$L$5:$L$1005,"&gt;0")&gt;0,SUMIFS('Detailed Budget'!$AC$5:$AC$1005,'Detailed Budget'!$L$5:$L$1005,$B19,'Detailed Budget'!$L$5:$L$1005,"&gt;0"),"")</f>
        <v>5234.3923620333353</v>
      </c>
      <c r="F19" s="44">
        <f>IF(SUMIFS('Detailed Budget'!$AE$5:$AE$1005,'Detailed Budget'!$L$5:$L$1005,$B19,'Detailed Budget'!$L$5:$L$1005,"&gt;0")&gt;0,SUMIFS('Detailed Budget'!$AE$5:$AE$1005,'Detailed Budget'!$L$5:$L$1005,$B19,'Detailed Budget'!$L$5:$L$1005,"&gt;0"),"")</f>
        <v>5234.3923620333353</v>
      </c>
      <c r="G19" s="44">
        <f>IF(SUMIFS('Detailed Budget'!$AG$5:$AG$1005,'Detailed Budget'!$L$5:$L$1005,$B19,'Detailed Budget'!$L$5:$L$1005,"&gt;0")&gt;0,SUMIFS('Detailed Budget'!$AG$5:$AG$1005,'Detailed Budget'!$L$5:$L$1005,$B19,'Detailed Budget'!$L$5:$L$1005,"&gt;0"),"")</f>
        <v>5586.4075401455593</v>
      </c>
      <c r="H19" s="45">
        <f>IF(SUMIFS('Detailed Budget'!$AI$5:$AI$1005,'Detailed Budget'!$L$5:$L$1005,$B19,'Detailed Budget'!$L$5:$L$1005,"&gt;0")&gt;0,SUMIFS('Detailed Budget'!$AI$5:$AI$1005,'Detailed Budget'!$L$5:$L$1005,$B19,'Detailed Budget'!$L$5:$L$1005,"&gt;0"),"")</f>
        <v>21641.599804357789</v>
      </c>
      <c r="I19" s="44">
        <f>IF(SUMIFS('Detailed Budget'!$AN$5:$AN$1005,'Detailed Budget'!$L$5:$L$1005,$B19,'Detailed Budget'!$L$5:$L$1005,"&gt;0")&gt;0,SUMIFS('Detailed Budget'!$AN$5:$AN$1005,'Detailed Budget'!$L$5:$L$1005,$B19,'Detailed Budget'!$L$5:$L$1005,"&gt;0"),"")</f>
        <v>5586.4075401455593</v>
      </c>
      <c r="J19" s="44">
        <f>IF(SUMIFS('Detailed Budget'!$AP$5:$AP$1005,'Detailed Budget'!$L$5:$L$1005,$B19,'Detailed Budget'!$L$5:$L$1005,"&gt;0")&gt;0,SUMIFS('Detailed Budget'!$AP$5:$AP$1005,'Detailed Budget'!$L$5:$L$1005,$B19,'Detailed Budget'!$L$5:$L$1005,"&gt;0"),"")</f>
        <v>5234.3923620333353</v>
      </c>
      <c r="K19" s="44">
        <f>IF(SUMIFS('Detailed Budget'!$AR$5:$AR$1005,'Detailed Budget'!$L$5:$L$1005,$B19,'Detailed Budget'!$L$5:$L$1005,"&gt;0")&gt;0,SUMIFS('Detailed Budget'!$AR$5:$AR$1005,'Detailed Budget'!$L$5:$L$1005,$B19,'Detailed Budget'!$L$5:$L$1005,"&gt;0"),"")</f>
        <v>5234.3923620333353</v>
      </c>
      <c r="L19" s="44">
        <f>IF(SUMIFS('Detailed Budget'!$AT$5:$AT$1005,'Detailed Budget'!$L$5:$L$1005,$B19,'Detailed Budget'!$L$5:$L$1005,"&gt;0")&gt;0,SUMIFS('Detailed Budget'!$AT$5:$AT$1005,'Detailed Budget'!$L$5:$L$1005,$B19,'Detailed Budget'!$L$5:$L$1005,"&gt;0"),"")</f>
        <v>5586.4075401455593</v>
      </c>
      <c r="M19" s="45">
        <f>IF(SUMIFS('Detailed Budget'!$AV$5:$AV$1005,'Detailed Budget'!$L$5:$L$1005,$B19,'Detailed Budget'!$L$5:$L$1005,"&gt;0")&gt;0,SUMIFS('Detailed Budget'!$AV$5:$AV$1005,'Detailed Budget'!$L$5:$L$1005,$B19,'Detailed Budget'!$L$5:$L$1005,"&gt;0"),"")</f>
        <v>21641.599804357789</v>
      </c>
      <c r="N19" s="44">
        <f>IF(SUMIFS('Detailed Budget'!$BA$5:$BA$1005,'Detailed Budget'!$L$5:$L$1005,$B19,'Detailed Budget'!$L$5:$L$1005,"&gt;0")&gt;0,SUMIFS('Detailed Budget'!$BA$5:$BA$1005,'Detailed Budget'!$L$5:$L$1005,$B19,'Detailed Budget'!$L$5:$L$1005,"&gt;0"),"")</f>
        <v>5586.4075401455593</v>
      </c>
      <c r="O19" s="44">
        <f>IF(SUMIFS('Detailed Budget'!$BC$5:$BC$1005,'Detailed Budget'!$L$5:$L$1005,$B19,'Detailed Budget'!$L$5:$L$1005,"&gt;0")&gt;0,SUMIFS('Detailed Budget'!$BC$5:$BC$1005,'Detailed Budget'!$L$5:$L$1005,$B19,'Detailed Budget'!$L$5:$L$1005,"&gt;0"),"")</f>
        <v>5234.3923620333353</v>
      </c>
      <c r="P19" s="44">
        <f>IF(SUMIFS('Detailed Budget'!$BE$5:$BE$1005,'Detailed Budget'!$L$5:$L$1005,$B19,'Detailed Budget'!$L$5:$L$1005,"&gt;0")&gt;0,SUMIFS('Detailed Budget'!$BE$5:$BE$1005,'Detailed Budget'!$L$5:$L$1005,$B19,'Detailed Budget'!$L$5:$L$1005,"&gt;0"),"")</f>
        <v>5234.3923620333353</v>
      </c>
      <c r="Q19" s="44">
        <f>IF(SUMIFS('Detailed Budget'!$BG$5:$BG$1005,'Detailed Budget'!$L$5:$L$1005,$B19,'Detailed Budget'!$L$5:$L$1005,"&gt;0")&gt;0,SUMIFS('Detailed Budget'!$BG$5:$BG$1005,'Detailed Budget'!$L$5:$L$1005,$B19,'Detailed Budget'!$L$5:$L$1005,"&gt;0"),"")</f>
        <v>5586.4075401455593</v>
      </c>
      <c r="R19" s="45">
        <f>IF(SUMIFS('Detailed Budget'!$BI$5:$BI$1005,'Detailed Budget'!$L$5:$L$1005,$B19,'Detailed Budget'!$L$5:$L$1005,"&gt;0")&gt;0,SUMIFS('Detailed Budget'!$BI$5:$BI$1005,'Detailed Budget'!$L$5:$L$1005,$B19,'Detailed Budget'!$L$5:$L$1005,"&gt;0"),"")</f>
        <v>21641.599804357789</v>
      </c>
      <c r="S19" s="44" t="str">
        <f>IF(SUMIFS('Detailed Budget'!$BN$5:$BN$1005,'Detailed Budget'!$L$5:$L$1005,$B19,'Detailed Budget'!$L$5:$L$1005,"&gt;0")&gt;0,SUMIFS('Detailed Budget'!$BN$5:$BN$1005,'Detailed Budget'!$L$5:$L$1005,$B19,'Detailed Budget'!$L$5:$L$1005,"&gt;0"),"")</f>
        <v/>
      </c>
      <c r="T19" s="44" t="str">
        <f>IF(SUMIFS('Detailed Budget'!$BP$5:$BP$1005,'Detailed Budget'!$L$5:$L$1005,$B19,'Detailed Budget'!$L$5:$L$1005,"&gt;0")&gt;0,SUMIFS('Detailed Budget'!$BP$5:$BP$1005,'Detailed Budget'!$L$5:$L$1005,$B19,'Detailed Budget'!$L$5:$L$1005,"&gt;0"),"")</f>
        <v/>
      </c>
      <c r="U19" s="44" t="str">
        <f>IF(SUMIFS('Detailed Budget'!$BR$5:$BR$1005,'Detailed Budget'!$L$5:$L$1005,$B19,'Detailed Budget'!$L$5:$L$1005,"&gt;0")&gt;0,SUMIFS('Detailed Budget'!$BR$5:$BR$1005,'Detailed Budget'!$L$5:$L$1005,$B19,'Detailed Budget'!$L$5:$L$1005,"&gt;0"),"")</f>
        <v/>
      </c>
      <c r="V19" s="44" t="str">
        <f>IF(SUMIFS('Detailed Budget'!$BT$5:$BT$1005,'Detailed Budget'!$L$5:$L$1005,$B19,'Detailed Budget'!$L$5:$L$1005,"&gt;0")&gt;0,SUMIFS('Detailed Budget'!$BT$5:$BT$1005,'Detailed Budget'!$L$5:$L$1005,$B19,'Detailed Budget'!$L$5:$L$1005,"&gt;0"),"")</f>
        <v/>
      </c>
      <c r="W19" s="45" t="str">
        <f>IF(SUMIFS('Detailed Budget'!$BV$5:$BV$1005,'Detailed Budget'!$L$5:$L$1005,$B19,'Detailed Budget'!$L$5:$L$1005,"&gt;0")&gt;0,SUMIFS('Detailed Budget'!$BV$5:$BV$1005,'Detailed Budget'!$L$5:$L$1005,$B19,'Detailed Budget'!$L$5:$L$1005,"&gt;0"),"")</f>
        <v/>
      </c>
      <c r="X19" s="44">
        <f t="shared" si="0"/>
        <v>64924.799413073371</v>
      </c>
      <c r="Y19" s="124">
        <f t="shared" si="1"/>
        <v>9.3664282189026768E-3</v>
      </c>
    </row>
    <row r="20" spans="1:25" x14ac:dyDescent="0.25">
      <c r="A20" s="35"/>
      <c r="B20" s="234">
        <f t="array" ref="B20">IFERROR(INDEX(CostInpNoList,MATCH(0,IF(ISBLANK(CostInpNoList),"",COUNTIF(B$16:B19,CostInpNoList)),0)),"")</f>
        <v>1.1000000000000001</v>
      </c>
      <c r="C20" s="372" t="str">
        <f>IFERROR(INDEX('Data Sheet'!$F$198:$F$275,MATCH(B20,'Data Sheet'!$G$198:$G$275,0)),"")</f>
        <v>1.1 Salaries - program management</v>
      </c>
      <c r="D20" s="44">
        <f>IF(SUMIFS('Detailed Budget'!$AA$5:$AA$1005,'Detailed Budget'!$L$5:$L$1005,$B20,'Detailed Budget'!$L$5:$L$1005,"&gt;0")&gt;0,SUMIFS('Detailed Budget'!$AA$5:$AA$1005,'Detailed Budget'!$L$5:$L$1005,$B20,'Detailed Budget'!$L$5:$L$1005,"&gt;0"),"")</f>
        <v>78706.572357929923</v>
      </c>
      <c r="E20" s="44">
        <f>IF(SUMIFS('Detailed Budget'!$AC$5:$AC$1005,'Detailed Budget'!$L$5:$L$1005,$B20,'Detailed Budget'!$L$5:$L$1005,"&gt;0")&gt;0,SUMIFS('Detailed Budget'!$AC$5:$AC$1005,'Detailed Budget'!$L$5:$L$1005,$B20,'Detailed Budget'!$L$5:$L$1005,"&gt;0"),"")</f>
        <v>78706.572357929923</v>
      </c>
      <c r="F20" s="44">
        <f>IF(SUMIFS('Detailed Budget'!$AE$5:$AE$1005,'Detailed Budget'!$L$5:$L$1005,$B20,'Detailed Budget'!$L$5:$L$1005,"&gt;0")&gt;0,SUMIFS('Detailed Budget'!$AE$5:$AE$1005,'Detailed Budget'!$L$5:$L$1005,$B20,'Detailed Budget'!$L$5:$L$1005,"&gt;0"),"")</f>
        <v>78706.572357929923</v>
      </c>
      <c r="G20" s="44">
        <f>IF(SUMIFS('Detailed Budget'!$AG$5:$AG$1005,'Detailed Budget'!$L$5:$L$1005,$B20,'Detailed Budget'!$L$5:$L$1005,"&gt;0")&gt;0,SUMIFS('Detailed Budget'!$AG$5:$AG$1005,'Detailed Budget'!$L$5:$L$1005,$B20,'Detailed Budget'!$L$5:$L$1005,"&gt;0"),"")</f>
        <v>78706.572357929923</v>
      </c>
      <c r="H20" s="45">
        <f>IF(SUMIFS('Detailed Budget'!$AI$5:$AI$1005,'Detailed Budget'!$L$5:$L$1005,$B20,'Detailed Budget'!$L$5:$L$1005,"&gt;0")&gt;0,SUMIFS('Detailed Budget'!$AI$5:$AI$1005,'Detailed Budget'!$L$5:$L$1005,$B20,'Detailed Budget'!$L$5:$L$1005,"&gt;0"),"")</f>
        <v>314826.28943171969</v>
      </c>
      <c r="I20" s="44">
        <f>IF(SUMIFS('Detailed Budget'!$AN$5:$AN$1005,'Detailed Budget'!$L$5:$L$1005,$B20,'Detailed Budget'!$L$5:$L$1005,"&gt;0")&gt;0,SUMIFS('Detailed Budget'!$AN$5:$AN$1005,'Detailed Budget'!$L$5:$L$1005,$B20,'Detailed Budget'!$L$5:$L$1005,"&gt;0"),"")</f>
        <v>79320.822357929923</v>
      </c>
      <c r="J20" s="44">
        <f>IF(SUMIFS('Detailed Budget'!$AP$5:$AP$1005,'Detailed Budget'!$L$5:$L$1005,$B20,'Detailed Budget'!$L$5:$L$1005,"&gt;0")&gt;0,SUMIFS('Detailed Budget'!$AP$5:$AP$1005,'Detailed Budget'!$L$5:$L$1005,$B20,'Detailed Budget'!$L$5:$L$1005,"&gt;0"),"")</f>
        <v>79320.822357929923</v>
      </c>
      <c r="K20" s="44">
        <f>IF(SUMIFS('Detailed Budget'!$AR$5:$AR$1005,'Detailed Budget'!$L$5:$L$1005,$B20,'Detailed Budget'!$L$5:$L$1005,"&gt;0")&gt;0,SUMIFS('Detailed Budget'!$AR$5:$AR$1005,'Detailed Budget'!$L$5:$L$1005,$B20,'Detailed Budget'!$L$5:$L$1005,"&gt;0"),"")</f>
        <v>79320.822357929923</v>
      </c>
      <c r="L20" s="44">
        <f>IF(SUMIFS('Detailed Budget'!$AT$5:$AT$1005,'Detailed Budget'!$L$5:$L$1005,$B20,'Detailed Budget'!$L$5:$L$1005,"&gt;0")&gt;0,SUMIFS('Detailed Budget'!$AT$5:$AT$1005,'Detailed Budget'!$L$5:$L$1005,$B20,'Detailed Budget'!$L$5:$L$1005,"&gt;0"),"")</f>
        <v>79320.822357929923</v>
      </c>
      <c r="M20" s="45">
        <f>IF(SUMIFS('Detailed Budget'!$AV$5:$AV$1005,'Detailed Budget'!$L$5:$L$1005,$B20,'Detailed Budget'!$L$5:$L$1005,"&gt;0")&gt;0,SUMIFS('Detailed Budget'!$AV$5:$AV$1005,'Detailed Budget'!$L$5:$L$1005,$B20,'Detailed Budget'!$L$5:$L$1005,"&gt;0"),"")</f>
        <v>317283.28943171969</v>
      </c>
      <c r="N20" s="44">
        <f>IF(SUMIFS('Detailed Budget'!$BA$5:$BA$1005,'Detailed Budget'!$L$5:$L$1005,$B20,'Detailed Budget'!$L$5:$L$1005,"&gt;0")&gt;0,SUMIFS('Detailed Budget'!$BA$5:$BA$1005,'Detailed Budget'!$L$5:$L$1005,$B20,'Detailed Budget'!$L$5:$L$1005,"&gt;0"),"")</f>
        <v>79953.499857929914</v>
      </c>
      <c r="O20" s="44">
        <f>IF(SUMIFS('Detailed Budget'!$BC$5:$BC$1005,'Detailed Budget'!$L$5:$L$1005,$B20,'Detailed Budget'!$L$5:$L$1005,"&gt;0")&gt;0,SUMIFS('Detailed Budget'!$BC$5:$BC$1005,'Detailed Budget'!$L$5:$L$1005,$B20,'Detailed Budget'!$L$5:$L$1005,"&gt;0"),"")</f>
        <v>79953.499857929914</v>
      </c>
      <c r="P20" s="44">
        <f>IF(SUMIFS('Detailed Budget'!$BE$5:$BE$1005,'Detailed Budget'!$L$5:$L$1005,$B20,'Detailed Budget'!$L$5:$L$1005,"&gt;0")&gt;0,SUMIFS('Detailed Budget'!$BE$5:$BE$1005,'Detailed Budget'!$L$5:$L$1005,$B20,'Detailed Budget'!$L$5:$L$1005,"&gt;0"),"")</f>
        <v>79953.499857929914</v>
      </c>
      <c r="Q20" s="44">
        <f>IF(SUMIFS('Detailed Budget'!$BG$5:$BG$1005,'Detailed Budget'!$L$5:$L$1005,$B20,'Detailed Budget'!$L$5:$L$1005,"&gt;0")&gt;0,SUMIFS('Detailed Budget'!$BG$5:$BG$1005,'Detailed Budget'!$L$5:$L$1005,$B20,'Detailed Budget'!$L$5:$L$1005,"&gt;0"),"")</f>
        <v>79953.499857929914</v>
      </c>
      <c r="R20" s="45">
        <f>IF(SUMIFS('Detailed Budget'!$BI$5:$BI$1005,'Detailed Budget'!$L$5:$L$1005,$B20,'Detailed Budget'!$L$5:$L$1005,"&gt;0")&gt;0,SUMIFS('Detailed Budget'!$BI$5:$BI$1005,'Detailed Budget'!$L$5:$L$1005,$B20,'Detailed Budget'!$L$5:$L$1005,"&gt;0"),"")</f>
        <v>319813.99943171965</v>
      </c>
      <c r="S20" s="44" t="str">
        <f>IF(SUMIFS('Detailed Budget'!$BN$5:$BN$1005,'Detailed Budget'!$L$5:$L$1005,$B20,'Detailed Budget'!$L$5:$L$1005,"&gt;0")&gt;0,SUMIFS('Detailed Budget'!$BN$5:$BN$1005,'Detailed Budget'!$L$5:$L$1005,$B20,'Detailed Budget'!$L$5:$L$1005,"&gt;0"),"")</f>
        <v/>
      </c>
      <c r="T20" s="44" t="str">
        <f>IF(SUMIFS('Detailed Budget'!$BP$5:$BP$1005,'Detailed Budget'!$L$5:$L$1005,$B20,'Detailed Budget'!$L$5:$L$1005,"&gt;0")&gt;0,SUMIFS('Detailed Budget'!$BP$5:$BP$1005,'Detailed Budget'!$L$5:$L$1005,$B20,'Detailed Budget'!$L$5:$L$1005,"&gt;0"),"")</f>
        <v/>
      </c>
      <c r="U20" s="44" t="str">
        <f>IF(SUMIFS('Detailed Budget'!$BR$5:$BR$1005,'Detailed Budget'!$L$5:$L$1005,$B20,'Detailed Budget'!$L$5:$L$1005,"&gt;0")&gt;0,SUMIFS('Detailed Budget'!$BR$5:$BR$1005,'Detailed Budget'!$L$5:$L$1005,$B20,'Detailed Budget'!$L$5:$L$1005,"&gt;0"),"")</f>
        <v/>
      </c>
      <c r="V20" s="44" t="str">
        <f>IF(SUMIFS('Detailed Budget'!$BT$5:$BT$1005,'Detailed Budget'!$L$5:$L$1005,$B20,'Detailed Budget'!$L$5:$L$1005,"&gt;0")&gt;0,SUMIFS('Detailed Budget'!$BT$5:$BT$1005,'Detailed Budget'!$L$5:$L$1005,$B20,'Detailed Budget'!$L$5:$L$1005,"&gt;0"),"")</f>
        <v/>
      </c>
      <c r="W20" s="45" t="str">
        <f>IF(SUMIFS('Detailed Budget'!$BV$5:$BV$1005,'Detailed Budget'!$L$5:$L$1005,$B20,'Detailed Budget'!$L$5:$L$1005,"&gt;0")&gt;0,SUMIFS('Detailed Budget'!$BV$5:$BV$1005,'Detailed Budget'!$L$5:$L$1005,$B20,'Detailed Budget'!$L$5:$L$1005,"&gt;0"),"")</f>
        <v/>
      </c>
      <c r="X20" s="44">
        <f t="shared" si="0"/>
        <v>951923.57829515904</v>
      </c>
      <c r="Y20" s="124">
        <f t="shared" si="1"/>
        <v>0.13733001790664329</v>
      </c>
    </row>
    <row r="21" spans="1:25" x14ac:dyDescent="0.25">
      <c r="A21" s="35"/>
      <c r="B21" s="234">
        <f t="array" ref="B21">IFERROR(INDEX(CostInpNoList,MATCH(0,IF(ISBLANK(CostInpNoList),"",COUNTIF(B$16:B20,CostInpNoList)),0)),"")</f>
        <v>1.4</v>
      </c>
      <c r="C21" s="372" t="str">
        <f>IFERROR(INDEX('Data Sheet'!$F$198:$F$275,MATCH(B21,'Data Sheet'!$G$198:$G$275,0)),"")</f>
        <v>1.4 Other HR Costs</v>
      </c>
      <c r="D21" s="44">
        <f>IF(SUMIFS('Detailed Budget'!$AA$5:$AA$1005,'Detailed Budget'!$L$5:$L$1005,$B21,'Detailed Budget'!$L$5:$L$1005,"&gt;0")&gt;0,SUMIFS('Detailed Budget'!$AA$5:$AA$1005,'Detailed Budget'!$L$5:$L$1005,$B21,'Detailed Budget'!$L$5:$L$1005,"&gt;0"),"")</f>
        <v>4914.1563319451307</v>
      </c>
      <c r="E21" s="44">
        <f>IF(SUMIFS('Detailed Budget'!$AC$5:$AC$1005,'Detailed Budget'!$L$5:$L$1005,$B21,'Detailed Budget'!$L$5:$L$1005,"&gt;0")&gt;0,SUMIFS('Detailed Budget'!$AC$5:$AC$1005,'Detailed Budget'!$L$5:$L$1005,$B21,'Detailed Budget'!$L$5:$L$1005,"&gt;0"),"")</f>
        <v>3569.6539155442738</v>
      </c>
      <c r="F21" s="44">
        <f>IF(SUMIFS('Detailed Budget'!$AE$5:$AE$1005,'Detailed Budget'!$L$5:$L$1005,$B21,'Detailed Budget'!$L$5:$L$1005,"&gt;0")&gt;0,SUMIFS('Detailed Budget'!$AE$5:$AE$1005,'Detailed Budget'!$L$5:$L$1005,$B21,'Detailed Budget'!$L$5:$L$1005,"&gt;0"),"")</f>
        <v>3569.6539155442738</v>
      </c>
      <c r="G21" s="44">
        <f>IF(SUMIFS('Detailed Budget'!$AG$5:$AG$1005,'Detailed Budget'!$L$5:$L$1005,$B21,'Detailed Budget'!$L$5:$L$1005,"&gt;0")&gt;0,SUMIFS('Detailed Budget'!$AG$5:$AG$1005,'Detailed Budget'!$L$5:$L$1005,$B21,'Detailed Budget'!$L$5:$L$1005,"&gt;0"),"")</f>
        <v>3569.6539155442738</v>
      </c>
      <c r="H21" s="45">
        <f>IF(SUMIFS('Detailed Budget'!$AI$5:$AI$1005,'Detailed Budget'!$L$5:$L$1005,$B21,'Detailed Budget'!$L$5:$L$1005,"&gt;0")&gt;0,SUMIFS('Detailed Budget'!$AI$5:$AI$1005,'Detailed Budget'!$L$5:$L$1005,$B21,'Detailed Budget'!$L$5:$L$1005,"&gt;0"),"")</f>
        <v>15623.118078577951</v>
      </c>
      <c r="I21" s="44">
        <f>IF(SUMIFS('Detailed Budget'!$AN$5:$AN$1005,'Detailed Budget'!$L$5:$L$1005,$B21,'Detailed Budget'!$L$5:$L$1005,"&gt;0")&gt;0,SUMIFS('Detailed Budget'!$AN$5:$AN$1005,'Detailed Budget'!$L$5:$L$1005,$B21,'Detailed Budget'!$L$5:$L$1005,"&gt;0"),"")</f>
        <v>4914.1563319451307</v>
      </c>
      <c r="J21" s="44">
        <f>IF(SUMIFS('Detailed Budget'!$AP$5:$AP$1005,'Detailed Budget'!$L$5:$L$1005,$B21,'Detailed Budget'!$L$5:$L$1005,"&gt;0")&gt;0,SUMIFS('Detailed Budget'!$AP$5:$AP$1005,'Detailed Budget'!$L$5:$L$1005,$B21,'Detailed Budget'!$L$5:$L$1005,"&gt;0"),"")</f>
        <v>3569.6539155442738</v>
      </c>
      <c r="K21" s="44">
        <f>IF(SUMIFS('Detailed Budget'!$AR$5:$AR$1005,'Detailed Budget'!$L$5:$L$1005,$B21,'Detailed Budget'!$L$5:$L$1005,"&gt;0")&gt;0,SUMIFS('Detailed Budget'!$AR$5:$AR$1005,'Detailed Budget'!$L$5:$L$1005,$B21,'Detailed Budget'!$L$5:$L$1005,"&gt;0"),"")</f>
        <v>3569.6539155442738</v>
      </c>
      <c r="L21" s="44">
        <f>IF(SUMIFS('Detailed Budget'!$AT$5:$AT$1005,'Detailed Budget'!$L$5:$L$1005,$B21,'Detailed Budget'!$L$5:$L$1005,"&gt;0")&gt;0,SUMIFS('Detailed Budget'!$AT$5:$AT$1005,'Detailed Budget'!$L$5:$L$1005,$B21,'Detailed Budget'!$L$5:$L$1005,"&gt;0"),"")</f>
        <v>3569.6539155442738</v>
      </c>
      <c r="M21" s="45">
        <f>IF(SUMIFS('Detailed Budget'!$AV$5:$AV$1005,'Detailed Budget'!$L$5:$L$1005,$B21,'Detailed Budget'!$L$5:$L$1005,"&gt;0")&gt;0,SUMIFS('Detailed Budget'!$AV$5:$AV$1005,'Detailed Budget'!$L$5:$L$1005,$B21,'Detailed Budget'!$L$5:$L$1005,"&gt;0"),"")</f>
        <v>15623.118078577951</v>
      </c>
      <c r="N21" s="44">
        <f>IF(SUMIFS('Detailed Budget'!$BA$5:$BA$1005,'Detailed Budget'!$L$5:$L$1005,$B21,'Detailed Budget'!$L$5:$L$1005,"&gt;0")&gt;0,SUMIFS('Detailed Budget'!$BA$5:$BA$1005,'Detailed Budget'!$L$5:$L$1005,$B21,'Detailed Budget'!$L$5:$L$1005,"&gt;0"),"")</f>
        <v>4914.1563319451307</v>
      </c>
      <c r="O21" s="44">
        <f>IF(SUMIFS('Detailed Budget'!$BC$5:$BC$1005,'Detailed Budget'!$L$5:$L$1005,$B21,'Detailed Budget'!$L$5:$L$1005,"&gt;0")&gt;0,SUMIFS('Detailed Budget'!$BC$5:$BC$1005,'Detailed Budget'!$L$5:$L$1005,$B21,'Detailed Budget'!$L$5:$L$1005,"&gt;0"),"")</f>
        <v>3569.6539155442738</v>
      </c>
      <c r="P21" s="44">
        <f>IF(SUMIFS('Detailed Budget'!$BE$5:$BE$1005,'Detailed Budget'!$L$5:$L$1005,$B21,'Detailed Budget'!$L$5:$L$1005,"&gt;0")&gt;0,SUMIFS('Detailed Budget'!$BE$5:$BE$1005,'Detailed Budget'!$L$5:$L$1005,$B21,'Detailed Budget'!$L$5:$L$1005,"&gt;0"),"")</f>
        <v>3569.6539155442738</v>
      </c>
      <c r="Q21" s="44">
        <f>IF(SUMIFS('Detailed Budget'!$BG$5:$BG$1005,'Detailed Budget'!$L$5:$L$1005,$B21,'Detailed Budget'!$L$5:$L$1005,"&gt;0")&gt;0,SUMIFS('Detailed Budget'!$BG$5:$BG$1005,'Detailed Budget'!$L$5:$L$1005,$B21,'Detailed Budget'!$L$5:$L$1005,"&gt;0"),"")</f>
        <v>3569.6539155442738</v>
      </c>
      <c r="R21" s="45">
        <f>IF(SUMIFS('Detailed Budget'!$BI$5:$BI$1005,'Detailed Budget'!$L$5:$L$1005,$B21,'Detailed Budget'!$L$5:$L$1005,"&gt;0")&gt;0,SUMIFS('Detailed Budget'!$BI$5:$BI$1005,'Detailed Budget'!$L$5:$L$1005,$B21,'Detailed Budget'!$L$5:$L$1005,"&gt;0"),"")</f>
        <v>15623.118078577951</v>
      </c>
      <c r="S21" s="44" t="str">
        <f>IF(SUMIFS('Detailed Budget'!$BN$5:$BN$1005,'Detailed Budget'!$L$5:$L$1005,$B21,'Detailed Budget'!$L$5:$L$1005,"&gt;0")&gt;0,SUMIFS('Detailed Budget'!$BN$5:$BN$1005,'Detailed Budget'!$L$5:$L$1005,$B21,'Detailed Budget'!$L$5:$L$1005,"&gt;0"),"")</f>
        <v/>
      </c>
      <c r="T21" s="44" t="str">
        <f>IF(SUMIFS('Detailed Budget'!$BP$5:$BP$1005,'Detailed Budget'!$L$5:$L$1005,$B21,'Detailed Budget'!$L$5:$L$1005,"&gt;0")&gt;0,SUMIFS('Detailed Budget'!$BP$5:$BP$1005,'Detailed Budget'!$L$5:$L$1005,$B21,'Detailed Budget'!$L$5:$L$1005,"&gt;0"),"")</f>
        <v/>
      </c>
      <c r="U21" s="44" t="str">
        <f>IF(SUMIFS('Detailed Budget'!$BR$5:$BR$1005,'Detailed Budget'!$L$5:$L$1005,$B21,'Detailed Budget'!$L$5:$L$1005,"&gt;0")&gt;0,SUMIFS('Detailed Budget'!$BR$5:$BR$1005,'Detailed Budget'!$L$5:$L$1005,$B21,'Detailed Budget'!$L$5:$L$1005,"&gt;0"),"")</f>
        <v/>
      </c>
      <c r="V21" s="44" t="str">
        <f>IF(SUMIFS('Detailed Budget'!$BT$5:$BT$1005,'Detailed Budget'!$L$5:$L$1005,$B21,'Detailed Budget'!$L$5:$L$1005,"&gt;0")&gt;0,SUMIFS('Detailed Budget'!$BT$5:$BT$1005,'Detailed Budget'!$L$5:$L$1005,$B21,'Detailed Budget'!$L$5:$L$1005,"&gt;0"),"")</f>
        <v/>
      </c>
      <c r="W21" s="45" t="str">
        <f>IF(SUMIFS('Detailed Budget'!$BV$5:$BV$1005,'Detailed Budget'!$L$5:$L$1005,$B21,'Detailed Budget'!$L$5:$L$1005,"&gt;0")&gt;0,SUMIFS('Detailed Budget'!$BV$5:$BV$1005,'Detailed Budget'!$L$5:$L$1005,$B21,'Detailed Budget'!$L$5:$L$1005,"&gt;0"),"")</f>
        <v/>
      </c>
      <c r="X21" s="44">
        <f t="shared" si="0"/>
        <v>46869.354235733852</v>
      </c>
      <c r="Y21" s="124">
        <f t="shared" si="1"/>
        <v>6.7616449505260353E-3</v>
      </c>
    </row>
    <row r="22" spans="1:25" x14ac:dyDescent="0.25">
      <c r="A22" s="35"/>
      <c r="B22" s="234">
        <f t="array" ref="B22">IFERROR(INDEX(CostInpNoList,MATCH(0,IF(ISBLANK(CostInpNoList),"",COUNTIF(B$16:B21,CostInpNoList)),0)),"")</f>
        <v>11.1</v>
      </c>
      <c r="C22" s="372" t="str">
        <f>IFERROR(INDEX('Data Sheet'!$F$198:$F$275,MATCH(B22,'Data Sheet'!$G$198:$G$275,0)),"")</f>
        <v>11.1 Office related costs</v>
      </c>
      <c r="D22" s="44">
        <f>IF(SUMIFS('Detailed Budget'!$AA$5:$AA$1005,'Detailed Budget'!$L$5:$L$1005,$B22,'Detailed Budget'!$L$5:$L$1005,"&gt;0")&gt;0,SUMIFS('Detailed Budget'!$AA$5:$AA$1005,'Detailed Budget'!$L$5:$L$1005,$B22,'Detailed Budget'!$L$5:$L$1005,"&gt;0"),"")</f>
        <v>18105.781529064461</v>
      </c>
      <c r="E22" s="44">
        <f>IF(SUMIFS('Detailed Budget'!$AC$5:$AC$1005,'Detailed Budget'!$L$5:$L$1005,$B22,'Detailed Budget'!$L$5:$L$1005,"&gt;0")&gt;0,SUMIFS('Detailed Budget'!$AC$5:$AC$1005,'Detailed Budget'!$L$5:$L$1005,$B22,'Detailed Budget'!$L$5:$L$1005,"&gt;0"),"")</f>
        <v>18105.781529064461</v>
      </c>
      <c r="F22" s="44">
        <f>IF(SUMIFS('Detailed Budget'!$AE$5:$AE$1005,'Detailed Budget'!$L$5:$L$1005,$B22,'Detailed Budget'!$L$5:$L$1005,"&gt;0")&gt;0,SUMIFS('Detailed Budget'!$AE$5:$AE$1005,'Detailed Budget'!$L$5:$L$1005,$B22,'Detailed Budget'!$L$5:$L$1005,"&gt;0"),"")</f>
        <v>18105.781529064461</v>
      </c>
      <c r="G22" s="44">
        <f>IF(SUMIFS('Detailed Budget'!$AG$5:$AG$1005,'Detailed Budget'!$L$5:$L$1005,$B22,'Detailed Budget'!$L$5:$L$1005,"&gt;0")&gt;0,SUMIFS('Detailed Budget'!$AG$5:$AG$1005,'Detailed Budget'!$L$5:$L$1005,$B22,'Detailed Budget'!$L$5:$L$1005,"&gt;0"),"")</f>
        <v>18105.781529064461</v>
      </c>
      <c r="H22" s="45">
        <f>IF(SUMIFS('Detailed Budget'!$AI$5:$AI$1005,'Detailed Budget'!$L$5:$L$1005,$B22,'Detailed Budget'!$L$5:$L$1005,"&gt;0")&gt;0,SUMIFS('Detailed Budget'!$AI$5:$AI$1005,'Detailed Budget'!$L$5:$L$1005,$B22,'Detailed Budget'!$L$5:$L$1005,"&gt;0"),"")</f>
        <v>72423.126116257845</v>
      </c>
      <c r="I22" s="44">
        <f>IF(SUMIFS('Detailed Budget'!$AN$5:$AN$1005,'Detailed Budget'!$L$5:$L$1005,$B22,'Detailed Budget'!$L$5:$L$1005,"&gt;0")&gt;0,SUMIFS('Detailed Budget'!$AN$5:$AN$1005,'Detailed Budget'!$L$5:$L$1005,$B22,'Detailed Budget'!$L$5:$L$1005,"&gt;0"),"")</f>
        <v>18105.781529064461</v>
      </c>
      <c r="J22" s="44">
        <f>IF(SUMIFS('Detailed Budget'!$AP$5:$AP$1005,'Detailed Budget'!$L$5:$L$1005,$B22,'Detailed Budget'!$L$5:$L$1005,"&gt;0")&gt;0,SUMIFS('Detailed Budget'!$AP$5:$AP$1005,'Detailed Budget'!$L$5:$L$1005,$B22,'Detailed Budget'!$L$5:$L$1005,"&gt;0"),"")</f>
        <v>18105.781529064461</v>
      </c>
      <c r="K22" s="44">
        <f>IF(SUMIFS('Detailed Budget'!$AR$5:$AR$1005,'Detailed Budget'!$L$5:$L$1005,$B22,'Detailed Budget'!$L$5:$L$1005,"&gt;0")&gt;0,SUMIFS('Detailed Budget'!$AR$5:$AR$1005,'Detailed Budget'!$L$5:$L$1005,$B22,'Detailed Budget'!$L$5:$L$1005,"&gt;0"),"")</f>
        <v>18105.781529064461</v>
      </c>
      <c r="L22" s="44">
        <f>IF(SUMIFS('Detailed Budget'!$AT$5:$AT$1005,'Detailed Budget'!$L$5:$L$1005,$B22,'Detailed Budget'!$L$5:$L$1005,"&gt;0")&gt;0,SUMIFS('Detailed Budget'!$AT$5:$AT$1005,'Detailed Budget'!$L$5:$L$1005,$B22,'Detailed Budget'!$L$5:$L$1005,"&gt;0"),"")</f>
        <v>18105.781529064461</v>
      </c>
      <c r="M22" s="45">
        <f>IF(SUMIFS('Detailed Budget'!$AV$5:$AV$1005,'Detailed Budget'!$L$5:$L$1005,$B22,'Detailed Budget'!$L$5:$L$1005,"&gt;0")&gt;0,SUMIFS('Detailed Budget'!$AV$5:$AV$1005,'Detailed Budget'!$L$5:$L$1005,$B22,'Detailed Budget'!$L$5:$L$1005,"&gt;0"),"")</f>
        <v>72423.126116257845</v>
      </c>
      <c r="N22" s="44">
        <f>IF(SUMIFS('Detailed Budget'!$BA$5:$BA$1005,'Detailed Budget'!$L$5:$L$1005,$B22,'Detailed Budget'!$L$5:$L$1005,"&gt;0")&gt;0,SUMIFS('Detailed Budget'!$BA$5:$BA$1005,'Detailed Budget'!$L$5:$L$1005,$B22,'Detailed Budget'!$L$5:$L$1005,"&gt;0"),"")</f>
        <v>18105.781529064461</v>
      </c>
      <c r="O22" s="44">
        <f>IF(SUMIFS('Detailed Budget'!$BC$5:$BC$1005,'Detailed Budget'!$L$5:$L$1005,$B22,'Detailed Budget'!$L$5:$L$1005,"&gt;0")&gt;0,SUMIFS('Detailed Budget'!$BC$5:$BC$1005,'Detailed Budget'!$L$5:$L$1005,$B22,'Detailed Budget'!$L$5:$L$1005,"&gt;0"),"")</f>
        <v>18105.781529064461</v>
      </c>
      <c r="P22" s="44">
        <f>IF(SUMIFS('Detailed Budget'!$BE$5:$BE$1005,'Detailed Budget'!$L$5:$L$1005,$B22,'Detailed Budget'!$L$5:$L$1005,"&gt;0")&gt;0,SUMIFS('Detailed Budget'!$BE$5:$BE$1005,'Detailed Budget'!$L$5:$L$1005,$B22,'Detailed Budget'!$L$5:$L$1005,"&gt;0"),"")</f>
        <v>18105.781529064461</v>
      </c>
      <c r="Q22" s="44">
        <f>IF(SUMIFS('Detailed Budget'!$BG$5:$BG$1005,'Detailed Budget'!$L$5:$L$1005,$B22,'Detailed Budget'!$L$5:$L$1005,"&gt;0")&gt;0,SUMIFS('Detailed Budget'!$BG$5:$BG$1005,'Detailed Budget'!$L$5:$L$1005,$B22,'Detailed Budget'!$L$5:$L$1005,"&gt;0"),"")</f>
        <v>18105.781529064461</v>
      </c>
      <c r="R22" s="45">
        <f>IF(SUMIFS('Detailed Budget'!$BI$5:$BI$1005,'Detailed Budget'!$L$5:$L$1005,$B22,'Detailed Budget'!$L$5:$L$1005,"&gt;0")&gt;0,SUMIFS('Detailed Budget'!$BI$5:$BI$1005,'Detailed Budget'!$L$5:$L$1005,$B22,'Detailed Budget'!$L$5:$L$1005,"&gt;0"),"")</f>
        <v>72423.126116257845</v>
      </c>
      <c r="S22" s="44" t="str">
        <f>IF(SUMIFS('Detailed Budget'!$BN$5:$BN$1005,'Detailed Budget'!$L$5:$L$1005,$B22,'Detailed Budget'!$L$5:$L$1005,"&gt;0")&gt;0,SUMIFS('Detailed Budget'!$BN$5:$BN$1005,'Detailed Budget'!$L$5:$L$1005,$B22,'Detailed Budget'!$L$5:$L$1005,"&gt;0"),"")</f>
        <v/>
      </c>
      <c r="T22" s="44" t="str">
        <f>IF(SUMIFS('Detailed Budget'!$BP$5:$BP$1005,'Detailed Budget'!$L$5:$L$1005,$B22,'Detailed Budget'!$L$5:$L$1005,"&gt;0")&gt;0,SUMIFS('Detailed Budget'!$BP$5:$BP$1005,'Detailed Budget'!$L$5:$L$1005,$B22,'Detailed Budget'!$L$5:$L$1005,"&gt;0"),"")</f>
        <v/>
      </c>
      <c r="U22" s="44" t="str">
        <f>IF(SUMIFS('Detailed Budget'!$BR$5:$BR$1005,'Detailed Budget'!$L$5:$L$1005,$B22,'Detailed Budget'!$L$5:$L$1005,"&gt;0")&gt;0,SUMIFS('Detailed Budget'!$BR$5:$BR$1005,'Detailed Budget'!$L$5:$L$1005,$B22,'Detailed Budget'!$L$5:$L$1005,"&gt;0"),"")</f>
        <v/>
      </c>
      <c r="V22" s="44" t="str">
        <f>IF(SUMIFS('Detailed Budget'!$BT$5:$BT$1005,'Detailed Budget'!$L$5:$L$1005,$B22,'Detailed Budget'!$L$5:$L$1005,"&gt;0")&gt;0,SUMIFS('Detailed Budget'!$BT$5:$BT$1005,'Detailed Budget'!$L$5:$L$1005,$B22,'Detailed Budget'!$L$5:$L$1005,"&gt;0"),"")</f>
        <v/>
      </c>
      <c r="W22" s="45" t="str">
        <f>IF(SUMIFS('Detailed Budget'!$BV$5:$BV$1005,'Detailed Budget'!$L$5:$L$1005,$B22,'Detailed Budget'!$L$5:$L$1005,"&gt;0")&gt;0,SUMIFS('Detailed Budget'!$BV$5:$BV$1005,'Detailed Budget'!$L$5:$L$1005,$B22,'Detailed Budget'!$L$5:$L$1005,"&gt;0"),"")</f>
        <v/>
      </c>
      <c r="X22" s="44">
        <f t="shared" si="0"/>
        <v>217269.37834877352</v>
      </c>
      <c r="Y22" s="124">
        <f t="shared" si="1"/>
        <v>3.1344540989981337E-2</v>
      </c>
    </row>
    <row r="23" spans="1:25" ht="26.25" x14ac:dyDescent="0.25">
      <c r="A23" s="35"/>
      <c r="B23" s="234">
        <f t="array" ref="B23">IFERROR(INDEX(CostInpNoList,MATCH(0,IF(ISBLANK(CostInpNoList),"",COUNTIF(B$16:B22,CostInpNoList)),0)),"")</f>
        <v>9.4</v>
      </c>
      <c r="C23" s="372" t="str">
        <f>IFERROR(INDEX('Data Sheet'!$F$198:$F$275,MATCH(B23,'Data Sheet'!$G$198:$G$275,0)),"")</f>
        <v>9.4 Maintenance and service costs non-health equipment</v>
      </c>
      <c r="D23" s="44">
        <f>IF(SUMIFS('Detailed Budget'!$AA$5:$AA$1005,'Detailed Budget'!$L$5:$L$1005,$B23,'Detailed Budget'!$L$5:$L$1005,"&gt;0")&gt;0,SUMIFS('Detailed Budget'!$AA$5:$AA$1005,'Detailed Budget'!$L$5:$L$1005,$B23,'Detailed Budget'!$L$5:$L$1005,"&gt;0"),"")</f>
        <v>1014.0345762508512</v>
      </c>
      <c r="E23" s="44">
        <f>IF(SUMIFS('Detailed Budget'!$AC$5:$AC$1005,'Detailed Budget'!$L$5:$L$1005,$B23,'Detailed Budget'!$L$5:$L$1005,"&gt;0")&gt;0,SUMIFS('Detailed Budget'!$AC$5:$AC$1005,'Detailed Budget'!$L$5:$L$1005,$B23,'Detailed Budget'!$L$5:$L$1005,"&gt;0"),"")</f>
        <v>1014.0345762508512</v>
      </c>
      <c r="F23" s="44">
        <f>IF(SUMIFS('Detailed Budget'!$AE$5:$AE$1005,'Detailed Budget'!$L$5:$L$1005,$B23,'Detailed Budget'!$L$5:$L$1005,"&gt;0")&gt;0,SUMIFS('Detailed Budget'!$AE$5:$AE$1005,'Detailed Budget'!$L$5:$L$1005,$B23,'Detailed Budget'!$L$5:$L$1005,"&gt;0"),"")</f>
        <v>1014.0345762508512</v>
      </c>
      <c r="G23" s="44">
        <f>IF(SUMIFS('Detailed Budget'!$AG$5:$AG$1005,'Detailed Budget'!$L$5:$L$1005,$B23,'Detailed Budget'!$L$5:$L$1005,"&gt;0")&gt;0,SUMIFS('Detailed Budget'!$AG$5:$AG$1005,'Detailed Budget'!$L$5:$L$1005,$B23,'Detailed Budget'!$L$5:$L$1005,"&gt;0"),"")</f>
        <v>1014.0345762508512</v>
      </c>
      <c r="H23" s="45">
        <f>IF(SUMIFS('Detailed Budget'!$AI$5:$AI$1005,'Detailed Budget'!$L$5:$L$1005,$B23,'Detailed Budget'!$L$5:$L$1005,"&gt;0")&gt;0,SUMIFS('Detailed Budget'!$AI$5:$AI$1005,'Detailed Budget'!$L$5:$L$1005,$B23,'Detailed Budget'!$L$5:$L$1005,"&gt;0"),"")</f>
        <v>4056.1383050034046</v>
      </c>
      <c r="I23" s="44">
        <f>IF(SUMIFS('Detailed Budget'!$AN$5:$AN$1005,'Detailed Budget'!$L$5:$L$1005,$B23,'Detailed Budget'!$L$5:$L$1005,"&gt;0")&gt;0,SUMIFS('Detailed Budget'!$AN$5:$AN$1005,'Detailed Budget'!$L$5:$L$1005,$B23,'Detailed Budget'!$L$5:$L$1005,"&gt;0"),"")</f>
        <v>1014.0345762508512</v>
      </c>
      <c r="J23" s="44">
        <f>IF(SUMIFS('Detailed Budget'!$AP$5:$AP$1005,'Detailed Budget'!$L$5:$L$1005,$B23,'Detailed Budget'!$L$5:$L$1005,"&gt;0")&gt;0,SUMIFS('Detailed Budget'!$AP$5:$AP$1005,'Detailed Budget'!$L$5:$L$1005,$B23,'Detailed Budget'!$L$5:$L$1005,"&gt;0"),"")</f>
        <v>1014.0345762508512</v>
      </c>
      <c r="K23" s="44">
        <f>IF(SUMIFS('Detailed Budget'!$AR$5:$AR$1005,'Detailed Budget'!$L$5:$L$1005,$B23,'Detailed Budget'!$L$5:$L$1005,"&gt;0")&gt;0,SUMIFS('Detailed Budget'!$AR$5:$AR$1005,'Detailed Budget'!$L$5:$L$1005,$B23,'Detailed Budget'!$L$5:$L$1005,"&gt;0"),"")</f>
        <v>1014.0345762508512</v>
      </c>
      <c r="L23" s="44">
        <f>IF(SUMIFS('Detailed Budget'!$AT$5:$AT$1005,'Detailed Budget'!$L$5:$L$1005,$B23,'Detailed Budget'!$L$5:$L$1005,"&gt;0")&gt;0,SUMIFS('Detailed Budget'!$AT$5:$AT$1005,'Detailed Budget'!$L$5:$L$1005,$B23,'Detailed Budget'!$L$5:$L$1005,"&gt;0"),"")</f>
        <v>1014.0345762508512</v>
      </c>
      <c r="M23" s="45">
        <f>IF(SUMIFS('Detailed Budget'!$AV$5:$AV$1005,'Detailed Budget'!$L$5:$L$1005,$B23,'Detailed Budget'!$L$5:$L$1005,"&gt;0")&gt;0,SUMIFS('Detailed Budget'!$AV$5:$AV$1005,'Detailed Budget'!$L$5:$L$1005,$B23,'Detailed Budget'!$L$5:$L$1005,"&gt;0"),"")</f>
        <v>4056.1383050034046</v>
      </c>
      <c r="N23" s="44">
        <f>IF(SUMIFS('Detailed Budget'!$BA$5:$BA$1005,'Detailed Budget'!$L$5:$L$1005,$B23,'Detailed Budget'!$L$5:$L$1005,"&gt;0")&gt;0,SUMIFS('Detailed Budget'!$BA$5:$BA$1005,'Detailed Budget'!$L$5:$L$1005,$B23,'Detailed Budget'!$L$5:$L$1005,"&gt;0"),"")</f>
        <v>1014.0345762508512</v>
      </c>
      <c r="O23" s="44">
        <f>IF(SUMIFS('Detailed Budget'!$BC$5:$BC$1005,'Detailed Budget'!$L$5:$L$1005,$B23,'Detailed Budget'!$L$5:$L$1005,"&gt;0")&gt;0,SUMIFS('Detailed Budget'!$BC$5:$BC$1005,'Detailed Budget'!$L$5:$L$1005,$B23,'Detailed Budget'!$L$5:$L$1005,"&gt;0"),"")</f>
        <v>1014.0345762508512</v>
      </c>
      <c r="P23" s="44">
        <f>IF(SUMIFS('Detailed Budget'!$BE$5:$BE$1005,'Detailed Budget'!$L$5:$L$1005,$B23,'Detailed Budget'!$L$5:$L$1005,"&gt;0")&gt;0,SUMIFS('Detailed Budget'!$BE$5:$BE$1005,'Detailed Budget'!$L$5:$L$1005,$B23,'Detailed Budget'!$L$5:$L$1005,"&gt;0"),"")</f>
        <v>1014.0345762508512</v>
      </c>
      <c r="Q23" s="44">
        <f>IF(SUMIFS('Detailed Budget'!$BG$5:$BG$1005,'Detailed Budget'!$L$5:$L$1005,$B23,'Detailed Budget'!$L$5:$L$1005,"&gt;0")&gt;0,SUMIFS('Detailed Budget'!$BG$5:$BG$1005,'Detailed Budget'!$L$5:$L$1005,$B23,'Detailed Budget'!$L$5:$L$1005,"&gt;0"),"")</f>
        <v>1014.0345762508512</v>
      </c>
      <c r="R23" s="45">
        <f>IF(SUMIFS('Detailed Budget'!$BI$5:$BI$1005,'Detailed Budget'!$L$5:$L$1005,$B23,'Detailed Budget'!$L$5:$L$1005,"&gt;0")&gt;0,SUMIFS('Detailed Budget'!$BI$5:$BI$1005,'Detailed Budget'!$L$5:$L$1005,$B23,'Detailed Budget'!$L$5:$L$1005,"&gt;0"),"")</f>
        <v>4056.1383050034046</v>
      </c>
      <c r="S23" s="44" t="str">
        <f>IF(SUMIFS('Detailed Budget'!$BN$5:$BN$1005,'Detailed Budget'!$L$5:$L$1005,$B23,'Detailed Budget'!$L$5:$L$1005,"&gt;0")&gt;0,SUMIFS('Detailed Budget'!$BN$5:$BN$1005,'Detailed Budget'!$L$5:$L$1005,$B23,'Detailed Budget'!$L$5:$L$1005,"&gt;0"),"")</f>
        <v/>
      </c>
      <c r="T23" s="44" t="str">
        <f>IF(SUMIFS('Detailed Budget'!$BP$5:$BP$1005,'Detailed Budget'!$L$5:$L$1005,$B23,'Detailed Budget'!$L$5:$L$1005,"&gt;0")&gt;0,SUMIFS('Detailed Budget'!$BP$5:$BP$1005,'Detailed Budget'!$L$5:$L$1005,$B23,'Detailed Budget'!$L$5:$L$1005,"&gt;0"),"")</f>
        <v/>
      </c>
      <c r="U23" s="44" t="str">
        <f>IF(SUMIFS('Detailed Budget'!$BR$5:$BR$1005,'Detailed Budget'!$L$5:$L$1005,$B23,'Detailed Budget'!$L$5:$L$1005,"&gt;0")&gt;0,SUMIFS('Detailed Budget'!$BR$5:$BR$1005,'Detailed Budget'!$L$5:$L$1005,$B23,'Detailed Budget'!$L$5:$L$1005,"&gt;0"),"")</f>
        <v/>
      </c>
      <c r="V23" s="44" t="str">
        <f>IF(SUMIFS('Detailed Budget'!$BT$5:$BT$1005,'Detailed Budget'!$L$5:$L$1005,$B23,'Detailed Budget'!$L$5:$L$1005,"&gt;0")&gt;0,SUMIFS('Detailed Budget'!$BT$5:$BT$1005,'Detailed Budget'!$L$5:$L$1005,$B23,'Detailed Budget'!$L$5:$L$1005,"&gt;0"),"")</f>
        <v/>
      </c>
      <c r="W23" s="45" t="str">
        <f>IF(SUMIFS('Detailed Budget'!$BV$5:$BV$1005,'Detailed Budget'!$L$5:$L$1005,$B23,'Detailed Budget'!$L$5:$L$1005,"&gt;0")&gt;0,SUMIFS('Detailed Budget'!$BV$5:$BV$1005,'Detailed Budget'!$L$5:$L$1005,$B23,'Detailed Budget'!$L$5:$L$1005,"&gt;0"),"")</f>
        <v/>
      </c>
      <c r="X23" s="44">
        <f t="shared" si="0"/>
        <v>12168.414915010213</v>
      </c>
      <c r="Y23" s="124">
        <f t="shared" si="1"/>
        <v>1.7554861296393586E-3</v>
      </c>
    </row>
    <row r="24" spans="1:25" ht="26.25" x14ac:dyDescent="0.25">
      <c r="A24" s="35"/>
      <c r="B24" s="234">
        <f t="array" ref="B24">IFERROR(INDEX(CostInpNoList,MATCH(0,IF(ISBLANK(CostInpNoList),"",COUNTIF(B$16:B23,CostInpNoList)),0)),"")</f>
        <v>9.1</v>
      </c>
      <c r="C24" s="372" t="str">
        <f>IFERROR(INDEX('Data Sheet'!$F$198:$F$275,MATCH(B24,'Data Sheet'!$G$198:$G$275,0)),"")</f>
        <v>9.1 IT - Computers, computer equipment, Software and applications</v>
      </c>
      <c r="D24" s="44" t="str">
        <f>IF(SUMIFS('Detailed Budget'!$AA$5:$AA$1005,'Detailed Budget'!$L$5:$L$1005,$B24,'Detailed Budget'!$L$5:$L$1005,"&gt;0")&gt;0,SUMIFS('Detailed Budget'!$AA$5:$AA$1005,'Detailed Budget'!$L$5:$L$1005,$B24,'Detailed Budget'!$L$5:$L$1005,"&gt;0"),"")</f>
        <v/>
      </c>
      <c r="E24" s="44">
        <f>IF(SUMIFS('Detailed Budget'!$AC$5:$AC$1005,'Detailed Budget'!$L$5:$L$1005,$B24,'Detailed Budget'!$L$5:$L$1005,"&gt;0")&gt;0,SUMIFS('Detailed Budget'!$AC$5:$AC$1005,'Detailed Budget'!$L$5:$L$1005,$B24,'Detailed Budget'!$L$5:$L$1005,"&gt;0"),"")</f>
        <v>2300</v>
      </c>
      <c r="F24" s="44" t="str">
        <f>IF(SUMIFS('Detailed Budget'!$AE$5:$AE$1005,'Detailed Budget'!$L$5:$L$1005,$B24,'Detailed Budget'!$L$5:$L$1005,"&gt;0")&gt;0,SUMIFS('Detailed Budget'!$AE$5:$AE$1005,'Detailed Budget'!$L$5:$L$1005,$B24,'Detailed Budget'!$L$5:$L$1005,"&gt;0"),"")</f>
        <v/>
      </c>
      <c r="G24" s="44" t="str">
        <f>IF(SUMIFS('Detailed Budget'!$AG$5:$AG$1005,'Detailed Budget'!$L$5:$L$1005,$B24,'Detailed Budget'!$L$5:$L$1005,"&gt;0")&gt;0,SUMIFS('Detailed Budget'!$AG$5:$AG$1005,'Detailed Budget'!$L$5:$L$1005,$B24,'Detailed Budget'!$L$5:$L$1005,"&gt;0"),"")</f>
        <v/>
      </c>
      <c r="H24" s="45">
        <f>IF(SUMIFS('Detailed Budget'!$AI$5:$AI$1005,'Detailed Budget'!$L$5:$L$1005,$B24,'Detailed Budget'!$L$5:$L$1005,"&gt;0")&gt;0,SUMIFS('Detailed Budget'!$AI$5:$AI$1005,'Detailed Budget'!$L$5:$L$1005,$B24,'Detailed Budget'!$L$5:$L$1005,"&gt;0"),"")</f>
        <v>2300</v>
      </c>
      <c r="I24" s="44">
        <f>IF(SUMIFS('Detailed Budget'!$AN$5:$AN$1005,'Detailed Budget'!$L$5:$L$1005,$B24,'Detailed Budget'!$L$5:$L$1005,"&gt;0")&gt;0,SUMIFS('Detailed Budget'!$AN$5:$AN$1005,'Detailed Budget'!$L$5:$L$1005,$B24,'Detailed Budget'!$L$5:$L$1005,"&gt;0"),"")</f>
        <v>2300</v>
      </c>
      <c r="J24" s="44" t="str">
        <f>IF(SUMIFS('Detailed Budget'!$AP$5:$AP$1005,'Detailed Budget'!$L$5:$L$1005,$B24,'Detailed Budget'!$L$5:$L$1005,"&gt;0")&gt;0,SUMIFS('Detailed Budget'!$AP$5:$AP$1005,'Detailed Budget'!$L$5:$L$1005,$B24,'Detailed Budget'!$L$5:$L$1005,"&gt;0"),"")</f>
        <v/>
      </c>
      <c r="K24" s="44" t="str">
        <f>IF(SUMIFS('Detailed Budget'!$AR$5:$AR$1005,'Detailed Budget'!$L$5:$L$1005,$B24,'Detailed Budget'!$L$5:$L$1005,"&gt;0")&gt;0,SUMIFS('Detailed Budget'!$AR$5:$AR$1005,'Detailed Budget'!$L$5:$L$1005,$B24,'Detailed Budget'!$L$5:$L$1005,"&gt;0"),"")</f>
        <v/>
      </c>
      <c r="L24" s="44" t="str">
        <f>IF(SUMIFS('Detailed Budget'!$AT$5:$AT$1005,'Detailed Budget'!$L$5:$L$1005,$B24,'Detailed Budget'!$L$5:$L$1005,"&gt;0")&gt;0,SUMIFS('Detailed Budget'!$AT$5:$AT$1005,'Detailed Budget'!$L$5:$L$1005,$B24,'Detailed Budget'!$L$5:$L$1005,"&gt;0"),"")</f>
        <v/>
      </c>
      <c r="M24" s="45">
        <f>IF(SUMIFS('Detailed Budget'!$AV$5:$AV$1005,'Detailed Budget'!$L$5:$L$1005,$B24,'Detailed Budget'!$L$5:$L$1005,"&gt;0")&gt;0,SUMIFS('Detailed Budget'!$AV$5:$AV$1005,'Detailed Budget'!$L$5:$L$1005,$B24,'Detailed Budget'!$L$5:$L$1005,"&gt;0"),"")</f>
        <v>2300</v>
      </c>
      <c r="N24" s="44">
        <f>IF(SUMIFS('Detailed Budget'!$BA$5:$BA$1005,'Detailed Budget'!$L$5:$L$1005,$B24,'Detailed Budget'!$L$5:$L$1005,"&gt;0")&gt;0,SUMIFS('Detailed Budget'!$BA$5:$BA$1005,'Detailed Budget'!$L$5:$L$1005,$B24,'Detailed Budget'!$L$5:$L$1005,"&gt;0"),"")</f>
        <v>2300</v>
      </c>
      <c r="O24" s="44" t="str">
        <f>IF(SUMIFS('Detailed Budget'!$BC$5:$BC$1005,'Detailed Budget'!$L$5:$L$1005,$B24,'Detailed Budget'!$L$5:$L$1005,"&gt;0")&gt;0,SUMIFS('Detailed Budget'!$BC$5:$BC$1005,'Detailed Budget'!$L$5:$L$1005,$B24,'Detailed Budget'!$L$5:$L$1005,"&gt;0"),"")</f>
        <v/>
      </c>
      <c r="P24" s="44" t="str">
        <f>IF(SUMIFS('Detailed Budget'!$BE$5:$BE$1005,'Detailed Budget'!$L$5:$L$1005,$B24,'Detailed Budget'!$L$5:$L$1005,"&gt;0")&gt;0,SUMIFS('Detailed Budget'!$BE$5:$BE$1005,'Detailed Budget'!$L$5:$L$1005,$B24,'Detailed Budget'!$L$5:$L$1005,"&gt;0"),"")</f>
        <v/>
      </c>
      <c r="Q24" s="44" t="str">
        <f>IF(SUMIFS('Detailed Budget'!$BG$5:$BG$1005,'Detailed Budget'!$L$5:$L$1005,$B24,'Detailed Budget'!$L$5:$L$1005,"&gt;0")&gt;0,SUMIFS('Detailed Budget'!$BG$5:$BG$1005,'Detailed Budget'!$L$5:$L$1005,$B24,'Detailed Budget'!$L$5:$L$1005,"&gt;0"),"")</f>
        <v/>
      </c>
      <c r="R24" s="45">
        <f>IF(SUMIFS('Detailed Budget'!$BI$5:$BI$1005,'Detailed Budget'!$L$5:$L$1005,$B24,'Detailed Budget'!$L$5:$L$1005,"&gt;0")&gt;0,SUMIFS('Detailed Budget'!$BI$5:$BI$1005,'Detailed Budget'!$L$5:$L$1005,$B24,'Detailed Budget'!$L$5:$L$1005,"&gt;0"),"")</f>
        <v>2300</v>
      </c>
      <c r="S24" s="44" t="str">
        <f>IF(SUMIFS('Detailed Budget'!$BN$5:$BN$1005,'Detailed Budget'!$L$5:$L$1005,$B24,'Detailed Budget'!$L$5:$L$1005,"&gt;0")&gt;0,SUMIFS('Detailed Budget'!$BN$5:$BN$1005,'Detailed Budget'!$L$5:$L$1005,$B24,'Detailed Budget'!$L$5:$L$1005,"&gt;0"),"")</f>
        <v/>
      </c>
      <c r="T24" s="44" t="str">
        <f>IF(SUMIFS('Detailed Budget'!$BP$5:$BP$1005,'Detailed Budget'!$L$5:$L$1005,$B24,'Detailed Budget'!$L$5:$L$1005,"&gt;0")&gt;0,SUMIFS('Detailed Budget'!$BP$5:$BP$1005,'Detailed Budget'!$L$5:$L$1005,$B24,'Detailed Budget'!$L$5:$L$1005,"&gt;0"),"")</f>
        <v/>
      </c>
      <c r="U24" s="44" t="str">
        <f>IF(SUMIFS('Detailed Budget'!$BR$5:$BR$1005,'Detailed Budget'!$L$5:$L$1005,$B24,'Detailed Budget'!$L$5:$L$1005,"&gt;0")&gt;0,SUMIFS('Detailed Budget'!$BR$5:$BR$1005,'Detailed Budget'!$L$5:$L$1005,$B24,'Detailed Budget'!$L$5:$L$1005,"&gt;0"),"")</f>
        <v/>
      </c>
      <c r="V24" s="44" t="str">
        <f>IF(SUMIFS('Detailed Budget'!$BT$5:$BT$1005,'Detailed Budget'!$L$5:$L$1005,$B24,'Detailed Budget'!$L$5:$L$1005,"&gt;0")&gt;0,SUMIFS('Detailed Budget'!$BT$5:$BT$1005,'Detailed Budget'!$L$5:$L$1005,$B24,'Detailed Budget'!$L$5:$L$1005,"&gt;0"),"")</f>
        <v/>
      </c>
      <c r="W24" s="45" t="str">
        <f>IF(SUMIFS('Detailed Budget'!$BV$5:$BV$1005,'Detailed Budget'!$L$5:$L$1005,$B24,'Detailed Budget'!$L$5:$L$1005,"&gt;0")&gt;0,SUMIFS('Detailed Budget'!$BV$5:$BV$1005,'Detailed Budget'!$L$5:$L$1005,$B24,'Detailed Budget'!$L$5:$L$1005,"&gt;0"),"")</f>
        <v/>
      </c>
      <c r="X24" s="44">
        <f t="shared" si="0"/>
        <v>6900</v>
      </c>
      <c r="Y24" s="124">
        <f t="shared" si="1"/>
        <v>9.9543402974942093E-4</v>
      </c>
    </row>
    <row r="25" spans="1:25" x14ac:dyDescent="0.25">
      <c r="A25" s="35"/>
      <c r="B25" s="234">
        <f t="array" ref="B25">IFERROR(INDEX(CostInpNoList,MATCH(0,IF(ISBLANK(CostInpNoList),"",COUNTIF(B$16:B24,CostInpNoList)),0)),"")</f>
        <v>3.4</v>
      </c>
      <c r="C25" s="372" t="str">
        <f>IFERROR(INDEX('Data Sheet'!$F$198:$F$275,MATCH(B25,'Data Sheet'!$G$198:$G$275,0)),"")</f>
        <v>3.4 Other external professional services</v>
      </c>
      <c r="D25" s="44" t="str">
        <f>IF(SUMIFS('Detailed Budget'!$AA$5:$AA$1005,'Detailed Budget'!$L$5:$L$1005,$B25,'Detailed Budget'!$L$5:$L$1005,"&gt;0")&gt;0,SUMIFS('Detailed Budget'!$AA$5:$AA$1005,'Detailed Budget'!$L$5:$L$1005,$B25,'Detailed Budget'!$L$5:$L$1005,"&gt;0"),"")</f>
        <v/>
      </c>
      <c r="E25" s="44" t="str">
        <f>IF(SUMIFS('Detailed Budget'!$AC$5:$AC$1005,'Detailed Budget'!$L$5:$L$1005,$B25,'Detailed Budget'!$L$5:$L$1005,"&gt;0")&gt;0,SUMIFS('Detailed Budget'!$AC$5:$AC$1005,'Detailed Budget'!$L$5:$L$1005,$B25,'Detailed Budget'!$L$5:$L$1005,"&gt;0"),"")</f>
        <v/>
      </c>
      <c r="F25" s="44">
        <f>IF(SUMIFS('Detailed Budget'!$AE$5:$AE$1005,'Detailed Budget'!$L$5:$L$1005,$B25,'Detailed Budget'!$L$5:$L$1005,"&gt;0")&gt;0,SUMIFS('Detailed Budget'!$AE$5:$AE$1005,'Detailed Budget'!$L$5:$L$1005,$B25,'Detailed Budget'!$L$5:$L$1005,"&gt;0"),"")</f>
        <v>9000</v>
      </c>
      <c r="G25" s="44" t="str">
        <f>IF(SUMIFS('Detailed Budget'!$AG$5:$AG$1005,'Detailed Budget'!$L$5:$L$1005,$B25,'Detailed Budget'!$L$5:$L$1005,"&gt;0")&gt;0,SUMIFS('Detailed Budget'!$AG$5:$AG$1005,'Detailed Budget'!$L$5:$L$1005,$B25,'Detailed Budget'!$L$5:$L$1005,"&gt;0"),"")</f>
        <v/>
      </c>
      <c r="H25" s="45">
        <f>IF(SUMIFS('Detailed Budget'!$AI$5:$AI$1005,'Detailed Budget'!$L$5:$L$1005,$B25,'Detailed Budget'!$L$5:$L$1005,"&gt;0")&gt;0,SUMIFS('Detailed Budget'!$AI$5:$AI$1005,'Detailed Budget'!$L$5:$L$1005,$B25,'Detailed Budget'!$L$5:$L$1005,"&gt;0"),"")</f>
        <v>9000</v>
      </c>
      <c r="I25" s="44" t="str">
        <f>IF(SUMIFS('Detailed Budget'!$AN$5:$AN$1005,'Detailed Budget'!$L$5:$L$1005,$B25,'Detailed Budget'!$L$5:$L$1005,"&gt;0")&gt;0,SUMIFS('Detailed Budget'!$AN$5:$AN$1005,'Detailed Budget'!$L$5:$L$1005,$B25,'Detailed Budget'!$L$5:$L$1005,"&gt;0"),"")</f>
        <v/>
      </c>
      <c r="J25" s="44" t="str">
        <f>IF(SUMIFS('Detailed Budget'!$AP$5:$AP$1005,'Detailed Budget'!$L$5:$L$1005,$B25,'Detailed Budget'!$L$5:$L$1005,"&gt;0")&gt;0,SUMIFS('Detailed Budget'!$AP$5:$AP$1005,'Detailed Budget'!$L$5:$L$1005,$B25,'Detailed Budget'!$L$5:$L$1005,"&gt;0"),"")</f>
        <v/>
      </c>
      <c r="K25" s="44" t="str">
        <f>IF(SUMIFS('Detailed Budget'!$AR$5:$AR$1005,'Detailed Budget'!$L$5:$L$1005,$B25,'Detailed Budget'!$L$5:$L$1005,"&gt;0")&gt;0,SUMIFS('Detailed Budget'!$AR$5:$AR$1005,'Detailed Budget'!$L$5:$L$1005,$B25,'Detailed Budget'!$L$5:$L$1005,"&gt;0"),"")</f>
        <v/>
      </c>
      <c r="L25" s="44" t="str">
        <f>IF(SUMIFS('Detailed Budget'!$AT$5:$AT$1005,'Detailed Budget'!$L$5:$L$1005,$B25,'Detailed Budget'!$L$5:$L$1005,"&gt;0")&gt;0,SUMIFS('Detailed Budget'!$AT$5:$AT$1005,'Detailed Budget'!$L$5:$L$1005,$B25,'Detailed Budget'!$L$5:$L$1005,"&gt;0"),"")</f>
        <v/>
      </c>
      <c r="M25" s="45" t="str">
        <f>IF(SUMIFS('Detailed Budget'!$AV$5:$AV$1005,'Detailed Budget'!$L$5:$L$1005,$B25,'Detailed Budget'!$L$5:$L$1005,"&gt;0")&gt;0,SUMIFS('Detailed Budget'!$AV$5:$AV$1005,'Detailed Budget'!$L$5:$L$1005,$B25,'Detailed Budget'!$L$5:$L$1005,"&gt;0"),"")</f>
        <v/>
      </c>
      <c r="N25" s="44" t="str">
        <f>IF(SUMIFS('Detailed Budget'!$BA$5:$BA$1005,'Detailed Budget'!$L$5:$L$1005,$B25,'Detailed Budget'!$L$5:$L$1005,"&gt;0")&gt;0,SUMIFS('Detailed Budget'!$BA$5:$BA$1005,'Detailed Budget'!$L$5:$L$1005,$B25,'Detailed Budget'!$L$5:$L$1005,"&gt;0"),"")</f>
        <v/>
      </c>
      <c r="O25" s="44" t="str">
        <f>IF(SUMIFS('Detailed Budget'!$BC$5:$BC$1005,'Detailed Budget'!$L$5:$L$1005,$B25,'Detailed Budget'!$L$5:$L$1005,"&gt;0")&gt;0,SUMIFS('Detailed Budget'!$BC$5:$BC$1005,'Detailed Budget'!$L$5:$L$1005,$B25,'Detailed Budget'!$L$5:$L$1005,"&gt;0"),"")</f>
        <v/>
      </c>
      <c r="P25" s="44">
        <f>IF(SUMIFS('Detailed Budget'!$BE$5:$BE$1005,'Detailed Budget'!$L$5:$L$1005,$B25,'Detailed Budget'!$L$5:$L$1005,"&gt;0")&gt;0,SUMIFS('Detailed Budget'!$BE$5:$BE$1005,'Detailed Budget'!$L$5:$L$1005,$B25,'Detailed Budget'!$L$5:$L$1005,"&gt;0"),"")</f>
        <v>9000</v>
      </c>
      <c r="Q25" s="44" t="str">
        <f>IF(SUMIFS('Detailed Budget'!$BG$5:$BG$1005,'Detailed Budget'!$L$5:$L$1005,$B25,'Detailed Budget'!$L$5:$L$1005,"&gt;0")&gt;0,SUMIFS('Detailed Budget'!$BG$5:$BG$1005,'Detailed Budget'!$L$5:$L$1005,$B25,'Detailed Budget'!$L$5:$L$1005,"&gt;0"),"")</f>
        <v/>
      </c>
      <c r="R25" s="45">
        <f>IF(SUMIFS('Detailed Budget'!$BI$5:$BI$1005,'Detailed Budget'!$L$5:$L$1005,$B25,'Detailed Budget'!$L$5:$L$1005,"&gt;0")&gt;0,SUMIFS('Detailed Budget'!$BI$5:$BI$1005,'Detailed Budget'!$L$5:$L$1005,$B25,'Detailed Budget'!$L$5:$L$1005,"&gt;0"),"")</f>
        <v>9000</v>
      </c>
      <c r="S25" s="44" t="str">
        <f>IF(SUMIFS('Detailed Budget'!$BN$5:$BN$1005,'Detailed Budget'!$L$5:$L$1005,$B25,'Detailed Budget'!$L$5:$L$1005,"&gt;0")&gt;0,SUMIFS('Detailed Budget'!$BN$5:$BN$1005,'Detailed Budget'!$L$5:$L$1005,$B25,'Detailed Budget'!$L$5:$L$1005,"&gt;0"),"")</f>
        <v/>
      </c>
      <c r="T25" s="44" t="str">
        <f>IF(SUMIFS('Detailed Budget'!$BP$5:$BP$1005,'Detailed Budget'!$L$5:$L$1005,$B25,'Detailed Budget'!$L$5:$L$1005,"&gt;0")&gt;0,SUMIFS('Detailed Budget'!$BP$5:$BP$1005,'Detailed Budget'!$L$5:$L$1005,$B25,'Detailed Budget'!$L$5:$L$1005,"&gt;0"),"")</f>
        <v/>
      </c>
      <c r="U25" s="44" t="str">
        <f>IF(SUMIFS('Detailed Budget'!$BR$5:$BR$1005,'Detailed Budget'!$L$5:$L$1005,$B25,'Detailed Budget'!$L$5:$L$1005,"&gt;0")&gt;0,SUMIFS('Detailed Budget'!$BR$5:$BR$1005,'Detailed Budget'!$L$5:$L$1005,$B25,'Detailed Budget'!$L$5:$L$1005,"&gt;0"),"")</f>
        <v/>
      </c>
      <c r="V25" s="44" t="str">
        <f>IF(SUMIFS('Detailed Budget'!$BT$5:$BT$1005,'Detailed Budget'!$L$5:$L$1005,$B25,'Detailed Budget'!$L$5:$L$1005,"&gt;0")&gt;0,SUMIFS('Detailed Budget'!$BT$5:$BT$1005,'Detailed Budget'!$L$5:$L$1005,$B25,'Detailed Budget'!$L$5:$L$1005,"&gt;0"),"")</f>
        <v/>
      </c>
      <c r="W25" s="45" t="str">
        <f>IF(SUMIFS('Detailed Budget'!$BV$5:$BV$1005,'Detailed Budget'!$L$5:$L$1005,$B25,'Detailed Budget'!$L$5:$L$1005,"&gt;0")&gt;0,SUMIFS('Detailed Budget'!$BV$5:$BV$1005,'Detailed Budget'!$L$5:$L$1005,$B25,'Detailed Budget'!$L$5:$L$1005,"&gt;0"),"")</f>
        <v/>
      </c>
      <c r="X25" s="44">
        <f t="shared" si="0"/>
        <v>18000</v>
      </c>
      <c r="Y25" s="124">
        <f t="shared" si="1"/>
        <v>2.5967844254332724E-3</v>
      </c>
    </row>
    <row r="26" spans="1:25" x14ac:dyDescent="0.25">
      <c r="A26" s="35"/>
      <c r="B26" s="234">
        <f t="array" ref="B26">IFERROR(INDEX(CostInpNoList,MATCH(0,IF(ISBLANK(CostInpNoList),"",COUNTIF(B$16:B25,CostInpNoList)),0)),"")</f>
        <v>3.1</v>
      </c>
      <c r="C26" s="372" t="str">
        <f>IFERROR(INDEX('Data Sheet'!$F$198:$F$275,MATCH(B26,'Data Sheet'!$G$198:$G$275,0)),"")</f>
        <v>3.1 TA Fees - Consultants</v>
      </c>
      <c r="D26" s="44">
        <f>IF(SUMIFS('Detailed Budget'!$AA$5:$AA$1005,'Detailed Budget'!$L$5:$L$1005,$B26,'Detailed Budget'!$L$5:$L$1005,"&gt;0")&gt;0,SUMIFS('Detailed Budget'!$AA$5:$AA$1005,'Detailed Budget'!$L$5:$L$1005,$B26,'Detailed Budget'!$L$5:$L$1005,"&gt;0"),"")</f>
        <v>16950</v>
      </c>
      <c r="E26" s="44">
        <f>IF(SUMIFS('Detailed Budget'!$AC$5:$AC$1005,'Detailed Budget'!$L$5:$L$1005,$B26,'Detailed Budget'!$L$5:$L$1005,"&gt;0")&gt;0,SUMIFS('Detailed Budget'!$AC$5:$AC$1005,'Detailed Budget'!$L$5:$L$1005,$B26,'Detailed Budget'!$L$5:$L$1005,"&gt;0"),"")</f>
        <v>16950</v>
      </c>
      <c r="F26" s="44">
        <f>IF(SUMIFS('Detailed Budget'!$AE$5:$AE$1005,'Detailed Budget'!$L$5:$L$1005,$B26,'Detailed Budget'!$L$5:$L$1005,"&gt;0")&gt;0,SUMIFS('Detailed Budget'!$AE$5:$AE$1005,'Detailed Budget'!$L$5:$L$1005,$B26,'Detailed Budget'!$L$5:$L$1005,"&gt;0"),"")</f>
        <v>16950</v>
      </c>
      <c r="G26" s="44">
        <f>IF(SUMIFS('Detailed Budget'!$AG$5:$AG$1005,'Detailed Budget'!$L$5:$L$1005,$B26,'Detailed Budget'!$L$5:$L$1005,"&gt;0")&gt;0,SUMIFS('Detailed Budget'!$AG$5:$AG$1005,'Detailed Budget'!$L$5:$L$1005,$B26,'Detailed Budget'!$L$5:$L$1005,"&gt;0"),"")</f>
        <v>16950</v>
      </c>
      <c r="H26" s="45">
        <f>IF(SUMIFS('Detailed Budget'!$AI$5:$AI$1005,'Detailed Budget'!$L$5:$L$1005,$B26,'Detailed Budget'!$L$5:$L$1005,"&gt;0")&gt;0,SUMIFS('Detailed Budget'!$AI$5:$AI$1005,'Detailed Budget'!$L$5:$L$1005,$B26,'Detailed Budget'!$L$5:$L$1005,"&gt;0"),"")</f>
        <v>67800</v>
      </c>
      <c r="I26" s="44">
        <f>IF(SUMIFS('Detailed Budget'!$AN$5:$AN$1005,'Detailed Budget'!$L$5:$L$1005,$B26,'Detailed Budget'!$L$5:$L$1005,"&gt;0")&gt;0,SUMIFS('Detailed Budget'!$AN$5:$AN$1005,'Detailed Budget'!$L$5:$L$1005,$B26,'Detailed Budget'!$L$5:$L$1005,"&gt;0"),"")</f>
        <v>16950</v>
      </c>
      <c r="J26" s="44">
        <f>IF(SUMIFS('Detailed Budget'!$AP$5:$AP$1005,'Detailed Budget'!$L$5:$L$1005,$B26,'Detailed Budget'!$L$5:$L$1005,"&gt;0")&gt;0,SUMIFS('Detailed Budget'!$AP$5:$AP$1005,'Detailed Budget'!$L$5:$L$1005,$B26,'Detailed Budget'!$L$5:$L$1005,"&gt;0"),"")</f>
        <v>16950</v>
      </c>
      <c r="K26" s="44">
        <f>IF(SUMIFS('Detailed Budget'!$AR$5:$AR$1005,'Detailed Budget'!$L$5:$L$1005,$B26,'Detailed Budget'!$L$5:$L$1005,"&gt;0")&gt;0,SUMIFS('Detailed Budget'!$AR$5:$AR$1005,'Detailed Budget'!$L$5:$L$1005,$B26,'Detailed Budget'!$L$5:$L$1005,"&gt;0"),"")</f>
        <v>16950</v>
      </c>
      <c r="L26" s="44">
        <f>IF(SUMIFS('Detailed Budget'!$AT$5:$AT$1005,'Detailed Budget'!$L$5:$L$1005,$B26,'Detailed Budget'!$L$5:$L$1005,"&gt;0")&gt;0,SUMIFS('Detailed Budget'!$AT$5:$AT$1005,'Detailed Budget'!$L$5:$L$1005,$B26,'Detailed Budget'!$L$5:$L$1005,"&gt;0"),"")</f>
        <v>16950</v>
      </c>
      <c r="M26" s="45">
        <f>IF(SUMIFS('Detailed Budget'!$AV$5:$AV$1005,'Detailed Budget'!$L$5:$L$1005,$B26,'Detailed Budget'!$L$5:$L$1005,"&gt;0")&gt;0,SUMIFS('Detailed Budget'!$AV$5:$AV$1005,'Detailed Budget'!$L$5:$L$1005,$B26,'Detailed Budget'!$L$5:$L$1005,"&gt;0"),"")</f>
        <v>67800</v>
      </c>
      <c r="N26" s="44">
        <f>IF(SUMIFS('Detailed Budget'!$BA$5:$BA$1005,'Detailed Budget'!$L$5:$L$1005,$B26,'Detailed Budget'!$L$5:$L$1005,"&gt;0")&gt;0,SUMIFS('Detailed Budget'!$BA$5:$BA$1005,'Detailed Budget'!$L$5:$L$1005,$B26,'Detailed Budget'!$L$5:$L$1005,"&gt;0"),"")</f>
        <v>16950</v>
      </c>
      <c r="O26" s="44">
        <f>IF(SUMIFS('Detailed Budget'!$BC$5:$BC$1005,'Detailed Budget'!$L$5:$L$1005,$B26,'Detailed Budget'!$L$5:$L$1005,"&gt;0")&gt;0,SUMIFS('Detailed Budget'!$BC$5:$BC$1005,'Detailed Budget'!$L$5:$L$1005,$B26,'Detailed Budget'!$L$5:$L$1005,"&gt;0"),"")</f>
        <v>16950</v>
      </c>
      <c r="P26" s="44">
        <f>IF(SUMIFS('Detailed Budget'!$BE$5:$BE$1005,'Detailed Budget'!$L$5:$L$1005,$B26,'Detailed Budget'!$L$5:$L$1005,"&gt;0")&gt;0,SUMIFS('Detailed Budget'!$BE$5:$BE$1005,'Detailed Budget'!$L$5:$L$1005,$B26,'Detailed Budget'!$L$5:$L$1005,"&gt;0"),"")</f>
        <v>16950</v>
      </c>
      <c r="Q26" s="44">
        <f>IF(SUMIFS('Detailed Budget'!$BG$5:$BG$1005,'Detailed Budget'!$L$5:$L$1005,$B26,'Detailed Budget'!$L$5:$L$1005,"&gt;0")&gt;0,SUMIFS('Detailed Budget'!$BG$5:$BG$1005,'Detailed Budget'!$L$5:$L$1005,$B26,'Detailed Budget'!$L$5:$L$1005,"&gt;0"),"")</f>
        <v>16950</v>
      </c>
      <c r="R26" s="45">
        <f>IF(SUMIFS('Detailed Budget'!$BI$5:$BI$1005,'Detailed Budget'!$L$5:$L$1005,$B26,'Detailed Budget'!$L$5:$L$1005,"&gt;0")&gt;0,SUMIFS('Detailed Budget'!$BI$5:$BI$1005,'Detailed Budget'!$L$5:$L$1005,$B26,'Detailed Budget'!$L$5:$L$1005,"&gt;0"),"")</f>
        <v>67800</v>
      </c>
      <c r="S26" s="44" t="str">
        <f>IF(SUMIFS('Detailed Budget'!$BN$5:$BN$1005,'Detailed Budget'!$L$5:$L$1005,$B26,'Detailed Budget'!$L$5:$L$1005,"&gt;0")&gt;0,SUMIFS('Detailed Budget'!$BN$5:$BN$1005,'Detailed Budget'!$L$5:$L$1005,$B26,'Detailed Budget'!$L$5:$L$1005,"&gt;0"),"")</f>
        <v/>
      </c>
      <c r="T26" s="44" t="str">
        <f>IF(SUMIFS('Detailed Budget'!$BP$5:$BP$1005,'Detailed Budget'!$L$5:$L$1005,$B26,'Detailed Budget'!$L$5:$L$1005,"&gt;0")&gt;0,SUMIFS('Detailed Budget'!$BP$5:$BP$1005,'Detailed Budget'!$L$5:$L$1005,$B26,'Detailed Budget'!$L$5:$L$1005,"&gt;0"),"")</f>
        <v/>
      </c>
      <c r="U26" s="44" t="str">
        <f>IF(SUMIFS('Detailed Budget'!$BR$5:$BR$1005,'Detailed Budget'!$L$5:$L$1005,$B26,'Detailed Budget'!$L$5:$L$1005,"&gt;0")&gt;0,SUMIFS('Detailed Budget'!$BR$5:$BR$1005,'Detailed Budget'!$L$5:$L$1005,$B26,'Detailed Budget'!$L$5:$L$1005,"&gt;0"),"")</f>
        <v/>
      </c>
      <c r="V26" s="44" t="str">
        <f>IF(SUMIFS('Detailed Budget'!$BT$5:$BT$1005,'Detailed Budget'!$L$5:$L$1005,$B26,'Detailed Budget'!$L$5:$L$1005,"&gt;0")&gt;0,SUMIFS('Detailed Budget'!$BT$5:$BT$1005,'Detailed Budget'!$L$5:$L$1005,$B26,'Detailed Budget'!$L$5:$L$1005,"&gt;0"),"")</f>
        <v/>
      </c>
      <c r="W26" s="45" t="str">
        <f>IF(SUMIFS('Detailed Budget'!$BV$5:$BV$1005,'Detailed Budget'!$L$5:$L$1005,$B26,'Detailed Budget'!$L$5:$L$1005,"&gt;0")&gt;0,SUMIFS('Detailed Budget'!$BV$5:$BV$1005,'Detailed Budget'!$L$5:$L$1005,$B26,'Detailed Budget'!$L$5:$L$1005,"&gt;0"),"")</f>
        <v/>
      </c>
      <c r="X26" s="44">
        <f t="shared" si="0"/>
        <v>203400</v>
      </c>
      <c r="Y26" s="124">
        <f t="shared" si="1"/>
        <v>2.9343664007395975E-2</v>
      </c>
    </row>
    <row r="27" spans="1:25" x14ac:dyDescent="0.25">
      <c r="A27" s="35"/>
      <c r="B27" s="234">
        <f t="array" ref="B27">IFERROR(INDEX(CostInpNoList,MATCH(0,IF(ISBLANK(CostInpNoList),"",COUNTIF(B$16:B26,CostInpNoList)),0)),"")</f>
        <v>3.3</v>
      </c>
      <c r="C27" s="372" t="str">
        <f>IFERROR(INDEX('Data Sheet'!$F$198:$F$275,MATCH(B27,'Data Sheet'!$G$198:$G$275,0)),"")</f>
        <v>3.3 External audit fees</v>
      </c>
      <c r="D27" s="44" t="str">
        <f>IF(SUMIFS('Detailed Budget'!$AA$5:$AA$1005,'Detailed Budget'!$L$5:$L$1005,$B27,'Detailed Budget'!$L$5:$L$1005,"&gt;0")&gt;0,SUMIFS('Detailed Budget'!$AA$5:$AA$1005,'Detailed Budget'!$L$5:$L$1005,$B27,'Detailed Budget'!$L$5:$L$1005,"&gt;0"),"")</f>
        <v/>
      </c>
      <c r="E27" s="44" t="str">
        <f>IF(SUMIFS('Detailed Budget'!$AC$5:$AC$1005,'Detailed Budget'!$L$5:$L$1005,$B27,'Detailed Budget'!$L$5:$L$1005,"&gt;0")&gt;0,SUMIFS('Detailed Budget'!$AC$5:$AC$1005,'Detailed Budget'!$L$5:$L$1005,$B27,'Detailed Budget'!$L$5:$L$1005,"&gt;0"),"")</f>
        <v/>
      </c>
      <c r="F27" s="44" t="str">
        <f>IF(SUMIFS('Detailed Budget'!$AE$5:$AE$1005,'Detailed Budget'!$L$5:$L$1005,$B27,'Detailed Budget'!$L$5:$L$1005,"&gt;0")&gt;0,SUMIFS('Detailed Budget'!$AE$5:$AE$1005,'Detailed Budget'!$L$5:$L$1005,$B27,'Detailed Budget'!$L$5:$L$1005,"&gt;0"),"")</f>
        <v/>
      </c>
      <c r="G27" s="44">
        <f>IF(SUMIFS('Detailed Budget'!$AG$5:$AG$1005,'Detailed Budget'!$L$5:$L$1005,$B27,'Detailed Budget'!$L$5:$L$1005,"&gt;0")&gt;0,SUMIFS('Detailed Budget'!$AG$5:$AG$1005,'Detailed Budget'!$L$5:$L$1005,$B27,'Detailed Budget'!$L$5:$L$1005,"&gt;0"),"")</f>
        <v>25000</v>
      </c>
      <c r="H27" s="45">
        <f>IF(SUMIFS('Detailed Budget'!$AI$5:$AI$1005,'Detailed Budget'!$L$5:$L$1005,$B27,'Detailed Budget'!$L$5:$L$1005,"&gt;0")&gt;0,SUMIFS('Detailed Budget'!$AI$5:$AI$1005,'Detailed Budget'!$L$5:$L$1005,$B27,'Detailed Budget'!$L$5:$L$1005,"&gt;0"),"")</f>
        <v>25000</v>
      </c>
      <c r="I27" s="44" t="str">
        <f>IF(SUMIFS('Detailed Budget'!$AN$5:$AN$1005,'Detailed Budget'!$L$5:$L$1005,$B27,'Detailed Budget'!$L$5:$L$1005,"&gt;0")&gt;0,SUMIFS('Detailed Budget'!$AN$5:$AN$1005,'Detailed Budget'!$L$5:$L$1005,$B27,'Detailed Budget'!$L$5:$L$1005,"&gt;0"),"")</f>
        <v/>
      </c>
      <c r="J27" s="44" t="str">
        <f>IF(SUMIFS('Detailed Budget'!$AP$5:$AP$1005,'Detailed Budget'!$L$5:$L$1005,$B27,'Detailed Budget'!$L$5:$L$1005,"&gt;0")&gt;0,SUMIFS('Detailed Budget'!$AP$5:$AP$1005,'Detailed Budget'!$L$5:$L$1005,$B27,'Detailed Budget'!$L$5:$L$1005,"&gt;0"),"")</f>
        <v/>
      </c>
      <c r="K27" s="44" t="str">
        <f>IF(SUMIFS('Detailed Budget'!$AR$5:$AR$1005,'Detailed Budget'!$L$5:$L$1005,$B27,'Detailed Budget'!$L$5:$L$1005,"&gt;0")&gt;0,SUMIFS('Detailed Budget'!$AR$5:$AR$1005,'Detailed Budget'!$L$5:$L$1005,$B27,'Detailed Budget'!$L$5:$L$1005,"&gt;0"),"")</f>
        <v/>
      </c>
      <c r="L27" s="44">
        <f>IF(SUMIFS('Detailed Budget'!$AT$5:$AT$1005,'Detailed Budget'!$L$5:$L$1005,$B27,'Detailed Budget'!$L$5:$L$1005,"&gt;0")&gt;0,SUMIFS('Detailed Budget'!$AT$5:$AT$1005,'Detailed Budget'!$L$5:$L$1005,$B27,'Detailed Budget'!$L$5:$L$1005,"&gt;0"),"")</f>
        <v>25000</v>
      </c>
      <c r="M27" s="45">
        <f>IF(SUMIFS('Detailed Budget'!$AV$5:$AV$1005,'Detailed Budget'!$L$5:$L$1005,$B27,'Detailed Budget'!$L$5:$L$1005,"&gt;0")&gt;0,SUMIFS('Detailed Budget'!$AV$5:$AV$1005,'Detailed Budget'!$L$5:$L$1005,$B27,'Detailed Budget'!$L$5:$L$1005,"&gt;0"),"")</f>
        <v>25000</v>
      </c>
      <c r="N27" s="44" t="str">
        <f>IF(SUMIFS('Detailed Budget'!$BA$5:$BA$1005,'Detailed Budget'!$L$5:$L$1005,$B27,'Detailed Budget'!$L$5:$L$1005,"&gt;0")&gt;0,SUMIFS('Detailed Budget'!$BA$5:$BA$1005,'Detailed Budget'!$L$5:$L$1005,$B27,'Detailed Budget'!$L$5:$L$1005,"&gt;0"),"")</f>
        <v/>
      </c>
      <c r="O27" s="44" t="str">
        <f>IF(SUMIFS('Detailed Budget'!$BC$5:$BC$1005,'Detailed Budget'!$L$5:$L$1005,$B27,'Detailed Budget'!$L$5:$L$1005,"&gt;0")&gt;0,SUMIFS('Detailed Budget'!$BC$5:$BC$1005,'Detailed Budget'!$L$5:$L$1005,$B27,'Detailed Budget'!$L$5:$L$1005,"&gt;0"),"")</f>
        <v/>
      </c>
      <c r="P27" s="44" t="str">
        <f>IF(SUMIFS('Detailed Budget'!$BE$5:$BE$1005,'Detailed Budget'!$L$5:$L$1005,$B27,'Detailed Budget'!$L$5:$L$1005,"&gt;0")&gt;0,SUMIFS('Detailed Budget'!$BE$5:$BE$1005,'Detailed Budget'!$L$5:$L$1005,$B27,'Detailed Budget'!$L$5:$L$1005,"&gt;0"),"")</f>
        <v/>
      </c>
      <c r="Q27" s="44">
        <f>IF(SUMIFS('Detailed Budget'!$BG$5:$BG$1005,'Detailed Budget'!$L$5:$L$1005,$B27,'Detailed Budget'!$L$5:$L$1005,"&gt;0")&gt;0,SUMIFS('Detailed Budget'!$BG$5:$BG$1005,'Detailed Budget'!$L$5:$L$1005,$B27,'Detailed Budget'!$L$5:$L$1005,"&gt;0"),"")</f>
        <v>25000</v>
      </c>
      <c r="R27" s="45">
        <f>IF(SUMIFS('Detailed Budget'!$BI$5:$BI$1005,'Detailed Budget'!$L$5:$L$1005,$B27,'Detailed Budget'!$L$5:$L$1005,"&gt;0")&gt;0,SUMIFS('Detailed Budget'!$BI$5:$BI$1005,'Detailed Budget'!$L$5:$L$1005,$B27,'Detailed Budget'!$L$5:$L$1005,"&gt;0"),"")</f>
        <v>25000</v>
      </c>
      <c r="S27" s="44" t="str">
        <f>IF(SUMIFS('Detailed Budget'!$BN$5:$BN$1005,'Detailed Budget'!$L$5:$L$1005,$B27,'Detailed Budget'!$L$5:$L$1005,"&gt;0")&gt;0,SUMIFS('Detailed Budget'!$BN$5:$BN$1005,'Detailed Budget'!$L$5:$L$1005,$B27,'Detailed Budget'!$L$5:$L$1005,"&gt;0"),"")</f>
        <v/>
      </c>
      <c r="T27" s="44" t="str">
        <f>IF(SUMIFS('Detailed Budget'!$BP$5:$BP$1005,'Detailed Budget'!$L$5:$L$1005,$B27,'Detailed Budget'!$L$5:$L$1005,"&gt;0")&gt;0,SUMIFS('Detailed Budget'!$BP$5:$BP$1005,'Detailed Budget'!$L$5:$L$1005,$B27,'Detailed Budget'!$L$5:$L$1005,"&gt;0"),"")</f>
        <v/>
      </c>
      <c r="U27" s="44" t="str">
        <f>IF(SUMIFS('Detailed Budget'!$BR$5:$BR$1005,'Detailed Budget'!$L$5:$L$1005,$B27,'Detailed Budget'!$L$5:$L$1005,"&gt;0")&gt;0,SUMIFS('Detailed Budget'!$BR$5:$BR$1005,'Detailed Budget'!$L$5:$L$1005,$B27,'Detailed Budget'!$L$5:$L$1005,"&gt;0"),"")</f>
        <v/>
      </c>
      <c r="V27" s="44" t="str">
        <f>IF(SUMIFS('Detailed Budget'!$BT$5:$BT$1005,'Detailed Budget'!$L$5:$L$1005,$B27,'Detailed Budget'!$L$5:$L$1005,"&gt;0")&gt;0,SUMIFS('Detailed Budget'!$BT$5:$BT$1005,'Detailed Budget'!$L$5:$L$1005,$B27,'Detailed Budget'!$L$5:$L$1005,"&gt;0"),"")</f>
        <v/>
      </c>
      <c r="W27" s="45" t="str">
        <f>IF(SUMIFS('Detailed Budget'!$BV$5:$BV$1005,'Detailed Budget'!$L$5:$L$1005,$B27,'Detailed Budget'!$L$5:$L$1005,"&gt;0")&gt;0,SUMIFS('Detailed Budget'!$BV$5:$BV$1005,'Detailed Budget'!$L$5:$L$1005,$B27,'Detailed Budget'!$L$5:$L$1005,"&gt;0"),"")</f>
        <v/>
      </c>
      <c r="X27" s="44">
        <f t="shared" si="0"/>
        <v>75000</v>
      </c>
      <c r="Y27" s="124">
        <f t="shared" si="1"/>
        <v>1.0819935105971967E-2</v>
      </c>
    </row>
    <row r="28" spans="1:25" ht="26.25" x14ac:dyDescent="0.25">
      <c r="A28" s="35"/>
      <c r="B28" s="234">
        <f t="array" ref="B28">IFERROR(INDEX(CostInpNoList,MATCH(0,IF(ISBLANK(CostInpNoList),"",COUNTIF(B$16:B27,CostInpNoList)),0)),"")</f>
        <v>2.2999999999999998</v>
      </c>
      <c r="C28" s="372" t="str">
        <f>IFERROR(INDEX('Data Sheet'!$F$198:$F$275,MATCH(B28,'Data Sheet'!$G$198:$G$275,0)),"")</f>
        <v>2.3 Supervision/surveys/data collection related per diems/transport/other costs</v>
      </c>
      <c r="D28" s="44">
        <f>IF(SUMIFS('Detailed Budget'!$AA$5:$AA$1005,'Detailed Budget'!$L$5:$L$1005,$B28,'Detailed Budget'!$L$5:$L$1005,"&gt;0")&gt;0,SUMIFS('Detailed Budget'!$AA$5:$AA$1005,'Detailed Budget'!$L$5:$L$1005,$B28,'Detailed Budget'!$L$5:$L$1005,"&gt;0"),"")</f>
        <v>5280.227671683364</v>
      </c>
      <c r="E28" s="44">
        <f>IF(SUMIFS('Detailed Budget'!$AC$5:$AC$1005,'Detailed Budget'!$L$5:$L$1005,$B28,'Detailed Budget'!$L$5:$L$1005,"&gt;0")&gt;0,SUMIFS('Detailed Budget'!$AC$5:$AC$1005,'Detailed Budget'!$L$5:$L$1005,$B28,'Detailed Budget'!$L$5:$L$1005,"&gt;0"),"")</f>
        <v>12959.781019180256</v>
      </c>
      <c r="F28" s="44">
        <f>IF(SUMIFS('Detailed Budget'!$AE$5:$AE$1005,'Detailed Budget'!$L$5:$L$1005,$B28,'Detailed Budget'!$L$5:$L$1005,"&gt;0")&gt;0,SUMIFS('Detailed Budget'!$AE$5:$AE$1005,'Detailed Budget'!$L$5:$L$1005,$B28,'Detailed Budget'!$L$5:$L$1005,"&gt;0"),"")</f>
        <v>5280.227671683364</v>
      </c>
      <c r="G28" s="44">
        <f>IF(SUMIFS('Detailed Budget'!$AG$5:$AG$1005,'Detailed Budget'!$L$5:$L$1005,$B28,'Detailed Budget'!$L$5:$L$1005,"&gt;0")&gt;0,SUMIFS('Detailed Budget'!$AG$5:$AG$1005,'Detailed Budget'!$L$5:$L$1005,$B28,'Detailed Budget'!$L$5:$L$1005,"&gt;0"),"")</f>
        <v>12959.781019180256</v>
      </c>
      <c r="H28" s="45">
        <f>IF(SUMIFS('Detailed Budget'!$AI$5:$AI$1005,'Detailed Budget'!$L$5:$L$1005,$B28,'Detailed Budget'!$L$5:$L$1005,"&gt;0")&gt;0,SUMIFS('Detailed Budget'!$AI$5:$AI$1005,'Detailed Budget'!$L$5:$L$1005,$B28,'Detailed Budget'!$L$5:$L$1005,"&gt;0"),"")</f>
        <v>36480.017381727237</v>
      </c>
      <c r="I28" s="44">
        <f>IF(SUMIFS('Detailed Budget'!$AN$5:$AN$1005,'Detailed Budget'!$L$5:$L$1005,$B28,'Detailed Budget'!$L$5:$L$1005,"&gt;0")&gt;0,SUMIFS('Detailed Budget'!$AN$5:$AN$1005,'Detailed Budget'!$L$5:$L$1005,$B28,'Detailed Budget'!$L$5:$L$1005,"&gt;0"),"")</f>
        <v>5280.227671683364</v>
      </c>
      <c r="J28" s="44">
        <f>IF(SUMIFS('Detailed Budget'!$AP$5:$AP$1005,'Detailed Budget'!$L$5:$L$1005,$B28,'Detailed Budget'!$L$5:$L$1005,"&gt;0")&gt;0,SUMIFS('Detailed Budget'!$AP$5:$AP$1005,'Detailed Budget'!$L$5:$L$1005,$B28,'Detailed Budget'!$L$5:$L$1005,"&gt;0"),"")</f>
        <v>12959.781019180256</v>
      </c>
      <c r="K28" s="44">
        <f>IF(SUMIFS('Detailed Budget'!$AR$5:$AR$1005,'Detailed Budget'!$L$5:$L$1005,$B28,'Detailed Budget'!$L$5:$L$1005,"&gt;0")&gt;0,SUMIFS('Detailed Budget'!$AR$5:$AR$1005,'Detailed Budget'!$L$5:$L$1005,$B28,'Detailed Budget'!$L$5:$L$1005,"&gt;0"),"")</f>
        <v>5280.227671683364</v>
      </c>
      <c r="L28" s="44">
        <f>IF(SUMIFS('Detailed Budget'!$AT$5:$AT$1005,'Detailed Budget'!$L$5:$L$1005,$B28,'Detailed Budget'!$L$5:$L$1005,"&gt;0")&gt;0,SUMIFS('Detailed Budget'!$AT$5:$AT$1005,'Detailed Budget'!$L$5:$L$1005,$B28,'Detailed Budget'!$L$5:$L$1005,"&gt;0"),"")</f>
        <v>12959.781019180256</v>
      </c>
      <c r="M28" s="45">
        <f>IF(SUMIFS('Detailed Budget'!$AV$5:$AV$1005,'Detailed Budget'!$L$5:$L$1005,$B28,'Detailed Budget'!$L$5:$L$1005,"&gt;0")&gt;0,SUMIFS('Detailed Budget'!$AV$5:$AV$1005,'Detailed Budget'!$L$5:$L$1005,$B28,'Detailed Budget'!$L$5:$L$1005,"&gt;0"),"")</f>
        <v>36480.017381727237</v>
      </c>
      <c r="N28" s="44">
        <f>IF(SUMIFS('Detailed Budget'!$BA$5:$BA$1005,'Detailed Budget'!$L$5:$L$1005,$B28,'Detailed Budget'!$L$5:$L$1005,"&gt;0")&gt;0,SUMIFS('Detailed Budget'!$BA$5:$BA$1005,'Detailed Budget'!$L$5:$L$1005,$B28,'Detailed Budget'!$L$5:$L$1005,"&gt;0"),"")</f>
        <v>5280.227671683364</v>
      </c>
      <c r="O28" s="44">
        <f>IF(SUMIFS('Detailed Budget'!$BC$5:$BC$1005,'Detailed Budget'!$L$5:$L$1005,$B28,'Detailed Budget'!$L$5:$L$1005,"&gt;0")&gt;0,SUMIFS('Detailed Budget'!$BC$5:$BC$1005,'Detailed Budget'!$L$5:$L$1005,$B28,'Detailed Budget'!$L$5:$L$1005,"&gt;0"),"")</f>
        <v>295546.93285525637</v>
      </c>
      <c r="P28" s="44">
        <f>IF(SUMIFS('Detailed Budget'!$BE$5:$BE$1005,'Detailed Budget'!$L$5:$L$1005,$B28,'Detailed Budget'!$L$5:$L$1005,"&gt;0")&gt;0,SUMIFS('Detailed Budget'!$BE$5:$BE$1005,'Detailed Budget'!$L$5:$L$1005,$B28,'Detailed Budget'!$L$5:$L$1005,"&gt;0"),"")</f>
        <v>5280.227671683364</v>
      </c>
      <c r="Q28" s="44">
        <f>IF(SUMIFS('Detailed Budget'!$BG$5:$BG$1005,'Detailed Budget'!$L$5:$L$1005,$B28,'Detailed Budget'!$L$5:$L$1005,"&gt;0")&gt;0,SUMIFS('Detailed Budget'!$BG$5:$BG$1005,'Detailed Budget'!$L$5:$L$1005,$B28,'Detailed Budget'!$L$5:$L$1005,"&gt;0"),"")</f>
        <v>12959.781019180256</v>
      </c>
      <c r="R28" s="45">
        <f>IF(SUMIFS('Detailed Budget'!$BI$5:$BI$1005,'Detailed Budget'!$L$5:$L$1005,$B28,'Detailed Budget'!$L$5:$L$1005,"&gt;0")&gt;0,SUMIFS('Detailed Budget'!$BI$5:$BI$1005,'Detailed Budget'!$L$5:$L$1005,$B28,'Detailed Budget'!$L$5:$L$1005,"&gt;0"),"")</f>
        <v>319067.16921780334</v>
      </c>
      <c r="S28" s="44" t="str">
        <f>IF(SUMIFS('Detailed Budget'!$BN$5:$BN$1005,'Detailed Budget'!$L$5:$L$1005,$B28,'Detailed Budget'!$L$5:$L$1005,"&gt;0")&gt;0,SUMIFS('Detailed Budget'!$BN$5:$BN$1005,'Detailed Budget'!$L$5:$L$1005,$B28,'Detailed Budget'!$L$5:$L$1005,"&gt;0"),"")</f>
        <v/>
      </c>
      <c r="T28" s="44" t="str">
        <f>IF(SUMIFS('Detailed Budget'!$BP$5:$BP$1005,'Detailed Budget'!$L$5:$L$1005,$B28,'Detailed Budget'!$L$5:$L$1005,"&gt;0")&gt;0,SUMIFS('Detailed Budget'!$BP$5:$BP$1005,'Detailed Budget'!$L$5:$L$1005,$B28,'Detailed Budget'!$L$5:$L$1005,"&gt;0"),"")</f>
        <v/>
      </c>
      <c r="U28" s="44" t="str">
        <f>IF(SUMIFS('Detailed Budget'!$BR$5:$BR$1005,'Detailed Budget'!$L$5:$L$1005,$B28,'Detailed Budget'!$L$5:$L$1005,"&gt;0")&gt;0,SUMIFS('Detailed Budget'!$BR$5:$BR$1005,'Detailed Budget'!$L$5:$L$1005,$B28,'Detailed Budget'!$L$5:$L$1005,"&gt;0"),"")</f>
        <v/>
      </c>
      <c r="V28" s="44" t="str">
        <f>IF(SUMIFS('Detailed Budget'!$BT$5:$BT$1005,'Detailed Budget'!$L$5:$L$1005,$B28,'Detailed Budget'!$L$5:$L$1005,"&gt;0")&gt;0,SUMIFS('Detailed Budget'!$BT$5:$BT$1005,'Detailed Budget'!$L$5:$L$1005,$B28,'Detailed Budget'!$L$5:$L$1005,"&gt;0"),"")</f>
        <v/>
      </c>
      <c r="W28" s="45" t="str">
        <f>IF(SUMIFS('Detailed Budget'!$BV$5:$BV$1005,'Detailed Budget'!$L$5:$L$1005,$B28,'Detailed Budget'!$L$5:$L$1005,"&gt;0")&gt;0,SUMIFS('Detailed Budget'!$BV$5:$BV$1005,'Detailed Budget'!$L$5:$L$1005,$B28,'Detailed Budget'!$L$5:$L$1005,"&gt;0"),"")</f>
        <v/>
      </c>
      <c r="X28" s="44">
        <f t="shared" si="0"/>
        <v>392027.2039812578</v>
      </c>
      <c r="Y28" s="124">
        <f t="shared" si="1"/>
        <v>5.6556118758037927E-2</v>
      </c>
    </row>
    <row r="29" spans="1:25" x14ac:dyDescent="0.25">
      <c r="A29" s="35"/>
      <c r="B29" s="234">
        <f t="array" ref="B29">IFERROR(INDEX(CostInpNoList,MATCH(0,IF(ISBLANK(CostInpNoList),"",COUNTIF(B$16:B28,CostInpNoList)),0)),"")</f>
        <v>4.0999999999999996</v>
      </c>
      <c r="C29" s="372" t="str">
        <f>IFERROR(INDEX('Data Sheet'!$F$198:$F$275,MATCH(B29,'Data Sheet'!$G$198:$G$275,0)),"")</f>
        <v>4.1 Antiretroviral medicines</v>
      </c>
      <c r="D29" s="44">
        <f>IF(SUMIFS('Detailed Budget'!$AA$5:$AA$1005,'Detailed Budget'!$L$5:$L$1005,$B29,'Detailed Budget'!$L$5:$L$1005,"&gt;0")&gt;0,SUMIFS('Detailed Budget'!$AA$5:$AA$1005,'Detailed Budget'!$L$5:$L$1005,$B29,'Detailed Budget'!$L$5:$L$1005,"&gt;0"),"")</f>
        <v>696435</v>
      </c>
      <c r="E29" s="44" t="str">
        <f>IF(SUMIFS('Detailed Budget'!$AC$5:$AC$1005,'Detailed Budget'!$L$5:$L$1005,$B29,'Detailed Budget'!$L$5:$L$1005,"&gt;0")&gt;0,SUMIFS('Detailed Budget'!$AC$5:$AC$1005,'Detailed Budget'!$L$5:$L$1005,$B29,'Detailed Budget'!$L$5:$L$1005,"&gt;0"),"")</f>
        <v/>
      </c>
      <c r="F29" s="44" t="str">
        <f>IF(SUMIFS('Detailed Budget'!$AE$5:$AE$1005,'Detailed Budget'!$L$5:$L$1005,$B29,'Detailed Budget'!$L$5:$L$1005,"&gt;0")&gt;0,SUMIFS('Detailed Budget'!$AE$5:$AE$1005,'Detailed Budget'!$L$5:$L$1005,$B29,'Detailed Budget'!$L$5:$L$1005,"&gt;0"),"")</f>
        <v/>
      </c>
      <c r="G29" s="44" t="str">
        <f>IF(SUMIFS('Detailed Budget'!$AG$5:$AG$1005,'Detailed Budget'!$L$5:$L$1005,$B29,'Detailed Budget'!$L$5:$L$1005,"&gt;0")&gt;0,SUMIFS('Detailed Budget'!$AG$5:$AG$1005,'Detailed Budget'!$L$5:$L$1005,$B29,'Detailed Budget'!$L$5:$L$1005,"&gt;0"),"")</f>
        <v/>
      </c>
      <c r="H29" s="45">
        <f>IF(SUMIFS('Detailed Budget'!$AI$5:$AI$1005,'Detailed Budget'!$L$5:$L$1005,$B29,'Detailed Budget'!$L$5:$L$1005,"&gt;0")&gt;0,SUMIFS('Detailed Budget'!$AI$5:$AI$1005,'Detailed Budget'!$L$5:$L$1005,$B29,'Detailed Budget'!$L$5:$L$1005,"&gt;0"),"")</f>
        <v>696435</v>
      </c>
      <c r="I29" s="44">
        <f>IF(SUMIFS('Detailed Budget'!$AN$5:$AN$1005,'Detailed Budget'!$L$5:$L$1005,$B29,'Detailed Budget'!$L$5:$L$1005,"&gt;0")&gt;0,SUMIFS('Detailed Budget'!$AN$5:$AN$1005,'Detailed Budget'!$L$5:$L$1005,$B29,'Detailed Budget'!$L$5:$L$1005,"&gt;0"),"")</f>
        <v>674244</v>
      </c>
      <c r="J29" s="44" t="str">
        <f>IF(SUMIFS('Detailed Budget'!$AP$5:$AP$1005,'Detailed Budget'!$L$5:$L$1005,$B29,'Detailed Budget'!$L$5:$L$1005,"&gt;0")&gt;0,SUMIFS('Detailed Budget'!$AP$5:$AP$1005,'Detailed Budget'!$L$5:$L$1005,$B29,'Detailed Budget'!$L$5:$L$1005,"&gt;0"),"")</f>
        <v/>
      </c>
      <c r="K29" s="44" t="str">
        <f>IF(SUMIFS('Detailed Budget'!$AR$5:$AR$1005,'Detailed Budget'!$L$5:$L$1005,$B29,'Detailed Budget'!$L$5:$L$1005,"&gt;0")&gt;0,SUMIFS('Detailed Budget'!$AR$5:$AR$1005,'Detailed Budget'!$L$5:$L$1005,$B29,'Detailed Budget'!$L$5:$L$1005,"&gt;0"),"")</f>
        <v/>
      </c>
      <c r="L29" s="44" t="str">
        <f>IF(SUMIFS('Detailed Budget'!$AT$5:$AT$1005,'Detailed Budget'!$L$5:$L$1005,$B29,'Detailed Budget'!$L$5:$L$1005,"&gt;0")&gt;0,SUMIFS('Detailed Budget'!$AT$5:$AT$1005,'Detailed Budget'!$L$5:$L$1005,$B29,'Detailed Budget'!$L$5:$L$1005,"&gt;0"),"")</f>
        <v/>
      </c>
      <c r="M29" s="45">
        <f>IF(SUMIFS('Detailed Budget'!$AV$5:$AV$1005,'Detailed Budget'!$L$5:$L$1005,$B29,'Detailed Budget'!$L$5:$L$1005,"&gt;0")&gt;0,SUMIFS('Detailed Budget'!$AV$5:$AV$1005,'Detailed Budget'!$L$5:$L$1005,$B29,'Detailed Budget'!$L$5:$L$1005,"&gt;0"),"")</f>
        <v>674244</v>
      </c>
      <c r="N29" s="44">
        <f>IF(SUMIFS('Detailed Budget'!$BA$5:$BA$1005,'Detailed Budget'!$L$5:$L$1005,$B29,'Detailed Budget'!$L$5:$L$1005,"&gt;0")&gt;0,SUMIFS('Detailed Budget'!$BA$5:$BA$1005,'Detailed Budget'!$L$5:$L$1005,$B29,'Detailed Budget'!$L$5:$L$1005,"&gt;0"),"")</f>
        <v>664421.09100000001</v>
      </c>
      <c r="O29" s="44" t="str">
        <f>IF(SUMIFS('Detailed Budget'!$BC$5:$BC$1005,'Detailed Budget'!$L$5:$L$1005,$B29,'Detailed Budget'!$L$5:$L$1005,"&gt;0")&gt;0,SUMIFS('Detailed Budget'!$BC$5:$BC$1005,'Detailed Budget'!$L$5:$L$1005,$B29,'Detailed Budget'!$L$5:$L$1005,"&gt;0"),"")</f>
        <v/>
      </c>
      <c r="P29" s="44" t="str">
        <f>IF(SUMIFS('Detailed Budget'!$BE$5:$BE$1005,'Detailed Budget'!$L$5:$L$1005,$B29,'Detailed Budget'!$L$5:$L$1005,"&gt;0")&gt;0,SUMIFS('Detailed Budget'!$BE$5:$BE$1005,'Detailed Budget'!$L$5:$L$1005,$B29,'Detailed Budget'!$L$5:$L$1005,"&gt;0"),"")</f>
        <v/>
      </c>
      <c r="Q29" s="44" t="str">
        <f>IF(SUMIFS('Detailed Budget'!$BG$5:$BG$1005,'Detailed Budget'!$L$5:$L$1005,$B29,'Detailed Budget'!$L$5:$L$1005,"&gt;0")&gt;0,SUMIFS('Detailed Budget'!$BG$5:$BG$1005,'Detailed Budget'!$L$5:$L$1005,$B29,'Detailed Budget'!$L$5:$L$1005,"&gt;0"),"")</f>
        <v/>
      </c>
      <c r="R29" s="45">
        <f>IF(SUMIFS('Detailed Budget'!$BI$5:$BI$1005,'Detailed Budget'!$L$5:$L$1005,$B29,'Detailed Budget'!$L$5:$L$1005,"&gt;0")&gt;0,SUMIFS('Detailed Budget'!$BI$5:$BI$1005,'Detailed Budget'!$L$5:$L$1005,$B29,'Detailed Budget'!$L$5:$L$1005,"&gt;0"),"")</f>
        <v>664421.09100000001</v>
      </c>
      <c r="S29" s="44" t="str">
        <f>IF(SUMIFS('Detailed Budget'!$BN$5:$BN$1005,'Detailed Budget'!$L$5:$L$1005,$B29,'Detailed Budget'!$L$5:$L$1005,"&gt;0")&gt;0,SUMIFS('Detailed Budget'!$BN$5:$BN$1005,'Detailed Budget'!$L$5:$L$1005,$B29,'Detailed Budget'!$L$5:$L$1005,"&gt;0"),"")</f>
        <v/>
      </c>
      <c r="T29" s="44" t="str">
        <f>IF(SUMIFS('Detailed Budget'!$BP$5:$BP$1005,'Detailed Budget'!$L$5:$L$1005,$B29,'Detailed Budget'!$L$5:$L$1005,"&gt;0")&gt;0,SUMIFS('Detailed Budget'!$BP$5:$BP$1005,'Detailed Budget'!$L$5:$L$1005,$B29,'Detailed Budget'!$L$5:$L$1005,"&gt;0"),"")</f>
        <v/>
      </c>
      <c r="U29" s="44" t="str">
        <f>IF(SUMIFS('Detailed Budget'!$BR$5:$BR$1005,'Detailed Budget'!$L$5:$L$1005,$B29,'Detailed Budget'!$L$5:$L$1005,"&gt;0")&gt;0,SUMIFS('Detailed Budget'!$BR$5:$BR$1005,'Detailed Budget'!$L$5:$L$1005,$B29,'Detailed Budget'!$L$5:$L$1005,"&gt;0"),"")</f>
        <v/>
      </c>
      <c r="V29" s="44" t="str">
        <f>IF(SUMIFS('Detailed Budget'!$BT$5:$BT$1005,'Detailed Budget'!$L$5:$L$1005,$B29,'Detailed Budget'!$L$5:$L$1005,"&gt;0")&gt;0,SUMIFS('Detailed Budget'!$BT$5:$BT$1005,'Detailed Budget'!$L$5:$L$1005,$B29,'Detailed Budget'!$L$5:$L$1005,"&gt;0"),"")</f>
        <v/>
      </c>
      <c r="W29" s="45" t="str">
        <f>IF(SUMIFS('Detailed Budget'!$BV$5:$BV$1005,'Detailed Budget'!$L$5:$L$1005,$B29,'Detailed Budget'!$L$5:$L$1005,"&gt;0")&gt;0,SUMIFS('Detailed Budget'!$BV$5:$BV$1005,'Detailed Budget'!$L$5:$L$1005,$B29,'Detailed Budget'!$L$5:$L$1005,"&gt;0"),"")</f>
        <v/>
      </c>
      <c r="X29" s="44">
        <f t="shared" si="0"/>
        <v>2035100.091</v>
      </c>
      <c r="Y29" s="124">
        <f t="shared" si="1"/>
        <v>0.29359534558370193</v>
      </c>
    </row>
    <row r="30" spans="1:25" ht="26.25" x14ac:dyDescent="0.25">
      <c r="A30" s="35"/>
      <c r="B30" s="234">
        <f t="array" ref="B30">IFERROR(INDEX(CostInpNoList,MATCH(0,IF(ISBLANK(CostInpNoList),"",COUNTIF(B$16:B29,CostInpNoList)),0)),"")</f>
        <v>7.2</v>
      </c>
      <c r="C30" s="372" t="str">
        <f>IFERROR(INDEX('Data Sheet'!$F$198:$F$275,MATCH(B30,'Data Sheet'!$G$198:$G$275,0)),"")</f>
        <v>7.2 Freight and insurance costs (Health products)</v>
      </c>
      <c r="D30" s="44">
        <f>IF(SUMIFS('Detailed Budget'!$AA$5:$AA$1005,'Detailed Budget'!$L$5:$L$1005,$B30,'Detailed Budget'!$L$5:$L$1005,"&gt;0")&gt;0,SUMIFS('Detailed Budget'!$AA$5:$AA$1005,'Detailed Budget'!$L$5:$L$1005,$B30,'Detailed Budget'!$L$5:$L$1005,"&gt;0"),"")</f>
        <v>197585.27560000002</v>
      </c>
      <c r="E30" s="44">
        <f>IF(SUMIFS('Detailed Budget'!$AC$5:$AC$1005,'Detailed Budget'!$L$5:$L$1005,$B30,'Detailed Budget'!$L$5:$L$1005,"&gt;0")&gt;0,SUMIFS('Detailed Budget'!$AC$5:$AC$1005,'Detailed Budget'!$L$5:$L$1005,$B30,'Detailed Budget'!$L$5:$L$1005,"&gt;0"),"")</f>
        <v>12655.946000000002</v>
      </c>
      <c r="F30" s="44" t="str">
        <f>IF(SUMIFS('Detailed Budget'!$AE$5:$AE$1005,'Detailed Budget'!$L$5:$L$1005,$B30,'Detailed Budget'!$L$5:$L$1005,"&gt;0")&gt;0,SUMIFS('Detailed Budget'!$AE$5:$AE$1005,'Detailed Budget'!$L$5:$L$1005,$B30,'Detailed Budget'!$L$5:$L$1005,"&gt;0"),"")</f>
        <v/>
      </c>
      <c r="G30" s="44" t="str">
        <f>IF(SUMIFS('Detailed Budget'!$AG$5:$AG$1005,'Detailed Budget'!$L$5:$L$1005,$B30,'Detailed Budget'!$L$5:$L$1005,"&gt;0")&gt;0,SUMIFS('Detailed Budget'!$AG$5:$AG$1005,'Detailed Budget'!$L$5:$L$1005,$B30,'Detailed Budget'!$L$5:$L$1005,"&gt;0"),"")</f>
        <v/>
      </c>
      <c r="H30" s="45">
        <f>IF(SUMIFS('Detailed Budget'!$AI$5:$AI$1005,'Detailed Budget'!$L$5:$L$1005,$B30,'Detailed Budget'!$L$5:$L$1005,"&gt;0")&gt;0,SUMIFS('Detailed Budget'!$AI$5:$AI$1005,'Detailed Budget'!$L$5:$L$1005,$B30,'Detailed Budget'!$L$5:$L$1005,"&gt;0"),"")</f>
        <v>210241.22160000002</v>
      </c>
      <c r="I30" s="44">
        <f>IF(SUMIFS('Detailed Budget'!$AN$5:$AN$1005,'Detailed Budget'!$L$5:$L$1005,$B30,'Detailed Budget'!$L$5:$L$1005,"&gt;0")&gt;0,SUMIFS('Detailed Budget'!$AN$5:$AN$1005,'Detailed Budget'!$L$5:$L$1005,$B30,'Detailed Budget'!$L$5:$L$1005,"&gt;0"),"")</f>
        <v>192196.57680000004</v>
      </c>
      <c r="J30" s="44">
        <f>IF(SUMIFS('Detailed Budget'!$AP$5:$AP$1005,'Detailed Budget'!$L$5:$L$1005,$B30,'Detailed Budget'!$L$5:$L$1005,"&gt;0")&gt;0,SUMIFS('Detailed Budget'!$AP$5:$AP$1005,'Detailed Budget'!$L$5:$L$1005,$B30,'Detailed Budget'!$L$5:$L$1005,"&gt;0"),"")</f>
        <v>9976.0320000000011</v>
      </c>
      <c r="K30" s="44" t="str">
        <f>IF(SUMIFS('Detailed Budget'!$AR$5:$AR$1005,'Detailed Budget'!$L$5:$L$1005,$B30,'Detailed Budget'!$L$5:$L$1005,"&gt;0")&gt;0,SUMIFS('Detailed Budget'!$AR$5:$AR$1005,'Detailed Budget'!$L$5:$L$1005,$B30,'Detailed Budget'!$L$5:$L$1005,"&gt;0"),"")</f>
        <v/>
      </c>
      <c r="L30" s="44" t="str">
        <f>IF(SUMIFS('Detailed Budget'!$AT$5:$AT$1005,'Detailed Budget'!$L$5:$L$1005,$B30,'Detailed Budget'!$L$5:$L$1005,"&gt;0")&gt;0,SUMIFS('Detailed Budget'!$AT$5:$AT$1005,'Detailed Budget'!$L$5:$L$1005,$B30,'Detailed Budget'!$L$5:$L$1005,"&gt;0"),"")</f>
        <v/>
      </c>
      <c r="M30" s="45">
        <f>IF(SUMIFS('Detailed Budget'!$AV$5:$AV$1005,'Detailed Budget'!$L$5:$L$1005,$B30,'Detailed Budget'!$L$5:$L$1005,"&gt;0")&gt;0,SUMIFS('Detailed Budget'!$AV$5:$AV$1005,'Detailed Budget'!$L$5:$L$1005,$B30,'Detailed Budget'!$L$5:$L$1005,"&gt;0"),"")</f>
        <v>202172.60880000005</v>
      </c>
      <c r="N30" s="44">
        <f>IF(SUMIFS('Detailed Budget'!$BA$5:$BA$1005,'Detailed Budget'!$L$5:$L$1005,$B30,'Detailed Budget'!$L$5:$L$1005,"&gt;0")&gt;0,SUMIFS('Detailed Budget'!$BA$5:$BA$1005,'Detailed Budget'!$L$5:$L$1005,$B30,'Detailed Budget'!$L$5:$L$1005,"&gt;0"),"")</f>
        <v>190192.67457000003</v>
      </c>
      <c r="O30" s="44" t="str">
        <f>IF(SUMIFS('Detailed Budget'!$BC$5:$BC$1005,'Detailed Budget'!$L$5:$L$1005,$B30,'Detailed Budget'!$L$5:$L$1005,"&gt;0")&gt;0,SUMIFS('Detailed Budget'!$BC$5:$BC$1005,'Detailed Budget'!$L$5:$L$1005,$B30,'Detailed Budget'!$L$5:$L$1005,"&gt;0"),"")</f>
        <v/>
      </c>
      <c r="P30" s="44" t="str">
        <f>IF(SUMIFS('Detailed Budget'!$BE$5:$BE$1005,'Detailed Budget'!$L$5:$L$1005,$B30,'Detailed Budget'!$L$5:$L$1005,"&gt;0")&gt;0,SUMIFS('Detailed Budget'!$BE$5:$BE$1005,'Detailed Budget'!$L$5:$L$1005,$B30,'Detailed Budget'!$L$5:$L$1005,"&gt;0"),"")</f>
        <v/>
      </c>
      <c r="Q30" s="44" t="str">
        <f>IF(SUMIFS('Detailed Budget'!$BG$5:$BG$1005,'Detailed Budget'!$L$5:$L$1005,$B30,'Detailed Budget'!$L$5:$L$1005,"&gt;0")&gt;0,SUMIFS('Detailed Budget'!$BG$5:$BG$1005,'Detailed Budget'!$L$5:$L$1005,$B30,'Detailed Budget'!$L$5:$L$1005,"&gt;0"),"")</f>
        <v/>
      </c>
      <c r="R30" s="45">
        <f>IF(SUMIFS('Detailed Budget'!$BI$5:$BI$1005,'Detailed Budget'!$L$5:$L$1005,$B30,'Detailed Budget'!$L$5:$L$1005,"&gt;0")&gt;0,SUMIFS('Detailed Budget'!$BI$5:$BI$1005,'Detailed Budget'!$L$5:$L$1005,$B30,'Detailed Budget'!$L$5:$L$1005,"&gt;0"),"")</f>
        <v>190192.67457000003</v>
      </c>
      <c r="S30" s="44" t="str">
        <f>IF(SUMIFS('Detailed Budget'!$BN$5:$BN$1005,'Detailed Budget'!$L$5:$L$1005,$B30,'Detailed Budget'!$L$5:$L$1005,"&gt;0")&gt;0,SUMIFS('Detailed Budget'!$BN$5:$BN$1005,'Detailed Budget'!$L$5:$L$1005,$B30,'Detailed Budget'!$L$5:$L$1005,"&gt;0"),"")</f>
        <v/>
      </c>
      <c r="T30" s="44" t="str">
        <f>IF(SUMIFS('Detailed Budget'!$BP$5:$BP$1005,'Detailed Budget'!$L$5:$L$1005,$B30,'Detailed Budget'!$L$5:$L$1005,"&gt;0")&gt;0,SUMIFS('Detailed Budget'!$BP$5:$BP$1005,'Detailed Budget'!$L$5:$L$1005,$B30,'Detailed Budget'!$L$5:$L$1005,"&gt;0"),"")</f>
        <v/>
      </c>
      <c r="U30" s="44" t="str">
        <f>IF(SUMIFS('Detailed Budget'!$BR$5:$BR$1005,'Detailed Budget'!$L$5:$L$1005,$B30,'Detailed Budget'!$L$5:$L$1005,"&gt;0")&gt;0,SUMIFS('Detailed Budget'!$BR$5:$BR$1005,'Detailed Budget'!$L$5:$L$1005,$B30,'Detailed Budget'!$L$5:$L$1005,"&gt;0"),"")</f>
        <v/>
      </c>
      <c r="V30" s="44" t="str">
        <f>IF(SUMIFS('Detailed Budget'!$BT$5:$BT$1005,'Detailed Budget'!$L$5:$L$1005,$B30,'Detailed Budget'!$L$5:$L$1005,"&gt;0")&gt;0,SUMIFS('Detailed Budget'!$BT$5:$BT$1005,'Detailed Budget'!$L$5:$L$1005,$B30,'Detailed Budget'!$L$5:$L$1005,"&gt;0"),"")</f>
        <v/>
      </c>
      <c r="W30" s="45" t="str">
        <f>IF(SUMIFS('Detailed Budget'!$BV$5:$BV$1005,'Detailed Budget'!$L$5:$L$1005,$B30,'Detailed Budget'!$L$5:$L$1005,"&gt;0")&gt;0,SUMIFS('Detailed Budget'!$BV$5:$BV$1005,'Detailed Budget'!$L$5:$L$1005,$B30,'Detailed Budget'!$L$5:$L$1005,"&gt;0"),"")</f>
        <v/>
      </c>
      <c r="X30" s="44">
        <f t="shared" si="0"/>
        <v>602606.50497000013</v>
      </c>
      <c r="Y30" s="124">
        <f t="shared" si="1"/>
        <v>8.6935510376159666E-2</v>
      </c>
    </row>
    <row r="31" spans="1:25" ht="26.25" x14ac:dyDescent="0.25">
      <c r="A31" s="35"/>
      <c r="B31" s="234">
        <f t="array" ref="B31">IFERROR(INDEX(CostInpNoList,MATCH(0,IF(ISBLANK(CostInpNoList),"",COUNTIF(B$16:B30,CostInpNoList)),0)),"")</f>
        <v>7.5</v>
      </c>
      <c r="C31" s="372" t="str">
        <f>IFERROR(INDEX('Data Sheet'!$F$198:$F$275,MATCH(B31,'Data Sheet'!$G$198:$G$275,0)),"")</f>
        <v>7.5 Quality assurance and quality control costs (QA/QC)</v>
      </c>
      <c r="D31" s="44" t="str">
        <f>IF(SUMIFS('Detailed Budget'!$AA$5:$AA$1005,'Detailed Budget'!$L$5:$L$1005,$B31,'Detailed Budget'!$L$5:$L$1005,"&gt;0")&gt;0,SUMIFS('Detailed Budget'!$AA$5:$AA$1005,'Detailed Budget'!$L$5:$L$1005,$B31,'Detailed Budget'!$L$5:$L$1005,"&gt;0"),"")</f>
        <v/>
      </c>
      <c r="E31" s="44" t="str">
        <f>IF(SUMIFS('Detailed Budget'!$AC$5:$AC$1005,'Detailed Budget'!$L$5:$L$1005,$B31,'Detailed Budget'!$L$5:$L$1005,"&gt;0")&gt;0,SUMIFS('Detailed Budget'!$AC$5:$AC$1005,'Detailed Budget'!$L$5:$L$1005,$B31,'Detailed Budget'!$L$5:$L$1005,"&gt;0"),"")</f>
        <v/>
      </c>
      <c r="F31" s="44" t="str">
        <f>IF(SUMIFS('Detailed Budget'!$AE$5:$AE$1005,'Detailed Budget'!$L$5:$L$1005,$B31,'Detailed Budget'!$L$5:$L$1005,"&gt;0")&gt;0,SUMIFS('Detailed Budget'!$AE$5:$AE$1005,'Detailed Budget'!$L$5:$L$1005,$B31,'Detailed Budget'!$L$5:$L$1005,"&gt;0"),"")</f>
        <v/>
      </c>
      <c r="G31" s="44">
        <f>IF(SUMIFS('Detailed Budget'!$AG$5:$AG$1005,'Detailed Budget'!$L$5:$L$1005,$B31,'Detailed Budget'!$L$5:$L$1005,"&gt;0")&gt;0,SUMIFS('Detailed Budget'!$AG$5:$AG$1005,'Detailed Budget'!$L$5:$L$1005,$B31,'Detailed Budget'!$L$5:$L$1005,"&gt;0"),"")</f>
        <v>15000</v>
      </c>
      <c r="H31" s="45">
        <f>IF(SUMIFS('Detailed Budget'!$AI$5:$AI$1005,'Detailed Budget'!$L$5:$L$1005,$B31,'Detailed Budget'!$L$5:$L$1005,"&gt;0")&gt;0,SUMIFS('Detailed Budget'!$AI$5:$AI$1005,'Detailed Budget'!$L$5:$L$1005,$B31,'Detailed Budget'!$L$5:$L$1005,"&gt;0"),"")</f>
        <v>15000</v>
      </c>
      <c r="I31" s="44" t="str">
        <f>IF(SUMIFS('Detailed Budget'!$AN$5:$AN$1005,'Detailed Budget'!$L$5:$L$1005,$B31,'Detailed Budget'!$L$5:$L$1005,"&gt;0")&gt;0,SUMIFS('Detailed Budget'!$AN$5:$AN$1005,'Detailed Budget'!$L$5:$L$1005,$B31,'Detailed Budget'!$L$5:$L$1005,"&gt;0"),"")</f>
        <v/>
      </c>
      <c r="J31" s="44" t="str">
        <f>IF(SUMIFS('Detailed Budget'!$AP$5:$AP$1005,'Detailed Budget'!$L$5:$L$1005,$B31,'Detailed Budget'!$L$5:$L$1005,"&gt;0")&gt;0,SUMIFS('Detailed Budget'!$AP$5:$AP$1005,'Detailed Budget'!$L$5:$L$1005,$B31,'Detailed Budget'!$L$5:$L$1005,"&gt;0"),"")</f>
        <v/>
      </c>
      <c r="K31" s="44" t="str">
        <f>IF(SUMIFS('Detailed Budget'!$AR$5:$AR$1005,'Detailed Budget'!$L$5:$L$1005,$B31,'Detailed Budget'!$L$5:$L$1005,"&gt;0")&gt;0,SUMIFS('Detailed Budget'!$AR$5:$AR$1005,'Detailed Budget'!$L$5:$L$1005,$B31,'Detailed Budget'!$L$5:$L$1005,"&gt;0"),"")</f>
        <v/>
      </c>
      <c r="L31" s="44">
        <f>IF(SUMIFS('Detailed Budget'!$AT$5:$AT$1005,'Detailed Budget'!$L$5:$L$1005,$B31,'Detailed Budget'!$L$5:$L$1005,"&gt;0")&gt;0,SUMIFS('Detailed Budget'!$AT$5:$AT$1005,'Detailed Budget'!$L$5:$L$1005,$B31,'Detailed Budget'!$L$5:$L$1005,"&gt;0"),"")</f>
        <v>15000</v>
      </c>
      <c r="M31" s="45">
        <f>IF(SUMIFS('Detailed Budget'!$AV$5:$AV$1005,'Detailed Budget'!$L$5:$L$1005,$B31,'Detailed Budget'!$L$5:$L$1005,"&gt;0")&gt;0,SUMIFS('Detailed Budget'!$AV$5:$AV$1005,'Detailed Budget'!$L$5:$L$1005,$B31,'Detailed Budget'!$L$5:$L$1005,"&gt;0"),"")</f>
        <v>15000</v>
      </c>
      <c r="N31" s="44" t="str">
        <f>IF(SUMIFS('Detailed Budget'!$BA$5:$BA$1005,'Detailed Budget'!$L$5:$L$1005,$B31,'Detailed Budget'!$L$5:$L$1005,"&gt;0")&gt;0,SUMIFS('Detailed Budget'!$BA$5:$BA$1005,'Detailed Budget'!$L$5:$L$1005,$B31,'Detailed Budget'!$L$5:$L$1005,"&gt;0"),"")</f>
        <v/>
      </c>
      <c r="O31" s="44" t="str">
        <f>IF(SUMIFS('Detailed Budget'!$BC$5:$BC$1005,'Detailed Budget'!$L$5:$L$1005,$B31,'Detailed Budget'!$L$5:$L$1005,"&gt;0")&gt;0,SUMIFS('Detailed Budget'!$BC$5:$BC$1005,'Detailed Budget'!$L$5:$L$1005,$B31,'Detailed Budget'!$L$5:$L$1005,"&gt;0"),"")</f>
        <v/>
      </c>
      <c r="P31" s="44" t="str">
        <f>IF(SUMIFS('Detailed Budget'!$BE$5:$BE$1005,'Detailed Budget'!$L$5:$L$1005,$B31,'Detailed Budget'!$L$5:$L$1005,"&gt;0")&gt;0,SUMIFS('Detailed Budget'!$BE$5:$BE$1005,'Detailed Budget'!$L$5:$L$1005,$B31,'Detailed Budget'!$L$5:$L$1005,"&gt;0"),"")</f>
        <v/>
      </c>
      <c r="Q31" s="44" t="str">
        <f>IF(SUMIFS('Detailed Budget'!$BG$5:$BG$1005,'Detailed Budget'!$L$5:$L$1005,$B31,'Detailed Budget'!$L$5:$L$1005,"&gt;0")&gt;0,SUMIFS('Detailed Budget'!$BG$5:$BG$1005,'Detailed Budget'!$L$5:$L$1005,$B31,'Detailed Budget'!$L$5:$L$1005,"&gt;0"),"")</f>
        <v/>
      </c>
      <c r="R31" s="45" t="str">
        <f>IF(SUMIFS('Detailed Budget'!$BI$5:$BI$1005,'Detailed Budget'!$L$5:$L$1005,$B31,'Detailed Budget'!$L$5:$L$1005,"&gt;0")&gt;0,SUMIFS('Detailed Budget'!$BI$5:$BI$1005,'Detailed Budget'!$L$5:$L$1005,$B31,'Detailed Budget'!$L$5:$L$1005,"&gt;0"),"")</f>
        <v/>
      </c>
      <c r="S31" s="44" t="str">
        <f>IF(SUMIFS('Detailed Budget'!$BN$5:$BN$1005,'Detailed Budget'!$L$5:$L$1005,$B31,'Detailed Budget'!$L$5:$L$1005,"&gt;0")&gt;0,SUMIFS('Detailed Budget'!$BN$5:$BN$1005,'Detailed Budget'!$L$5:$L$1005,$B31,'Detailed Budget'!$L$5:$L$1005,"&gt;0"),"")</f>
        <v/>
      </c>
      <c r="T31" s="44" t="str">
        <f>IF(SUMIFS('Detailed Budget'!$BP$5:$BP$1005,'Detailed Budget'!$L$5:$L$1005,$B31,'Detailed Budget'!$L$5:$L$1005,"&gt;0")&gt;0,SUMIFS('Detailed Budget'!$BP$5:$BP$1005,'Detailed Budget'!$L$5:$L$1005,$B31,'Detailed Budget'!$L$5:$L$1005,"&gt;0"),"")</f>
        <v/>
      </c>
      <c r="U31" s="44" t="str">
        <f>IF(SUMIFS('Detailed Budget'!$BR$5:$BR$1005,'Detailed Budget'!$L$5:$L$1005,$B31,'Detailed Budget'!$L$5:$L$1005,"&gt;0")&gt;0,SUMIFS('Detailed Budget'!$BR$5:$BR$1005,'Detailed Budget'!$L$5:$L$1005,$B31,'Detailed Budget'!$L$5:$L$1005,"&gt;0"),"")</f>
        <v/>
      </c>
      <c r="V31" s="44" t="str">
        <f>IF(SUMIFS('Detailed Budget'!$BT$5:$BT$1005,'Detailed Budget'!$L$5:$L$1005,$B31,'Detailed Budget'!$L$5:$L$1005,"&gt;0")&gt;0,SUMIFS('Detailed Budget'!$BT$5:$BT$1005,'Detailed Budget'!$L$5:$L$1005,$B31,'Detailed Budget'!$L$5:$L$1005,"&gt;0"),"")</f>
        <v/>
      </c>
      <c r="W31" s="45" t="str">
        <f>IF(SUMIFS('Detailed Budget'!$BV$5:$BV$1005,'Detailed Budget'!$L$5:$L$1005,$B31,'Detailed Budget'!$L$5:$L$1005,"&gt;0")&gt;0,SUMIFS('Detailed Budget'!$BV$5:$BV$1005,'Detailed Budget'!$L$5:$L$1005,$B31,'Detailed Budget'!$L$5:$L$1005,"&gt;0"),"")</f>
        <v/>
      </c>
      <c r="X31" s="44">
        <f t="shared" si="0"/>
        <v>30000</v>
      </c>
      <c r="Y31" s="124">
        <f t="shared" si="1"/>
        <v>4.327974042388787E-3</v>
      </c>
    </row>
    <row r="32" spans="1:25" x14ac:dyDescent="0.25">
      <c r="A32" s="35"/>
      <c r="B32" s="234">
        <f t="array" ref="B32">IFERROR(INDEX(CostInpNoList,MATCH(0,IF(ISBLANK(CostInpNoList),"",COUNTIF(B$16:B31,CostInpNoList)),0)),"")</f>
        <v>7.7</v>
      </c>
      <c r="C32" s="372" t="str">
        <f>IFERROR(INDEX('Data Sheet'!$F$198:$F$275,MATCH(B32,'Data Sheet'!$G$198:$G$275,0)),"")</f>
        <v>7.7 Other PSM costs</v>
      </c>
      <c r="D32" s="44">
        <f>IF(SUMIFS('Detailed Budget'!$AA$5:$AA$1005,'Detailed Budget'!$L$5:$L$1005,$B32,'Detailed Budget'!$L$5:$L$1005,"&gt;0")&gt;0,SUMIFS('Detailed Budget'!$AA$5:$AA$1005,'Detailed Budget'!$L$5:$L$1005,$B32,'Detailed Budget'!$L$5:$L$1005,"&gt;0"),"")</f>
        <v>500</v>
      </c>
      <c r="E32" s="44">
        <f>IF(SUMIFS('Detailed Budget'!$AC$5:$AC$1005,'Detailed Budget'!$L$5:$L$1005,$B32,'Detailed Budget'!$L$5:$L$1005,"&gt;0")&gt;0,SUMIFS('Detailed Budget'!$AC$5:$AC$1005,'Detailed Budget'!$L$5:$L$1005,$B32,'Detailed Budget'!$L$5:$L$1005,"&gt;0"),"")</f>
        <v>500</v>
      </c>
      <c r="F32" s="44">
        <f>IF(SUMIFS('Detailed Budget'!$AE$5:$AE$1005,'Detailed Budget'!$L$5:$L$1005,$B32,'Detailed Budget'!$L$5:$L$1005,"&gt;0")&gt;0,SUMIFS('Detailed Budget'!$AE$5:$AE$1005,'Detailed Budget'!$L$5:$L$1005,$B32,'Detailed Budget'!$L$5:$L$1005,"&gt;0"),"")</f>
        <v>500</v>
      </c>
      <c r="G32" s="44">
        <f>IF(SUMIFS('Detailed Budget'!$AG$5:$AG$1005,'Detailed Budget'!$L$5:$L$1005,$B32,'Detailed Budget'!$L$5:$L$1005,"&gt;0")&gt;0,SUMIFS('Detailed Budget'!$AG$5:$AG$1005,'Detailed Budget'!$L$5:$L$1005,$B32,'Detailed Budget'!$L$5:$L$1005,"&gt;0"),"")</f>
        <v>500</v>
      </c>
      <c r="H32" s="45">
        <f>IF(SUMIFS('Detailed Budget'!$AI$5:$AI$1005,'Detailed Budget'!$L$5:$L$1005,$B32,'Detailed Budget'!$L$5:$L$1005,"&gt;0")&gt;0,SUMIFS('Detailed Budget'!$AI$5:$AI$1005,'Detailed Budget'!$L$5:$L$1005,$B32,'Detailed Budget'!$L$5:$L$1005,"&gt;0"),"")</f>
        <v>2000</v>
      </c>
      <c r="I32" s="44">
        <f>IF(SUMIFS('Detailed Budget'!$AN$5:$AN$1005,'Detailed Budget'!$L$5:$L$1005,$B32,'Detailed Budget'!$L$5:$L$1005,"&gt;0")&gt;0,SUMIFS('Detailed Budget'!$AN$5:$AN$1005,'Detailed Budget'!$L$5:$L$1005,$B32,'Detailed Budget'!$L$5:$L$1005,"&gt;0"),"")</f>
        <v>500</v>
      </c>
      <c r="J32" s="44">
        <f>IF(SUMIFS('Detailed Budget'!$AP$5:$AP$1005,'Detailed Budget'!$L$5:$L$1005,$B32,'Detailed Budget'!$L$5:$L$1005,"&gt;0")&gt;0,SUMIFS('Detailed Budget'!$AP$5:$AP$1005,'Detailed Budget'!$L$5:$L$1005,$B32,'Detailed Budget'!$L$5:$L$1005,"&gt;0"),"")</f>
        <v>500</v>
      </c>
      <c r="K32" s="44">
        <f>IF(SUMIFS('Detailed Budget'!$AR$5:$AR$1005,'Detailed Budget'!$L$5:$L$1005,$B32,'Detailed Budget'!$L$5:$L$1005,"&gt;0")&gt;0,SUMIFS('Detailed Budget'!$AR$5:$AR$1005,'Detailed Budget'!$L$5:$L$1005,$B32,'Detailed Budget'!$L$5:$L$1005,"&gt;0"),"")</f>
        <v>500</v>
      </c>
      <c r="L32" s="44">
        <f>IF(SUMIFS('Detailed Budget'!$AT$5:$AT$1005,'Detailed Budget'!$L$5:$L$1005,$B32,'Detailed Budget'!$L$5:$L$1005,"&gt;0")&gt;0,SUMIFS('Detailed Budget'!$AT$5:$AT$1005,'Detailed Budget'!$L$5:$L$1005,$B32,'Detailed Budget'!$L$5:$L$1005,"&gt;0"),"")</f>
        <v>500</v>
      </c>
      <c r="M32" s="45">
        <f>IF(SUMIFS('Detailed Budget'!$AV$5:$AV$1005,'Detailed Budget'!$L$5:$L$1005,$B32,'Detailed Budget'!$L$5:$L$1005,"&gt;0")&gt;0,SUMIFS('Detailed Budget'!$AV$5:$AV$1005,'Detailed Budget'!$L$5:$L$1005,$B32,'Detailed Budget'!$L$5:$L$1005,"&gt;0"),"")</f>
        <v>2000</v>
      </c>
      <c r="N32" s="44">
        <f>IF(SUMIFS('Detailed Budget'!$BA$5:$BA$1005,'Detailed Budget'!$L$5:$L$1005,$B32,'Detailed Budget'!$L$5:$L$1005,"&gt;0")&gt;0,SUMIFS('Detailed Budget'!$BA$5:$BA$1005,'Detailed Budget'!$L$5:$L$1005,$B32,'Detailed Budget'!$L$5:$L$1005,"&gt;0"),"")</f>
        <v>500</v>
      </c>
      <c r="O32" s="44">
        <f>IF(SUMIFS('Detailed Budget'!$BC$5:$BC$1005,'Detailed Budget'!$L$5:$L$1005,$B32,'Detailed Budget'!$L$5:$L$1005,"&gt;0")&gt;0,SUMIFS('Detailed Budget'!$BC$5:$BC$1005,'Detailed Budget'!$L$5:$L$1005,$B32,'Detailed Budget'!$L$5:$L$1005,"&gt;0"),"")</f>
        <v>500</v>
      </c>
      <c r="P32" s="44">
        <f>IF(SUMIFS('Detailed Budget'!$BE$5:$BE$1005,'Detailed Budget'!$L$5:$L$1005,$B32,'Detailed Budget'!$L$5:$L$1005,"&gt;0")&gt;0,SUMIFS('Detailed Budget'!$BE$5:$BE$1005,'Detailed Budget'!$L$5:$L$1005,$B32,'Detailed Budget'!$L$5:$L$1005,"&gt;0"),"")</f>
        <v>500</v>
      </c>
      <c r="Q32" s="44">
        <f>IF(SUMIFS('Detailed Budget'!$BG$5:$BG$1005,'Detailed Budget'!$L$5:$L$1005,$B32,'Detailed Budget'!$L$5:$L$1005,"&gt;0")&gt;0,SUMIFS('Detailed Budget'!$BG$5:$BG$1005,'Detailed Budget'!$L$5:$L$1005,$B32,'Detailed Budget'!$L$5:$L$1005,"&gt;0"),"")</f>
        <v>500</v>
      </c>
      <c r="R32" s="45">
        <f>IF(SUMIFS('Detailed Budget'!$BI$5:$BI$1005,'Detailed Budget'!$L$5:$L$1005,$B32,'Detailed Budget'!$L$5:$L$1005,"&gt;0")&gt;0,SUMIFS('Detailed Budget'!$BI$5:$BI$1005,'Detailed Budget'!$L$5:$L$1005,$B32,'Detailed Budget'!$L$5:$L$1005,"&gt;0"),"")</f>
        <v>2000</v>
      </c>
      <c r="S32" s="44" t="str">
        <f>IF(SUMIFS('Detailed Budget'!$BN$5:$BN$1005,'Detailed Budget'!$L$5:$L$1005,$B32,'Detailed Budget'!$L$5:$L$1005,"&gt;0")&gt;0,SUMIFS('Detailed Budget'!$BN$5:$BN$1005,'Detailed Budget'!$L$5:$L$1005,$B32,'Detailed Budget'!$L$5:$L$1005,"&gt;0"),"")</f>
        <v/>
      </c>
      <c r="T32" s="44" t="str">
        <f>IF(SUMIFS('Detailed Budget'!$BP$5:$BP$1005,'Detailed Budget'!$L$5:$L$1005,$B32,'Detailed Budget'!$L$5:$L$1005,"&gt;0")&gt;0,SUMIFS('Detailed Budget'!$BP$5:$BP$1005,'Detailed Budget'!$L$5:$L$1005,$B32,'Detailed Budget'!$L$5:$L$1005,"&gt;0"),"")</f>
        <v/>
      </c>
      <c r="U32" s="44" t="str">
        <f>IF(SUMIFS('Detailed Budget'!$BR$5:$BR$1005,'Detailed Budget'!$L$5:$L$1005,$B32,'Detailed Budget'!$L$5:$L$1005,"&gt;0")&gt;0,SUMIFS('Detailed Budget'!$BR$5:$BR$1005,'Detailed Budget'!$L$5:$L$1005,$B32,'Detailed Budget'!$L$5:$L$1005,"&gt;0"),"")</f>
        <v/>
      </c>
      <c r="V32" s="44" t="str">
        <f>IF(SUMIFS('Detailed Budget'!$BT$5:$BT$1005,'Detailed Budget'!$L$5:$L$1005,$B32,'Detailed Budget'!$L$5:$L$1005,"&gt;0")&gt;0,SUMIFS('Detailed Budget'!$BT$5:$BT$1005,'Detailed Budget'!$L$5:$L$1005,$B32,'Detailed Budget'!$L$5:$L$1005,"&gt;0"),"")</f>
        <v/>
      </c>
      <c r="W32" s="45" t="str">
        <f>IF(SUMIFS('Detailed Budget'!$BV$5:$BV$1005,'Detailed Budget'!$L$5:$L$1005,$B32,'Detailed Budget'!$L$5:$L$1005,"&gt;0")&gt;0,SUMIFS('Detailed Budget'!$BV$5:$BV$1005,'Detailed Budget'!$L$5:$L$1005,$B32,'Detailed Budget'!$L$5:$L$1005,"&gt;0"),"")</f>
        <v/>
      </c>
      <c r="X32" s="44">
        <f t="shared" si="0"/>
        <v>6000</v>
      </c>
      <c r="Y32" s="124">
        <f t="shared" si="1"/>
        <v>8.6559480847775742E-4</v>
      </c>
    </row>
    <row r="33" spans="1:25" ht="26.25" x14ac:dyDescent="0.25">
      <c r="A33" s="35"/>
      <c r="B33" s="234">
        <f t="array" ref="B33">IFERROR(INDEX(CostInpNoList,MATCH(0,IF(ISBLANK(CostInpNoList),"",COUNTIF(B$16:B32,CostInpNoList)),0)),"")</f>
        <v>4.5</v>
      </c>
      <c r="C33" s="372" t="str">
        <f>IFERROR(INDEX('Data Sheet'!$F$198:$F$275,MATCH(B33,'Data Sheet'!$G$198:$G$275,0)),"")</f>
        <v>4.5 Opportunistic infections and STI medicines</v>
      </c>
      <c r="D33" s="44" t="str">
        <f>IF(SUMIFS('Detailed Budget'!$AA$5:$AA$1005,'Detailed Budget'!$L$5:$L$1005,$B33,'Detailed Budget'!$L$5:$L$1005,"&gt;0")&gt;0,SUMIFS('Detailed Budget'!$AA$5:$AA$1005,'Detailed Budget'!$L$5:$L$1005,$B33,'Detailed Budget'!$L$5:$L$1005,"&gt;0"),"")</f>
        <v/>
      </c>
      <c r="E33" s="44">
        <f>IF(SUMIFS('Detailed Budget'!$AC$5:$AC$1005,'Detailed Budget'!$L$5:$L$1005,$B33,'Detailed Budget'!$L$5:$L$1005,"&gt;0")&gt;0,SUMIFS('Detailed Budget'!$AC$5:$AC$1005,'Detailed Budget'!$L$5:$L$1005,$B33,'Detailed Budget'!$L$5:$L$1005,"&gt;0"),"")</f>
        <v>63279.73</v>
      </c>
      <c r="F33" s="44" t="str">
        <f>IF(SUMIFS('Detailed Budget'!$AE$5:$AE$1005,'Detailed Budget'!$L$5:$L$1005,$B33,'Detailed Budget'!$L$5:$L$1005,"&gt;0")&gt;0,SUMIFS('Detailed Budget'!$AE$5:$AE$1005,'Detailed Budget'!$L$5:$L$1005,$B33,'Detailed Budget'!$L$5:$L$1005,"&gt;0"),"")</f>
        <v/>
      </c>
      <c r="G33" s="44" t="str">
        <f>IF(SUMIFS('Detailed Budget'!$AG$5:$AG$1005,'Detailed Budget'!$L$5:$L$1005,$B33,'Detailed Budget'!$L$5:$L$1005,"&gt;0")&gt;0,SUMIFS('Detailed Budget'!$AG$5:$AG$1005,'Detailed Budget'!$L$5:$L$1005,$B33,'Detailed Budget'!$L$5:$L$1005,"&gt;0"),"")</f>
        <v/>
      </c>
      <c r="H33" s="45">
        <f>IF(SUMIFS('Detailed Budget'!$AI$5:$AI$1005,'Detailed Budget'!$L$5:$L$1005,$B33,'Detailed Budget'!$L$5:$L$1005,"&gt;0")&gt;0,SUMIFS('Detailed Budget'!$AI$5:$AI$1005,'Detailed Budget'!$L$5:$L$1005,$B33,'Detailed Budget'!$L$5:$L$1005,"&gt;0"),"")</f>
        <v>63279.73</v>
      </c>
      <c r="I33" s="44" t="str">
        <f>IF(SUMIFS('Detailed Budget'!$AN$5:$AN$1005,'Detailed Budget'!$L$5:$L$1005,$B33,'Detailed Budget'!$L$5:$L$1005,"&gt;0")&gt;0,SUMIFS('Detailed Budget'!$AN$5:$AN$1005,'Detailed Budget'!$L$5:$L$1005,$B33,'Detailed Budget'!$L$5:$L$1005,"&gt;0"),"")</f>
        <v/>
      </c>
      <c r="J33" s="44">
        <f>IF(SUMIFS('Detailed Budget'!$AP$5:$AP$1005,'Detailed Budget'!$L$5:$L$1005,$B33,'Detailed Budget'!$L$5:$L$1005,"&gt;0")&gt;0,SUMIFS('Detailed Budget'!$AP$5:$AP$1005,'Detailed Budget'!$L$5:$L$1005,$B33,'Detailed Budget'!$L$5:$L$1005,"&gt;0"),"")</f>
        <v>49880.160000000003</v>
      </c>
      <c r="K33" s="44" t="str">
        <f>IF(SUMIFS('Detailed Budget'!$AR$5:$AR$1005,'Detailed Budget'!$L$5:$L$1005,$B33,'Detailed Budget'!$L$5:$L$1005,"&gt;0")&gt;0,SUMIFS('Detailed Budget'!$AR$5:$AR$1005,'Detailed Budget'!$L$5:$L$1005,$B33,'Detailed Budget'!$L$5:$L$1005,"&gt;0"),"")</f>
        <v/>
      </c>
      <c r="L33" s="44" t="str">
        <f>IF(SUMIFS('Detailed Budget'!$AT$5:$AT$1005,'Detailed Budget'!$L$5:$L$1005,$B33,'Detailed Budget'!$L$5:$L$1005,"&gt;0")&gt;0,SUMIFS('Detailed Budget'!$AT$5:$AT$1005,'Detailed Budget'!$L$5:$L$1005,$B33,'Detailed Budget'!$L$5:$L$1005,"&gt;0"),"")</f>
        <v/>
      </c>
      <c r="M33" s="45">
        <f>IF(SUMIFS('Detailed Budget'!$AV$5:$AV$1005,'Detailed Budget'!$L$5:$L$1005,$B33,'Detailed Budget'!$L$5:$L$1005,"&gt;0")&gt;0,SUMIFS('Detailed Budget'!$AV$5:$AV$1005,'Detailed Budget'!$L$5:$L$1005,$B33,'Detailed Budget'!$L$5:$L$1005,"&gt;0"),"")</f>
        <v>49880.160000000003</v>
      </c>
      <c r="N33" s="44" t="str">
        <f>IF(SUMIFS('Detailed Budget'!$BA$5:$BA$1005,'Detailed Budget'!$L$5:$L$1005,$B33,'Detailed Budget'!$L$5:$L$1005,"&gt;0")&gt;0,SUMIFS('Detailed Budget'!$BA$5:$BA$1005,'Detailed Budget'!$L$5:$L$1005,$B33,'Detailed Budget'!$L$5:$L$1005,"&gt;0"),"")</f>
        <v/>
      </c>
      <c r="O33" s="44" t="str">
        <f>IF(SUMIFS('Detailed Budget'!$BC$5:$BC$1005,'Detailed Budget'!$L$5:$L$1005,$B33,'Detailed Budget'!$L$5:$L$1005,"&gt;0")&gt;0,SUMIFS('Detailed Budget'!$BC$5:$BC$1005,'Detailed Budget'!$L$5:$L$1005,$B33,'Detailed Budget'!$L$5:$L$1005,"&gt;0"),"")</f>
        <v/>
      </c>
      <c r="P33" s="44" t="str">
        <f>IF(SUMIFS('Detailed Budget'!$BE$5:$BE$1005,'Detailed Budget'!$L$5:$L$1005,$B33,'Detailed Budget'!$L$5:$L$1005,"&gt;0")&gt;0,SUMIFS('Detailed Budget'!$BE$5:$BE$1005,'Detailed Budget'!$L$5:$L$1005,$B33,'Detailed Budget'!$L$5:$L$1005,"&gt;0"),"")</f>
        <v/>
      </c>
      <c r="Q33" s="44" t="str">
        <f>IF(SUMIFS('Detailed Budget'!$BG$5:$BG$1005,'Detailed Budget'!$L$5:$L$1005,$B33,'Detailed Budget'!$L$5:$L$1005,"&gt;0")&gt;0,SUMIFS('Detailed Budget'!$BG$5:$BG$1005,'Detailed Budget'!$L$5:$L$1005,$B33,'Detailed Budget'!$L$5:$L$1005,"&gt;0"),"")</f>
        <v/>
      </c>
      <c r="R33" s="45" t="str">
        <f>IF(SUMIFS('Detailed Budget'!$BI$5:$BI$1005,'Detailed Budget'!$L$5:$L$1005,$B33,'Detailed Budget'!$L$5:$L$1005,"&gt;0")&gt;0,SUMIFS('Detailed Budget'!$BI$5:$BI$1005,'Detailed Budget'!$L$5:$L$1005,$B33,'Detailed Budget'!$L$5:$L$1005,"&gt;0"),"")</f>
        <v/>
      </c>
      <c r="S33" s="44" t="str">
        <f>IF(SUMIFS('Detailed Budget'!$BN$5:$BN$1005,'Detailed Budget'!$L$5:$L$1005,$B33,'Detailed Budget'!$L$5:$L$1005,"&gt;0")&gt;0,SUMIFS('Detailed Budget'!$BN$5:$BN$1005,'Detailed Budget'!$L$5:$L$1005,$B33,'Detailed Budget'!$L$5:$L$1005,"&gt;0"),"")</f>
        <v/>
      </c>
      <c r="T33" s="44" t="str">
        <f>IF(SUMIFS('Detailed Budget'!$BP$5:$BP$1005,'Detailed Budget'!$L$5:$L$1005,$B33,'Detailed Budget'!$L$5:$L$1005,"&gt;0")&gt;0,SUMIFS('Detailed Budget'!$BP$5:$BP$1005,'Detailed Budget'!$L$5:$L$1005,$B33,'Detailed Budget'!$L$5:$L$1005,"&gt;0"),"")</f>
        <v/>
      </c>
      <c r="U33" s="44" t="str">
        <f>IF(SUMIFS('Detailed Budget'!$BR$5:$BR$1005,'Detailed Budget'!$L$5:$L$1005,$B33,'Detailed Budget'!$L$5:$L$1005,"&gt;0")&gt;0,SUMIFS('Detailed Budget'!$BR$5:$BR$1005,'Detailed Budget'!$L$5:$L$1005,$B33,'Detailed Budget'!$L$5:$L$1005,"&gt;0"),"")</f>
        <v/>
      </c>
      <c r="V33" s="44" t="str">
        <f>IF(SUMIFS('Detailed Budget'!$BT$5:$BT$1005,'Detailed Budget'!$L$5:$L$1005,$B33,'Detailed Budget'!$L$5:$L$1005,"&gt;0")&gt;0,SUMIFS('Detailed Budget'!$BT$5:$BT$1005,'Detailed Budget'!$L$5:$L$1005,$B33,'Detailed Budget'!$L$5:$L$1005,"&gt;0"),"")</f>
        <v/>
      </c>
      <c r="W33" s="45" t="str">
        <f>IF(SUMIFS('Detailed Budget'!$BV$5:$BV$1005,'Detailed Budget'!$L$5:$L$1005,$B33,'Detailed Budget'!$L$5:$L$1005,"&gt;0")&gt;0,SUMIFS('Detailed Budget'!$BV$5:$BV$1005,'Detailed Budget'!$L$5:$L$1005,$B33,'Detailed Budget'!$L$5:$L$1005,"&gt;0"),"")</f>
        <v/>
      </c>
      <c r="X33" s="44">
        <f t="shared" si="0"/>
        <v>113159.89000000001</v>
      </c>
      <c r="Y33" s="124">
        <f t="shared" si="1"/>
        <v>1.6325102218652351E-2</v>
      </c>
    </row>
    <row r="34" spans="1:25" x14ac:dyDescent="0.25">
      <c r="A34" s="35"/>
      <c r="B34" s="234">
        <f t="array" ref="B34">IFERROR(INDEX(CostInpNoList,MATCH(0,IF(ISBLANK(CostInpNoList),"",COUNTIF(B$16:B33,CostInpNoList)),0)),"")</f>
        <v>6.1</v>
      </c>
      <c r="C34" s="372" t="str">
        <f>IFERROR(INDEX('Data Sheet'!$F$198:$F$275,MATCH(B34,'Data Sheet'!$G$198:$G$275,0)),"")</f>
        <v>6.1 CD4 analyser/accessories</v>
      </c>
      <c r="D34" s="44">
        <f>IF(SUMIFS('Detailed Budget'!$AA$5:$AA$1005,'Detailed Budget'!$L$5:$L$1005,$B34,'Detailed Budget'!$L$5:$L$1005,"&gt;0")&gt;0,SUMIFS('Detailed Budget'!$AA$5:$AA$1005,'Detailed Budget'!$L$5:$L$1005,$B34,'Detailed Budget'!$L$5:$L$1005,"&gt;0"),"")</f>
        <v>58849.725000000006</v>
      </c>
      <c r="E34" s="44" t="str">
        <f>IF(SUMIFS('Detailed Budget'!$AC$5:$AC$1005,'Detailed Budget'!$L$5:$L$1005,$B34,'Detailed Budget'!$L$5:$L$1005,"&gt;0")&gt;0,SUMIFS('Detailed Budget'!$AC$5:$AC$1005,'Detailed Budget'!$L$5:$L$1005,$B34,'Detailed Budget'!$L$5:$L$1005,"&gt;0"),"")</f>
        <v/>
      </c>
      <c r="F34" s="44" t="str">
        <f>IF(SUMIFS('Detailed Budget'!$AE$5:$AE$1005,'Detailed Budget'!$L$5:$L$1005,$B34,'Detailed Budget'!$L$5:$L$1005,"&gt;0")&gt;0,SUMIFS('Detailed Budget'!$AE$5:$AE$1005,'Detailed Budget'!$L$5:$L$1005,$B34,'Detailed Budget'!$L$5:$L$1005,"&gt;0"),"")</f>
        <v/>
      </c>
      <c r="G34" s="44" t="str">
        <f>IF(SUMIFS('Detailed Budget'!$AG$5:$AG$1005,'Detailed Budget'!$L$5:$L$1005,$B34,'Detailed Budget'!$L$5:$L$1005,"&gt;0")&gt;0,SUMIFS('Detailed Budget'!$AG$5:$AG$1005,'Detailed Budget'!$L$5:$L$1005,$B34,'Detailed Budget'!$L$5:$L$1005,"&gt;0"),"")</f>
        <v/>
      </c>
      <c r="H34" s="45">
        <f>IF(SUMIFS('Detailed Budget'!$AI$5:$AI$1005,'Detailed Budget'!$L$5:$L$1005,$B34,'Detailed Budget'!$L$5:$L$1005,"&gt;0")&gt;0,SUMIFS('Detailed Budget'!$AI$5:$AI$1005,'Detailed Budget'!$L$5:$L$1005,$B34,'Detailed Budget'!$L$5:$L$1005,"&gt;0"),"")</f>
        <v>58849.725000000006</v>
      </c>
      <c r="I34" s="44">
        <f>IF(SUMIFS('Detailed Budget'!$AN$5:$AN$1005,'Detailed Budget'!$L$5:$L$1005,$B34,'Detailed Budget'!$L$5:$L$1005,"&gt;0")&gt;0,SUMIFS('Detailed Budget'!$AN$5:$AN$1005,'Detailed Budget'!$L$5:$L$1005,$B34,'Detailed Budget'!$L$5:$L$1005,"&gt;0"),"")</f>
        <v>62725.571767125221</v>
      </c>
      <c r="J34" s="44" t="str">
        <f>IF(SUMIFS('Detailed Budget'!$AP$5:$AP$1005,'Detailed Budget'!$L$5:$L$1005,$B34,'Detailed Budget'!$L$5:$L$1005,"&gt;0")&gt;0,SUMIFS('Detailed Budget'!$AP$5:$AP$1005,'Detailed Budget'!$L$5:$L$1005,$B34,'Detailed Budget'!$L$5:$L$1005,"&gt;0"),"")</f>
        <v/>
      </c>
      <c r="K34" s="44" t="str">
        <f>IF(SUMIFS('Detailed Budget'!$AR$5:$AR$1005,'Detailed Budget'!$L$5:$L$1005,$B34,'Detailed Budget'!$L$5:$L$1005,"&gt;0")&gt;0,SUMIFS('Detailed Budget'!$AR$5:$AR$1005,'Detailed Budget'!$L$5:$L$1005,$B34,'Detailed Budget'!$L$5:$L$1005,"&gt;0"),"")</f>
        <v/>
      </c>
      <c r="L34" s="44" t="str">
        <f>IF(SUMIFS('Detailed Budget'!$AT$5:$AT$1005,'Detailed Budget'!$L$5:$L$1005,$B34,'Detailed Budget'!$L$5:$L$1005,"&gt;0")&gt;0,SUMIFS('Detailed Budget'!$AT$5:$AT$1005,'Detailed Budget'!$L$5:$L$1005,$B34,'Detailed Budget'!$L$5:$L$1005,"&gt;0"),"")</f>
        <v/>
      </c>
      <c r="M34" s="45">
        <f>IF(SUMIFS('Detailed Budget'!$AV$5:$AV$1005,'Detailed Budget'!$L$5:$L$1005,$B34,'Detailed Budget'!$L$5:$L$1005,"&gt;0")&gt;0,SUMIFS('Detailed Budget'!$AV$5:$AV$1005,'Detailed Budget'!$L$5:$L$1005,$B34,'Detailed Budget'!$L$5:$L$1005,"&gt;0"),"")</f>
        <v>62725.571767125221</v>
      </c>
      <c r="N34" s="44">
        <f>IF(SUMIFS('Detailed Budget'!$BA$5:$BA$1005,'Detailed Budget'!$L$5:$L$1005,$B34,'Detailed Budget'!$L$5:$L$1005,"&gt;0")&gt;0,SUMIFS('Detailed Budget'!$BA$5:$BA$1005,'Detailed Budget'!$L$5:$L$1005,$B34,'Detailed Budget'!$L$5:$L$1005,"&gt;0"),"")</f>
        <v>66646.891471071081</v>
      </c>
      <c r="O34" s="44" t="str">
        <f>IF(SUMIFS('Detailed Budget'!$BC$5:$BC$1005,'Detailed Budget'!$L$5:$L$1005,$B34,'Detailed Budget'!$L$5:$L$1005,"&gt;0")&gt;0,SUMIFS('Detailed Budget'!$BC$5:$BC$1005,'Detailed Budget'!$L$5:$L$1005,$B34,'Detailed Budget'!$L$5:$L$1005,"&gt;0"),"")</f>
        <v/>
      </c>
      <c r="P34" s="44" t="str">
        <f>IF(SUMIFS('Detailed Budget'!$BE$5:$BE$1005,'Detailed Budget'!$L$5:$L$1005,$B34,'Detailed Budget'!$L$5:$L$1005,"&gt;0")&gt;0,SUMIFS('Detailed Budget'!$BE$5:$BE$1005,'Detailed Budget'!$L$5:$L$1005,$B34,'Detailed Budget'!$L$5:$L$1005,"&gt;0"),"")</f>
        <v/>
      </c>
      <c r="Q34" s="44" t="str">
        <f>IF(SUMIFS('Detailed Budget'!$BG$5:$BG$1005,'Detailed Budget'!$L$5:$L$1005,$B34,'Detailed Budget'!$L$5:$L$1005,"&gt;0")&gt;0,SUMIFS('Detailed Budget'!$BG$5:$BG$1005,'Detailed Budget'!$L$5:$L$1005,$B34,'Detailed Budget'!$L$5:$L$1005,"&gt;0"),"")</f>
        <v/>
      </c>
      <c r="R34" s="45">
        <f>IF(SUMIFS('Detailed Budget'!$BI$5:$BI$1005,'Detailed Budget'!$L$5:$L$1005,$B34,'Detailed Budget'!$L$5:$L$1005,"&gt;0")&gt;0,SUMIFS('Detailed Budget'!$BI$5:$BI$1005,'Detailed Budget'!$L$5:$L$1005,$B34,'Detailed Budget'!$L$5:$L$1005,"&gt;0"),"")</f>
        <v>66646.891471071081</v>
      </c>
      <c r="S34" s="44" t="str">
        <f>IF(SUMIFS('Detailed Budget'!$BN$5:$BN$1005,'Detailed Budget'!$L$5:$L$1005,$B34,'Detailed Budget'!$L$5:$L$1005,"&gt;0")&gt;0,SUMIFS('Detailed Budget'!$BN$5:$BN$1005,'Detailed Budget'!$L$5:$L$1005,$B34,'Detailed Budget'!$L$5:$L$1005,"&gt;0"),"")</f>
        <v/>
      </c>
      <c r="T34" s="44" t="str">
        <f>IF(SUMIFS('Detailed Budget'!$BP$5:$BP$1005,'Detailed Budget'!$L$5:$L$1005,$B34,'Detailed Budget'!$L$5:$L$1005,"&gt;0")&gt;0,SUMIFS('Detailed Budget'!$BP$5:$BP$1005,'Detailed Budget'!$L$5:$L$1005,$B34,'Detailed Budget'!$L$5:$L$1005,"&gt;0"),"")</f>
        <v/>
      </c>
      <c r="U34" s="44" t="str">
        <f>IF(SUMIFS('Detailed Budget'!$BR$5:$BR$1005,'Detailed Budget'!$L$5:$L$1005,$B34,'Detailed Budget'!$L$5:$L$1005,"&gt;0")&gt;0,SUMIFS('Detailed Budget'!$BR$5:$BR$1005,'Detailed Budget'!$L$5:$L$1005,$B34,'Detailed Budget'!$L$5:$L$1005,"&gt;0"),"")</f>
        <v/>
      </c>
      <c r="V34" s="44" t="str">
        <f>IF(SUMIFS('Detailed Budget'!$BT$5:$BT$1005,'Detailed Budget'!$L$5:$L$1005,$B34,'Detailed Budget'!$L$5:$L$1005,"&gt;0")&gt;0,SUMIFS('Detailed Budget'!$BT$5:$BT$1005,'Detailed Budget'!$L$5:$L$1005,$B34,'Detailed Budget'!$L$5:$L$1005,"&gt;0"),"")</f>
        <v/>
      </c>
      <c r="W34" s="45" t="str">
        <f>IF(SUMIFS('Detailed Budget'!$BV$5:$BV$1005,'Detailed Budget'!$L$5:$L$1005,$B34,'Detailed Budget'!$L$5:$L$1005,"&gt;0")&gt;0,SUMIFS('Detailed Budget'!$BV$5:$BV$1005,'Detailed Budget'!$L$5:$L$1005,$B34,'Detailed Budget'!$L$5:$L$1005,"&gt;0"),"")</f>
        <v/>
      </c>
      <c r="X34" s="44">
        <f t="shared" si="0"/>
        <v>188222.18823819631</v>
      </c>
      <c r="Y34" s="124">
        <f t="shared" si="1"/>
        <v>2.7154024829884323E-2</v>
      </c>
    </row>
    <row r="35" spans="1:25" x14ac:dyDescent="0.25">
      <c r="A35" s="35"/>
      <c r="B35" s="234">
        <f t="array" ref="B35">IFERROR(INDEX(CostInpNoList,MATCH(0,IF(ISBLANK(CostInpNoList),"",COUNTIF(B$16:B34,CostInpNoList)),0)),"")</f>
        <v>6.2</v>
      </c>
      <c r="C35" s="372" t="str">
        <f>IFERROR(INDEX('Data Sheet'!$F$198:$F$275,MATCH(B35,'Data Sheet'!$G$198:$G$275,0)),"")</f>
        <v>6.2 HIV Viral Load analyser/accessories</v>
      </c>
      <c r="D35" s="44">
        <f>IF(SUMIFS('Detailed Budget'!$AA$5:$AA$1005,'Detailed Budget'!$L$5:$L$1005,$B35,'Detailed Budget'!$L$5:$L$1005,"&gt;0")&gt;0,SUMIFS('Detailed Budget'!$AA$5:$AA$1005,'Detailed Budget'!$L$5:$L$1005,$B35,'Detailed Budget'!$L$5:$L$1005,"&gt;0"),"")</f>
        <v>246285.34</v>
      </c>
      <c r="E35" s="44" t="str">
        <f>IF(SUMIFS('Detailed Budget'!$AC$5:$AC$1005,'Detailed Budget'!$L$5:$L$1005,$B35,'Detailed Budget'!$L$5:$L$1005,"&gt;0")&gt;0,SUMIFS('Detailed Budget'!$AC$5:$AC$1005,'Detailed Budget'!$L$5:$L$1005,$B35,'Detailed Budget'!$L$5:$L$1005,"&gt;0"),"")</f>
        <v/>
      </c>
      <c r="F35" s="44" t="str">
        <f>IF(SUMIFS('Detailed Budget'!$AE$5:$AE$1005,'Detailed Budget'!$L$5:$L$1005,$B35,'Detailed Budget'!$L$5:$L$1005,"&gt;0")&gt;0,SUMIFS('Detailed Budget'!$AE$5:$AE$1005,'Detailed Budget'!$L$5:$L$1005,$B35,'Detailed Budget'!$L$5:$L$1005,"&gt;0"),"")</f>
        <v/>
      </c>
      <c r="G35" s="44" t="str">
        <f>IF(SUMIFS('Detailed Budget'!$AG$5:$AG$1005,'Detailed Budget'!$L$5:$L$1005,$B35,'Detailed Budget'!$L$5:$L$1005,"&gt;0")&gt;0,SUMIFS('Detailed Budget'!$AG$5:$AG$1005,'Detailed Budget'!$L$5:$L$1005,$B35,'Detailed Budget'!$L$5:$L$1005,"&gt;0"),"")</f>
        <v/>
      </c>
      <c r="H35" s="45">
        <f>IF(SUMIFS('Detailed Budget'!$AI$5:$AI$1005,'Detailed Budget'!$L$5:$L$1005,$B35,'Detailed Budget'!$L$5:$L$1005,"&gt;0")&gt;0,SUMIFS('Detailed Budget'!$AI$5:$AI$1005,'Detailed Budget'!$L$5:$L$1005,$B35,'Detailed Budget'!$L$5:$L$1005,"&gt;0"),"")</f>
        <v>246285.34</v>
      </c>
      <c r="I35" s="44">
        <f>IF(SUMIFS('Detailed Budget'!$AN$5:$AN$1005,'Detailed Budget'!$L$5:$L$1005,$B35,'Detailed Budget'!$L$5:$L$1005,"&gt;0")&gt;0,SUMIFS('Detailed Budget'!$AN$5:$AN$1005,'Detailed Budget'!$L$5:$L$1005,$B35,'Detailed Budget'!$L$5:$L$1005,"&gt;0"),"")</f>
        <v>276022.48086748301</v>
      </c>
      <c r="J35" s="44" t="str">
        <f>IF(SUMIFS('Detailed Budget'!$AP$5:$AP$1005,'Detailed Budget'!$L$5:$L$1005,$B35,'Detailed Budget'!$L$5:$L$1005,"&gt;0")&gt;0,SUMIFS('Detailed Budget'!$AP$5:$AP$1005,'Detailed Budget'!$L$5:$L$1005,$B35,'Detailed Budget'!$L$5:$L$1005,"&gt;0"),"")</f>
        <v/>
      </c>
      <c r="K35" s="44" t="str">
        <f>IF(SUMIFS('Detailed Budget'!$AR$5:$AR$1005,'Detailed Budget'!$L$5:$L$1005,$B35,'Detailed Budget'!$L$5:$L$1005,"&gt;0")&gt;0,SUMIFS('Detailed Budget'!$AR$5:$AR$1005,'Detailed Budget'!$L$5:$L$1005,$B35,'Detailed Budget'!$L$5:$L$1005,"&gt;0"),"")</f>
        <v/>
      </c>
      <c r="L35" s="44" t="str">
        <f>IF(SUMIFS('Detailed Budget'!$AT$5:$AT$1005,'Detailed Budget'!$L$5:$L$1005,$B35,'Detailed Budget'!$L$5:$L$1005,"&gt;0")&gt;0,SUMIFS('Detailed Budget'!$AT$5:$AT$1005,'Detailed Budget'!$L$5:$L$1005,$B35,'Detailed Budget'!$L$5:$L$1005,"&gt;0"),"")</f>
        <v/>
      </c>
      <c r="M35" s="45">
        <f>IF(SUMIFS('Detailed Budget'!$AV$5:$AV$1005,'Detailed Budget'!$L$5:$L$1005,$B35,'Detailed Budget'!$L$5:$L$1005,"&gt;0")&gt;0,SUMIFS('Detailed Budget'!$AV$5:$AV$1005,'Detailed Budget'!$L$5:$L$1005,$B35,'Detailed Budget'!$L$5:$L$1005,"&gt;0"),"")</f>
        <v>276022.48086748301</v>
      </c>
      <c r="N35" s="44">
        <f>IF(SUMIFS('Detailed Budget'!$BA$5:$BA$1005,'Detailed Budget'!$L$5:$L$1005,$B35,'Detailed Budget'!$L$5:$L$1005,"&gt;0")&gt;0,SUMIFS('Detailed Budget'!$BA$5:$BA$1005,'Detailed Budget'!$L$5:$L$1005,$B35,'Detailed Budget'!$L$5:$L$1005,"&gt;0"),"")</f>
        <v>306017</v>
      </c>
      <c r="O35" s="44" t="str">
        <f>IF(SUMIFS('Detailed Budget'!$BC$5:$BC$1005,'Detailed Budget'!$L$5:$L$1005,$B35,'Detailed Budget'!$L$5:$L$1005,"&gt;0")&gt;0,SUMIFS('Detailed Budget'!$BC$5:$BC$1005,'Detailed Budget'!$L$5:$L$1005,$B35,'Detailed Budget'!$L$5:$L$1005,"&gt;0"),"")</f>
        <v/>
      </c>
      <c r="P35" s="44" t="str">
        <f>IF(SUMIFS('Detailed Budget'!$BE$5:$BE$1005,'Detailed Budget'!$L$5:$L$1005,$B35,'Detailed Budget'!$L$5:$L$1005,"&gt;0")&gt;0,SUMIFS('Detailed Budget'!$BE$5:$BE$1005,'Detailed Budget'!$L$5:$L$1005,$B35,'Detailed Budget'!$L$5:$L$1005,"&gt;0"),"")</f>
        <v/>
      </c>
      <c r="Q35" s="44" t="str">
        <f>IF(SUMIFS('Detailed Budget'!$BG$5:$BG$1005,'Detailed Budget'!$L$5:$L$1005,$B35,'Detailed Budget'!$L$5:$L$1005,"&gt;0")&gt;0,SUMIFS('Detailed Budget'!$BG$5:$BG$1005,'Detailed Budget'!$L$5:$L$1005,$B35,'Detailed Budget'!$L$5:$L$1005,"&gt;0"),"")</f>
        <v/>
      </c>
      <c r="R35" s="45">
        <f>IF(SUMIFS('Detailed Budget'!$BI$5:$BI$1005,'Detailed Budget'!$L$5:$L$1005,$B35,'Detailed Budget'!$L$5:$L$1005,"&gt;0")&gt;0,SUMIFS('Detailed Budget'!$BI$5:$BI$1005,'Detailed Budget'!$L$5:$L$1005,$B35,'Detailed Budget'!$L$5:$L$1005,"&gt;0"),"")</f>
        <v>306017</v>
      </c>
      <c r="S35" s="44" t="str">
        <f>IF(SUMIFS('Detailed Budget'!$BN$5:$BN$1005,'Detailed Budget'!$L$5:$L$1005,$B35,'Detailed Budget'!$L$5:$L$1005,"&gt;0")&gt;0,SUMIFS('Detailed Budget'!$BN$5:$BN$1005,'Detailed Budget'!$L$5:$L$1005,$B35,'Detailed Budget'!$L$5:$L$1005,"&gt;0"),"")</f>
        <v/>
      </c>
      <c r="T35" s="44" t="str">
        <f>IF(SUMIFS('Detailed Budget'!$BP$5:$BP$1005,'Detailed Budget'!$L$5:$L$1005,$B35,'Detailed Budget'!$L$5:$L$1005,"&gt;0")&gt;0,SUMIFS('Detailed Budget'!$BP$5:$BP$1005,'Detailed Budget'!$L$5:$L$1005,$B35,'Detailed Budget'!$L$5:$L$1005,"&gt;0"),"")</f>
        <v/>
      </c>
      <c r="U35" s="44" t="str">
        <f>IF(SUMIFS('Detailed Budget'!$BR$5:$BR$1005,'Detailed Budget'!$L$5:$L$1005,$B35,'Detailed Budget'!$L$5:$L$1005,"&gt;0")&gt;0,SUMIFS('Detailed Budget'!$BR$5:$BR$1005,'Detailed Budget'!$L$5:$L$1005,$B35,'Detailed Budget'!$L$5:$L$1005,"&gt;0"),"")</f>
        <v/>
      </c>
      <c r="V35" s="44" t="str">
        <f>IF(SUMIFS('Detailed Budget'!$BT$5:$BT$1005,'Detailed Budget'!$L$5:$L$1005,$B35,'Detailed Budget'!$L$5:$L$1005,"&gt;0")&gt;0,SUMIFS('Detailed Budget'!$BT$5:$BT$1005,'Detailed Budget'!$L$5:$L$1005,$B35,'Detailed Budget'!$L$5:$L$1005,"&gt;0"),"")</f>
        <v/>
      </c>
      <c r="W35" s="45" t="str">
        <f>IF(SUMIFS('Detailed Budget'!$BV$5:$BV$1005,'Detailed Budget'!$L$5:$L$1005,$B35,'Detailed Budget'!$L$5:$L$1005,"&gt;0")&gt;0,SUMIFS('Detailed Budget'!$BV$5:$BV$1005,'Detailed Budget'!$L$5:$L$1005,$B35,'Detailed Budget'!$L$5:$L$1005,"&gt;0"),"")</f>
        <v/>
      </c>
      <c r="X35" s="44">
        <f t="shared" si="0"/>
        <v>828324.82086748304</v>
      </c>
      <c r="Y35" s="124">
        <f t="shared" si="1"/>
        <v>0.11949894411269361</v>
      </c>
    </row>
    <row r="36" spans="1:25" x14ac:dyDescent="0.25">
      <c r="A36" s="35"/>
      <c r="B36" s="234">
        <f t="array" ref="B36">IFERROR(INDEX(CostInpNoList,MATCH(0,IF(ISBLANK(CostInpNoList),"",COUNTIF(B$16:B35,CostInpNoList)),0)),"")</f>
        <v>5.4</v>
      </c>
      <c r="C36" s="372" t="str">
        <f>IFERROR(INDEX('Data Sheet'!$F$198:$F$275,MATCH(B36,'Data Sheet'!$G$198:$G$275,0)),"")</f>
        <v>5.4 Rapid Diagnostic Test</v>
      </c>
      <c r="D36" s="44">
        <f>IF(SUMIFS('Detailed Budget'!$AA$5:$AA$1005,'Detailed Budget'!$L$5:$L$1005,$B36,'Detailed Budget'!$L$5:$L$1005,"&gt;0")&gt;0,SUMIFS('Detailed Budget'!$AA$5:$AA$1005,'Detailed Budget'!$L$5:$L$1005,$B36,'Detailed Budget'!$L$5:$L$1005,"&gt;0"),"")</f>
        <v>47738.75</v>
      </c>
      <c r="E36" s="44" t="str">
        <f>IF(SUMIFS('Detailed Budget'!$AC$5:$AC$1005,'Detailed Budget'!$L$5:$L$1005,$B36,'Detailed Budget'!$L$5:$L$1005,"&gt;0")&gt;0,SUMIFS('Detailed Budget'!$AC$5:$AC$1005,'Detailed Budget'!$L$5:$L$1005,$B36,'Detailed Budget'!$L$5:$L$1005,"&gt;0"),"")</f>
        <v/>
      </c>
      <c r="F36" s="44" t="str">
        <f>IF(SUMIFS('Detailed Budget'!$AE$5:$AE$1005,'Detailed Budget'!$L$5:$L$1005,$B36,'Detailed Budget'!$L$5:$L$1005,"&gt;0")&gt;0,SUMIFS('Detailed Budget'!$AE$5:$AE$1005,'Detailed Budget'!$L$5:$L$1005,$B36,'Detailed Budget'!$L$5:$L$1005,"&gt;0"),"")</f>
        <v/>
      </c>
      <c r="G36" s="44" t="str">
        <f>IF(SUMIFS('Detailed Budget'!$AG$5:$AG$1005,'Detailed Budget'!$L$5:$L$1005,$B36,'Detailed Budget'!$L$5:$L$1005,"&gt;0")&gt;0,SUMIFS('Detailed Budget'!$AG$5:$AG$1005,'Detailed Budget'!$L$5:$L$1005,$B36,'Detailed Budget'!$L$5:$L$1005,"&gt;0"),"")</f>
        <v/>
      </c>
      <c r="H36" s="45">
        <f>IF(SUMIFS('Detailed Budget'!$AI$5:$AI$1005,'Detailed Budget'!$L$5:$L$1005,$B36,'Detailed Budget'!$L$5:$L$1005,"&gt;0")&gt;0,SUMIFS('Detailed Budget'!$AI$5:$AI$1005,'Detailed Budget'!$L$5:$L$1005,$B36,'Detailed Budget'!$L$5:$L$1005,"&gt;0"),"")</f>
        <v>47738.75</v>
      </c>
      <c r="I36" s="44">
        <f>IF(SUMIFS('Detailed Budget'!$AN$5:$AN$1005,'Detailed Budget'!$L$5:$L$1005,$B36,'Detailed Budget'!$L$5:$L$1005,"&gt;0")&gt;0,SUMIFS('Detailed Budget'!$AN$5:$AN$1005,'Detailed Budget'!$L$5:$L$1005,$B36,'Detailed Budget'!$L$5:$L$1005,"&gt;0"),"")</f>
        <v>50753.7</v>
      </c>
      <c r="J36" s="44" t="str">
        <f>IF(SUMIFS('Detailed Budget'!$AP$5:$AP$1005,'Detailed Budget'!$L$5:$L$1005,$B36,'Detailed Budget'!$L$5:$L$1005,"&gt;0")&gt;0,SUMIFS('Detailed Budget'!$AP$5:$AP$1005,'Detailed Budget'!$L$5:$L$1005,$B36,'Detailed Budget'!$L$5:$L$1005,"&gt;0"),"")</f>
        <v/>
      </c>
      <c r="K36" s="44" t="str">
        <f>IF(SUMIFS('Detailed Budget'!$AR$5:$AR$1005,'Detailed Budget'!$L$5:$L$1005,$B36,'Detailed Budget'!$L$5:$L$1005,"&gt;0")&gt;0,SUMIFS('Detailed Budget'!$AR$5:$AR$1005,'Detailed Budget'!$L$5:$L$1005,$B36,'Detailed Budget'!$L$5:$L$1005,"&gt;0"),"")</f>
        <v/>
      </c>
      <c r="L36" s="44" t="str">
        <f>IF(SUMIFS('Detailed Budget'!$AT$5:$AT$1005,'Detailed Budget'!$L$5:$L$1005,$B36,'Detailed Budget'!$L$5:$L$1005,"&gt;0")&gt;0,SUMIFS('Detailed Budget'!$AT$5:$AT$1005,'Detailed Budget'!$L$5:$L$1005,$B36,'Detailed Budget'!$L$5:$L$1005,"&gt;0"),"")</f>
        <v/>
      </c>
      <c r="M36" s="45">
        <f>IF(SUMIFS('Detailed Budget'!$AV$5:$AV$1005,'Detailed Budget'!$L$5:$L$1005,$B36,'Detailed Budget'!$L$5:$L$1005,"&gt;0")&gt;0,SUMIFS('Detailed Budget'!$AV$5:$AV$1005,'Detailed Budget'!$L$5:$L$1005,$B36,'Detailed Budget'!$L$5:$L$1005,"&gt;0"),"")</f>
        <v>50753.7</v>
      </c>
      <c r="N36" s="44">
        <f>IF(SUMIFS('Detailed Budget'!$BA$5:$BA$1005,'Detailed Budget'!$L$5:$L$1005,$B36,'Detailed Budget'!$L$5:$L$1005,"&gt;0")&gt;0,SUMIFS('Detailed Budget'!$BA$5:$BA$1005,'Detailed Budget'!$L$5:$L$1005,$B36,'Detailed Budget'!$L$5:$L$1005,"&gt;0"),"")</f>
        <v>53994.9</v>
      </c>
      <c r="O36" s="44" t="str">
        <f>IF(SUMIFS('Detailed Budget'!$BC$5:$BC$1005,'Detailed Budget'!$L$5:$L$1005,$B36,'Detailed Budget'!$L$5:$L$1005,"&gt;0")&gt;0,SUMIFS('Detailed Budget'!$BC$5:$BC$1005,'Detailed Budget'!$L$5:$L$1005,$B36,'Detailed Budget'!$L$5:$L$1005,"&gt;0"),"")</f>
        <v/>
      </c>
      <c r="P36" s="44" t="str">
        <f>IF(SUMIFS('Detailed Budget'!$BE$5:$BE$1005,'Detailed Budget'!$L$5:$L$1005,$B36,'Detailed Budget'!$L$5:$L$1005,"&gt;0")&gt;0,SUMIFS('Detailed Budget'!$BE$5:$BE$1005,'Detailed Budget'!$L$5:$L$1005,$B36,'Detailed Budget'!$L$5:$L$1005,"&gt;0"),"")</f>
        <v/>
      </c>
      <c r="Q36" s="44" t="str">
        <f>IF(SUMIFS('Detailed Budget'!$BG$5:$BG$1005,'Detailed Budget'!$L$5:$L$1005,$B36,'Detailed Budget'!$L$5:$L$1005,"&gt;0")&gt;0,SUMIFS('Detailed Budget'!$BG$5:$BG$1005,'Detailed Budget'!$L$5:$L$1005,$B36,'Detailed Budget'!$L$5:$L$1005,"&gt;0"),"")</f>
        <v/>
      </c>
      <c r="R36" s="45">
        <f>IF(SUMIFS('Detailed Budget'!$BI$5:$BI$1005,'Detailed Budget'!$L$5:$L$1005,$B36,'Detailed Budget'!$L$5:$L$1005,"&gt;0")&gt;0,SUMIFS('Detailed Budget'!$BI$5:$BI$1005,'Detailed Budget'!$L$5:$L$1005,$B36,'Detailed Budget'!$L$5:$L$1005,"&gt;0"),"")</f>
        <v>53994.9</v>
      </c>
      <c r="S36" s="44" t="str">
        <f>IF(SUMIFS('Detailed Budget'!$BN$5:$BN$1005,'Detailed Budget'!$L$5:$L$1005,$B36,'Detailed Budget'!$L$5:$L$1005,"&gt;0")&gt;0,SUMIFS('Detailed Budget'!$BN$5:$BN$1005,'Detailed Budget'!$L$5:$L$1005,$B36,'Detailed Budget'!$L$5:$L$1005,"&gt;0"),"")</f>
        <v/>
      </c>
      <c r="T36" s="44" t="str">
        <f>IF(SUMIFS('Detailed Budget'!$BP$5:$BP$1005,'Detailed Budget'!$L$5:$L$1005,$B36,'Detailed Budget'!$L$5:$L$1005,"&gt;0")&gt;0,SUMIFS('Detailed Budget'!$BP$5:$BP$1005,'Detailed Budget'!$L$5:$L$1005,$B36,'Detailed Budget'!$L$5:$L$1005,"&gt;0"),"")</f>
        <v/>
      </c>
      <c r="U36" s="44" t="str">
        <f>IF(SUMIFS('Detailed Budget'!$BR$5:$BR$1005,'Detailed Budget'!$L$5:$L$1005,$B36,'Detailed Budget'!$L$5:$L$1005,"&gt;0")&gt;0,SUMIFS('Detailed Budget'!$BR$5:$BR$1005,'Detailed Budget'!$L$5:$L$1005,$B36,'Detailed Budget'!$L$5:$L$1005,"&gt;0"),"")</f>
        <v/>
      </c>
      <c r="V36" s="44" t="str">
        <f>IF(SUMIFS('Detailed Budget'!$BT$5:$BT$1005,'Detailed Budget'!$L$5:$L$1005,$B36,'Detailed Budget'!$L$5:$L$1005,"&gt;0")&gt;0,SUMIFS('Detailed Budget'!$BT$5:$BT$1005,'Detailed Budget'!$L$5:$L$1005,$B36,'Detailed Budget'!$L$5:$L$1005,"&gt;0"),"")</f>
        <v/>
      </c>
      <c r="W36" s="45" t="str">
        <f>IF(SUMIFS('Detailed Budget'!$BV$5:$BV$1005,'Detailed Budget'!$L$5:$L$1005,$B36,'Detailed Budget'!$L$5:$L$1005,"&gt;0")&gt;0,SUMIFS('Detailed Budget'!$BV$5:$BV$1005,'Detailed Budget'!$L$5:$L$1005,$B36,'Detailed Budget'!$L$5:$L$1005,"&gt;0"),"")</f>
        <v/>
      </c>
      <c r="X36" s="44">
        <f t="shared" si="0"/>
        <v>152487.35</v>
      </c>
      <c r="Y36" s="124">
        <f t="shared" si="1"/>
        <v>2.1998709753088461E-2</v>
      </c>
    </row>
    <row r="37" spans="1:25" x14ac:dyDescent="0.25">
      <c r="A37" s="35"/>
      <c r="B37" s="234">
        <f t="array" ref="B37">IFERROR(INDEX(CostInpNoList,MATCH(0,IF(ISBLANK(CostInpNoList),"",COUNTIF(B$16:B36,CostInpNoList)),0)),"")</f>
        <v>7.4</v>
      </c>
      <c r="C37" s="372" t="str">
        <f>IFERROR(INDEX('Data Sheet'!$F$198:$F$275,MATCH(B37,'Data Sheet'!$G$198:$G$275,0)),"")</f>
        <v>7.4 In-country distribution costs</v>
      </c>
      <c r="D37" s="44">
        <f>IF(SUMIFS('Detailed Budget'!$AA$5:$AA$1005,'Detailed Budget'!$L$5:$L$1005,$B37,'Detailed Budget'!$L$5:$L$1005,"&gt;0")&gt;0,SUMIFS('Detailed Budget'!$AA$5:$AA$1005,'Detailed Budget'!$L$5:$L$1005,$B37,'Detailed Budget'!$L$5:$L$1005,"&gt;0"),"")</f>
        <v>4000</v>
      </c>
      <c r="E37" s="44">
        <f>IF(SUMIFS('Detailed Budget'!$AC$5:$AC$1005,'Detailed Budget'!$L$5:$L$1005,$B37,'Detailed Budget'!$L$5:$L$1005,"&gt;0")&gt;0,SUMIFS('Detailed Budget'!$AC$5:$AC$1005,'Detailed Budget'!$L$5:$L$1005,$B37,'Detailed Budget'!$L$5:$L$1005,"&gt;0"),"")</f>
        <v>4000</v>
      </c>
      <c r="F37" s="44">
        <f>IF(SUMIFS('Detailed Budget'!$AE$5:$AE$1005,'Detailed Budget'!$L$5:$L$1005,$B37,'Detailed Budget'!$L$5:$L$1005,"&gt;0")&gt;0,SUMIFS('Detailed Budget'!$AE$5:$AE$1005,'Detailed Budget'!$L$5:$L$1005,$B37,'Detailed Budget'!$L$5:$L$1005,"&gt;0"),"")</f>
        <v>4000</v>
      </c>
      <c r="G37" s="44">
        <f>IF(SUMIFS('Detailed Budget'!$AG$5:$AG$1005,'Detailed Budget'!$L$5:$L$1005,$B37,'Detailed Budget'!$L$5:$L$1005,"&gt;0")&gt;0,SUMIFS('Detailed Budget'!$AG$5:$AG$1005,'Detailed Budget'!$L$5:$L$1005,$B37,'Detailed Budget'!$L$5:$L$1005,"&gt;0"),"")</f>
        <v>4000</v>
      </c>
      <c r="H37" s="45">
        <f>IF(SUMIFS('Detailed Budget'!$AI$5:$AI$1005,'Detailed Budget'!$L$5:$L$1005,$B37,'Detailed Budget'!$L$5:$L$1005,"&gt;0")&gt;0,SUMIFS('Detailed Budget'!$AI$5:$AI$1005,'Detailed Budget'!$L$5:$L$1005,$B37,'Detailed Budget'!$L$5:$L$1005,"&gt;0"),"")</f>
        <v>16000</v>
      </c>
      <c r="I37" s="44">
        <f>IF(SUMIFS('Detailed Budget'!$AN$5:$AN$1005,'Detailed Budget'!$L$5:$L$1005,$B37,'Detailed Budget'!$L$5:$L$1005,"&gt;0")&gt;0,SUMIFS('Detailed Budget'!$AN$5:$AN$1005,'Detailed Budget'!$L$5:$L$1005,$B37,'Detailed Budget'!$L$5:$L$1005,"&gt;0"),"")</f>
        <v>4000</v>
      </c>
      <c r="J37" s="44">
        <f>IF(SUMIFS('Detailed Budget'!$AP$5:$AP$1005,'Detailed Budget'!$L$5:$L$1005,$B37,'Detailed Budget'!$L$5:$L$1005,"&gt;0")&gt;0,SUMIFS('Detailed Budget'!$AP$5:$AP$1005,'Detailed Budget'!$L$5:$L$1005,$B37,'Detailed Budget'!$L$5:$L$1005,"&gt;0"),"")</f>
        <v>4000</v>
      </c>
      <c r="K37" s="44">
        <f>IF(SUMIFS('Detailed Budget'!$AR$5:$AR$1005,'Detailed Budget'!$L$5:$L$1005,$B37,'Detailed Budget'!$L$5:$L$1005,"&gt;0")&gt;0,SUMIFS('Detailed Budget'!$AR$5:$AR$1005,'Detailed Budget'!$L$5:$L$1005,$B37,'Detailed Budget'!$L$5:$L$1005,"&gt;0"),"")</f>
        <v>4000</v>
      </c>
      <c r="L37" s="44">
        <f>IF(SUMIFS('Detailed Budget'!$AT$5:$AT$1005,'Detailed Budget'!$L$5:$L$1005,$B37,'Detailed Budget'!$L$5:$L$1005,"&gt;0")&gt;0,SUMIFS('Detailed Budget'!$AT$5:$AT$1005,'Detailed Budget'!$L$5:$L$1005,$B37,'Detailed Budget'!$L$5:$L$1005,"&gt;0"),"")</f>
        <v>4000</v>
      </c>
      <c r="M37" s="45">
        <f>IF(SUMIFS('Detailed Budget'!$AV$5:$AV$1005,'Detailed Budget'!$L$5:$L$1005,$B37,'Detailed Budget'!$L$5:$L$1005,"&gt;0")&gt;0,SUMIFS('Detailed Budget'!$AV$5:$AV$1005,'Detailed Budget'!$L$5:$L$1005,$B37,'Detailed Budget'!$L$5:$L$1005,"&gt;0"),"")</f>
        <v>16000</v>
      </c>
      <c r="N37" s="44">
        <f>IF(SUMIFS('Detailed Budget'!$BA$5:$BA$1005,'Detailed Budget'!$L$5:$L$1005,$B37,'Detailed Budget'!$L$5:$L$1005,"&gt;0")&gt;0,SUMIFS('Detailed Budget'!$BA$5:$BA$1005,'Detailed Budget'!$L$5:$L$1005,$B37,'Detailed Budget'!$L$5:$L$1005,"&gt;0"),"")</f>
        <v>4000</v>
      </c>
      <c r="O37" s="44">
        <f>IF(SUMIFS('Detailed Budget'!$BC$5:$BC$1005,'Detailed Budget'!$L$5:$L$1005,$B37,'Detailed Budget'!$L$5:$L$1005,"&gt;0")&gt;0,SUMIFS('Detailed Budget'!$BC$5:$BC$1005,'Detailed Budget'!$L$5:$L$1005,$B37,'Detailed Budget'!$L$5:$L$1005,"&gt;0"),"")</f>
        <v>4000</v>
      </c>
      <c r="P37" s="44">
        <f>IF(SUMIFS('Detailed Budget'!$BE$5:$BE$1005,'Detailed Budget'!$L$5:$L$1005,$B37,'Detailed Budget'!$L$5:$L$1005,"&gt;0")&gt;0,SUMIFS('Detailed Budget'!$BE$5:$BE$1005,'Detailed Budget'!$L$5:$L$1005,$B37,'Detailed Budget'!$L$5:$L$1005,"&gt;0"),"")</f>
        <v>4000</v>
      </c>
      <c r="Q37" s="44">
        <f>IF(SUMIFS('Detailed Budget'!$BG$5:$BG$1005,'Detailed Budget'!$L$5:$L$1005,$B37,'Detailed Budget'!$L$5:$L$1005,"&gt;0")&gt;0,SUMIFS('Detailed Budget'!$BG$5:$BG$1005,'Detailed Budget'!$L$5:$L$1005,$B37,'Detailed Budget'!$L$5:$L$1005,"&gt;0"),"")</f>
        <v>4000</v>
      </c>
      <c r="R37" s="45">
        <f>IF(SUMIFS('Detailed Budget'!$BI$5:$BI$1005,'Detailed Budget'!$L$5:$L$1005,$B37,'Detailed Budget'!$L$5:$L$1005,"&gt;0")&gt;0,SUMIFS('Detailed Budget'!$BI$5:$BI$1005,'Detailed Budget'!$L$5:$L$1005,$B37,'Detailed Budget'!$L$5:$L$1005,"&gt;0"),"")</f>
        <v>16000</v>
      </c>
      <c r="S37" s="44" t="str">
        <f>IF(SUMIFS('Detailed Budget'!$BN$5:$BN$1005,'Detailed Budget'!$L$5:$L$1005,$B37,'Detailed Budget'!$L$5:$L$1005,"&gt;0")&gt;0,SUMIFS('Detailed Budget'!$BN$5:$BN$1005,'Detailed Budget'!$L$5:$L$1005,$B37,'Detailed Budget'!$L$5:$L$1005,"&gt;0"),"")</f>
        <v/>
      </c>
      <c r="T37" s="44" t="str">
        <f>IF(SUMIFS('Detailed Budget'!$BP$5:$BP$1005,'Detailed Budget'!$L$5:$L$1005,$B37,'Detailed Budget'!$L$5:$L$1005,"&gt;0")&gt;0,SUMIFS('Detailed Budget'!$BP$5:$BP$1005,'Detailed Budget'!$L$5:$L$1005,$B37,'Detailed Budget'!$L$5:$L$1005,"&gt;0"),"")</f>
        <v/>
      </c>
      <c r="U37" s="44" t="str">
        <f>IF(SUMIFS('Detailed Budget'!$BR$5:$BR$1005,'Detailed Budget'!$L$5:$L$1005,$B37,'Detailed Budget'!$L$5:$L$1005,"&gt;0")&gt;0,SUMIFS('Detailed Budget'!$BR$5:$BR$1005,'Detailed Budget'!$L$5:$L$1005,$B37,'Detailed Budget'!$L$5:$L$1005,"&gt;0"),"")</f>
        <v/>
      </c>
      <c r="V37" s="44" t="str">
        <f>IF(SUMIFS('Detailed Budget'!$BT$5:$BT$1005,'Detailed Budget'!$L$5:$L$1005,$B37,'Detailed Budget'!$L$5:$L$1005,"&gt;0")&gt;0,SUMIFS('Detailed Budget'!$BT$5:$BT$1005,'Detailed Budget'!$L$5:$L$1005,$B37,'Detailed Budget'!$L$5:$L$1005,"&gt;0"),"")</f>
        <v/>
      </c>
      <c r="W37" s="45" t="str">
        <f>IF(SUMIFS('Detailed Budget'!$BV$5:$BV$1005,'Detailed Budget'!$L$5:$L$1005,$B37,'Detailed Budget'!$L$5:$L$1005,"&gt;0")&gt;0,SUMIFS('Detailed Budget'!$BV$5:$BV$1005,'Detailed Budget'!$L$5:$L$1005,$B37,'Detailed Budget'!$L$5:$L$1005,"&gt;0"),"")</f>
        <v/>
      </c>
      <c r="X37" s="44">
        <f t="shared" si="0"/>
        <v>48000</v>
      </c>
      <c r="Y37" s="124">
        <f t="shared" si="1"/>
        <v>6.9247584678220593E-3</v>
      </c>
    </row>
    <row r="38" spans="1:25" x14ac:dyDescent="0.25">
      <c r="A38" s="35"/>
      <c r="B38" s="234">
        <f t="array" ref="B38">IFERROR(INDEX(CostInpNoList,MATCH(0,IF(ISBLANK(CostInpNoList),"",COUNTIF(B$16:B37,CostInpNoList)),0)),"")</f>
        <v>7.6</v>
      </c>
      <c r="C38" s="372" t="str">
        <f>IFERROR(INDEX('Data Sheet'!$F$198:$F$275,MATCH(B38,'Data Sheet'!$G$198:$G$275,0)),"")</f>
        <v>7.6 PSM Customs Clearance</v>
      </c>
      <c r="D38" s="44">
        <f>IF(SUMIFS('Detailed Budget'!$AA$5:$AA$1005,'Detailed Budget'!$L$5:$L$1005,$B38,'Detailed Budget'!$L$5:$L$1005,"&gt;0")&gt;0,SUMIFS('Detailed Budget'!$AA$5:$AA$1005,'Detailed Budget'!$L$5:$L$1005,$B38,'Detailed Budget'!$L$5:$L$1005,"&gt;0"),"")</f>
        <v>1350</v>
      </c>
      <c r="E38" s="44">
        <f>IF(SUMIFS('Detailed Budget'!$AC$5:$AC$1005,'Detailed Budget'!$L$5:$L$1005,$B38,'Detailed Budget'!$L$5:$L$1005,"&gt;0")&gt;0,SUMIFS('Detailed Budget'!$AC$5:$AC$1005,'Detailed Budget'!$L$5:$L$1005,$B38,'Detailed Budget'!$L$5:$L$1005,"&gt;0"),"")</f>
        <v>1350</v>
      </c>
      <c r="F38" s="44">
        <f>IF(SUMIFS('Detailed Budget'!$AE$5:$AE$1005,'Detailed Budget'!$L$5:$L$1005,$B38,'Detailed Budget'!$L$5:$L$1005,"&gt;0")&gt;0,SUMIFS('Detailed Budget'!$AE$5:$AE$1005,'Detailed Budget'!$L$5:$L$1005,$B38,'Detailed Budget'!$L$5:$L$1005,"&gt;0"),"")</f>
        <v>1350</v>
      </c>
      <c r="G38" s="44">
        <f>IF(SUMIFS('Detailed Budget'!$AG$5:$AG$1005,'Detailed Budget'!$L$5:$L$1005,$B38,'Detailed Budget'!$L$5:$L$1005,"&gt;0")&gt;0,SUMIFS('Detailed Budget'!$AG$5:$AG$1005,'Detailed Budget'!$L$5:$L$1005,$B38,'Detailed Budget'!$L$5:$L$1005,"&gt;0"),"")</f>
        <v>1350</v>
      </c>
      <c r="H38" s="45">
        <f>IF(SUMIFS('Detailed Budget'!$AI$5:$AI$1005,'Detailed Budget'!$L$5:$L$1005,$B38,'Detailed Budget'!$L$5:$L$1005,"&gt;0")&gt;0,SUMIFS('Detailed Budget'!$AI$5:$AI$1005,'Detailed Budget'!$L$5:$L$1005,$B38,'Detailed Budget'!$L$5:$L$1005,"&gt;0"),"")</f>
        <v>5400</v>
      </c>
      <c r="I38" s="44">
        <f>IF(SUMIFS('Detailed Budget'!$AN$5:$AN$1005,'Detailed Budget'!$L$5:$L$1005,$B38,'Detailed Budget'!$L$5:$L$1005,"&gt;0")&gt;0,SUMIFS('Detailed Budget'!$AN$5:$AN$1005,'Detailed Budget'!$L$5:$L$1005,$B38,'Detailed Budget'!$L$5:$L$1005,"&gt;0"),"")</f>
        <v>1350</v>
      </c>
      <c r="J38" s="44">
        <f>IF(SUMIFS('Detailed Budget'!$AP$5:$AP$1005,'Detailed Budget'!$L$5:$L$1005,$B38,'Detailed Budget'!$L$5:$L$1005,"&gt;0")&gt;0,SUMIFS('Detailed Budget'!$AP$5:$AP$1005,'Detailed Budget'!$L$5:$L$1005,$B38,'Detailed Budget'!$L$5:$L$1005,"&gt;0"),"")</f>
        <v>1350</v>
      </c>
      <c r="K38" s="44">
        <f>IF(SUMIFS('Detailed Budget'!$AR$5:$AR$1005,'Detailed Budget'!$L$5:$L$1005,$B38,'Detailed Budget'!$L$5:$L$1005,"&gt;0")&gt;0,SUMIFS('Detailed Budget'!$AR$5:$AR$1005,'Detailed Budget'!$L$5:$L$1005,$B38,'Detailed Budget'!$L$5:$L$1005,"&gt;0"),"")</f>
        <v>1350</v>
      </c>
      <c r="L38" s="44">
        <f>IF(SUMIFS('Detailed Budget'!$AT$5:$AT$1005,'Detailed Budget'!$L$5:$L$1005,$B38,'Detailed Budget'!$L$5:$L$1005,"&gt;0")&gt;0,SUMIFS('Detailed Budget'!$AT$5:$AT$1005,'Detailed Budget'!$L$5:$L$1005,$B38,'Detailed Budget'!$L$5:$L$1005,"&gt;0"),"")</f>
        <v>1350</v>
      </c>
      <c r="M38" s="45">
        <f>IF(SUMIFS('Detailed Budget'!$AV$5:$AV$1005,'Detailed Budget'!$L$5:$L$1005,$B38,'Detailed Budget'!$L$5:$L$1005,"&gt;0")&gt;0,SUMIFS('Detailed Budget'!$AV$5:$AV$1005,'Detailed Budget'!$L$5:$L$1005,$B38,'Detailed Budget'!$L$5:$L$1005,"&gt;0"),"")</f>
        <v>5400</v>
      </c>
      <c r="N38" s="44">
        <f>IF(SUMIFS('Detailed Budget'!$BA$5:$BA$1005,'Detailed Budget'!$L$5:$L$1005,$B38,'Detailed Budget'!$L$5:$L$1005,"&gt;0")&gt;0,SUMIFS('Detailed Budget'!$BA$5:$BA$1005,'Detailed Budget'!$L$5:$L$1005,$B38,'Detailed Budget'!$L$5:$L$1005,"&gt;0"),"")</f>
        <v>1350</v>
      </c>
      <c r="O38" s="44">
        <f>IF(SUMIFS('Detailed Budget'!$BC$5:$BC$1005,'Detailed Budget'!$L$5:$L$1005,$B38,'Detailed Budget'!$L$5:$L$1005,"&gt;0")&gt;0,SUMIFS('Detailed Budget'!$BC$5:$BC$1005,'Detailed Budget'!$L$5:$L$1005,$B38,'Detailed Budget'!$L$5:$L$1005,"&gt;0"),"")</f>
        <v>1350</v>
      </c>
      <c r="P38" s="44">
        <f>IF(SUMIFS('Detailed Budget'!$BE$5:$BE$1005,'Detailed Budget'!$L$5:$L$1005,$B38,'Detailed Budget'!$L$5:$L$1005,"&gt;0")&gt;0,SUMIFS('Detailed Budget'!$BE$5:$BE$1005,'Detailed Budget'!$L$5:$L$1005,$B38,'Detailed Budget'!$L$5:$L$1005,"&gt;0"),"")</f>
        <v>1350</v>
      </c>
      <c r="Q38" s="44">
        <f>IF(SUMIFS('Detailed Budget'!$BG$5:$BG$1005,'Detailed Budget'!$L$5:$L$1005,$B38,'Detailed Budget'!$L$5:$L$1005,"&gt;0")&gt;0,SUMIFS('Detailed Budget'!$BG$5:$BG$1005,'Detailed Budget'!$L$5:$L$1005,$B38,'Detailed Budget'!$L$5:$L$1005,"&gt;0"),"")</f>
        <v>1350</v>
      </c>
      <c r="R38" s="45">
        <f>IF(SUMIFS('Detailed Budget'!$BI$5:$BI$1005,'Detailed Budget'!$L$5:$L$1005,$B38,'Detailed Budget'!$L$5:$L$1005,"&gt;0")&gt;0,SUMIFS('Detailed Budget'!$BI$5:$BI$1005,'Detailed Budget'!$L$5:$L$1005,$B38,'Detailed Budget'!$L$5:$L$1005,"&gt;0"),"")</f>
        <v>5400</v>
      </c>
      <c r="S38" s="44" t="str">
        <f>IF(SUMIFS('Detailed Budget'!$BN$5:$BN$1005,'Detailed Budget'!$L$5:$L$1005,$B38,'Detailed Budget'!$L$5:$L$1005,"&gt;0")&gt;0,SUMIFS('Detailed Budget'!$BN$5:$BN$1005,'Detailed Budget'!$L$5:$L$1005,$B38,'Detailed Budget'!$L$5:$L$1005,"&gt;0"),"")</f>
        <v/>
      </c>
      <c r="T38" s="44" t="str">
        <f>IF(SUMIFS('Detailed Budget'!$BP$5:$BP$1005,'Detailed Budget'!$L$5:$L$1005,$B38,'Detailed Budget'!$L$5:$L$1005,"&gt;0")&gt;0,SUMIFS('Detailed Budget'!$BP$5:$BP$1005,'Detailed Budget'!$L$5:$L$1005,$B38,'Detailed Budget'!$L$5:$L$1005,"&gt;0"),"")</f>
        <v/>
      </c>
      <c r="U38" s="44" t="str">
        <f>IF(SUMIFS('Detailed Budget'!$BR$5:$BR$1005,'Detailed Budget'!$L$5:$L$1005,$B38,'Detailed Budget'!$L$5:$L$1005,"&gt;0")&gt;0,SUMIFS('Detailed Budget'!$BR$5:$BR$1005,'Detailed Budget'!$L$5:$L$1005,$B38,'Detailed Budget'!$L$5:$L$1005,"&gt;0"),"")</f>
        <v/>
      </c>
      <c r="V38" s="44" t="str">
        <f>IF(SUMIFS('Detailed Budget'!$BT$5:$BT$1005,'Detailed Budget'!$L$5:$L$1005,$B38,'Detailed Budget'!$L$5:$L$1005,"&gt;0")&gt;0,SUMIFS('Detailed Budget'!$BT$5:$BT$1005,'Detailed Budget'!$L$5:$L$1005,$B38,'Detailed Budget'!$L$5:$L$1005,"&gt;0"),"")</f>
        <v/>
      </c>
      <c r="W38" s="45" t="str">
        <f>IF(SUMIFS('Detailed Budget'!$BV$5:$BV$1005,'Detailed Budget'!$L$5:$L$1005,$B38,'Detailed Budget'!$L$5:$L$1005,"&gt;0")&gt;0,SUMIFS('Detailed Budget'!$BV$5:$BV$1005,'Detailed Budget'!$L$5:$L$1005,$B38,'Detailed Budget'!$L$5:$L$1005,"&gt;0"),"")</f>
        <v/>
      </c>
      <c r="X38" s="44">
        <f t="shared" si="0"/>
        <v>16200</v>
      </c>
      <c r="Y38" s="124">
        <f t="shared" si="1"/>
        <v>2.3371059828899451E-3</v>
      </c>
    </row>
    <row r="39" spans="1:25" ht="26.25" x14ac:dyDescent="0.25">
      <c r="A39" s="35"/>
      <c r="B39" s="234">
        <f t="array" ref="B39">IFERROR(INDEX(CostInpNoList,MATCH(0,IF(ISBLANK(CostInpNoList),"",COUNTIF(B$16:B38,CostInpNoList)),0)),"")</f>
        <v>1.2</v>
      </c>
      <c r="C39" s="372" t="str">
        <f>IFERROR(INDEX('Data Sheet'!$F$198:$F$275,MATCH(B39,'Data Sheet'!$G$198:$G$275,0)),"")</f>
        <v>1.2 Salaries - outreach workers, medical staff and other service providers</v>
      </c>
      <c r="D39" s="44">
        <f>IF(SUMIFS('Detailed Budget'!$AA$5:$AA$1005,'Detailed Budget'!$L$5:$L$1005,$B39,'Detailed Budget'!$L$5:$L$1005,"&gt;0")&gt;0,SUMIFS('Detailed Budget'!$AA$5:$AA$1005,'Detailed Budget'!$L$5:$L$1005,$B39,'Detailed Budget'!$L$5:$L$1005,"&gt;0"),"")</f>
        <v>24265.813451952021</v>
      </c>
      <c r="E39" s="44">
        <f>IF(SUMIFS('Detailed Budget'!$AC$5:$AC$1005,'Detailed Budget'!$L$5:$L$1005,$B39,'Detailed Budget'!$L$5:$L$1005,"&gt;0")&gt;0,SUMIFS('Detailed Budget'!$AC$5:$AC$1005,'Detailed Budget'!$L$5:$L$1005,$B39,'Detailed Budget'!$L$5:$L$1005,"&gt;0"),"")</f>
        <v>24265.813451952021</v>
      </c>
      <c r="F39" s="44">
        <f>IF(SUMIFS('Detailed Budget'!$AE$5:$AE$1005,'Detailed Budget'!$L$5:$L$1005,$B39,'Detailed Budget'!$L$5:$L$1005,"&gt;0")&gt;0,SUMIFS('Detailed Budget'!$AE$5:$AE$1005,'Detailed Budget'!$L$5:$L$1005,$B39,'Detailed Budget'!$L$5:$L$1005,"&gt;0"),"")</f>
        <v>24265.813451952021</v>
      </c>
      <c r="G39" s="44">
        <f>IF(SUMIFS('Detailed Budget'!$AG$5:$AG$1005,'Detailed Budget'!$L$5:$L$1005,$B39,'Detailed Budget'!$L$5:$L$1005,"&gt;0")&gt;0,SUMIFS('Detailed Budget'!$AG$5:$AG$1005,'Detailed Budget'!$L$5:$L$1005,$B39,'Detailed Budget'!$L$5:$L$1005,"&gt;0"),"")</f>
        <v>24265.813451952021</v>
      </c>
      <c r="H39" s="45">
        <f>IF(SUMIFS('Detailed Budget'!$AI$5:$AI$1005,'Detailed Budget'!$L$5:$L$1005,$B39,'Detailed Budget'!$L$5:$L$1005,"&gt;0")&gt;0,SUMIFS('Detailed Budget'!$AI$5:$AI$1005,'Detailed Budget'!$L$5:$L$1005,$B39,'Detailed Budget'!$L$5:$L$1005,"&gt;0"),"")</f>
        <v>97063.253807808083</v>
      </c>
      <c r="I39" s="44">
        <f>IF(SUMIFS('Detailed Budget'!$AN$5:$AN$1005,'Detailed Budget'!$L$5:$L$1005,$B39,'Detailed Budget'!$L$5:$L$1005,"&gt;0")&gt;0,SUMIFS('Detailed Budget'!$AN$5:$AN$1005,'Detailed Budget'!$L$5:$L$1005,$B39,'Detailed Budget'!$L$5:$L$1005,"&gt;0"),"")</f>
        <v>24265.813451952021</v>
      </c>
      <c r="J39" s="44">
        <f>IF(SUMIFS('Detailed Budget'!$AP$5:$AP$1005,'Detailed Budget'!$L$5:$L$1005,$B39,'Detailed Budget'!$L$5:$L$1005,"&gt;0")&gt;0,SUMIFS('Detailed Budget'!$AP$5:$AP$1005,'Detailed Budget'!$L$5:$L$1005,$B39,'Detailed Budget'!$L$5:$L$1005,"&gt;0"),"")</f>
        <v>24265.813451952021</v>
      </c>
      <c r="K39" s="44">
        <f>IF(SUMIFS('Detailed Budget'!$AR$5:$AR$1005,'Detailed Budget'!$L$5:$L$1005,$B39,'Detailed Budget'!$L$5:$L$1005,"&gt;0")&gt;0,SUMIFS('Detailed Budget'!$AR$5:$AR$1005,'Detailed Budget'!$L$5:$L$1005,$B39,'Detailed Budget'!$L$5:$L$1005,"&gt;0"),"")</f>
        <v>24265.813451952021</v>
      </c>
      <c r="L39" s="44">
        <f>IF(SUMIFS('Detailed Budget'!$AT$5:$AT$1005,'Detailed Budget'!$L$5:$L$1005,$B39,'Detailed Budget'!$L$5:$L$1005,"&gt;0")&gt;0,SUMIFS('Detailed Budget'!$AT$5:$AT$1005,'Detailed Budget'!$L$5:$L$1005,$B39,'Detailed Budget'!$L$5:$L$1005,"&gt;0"),"")</f>
        <v>24265.813451952021</v>
      </c>
      <c r="M39" s="45">
        <f>IF(SUMIFS('Detailed Budget'!$AV$5:$AV$1005,'Detailed Budget'!$L$5:$L$1005,$B39,'Detailed Budget'!$L$5:$L$1005,"&gt;0")&gt;0,SUMIFS('Detailed Budget'!$AV$5:$AV$1005,'Detailed Budget'!$L$5:$L$1005,$B39,'Detailed Budget'!$L$5:$L$1005,"&gt;0"),"")</f>
        <v>97063.253807808083</v>
      </c>
      <c r="N39" s="44">
        <f>IF(SUMIFS('Detailed Budget'!$BA$5:$BA$1005,'Detailed Budget'!$L$5:$L$1005,$B39,'Detailed Budget'!$L$5:$L$1005,"&gt;0")&gt;0,SUMIFS('Detailed Budget'!$BA$5:$BA$1005,'Detailed Budget'!$L$5:$L$1005,$B39,'Detailed Budget'!$L$5:$L$1005,"&gt;0"),"")</f>
        <v>24265.813451952021</v>
      </c>
      <c r="O39" s="44">
        <f>IF(SUMIFS('Detailed Budget'!$BC$5:$BC$1005,'Detailed Budget'!$L$5:$L$1005,$B39,'Detailed Budget'!$L$5:$L$1005,"&gt;0")&gt;0,SUMIFS('Detailed Budget'!$BC$5:$BC$1005,'Detailed Budget'!$L$5:$L$1005,$B39,'Detailed Budget'!$L$5:$L$1005,"&gt;0"),"")</f>
        <v>24265.813451952021</v>
      </c>
      <c r="P39" s="44">
        <f>IF(SUMIFS('Detailed Budget'!$BE$5:$BE$1005,'Detailed Budget'!$L$5:$L$1005,$B39,'Detailed Budget'!$L$5:$L$1005,"&gt;0")&gt;0,SUMIFS('Detailed Budget'!$BE$5:$BE$1005,'Detailed Budget'!$L$5:$L$1005,$B39,'Detailed Budget'!$L$5:$L$1005,"&gt;0"),"")</f>
        <v>24265.813451952021</v>
      </c>
      <c r="Q39" s="44">
        <f>IF(SUMIFS('Detailed Budget'!$BG$5:$BG$1005,'Detailed Budget'!$L$5:$L$1005,$B39,'Detailed Budget'!$L$5:$L$1005,"&gt;0")&gt;0,SUMIFS('Detailed Budget'!$BG$5:$BG$1005,'Detailed Budget'!$L$5:$L$1005,$B39,'Detailed Budget'!$L$5:$L$1005,"&gt;0"),"")</f>
        <v>24265.813451952021</v>
      </c>
      <c r="R39" s="45">
        <f>IF(SUMIFS('Detailed Budget'!$BI$5:$BI$1005,'Detailed Budget'!$L$5:$L$1005,$B39,'Detailed Budget'!$L$5:$L$1005,"&gt;0")&gt;0,SUMIFS('Detailed Budget'!$BI$5:$BI$1005,'Detailed Budget'!$L$5:$L$1005,$B39,'Detailed Budget'!$L$5:$L$1005,"&gt;0"),"")</f>
        <v>97063.253807808083</v>
      </c>
      <c r="S39" s="44" t="str">
        <f>IF(SUMIFS('Detailed Budget'!$BN$5:$BN$1005,'Detailed Budget'!$L$5:$L$1005,$B39,'Detailed Budget'!$L$5:$L$1005,"&gt;0")&gt;0,SUMIFS('Detailed Budget'!$BN$5:$BN$1005,'Detailed Budget'!$L$5:$L$1005,$B39,'Detailed Budget'!$L$5:$L$1005,"&gt;0"),"")</f>
        <v/>
      </c>
      <c r="T39" s="44" t="str">
        <f>IF(SUMIFS('Detailed Budget'!$BP$5:$BP$1005,'Detailed Budget'!$L$5:$L$1005,$B39,'Detailed Budget'!$L$5:$L$1005,"&gt;0")&gt;0,SUMIFS('Detailed Budget'!$BP$5:$BP$1005,'Detailed Budget'!$L$5:$L$1005,$B39,'Detailed Budget'!$L$5:$L$1005,"&gt;0"),"")</f>
        <v/>
      </c>
      <c r="U39" s="44" t="str">
        <f>IF(SUMIFS('Detailed Budget'!$BR$5:$BR$1005,'Detailed Budget'!$L$5:$L$1005,$B39,'Detailed Budget'!$L$5:$L$1005,"&gt;0")&gt;0,SUMIFS('Detailed Budget'!$BR$5:$BR$1005,'Detailed Budget'!$L$5:$L$1005,$B39,'Detailed Budget'!$L$5:$L$1005,"&gt;0"),"")</f>
        <v/>
      </c>
      <c r="V39" s="44" t="str">
        <f>IF(SUMIFS('Detailed Budget'!$BT$5:$BT$1005,'Detailed Budget'!$L$5:$L$1005,$B39,'Detailed Budget'!$L$5:$L$1005,"&gt;0")&gt;0,SUMIFS('Detailed Budget'!$BT$5:$BT$1005,'Detailed Budget'!$L$5:$L$1005,$B39,'Detailed Budget'!$L$5:$L$1005,"&gt;0"),"")</f>
        <v/>
      </c>
      <c r="W39" s="45" t="str">
        <f>IF(SUMIFS('Detailed Budget'!$BV$5:$BV$1005,'Detailed Budget'!$L$5:$L$1005,$B39,'Detailed Budget'!$L$5:$L$1005,"&gt;0")&gt;0,SUMIFS('Detailed Budget'!$BV$5:$BV$1005,'Detailed Budget'!$L$5:$L$1005,$B39,'Detailed Budget'!$L$5:$L$1005,"&gt;0"),"")</f>
        <v/>
      </c>
      <c r="X39" s="44">
        <f t="shared" si="0"/>
        <v>291189.76142342424</v>
      </c>
      <c r="Y39" s="124">
        <f t="shared" si="1"/>
        <v>4.2008724294998794E-2</v>
      </c>
    </row>
    <row r="40" spans="1:25" ht="26.25" x14ac:dyDescent="0.25">
      <c r="A40" s="35"/>
      <c r="B40" s="234">
        <f t="array" ref="B40">IFERROR(INDEX(CostInpNoList,MATCH(0,IF(ISBLANK(CostInpNoList),"",COUNTIF(B$16:B39,CostInpNoList)),0)),"")</f>
        <v>2.1</v>
      </c>
      <c r="C40" s="372" t="str">
        <f>IFERROR(INDEX('Data Sheet'!$F$198:$F$275,MATCH(B40,'Data Sheet'!$G$198:$G$275,0)),"")</f>
        <v>2.1 Training related per diems/transport/other costs</v>
      </c>
      <c r="D40" s="44">
        <f>IF(SUMIFS('Detailed Budget'!$AA$5:$AA$1005,'Detailed Budget'!$L$5:$L$1005,$B40,'Detailed Budget'!$L$5:$L$1005,"&gt;0")&gt;0,SUMIFS('Detailed Budget'!$AA$5:$AA$1005,'Detailed Budget'!$L$5:$L$1005,$B40,'Detailed Budget'!$L$5:$L$1005,"&gt;0"),"")</f>
        <v>2120.6469931413508</v>
      </c>
      <c r="E40" s="44" t="str">
        <f>IF(SUMIFS('Detailed Budget'!$AC$5:$AC$1005,'Detailed Budget'!$L$5:$L$1005,$B40,'Detailed Budget'!$L$5:$L$1005,"&gt;0")&gt;0,SUMIFS('Detailed Budget'!$AC$5:$AC$1005,'Detailed Budget'!$L$5:$L$1005,$B40,'Detailed Budget'!$L$5:$L$1005,"&gt;0"),"")</f>
        <v/>
      </c>
      <c r="F40" s="44" t="str">
        <f>IF(SUMIFS('Detailed Budget'!$AE$5:$AE$1005,'Detailed Budget'!$L$5:$L$1005,$B40,'Detailed Budget'!$L$5:$L$1005,"&gt;0")&gt;0,SUMIFS('Detailed Budget'!$AE$5:$AE$1005,'Detailed Budget'!$L$5:$L$1005,$B40,'Detailed Budget'!$L$5:$L$1005,"&gt;0"),"")</f>
        <v/>
      </c>
      <c r="G40" s="44" t="str">
        <f>IF(SUMIFS('Detailed Budget'!$AG$5:$AG$1005,'Detailed Budget'!$L$5:$L$1005,$B40,'Detailed Budget'!$L$5:$L$1005,"&gt;0")&gt;0,SUMIFS('Detailed Budget'!$AG$5:$AG$1005,'Detailed Budget'!$L$5:$L$1005,$B40,'Detailed Budget'!$L$5:$L$1005,"&gt;0"),"")</f>
        <v/>
      </c>
      <c r="H40" s="45">
        <f>IF(SUMIFS('Detailed Budget'!$AI$5:$AI$1005,'Detailed Budget'!$L$5:$L$1005,$B40,'Detailed Budget'!$L$5:$L$1005,"&gt;0")&gt;0,SUMIFS('Detailed Budget'!$AI$5:$AI$1005,'Detailed Budget'!$L$5:$L$1005,$B40,'Detailed Budget'!$L$5:$L$1005,"&gt;0"),"")</f>
        <v>2120.6469931413508</v>
      </c>
      <c r="I40" s="44" t="str">
        <f>IF(SUMIFS('Detailed Budget'!$AN$5:$AN$1005,'Detailed Budget'!$L$5:$L$1005,$B40,'Detailed Budget'!$L$5:$L$1005,"&gt;0")&gt;0,SUMIFS('Detailed Budget'!$AN$5:$AN$1005,'Detailed Budget'!$L$5:$L$1005,$B40,'Detailed Budget'!$L$5:$L$1005,"&gt;0"),"")</f>
        <v/>
      </c>
      <c r="J40" s="44" t="str">
        <f>IF(SUMIFS('Detailed Budget'!$AP$5:$AP$1005,'Detailed Budget'!$L$5:$L$1005,$B40,'Detailed Budget'!$L$5:$L$1005,"&gt;0")&gt;0,SUMIFS('Detailed Budget'!$AP$5:$AP$1005,'Detailed Budget'!$L$5:$L$1005,$B40,'Detailed Budget'!$L$5:$L$1005,"&gt;0"),"")</f>
        <v/>
      </c>
      <c r="K40" s="44" t="str">
        <f>IF(SUMIFS('Detailed Budget'!$AR$5:$AR$1005,'Detailed Budget'!$L$5:$L$1005,$B40,'Detailed Budget'!$L$5:$L$1005,"&gt;0")&gt;0,SUMIFS('Detailed Budget'!$AR$5:$AR$1005,'Detailed Budget'!$L$5:$L$1005,$B40,'Detailed Budget'!$L$5:$L$1005,"&gt;0"),"")</f>
        <v/>
      </c>
      <c r="L40" s="44" t="str">
        <f>IF(SUMIFS('Detailed Budget'!$AT$5:$AT$1005,'Detailed Budget'!$L$5:$L$1005,$B40,'Detailed Budget'!$L$5:$L$1005,"&gt;0")&gt;0,SUMIFS('Detailed Budget'!$AT$5:$AT$1005,'Detailed Budget'!$L$5:$L$1005,$B40,'Detailed Budget'!$L$5:$L$1005,"&gt;0"),"")</f>
        <v/>
      </c>
      <c r="M40" s="45" t="str">
        <f>IF(SUMIFS('Detailed Budget'!$AV$5:$AV$1005,'Detailed Budget'!$L$5:$L$1005,$B40,'Detailed Budget'!$L$5:$L$1005,"&gt;0")&gt;0,SUMIFS('Detailed Budget'!$AV$5:$AV$1005,'Detailed Budget'!$L$5:$L$1005,$B40,'Detailed Budget'!$L$5:$L$1005,"&gt;0"),"")</f>
        <v/>
      </c>
      <c r="N40" s="44" t="str">
        <f>IF(SUMIFS('Detailed Budget'!$BA$5:$BA$1005,'Detailed Budget'!$L$5:$L$1005,$B40,'Detailed Budget'!$L$5:$L$1005,"&gt;0")&gt;0,SUMIFS('Detailed Budget'!$BA$5:$BA$1005,'Detailed Budget'!$L$5:$L$1005,$B40,'Detailed Budget'!$L$5:$L$1005,"&gt;0"),"")</f>
        <v/>
      </c>
      <c r="O40" s="44" t="str">
        <f>IF(SUMIFS('Detailed Budget'!$BC$5:$BC$1005,'Detailed Budget'!$L$5:$L$1005,$B40,'Detailed Budget'!$L$5:$L$1005,"&gt;0")&gt;0,SUMIFS('Detailed Budget'!$BC$5:$BC$1005,'Detailed Budget'!$L$5:$L$1005,$B40,'Detailed Budget'!$L$5:$L$1005,"&gt;0"),"")</f>
        <v/>
      </c>
      <c r="P40" s="44" t="str">
        <f>IF(SUMIFS('Detailed Budget'!$BE$5:$BE$1005,'Detailed Budget'!$L$5:$L$1005,$B40,'Detailed Budget'!$L$5:$L$1005,"&gt;0")&gt;0,SUMIFS('Detailed Budget'!$BE$5:$BE$1005,'Detailed Budget'!$L$5:$L$1005,$B40,'Detailed Budget'!$L$5:$L$1005,"&gt;0"),"")</f>
        <v/>
      </c>
      <c r="Q40" s="44" t="str">
        <f>IF(SUMIFS('Detailed Budget'!$BG$5:$BG$1005,'Detailed Budget'!$L$5:$L$1005,$B40,'Detailed Budget'!$L$5:$L$1005,"&gt;0")&gt;0,SUMIFS('Detailed Budget'!$BG$5:$BG$1005,'Detailed Budget'!$L$5:$L$1005,$B40,'Detailed Budget'!$L$5:$L$1005,"&gt;0"),"")</f>
        <v/>
      </c>
      <c r="R40" s="45" t="str">
        <f>IF(SUMIFS('Detailed Budget'!$BI$5:$BI$1005,'Detailed Budget'!$L$5:$L$1005,$B40,'Detailed Budget'!$L$5:$L$1005,"&gt;0")&gt;0,SUMIFS('Detailed Budget'!$BI$5:$BI$1005,'Detailed Budget'!$L$5:$L$1005,$B40,'Detailed Budget'!$L$5:$L$1005,"&gt;0"),"")</f>
        <v/>
      </c>
      <c r="S40" s="44" t="str">
        <f>IF(SUMIFS('Detailed Budget'!$BN$5:$BN$1005,'Detailed Budget'!$L$5:$L$1005,$B40,'Detailed Budget'!$L$5:$L$1005,"&gt;0")&gt;0,SUMIFS('Detailed Budget'!$BN$5:$BN$1005,'Detailed Budget'!$L$5:$L$1005,$B40,'Detailed Budget'!$L$5:$L$1005,"&gt;0"),"")</f>
        <v/>
      </c>
      <c r="T40" s="44" t="str">
        <f>IF(SUMIFS('Detailed Budget'!$BP$5:$BP$1005,'Detailed Budget'!$L$5:$L$1005,$B40,'Detailed Budget'!$L$5:$L$1005,"&gt;0")&gt;0,SUMIFS('Detailed Budget'!$BP$5:$BP$1005,'Detailed Budget'!$L$5:$L$1005,$B40,'Detailed Budget'!$L$5:$L$1005,"&gt;0"),"")</f>
        <v/>
      </c>
      <c r="U40" s="44" t="str">
        <f>IF(SUMIFS('Detailed Budget'!$BR$5:$BR$1005,'Detailed Budget'!$L$5:$L$1005,$B40,'Detailed Budget'!$L$5:$L$1005,"&gt;0")&gt;0,SUMIFS('Detailed Budget'!$BR$5:$BR$1005,'Detailed Budget'!$L$5:$L$1005,$B40,'Detailed Budget'!$L$5:$L$1005,"&gt;0"),"")</f>
        <v/>
      </c>
      <c r="V40" s="44" t="str">
        <f>IF(SUMIFS('Detailed Budget'!$BT$5:$BT$1005,'Detailed Budget'!$L$5:$L$1005,$B40,'Detailed Budget'!$L$5:$L$1005,"&gt;0")&gt;0,SUMIFS('Detailed Budget'!$BT$5:$BT$1005,'Detailed Budget'!$L$5:$L$1005,$B40,'Detailed Budget'!$L$5:$L$1005,"&gt;0"),"")</f>
        <v/>
      </c>
      <c r="W40" s="45" t="str">
        <f>IF(SUMIFS('Detailed Budget'!$BV$5:$BV$1005,'Detailed Budget'!$L$5:$L$1005,$B40,'Detailed Budget'!$L$5:$L$1005,"&gt;0")&gt;0,SUMIFS('Detailed Budget'!$BV$5:$BV$1005,'Detailed Budget'!$L$5:$L$1005,$B40,'Detailed Budget'!$L$5:$L$1005,"&gt;0"),"")</f>
        <v/>
      </c>
      <c r="X40" s="44">
        <f t="shared" si="0"/>
        <v>2120.6469931413508</v>
      </c>
      <c r="Y40" s="124">
        <f t="shared" si="1"/>
        <v>3.0593683797951995E-4</v>
      </c>
    </row>
    <row r="41" spans="1:25" x14ac:dyDescent="0.25">
      <c r="A41" s="35"/>
      <c r="B41" s="234">
        <f t="array" ref="B41">IFERROR(INDEX(CostInpNoList,MATCH(0,IF(ISBLANK(CostInpNoList),"",COUNTIF(B$16:B40,CostInpNoList)),0)),"")</f>
        <v>13</v>
      </c>
      <c r="C41" s="372" t="str">
        <f>IFERROR(INDEX('Data Sheet'!$F$198:$F$275,MATCH(B41,'Data Sheet'!$G$198:$G$275,0)),"")</f>
        <v>13.0 Payment for Results</v>
      </c>
      <c r="D41" s="44">
        <f>IF(SUMIFS('Detailed Budget'!$AA$5:$AA$1005,'Detailed Budget'!$L$5:$L$1005,$B41,'Detailed Budget'!$L$5:$L$1005,"&gt;0")&gt;0,SUMIFS('Detailed Budget'!$AA$5:$AA$1005,'Detailed Budget'!$L$5:$L$1005,$B41,'Detailed Budget'!$L$5:$L$1005,"&gt;0"),"")</f>
        <v>1161.1611778007398</v>
      </c>
      <c r="E41" s="44">
        <f>IF(SUMIFS('Detailed Budget'!$AC$5:$AC$1005,'Detailed Budget'!$L$5:$L$1005,$B41,'Detailed Budget'!$L$5:$L$1005,"&gt;0")&gt;0,SUMIFS('Detailed Budget'!$AC$5:$AC$1005,'Detailed Budget'!$L$5:$L$1005,$B41,'Detailed Budget'!$L$5:$L$1005,"&gt;0"),"")</f>
        <v>1161.1611778007398</v>
      </c>
      <c r="F41" s="44">
        <f>IF(SUMIFS('Detailed Budget'!$AE$5:$AE$1005,'Detailed Budget'!$L$5:$L$1005,$B41,'Detailed Budget'!$L$5:$L$1005,"&gt;0")&gt;0,SUMIFS('Detailed Budget'!$AE$5:$AE$1005,'Detailed Budget'!$L$5:$L$1005,$B41,'Detailed Budget'!$L$5:$L$1005,"&gt;0"),"")</f>
        <v>1161.1611778007398</v>
      </c>
      <c r="G41" s="44">
        <f>IF(SUMIFS('Detailed Budget'!$AG$5:$AG$1005,'Detailed Budget'!$L$5:$L$1005,$B41,'Detailed Budget'!$L$5:$L$1005,"&gt;0")&gt;0,SUMIFS('Detailed Budget'!$AG$5:$AG$1005,'Detailed Budget'!$L$5:$L$1005,$B41,'Detailed Budget'!$L$5:$L$1005,"&gt;0"),"")</f>
        <v>1161.1611778007398</v>
      </c>
      <c r="H41" s="45">
        <f>IF(SUMIFS('Detailed Budget'!$AI$5:$AI$1005,'Detailed Budget'!$L$5:$L$1005,$B41,'Detailed Budget'!$L$5:$L$1005,"&gt;0")&gt;0,SUMIFS('Detailed Budget'!$AI$5:$AI$1005,'Detailed Budget'!$L$5:$L$1005,$B41,'Detailed Budget'!$L$5:$L$1005,"&gt;0"),"")</f>
        <v>4644.6447112029591</v>
      </c>
      <c r="I41" s="44">
        <f>IF(SUMIFS('Detailed Budget'!$AN$5:$AN$1005,'Detailed Budget'!$L$5:$L$1005,$B41,'Detailed Budget'!$L$5:$L$1005,"&gt;0")&gt;0,SUMIFS('Detailed Budget'!$AN$5:$AN$1005,'Detailed Budget'!$L$5:$L$1005,$B41,'Detailed Budget'!$L$5:$L$1005,"&gt;0"),"")</f>
        <v>1161.1611778007398</v>
      </c>
      <c r="J41" s="44">
        <f>IF(SUMIFS('Detailed Budget'!$AP$5:$AP$1005,'Detailed Budget'!$L$5:$L$1005,$B41,'Detailed Budget'!$L$5:$L$1005,"&gt;0")&gt;0,SUMIFS('Detailed Budget'!$AP$5:$AP$1005,'Detailed Budget'!$L$5:$L$1005,$B41,'Detailed Budget'!$L$5:$L$1005,"&gt;0"),"")</f>
        <v>1161.1611778007398</v>
      </c>
      <c r="K41" s="44">
        <f>IF(SUMIFS('Detailed Budget'!$AR$5:$AR$1005,'Detailed Budget'!$L$5:$L$1005,$B41,'Detailed Budget'!$L$5:$L$1005,"&gt;0")&gt;0,SUMIFS('Detailed Budget'!$AR$5:$AR$1005,'Detailed Budget'!$L$5:$L$1005,$B41,'Detailed Budget'!$L$5:$L$1005,"&gt;0"),"")</f>
        <v>1161.1611778007398</v>
      </c>
      <c r="L41" s="44">
        <f>IF(SUMIFS('Detailed Budget'!$AT$5:$AT$1005,'Detailed Budget'!$L$5:$L$1005,$B41,'Detailed Budget'!$L$5:$L$1005,"&gt;0")&gt;0,SUMIFS('Detailed Budget'!$AT$5:$AT$1005,'Detailed Budget'!$L$5:$L$1005,$B41,'Detailed Budget'!$L$5:$L$1005,"&gt;0"),"")</f>
        <v>1161.1611778007398</v>
      </c>
      <c r="M41" s="45">
        <f>IF(SUMIFS('Detailed Budget'!$AV$5:$AV$1005,'Detailed Budget'!$L$5:$L$1005,$B41,'Detailed Budget'!$L$5:$L$1005,"&gt;0")&gt;0,SUMIFS('Detailed Budget'!$AV$5:$AV$1005,'Detailed Budget'!$L$5:$L$1005,$B41,'Detailed Budget'!$L$5:$L$1005,"&gt;0"),"")</f>
        <v>4644.6447112029591</v>
      </c>
      <c r="N41" s="44">
        <f>IF(SUMIFS('Detailed Budget'!$BA$5:$BA$1005,'Detailed Budget'!$L$5:$L$1005,$B41,'Detailed Budget'!$L$5:$L$1005,"&gt;0")&gt;0,SUMIFS('Detailed Budget'!$BA$5:$BA$1005,'Detailed Budget'!$L$5:$L$1005,$B41,'Detailed Budget'!$L$5:$L$1005,"&gt;0"),"")</f>
        <v>1161.1611778007398</v>
      </c>
      <c r="O41" s="44">
        <f>IF(SUMIFS('Detailed Budget'!$BC$5:$BC$1005,'Detailed Budget'!$L$5:$L$1005,$B41,'Detailed Budget'!$L$5:$L$1005,"&gt;0")&gt;0,SUMIFS('Detailed Budget'!$BC$5:$BC$1005,'Detailed Budget'!$L$5:$L$1005,$B41,'Detailed Budget'!$L$5:$L$1005,"&gt;0"),"")</f>
        <v>1161.1611778007398</v>
      </c>
      <c r="P41" s="44">
        <f>IF(SUMIFS('Detailed Budget'!$BE$5:$BE$1005,'Detailed Budget'!$L$5:$L$1005,$B41,'Detailed Budget'!$L$5:$L$1005,"&gt;0")&gt;0,SUMIFS('Detailed Budget'!$BE$5:$BE$1005,'Detailed Budget'!$L$5:$L$1005,$B41,'Detailed Budget'!$L$5:$L$1005,"&gt;0"),"")</f>
        <v>1161.1611778007398</v>
      </c>
      <c r="Q41" s="44">
        <f>IF(SUMIFS('Detailed Budget'!$BG$5:$BG$1005,'Detailed Budget'!$L$5:$L$1005,$B41,'Detailed Budget'!$L$5:$L$1005,"&gt;0")&gt;0,SUMIFS('Detailed Budget'!$BG$5:$BG$1005,'Detailed Budget'!$L$5:$L$1005,$B41,'Detailed Budget'!$L$5:$L$1005,"&gt;0"),"")</f>
        <v>1161.1611778007398</v>
      </c>
      <c r="R41" s="45">
        <f>IF(SUMIFS('Detailed Budget'!$BI$5:$BI$1005,'Detailed Budget'!$L$5:$L$1005,$B41,'Detailed Budget'!$L$5:$L$1005,"&gt;0")&gt;0,SUMIFS('Detailed Budget'!$BI$5:$BI$1005,'Detailed Budget'!$L$5:$L$1005,$B41,'Detailed Budget'!$L$5:$L$1005,"&gt;0"),"")</f>
        <v>4644.6447112029591</v>
      </c>
      <c r="S41" s="44" t="str">
        <f>IF(SUMIFS('Detailed Budget'!$BN$5:$BN$1005,'Detailed Budget'!$L$5:$L$1005,$B41,'Detailed Budget'!$L$5:$L$1005,"&gt;0")&gt;0,SUMIFS('Detailed Budget'!$BN$5:$BN$1005,'Detailed Budget'!$L$5:$L$1005,$B41,'Detailed Budget'!$L$5:$L$1005,"&gt;0"),"")</f>
        <v/>
      </c>
      <c r="T41" s="44" t="str">
        <f>IF(SUMIFS('Detailed Budget'!$BP$5:$BP$1005,'Detailed Budget'!$L$5:$L$1005,$B41,'Detailed Budget'!$L$5:$L$1005,"&gt;0")&gt;0,SUMIFS('Detailed Budget'!$BP$5:$BP$1005,'Detailed Budget'!$L$5:$L$1005,$B41,'Detailed Budget'!$L$5:$L$1005,"&gt;0"),"")</f>
        <v/>
      </c>
      <c r="U41" s="44" t="str">
        <f>IF(SUMIFS('Detailed Budget'!$BR$5:$BR$1005,'Detailed Budget'!$L$5:$L$1005,$B41,'Detailed Budget'!$L$5:$L$1005,"&gt;0")&gt;0,SUMIFS('Detailed Budget'!$BR$5:$BR$1005,'Detailed Budget'!$L$5:$L$1005,$B41,'Detailed Budget'!$L$5:$L$1005,"&gt;0"),"")</f>
        <v/>
      </c>
      <c r="V41" s="44" t="str">
        <f>IF(SUMIFS('Detailed Budget'!$BT$5:$BT$1005,'Detailed Budget'!$L$5:$L$1005,$B41,'Detailed Budget'!$L$5:$L$1005,"&gt;0")&gt;0,SUMIFS('Detailed Budget'!$BT$5:$BT$1005,'Detailed Budget'!$L$5:$L$1005,$B41,'Detailed Budget'!$L$5:$L$1005,"&gt;0"),"")</f>
        <v/>
      </c>
      <c r="W41" s="45" t="str">
        <f>IF(SUMIFS('Detailed Budget'!$BV$5:$BV$1005,'Detailed Budget'!$L$5:$L$1005,$B41,'Detailed Budget'!$L$5:$L$1005,"&gt;0")&gt;0,SUMIFS('Detailed Budget'!$BV$5:$BV$1005,'Detailed Budget'!$L$5:$L$1005,$B41,'Detailed Budget'!$L$5:$L$1005,"&gt;0"),"")</f>
        <v/>
      </c>
      <c r="X41" s="44">
        <f t="shared" si="0"/>
        <v>13933.934133608876</v>
      </c>
      <c r="Y41" s="124">
        <f t="shared" si="1"/>
        <v>2.0101901746204767E-3</v>
      </c>
    </row>
    <row r="42" spans="1:25" hidden="1" x14ac:dyDescent="0.25">
      <c r="A42" s="35"/>
      <c r="B42" s="234">
        <f t="array" ref="B42">IFERROR(INDEX(CostInpNoList,MATCH(0,IF(ISBLANK(CostInpNoList),"",COUNTIF(B$16:B41,CostInpNoList)),0)),"")</f>
        <v>11.4</v>
      </c>
      <c r="C42" s="372" t="str">
        <f>IFERROR(INDEX('Data Sheet'!$F$198:$F$275,MATCH(B42,'Data Sheet'!$G$198:$G$275,0)),"")</f>
        <v>11.4 Other PA costs</v>
      </c>
      <c r="D42" s="44">
        <f>IF(SUMIFS('Detailed Budget'!$AA$5:$AA$1005,'Detailed Budget'!$L$5:$L$1005,$B42,'Detailed Budget'!$L$5:$L$1005,"&gt;0")&gt;0,SUMIFS('Detailed Budget'!$AA$5:$AA$1005,'Detailed Budget'!$L$5:$L$1005,$B42,'Detailed Budget'!$L$5:$L$1005,"&gt;0"),"")</f>
        <v>114.66703752117562</v>
      </c>
      <c r="E42" s="44">
        <f>IF(SUMIFS('Detailed Budget'!$AC$5:$AC$1005,'Detailed Budget'!$L$5:$L$1005,$B42,'Detailed Budget'!$L$5:$L$1005,"&gt;0")&gt;0,SUMIFS('Detailed Budget'!$AC$5:$AC$1005,'Detailed Budget'!$L$5:$L$1005,$B42,'Detailed Budget'!$L$5:$L$1005,"&gt;0"),"")</f>
        <v>114.66703752117562</v>
      </c>
      <c r="F42" s="44">
        <f>IF(SUMIFS('Detailed Budget'!$AE$5:$AE$1005,'Detailed Budget'!$L$5:$L$1005,$B42,'Detailed Budget'!$L$5:$L$1005,"&gt;0")&gt;0,SUMIFS('Detailed Budget'!$AE$5:$AE$1005,'Detailed Budget'!$L$5:$L$1005,$B42,'Detailed Budget'!$L$5:$L$1005,"&gt;0"),"")</f>
        <v>114.66703752117562</v>
      </c>
      <c r="G42" s="44">
        <f>IF(SUMIFS('Detailed Budget'!$AG$5:$AG$1005,'Detailed Budget'!$L$5:$L$1005,$B42,'Detailed Budget'!$L$5:$L$1005,"&gt;0")&gt;0,SUMIFS('Detailed Budget'!$AG$5:$AG$1005,'Detailed Budget'!$L$5:$L$1005,$B42,'Detailed Budget'!$L$5:$L$1005,"&gt;0"),"")</f>
        <v>114.66703752117562</v>
      </c>
      <c r="H42" s="45">
        <f>IF(SUMIFS('Detailed Budget'!$AI$5:$AI$1005,'Detailed Budget'!$L$5:$L$1005,$B42,'Detailed Budget'!$L$5:$L$1005,"&gt;0")&gt;0,SUMIFS('Detailed Budget'!$AI$5:$AI$1005,'Detailed Budget'!$L$5:$L$1005,$B42,'Detailed Budget'!$L$5:$L$1005,"&gt;0"),"")</f>
        <v>458.66815008470246</v>
      </c>
      <c r="I42" s="44">
        <f>IF(SUMIFS('Detailed Budget'!$AN$5:$AN$1005,'Detailed Budget'!$L$5:$L$1005,$B42,'Detailed Budget'!$L$5:$L$1005,"&gt;0")&gt;0,SUMIFS('Detailed Budget'!$AN$5:$AN$1005,'Detailed Budget'!$L$5:$L$1005,$B42,'Detailed Budget'!$L$5:$L$1005,"&gt;0"),"")</f>
        <v>114.66703752117562</v>
      </c>
      <c r="J42" s="44">
        <f>IF(SUMIFS('Detailed Budget'!$AP$5:$AP$1005,'Detailed Budget'!$L$5:$L$1005,$B42,'Detailed Budget'!$L$5:$L$1005,"&gt;0")&gt;0,SUMIFS('Detailed Budget'!$AP$5:$AP$1005,'Detailed Budget'!$L$5:$L$1005,$B42,'Detailed Budget'!$L$5:$L$1005,"&gt;0"),"")</f>
        <v>114.66703752117562</v>
      </c>
      <c r="K42" s="44">
        <f>IF(SUMIFS('Detailed Budget'!$AR$5:$AR$1005,'Detailed Budget'!$L$5:$L$1005,$B42,'Detailed Budget'!$L$5:$L$1005,"&gt;0")&gt;0,SUMIFS('Detailed Budget'!$AR$5:$AR$1005,'Detailed Budget'!$L$5:$L$1005,$B42,'Detailed Budget'!$L$5:$L$1005,"&gt;0"),"")</f>
        <v>114.66703752117562</v>
      </c>
      <c r="L42" s="44">
        <f>IF(SUMIFS('Detailed Budget'!$AT$5:$AT$1005,'Detailed Budget'!$L$5:$L$1005,$B42,'Detailed Budget'!$L$5:$L$1005,"&gt;0")&gt;0,SUMIFS('Detailed Budget'!$AT$5:$AT$1005,'Detailed Budget'!$L$5:$L$1005,$B42,'Detailed Budget'!$L$5:$L$1005,"&gt;0"),"")</f>
        <v>114.66703752117562</v>
      </c>
      <c r="M42" s="45">
        <f>IF(SUMIFS('Detailed Budget'!$AV$5:$AV$1005,'Detailed Budget'!$L$5:$L$1005,$B42,'Detailed Budget'!$L$5:$L$1005,"&gt;0")&gt;0,SUMIFS('Detailed Budget'!$AV$5:$AV$1005,'Detailed Budget'!$L$5:$L$1005,$B42,'Detailed Budget'!$L$5:$L$1005,"&gt;0"),"")</f>
        <v>458.66815008470246</v>
      </c>
      <c r="N42" s="44">
        <f>IF(SUMIFS('Detailed Budget'!$BA$5:$BA$1005,'Detailed Budget'!$L$5:$L$1005,$B42,'Detailed Budget'!$L$5:$L$1005,"&gt;0")&gt;0,SUMIFS('Detailed Budget'!$BA$5:$BA$1005,'Detailed Budget'!$L$5:$L$1005,$B42,'Detailed Budget'!$L$5:$L$1005,"&gt;0"),"")</f>
        <v>114.66703752117562</v>
      </c>
      <c r="O42" s="44">
        <f>IF(SUMIFS('Detailed Budget'!$BC$5:$BC$1005,'Detailed Budget'!$L$5:$L$1005,$B42,'Detailed Budget'!$L$5:$L$1005,"&gt;0")&gt;0,SUMIFS('Detailed Budget'!$BC$5:$BC$1005,'Detailed Budget'!$L$5:$L$1005,$B42,'Detailed Budget'!$L$5:$L$1005,"&gt;0"),"")</f>
        <v>114.66703752117562</v>
      </c>
      <c r="P42" s="44">
        <f>IF(SUMIFS('Detailed Budget'!$BE$5:$BE$1005,'Detailed Budget'!$L$5:$L$1005,$B42,'Detailed Budget'!$L$5:$L$1005,"&gt;0")&gt;0,SUMIFS('Detailed Budget'!$BE$5:$BE$1005,'Detailed Budget'!$L$5:$L$1005,$B42,'Detailed Budget'!$L$5:$L$1005,"&gt;0"),"")</f>
        <v>114.66703752117562</v>
      </c>
      <c r="Q42" s="44">
        <f>IF(SUMIFS('Detailed Budget'!$BG$5:$BG$1005,'Detailed Budget'!$L$5:$L$1005,$B42,'Detailed Budget'!$L$5:$L$1005,"&gt;0")&gt;0,SUMIFS('Detailed Budget'!$BG$5:$BG$1005,'Detailed Budget'!$L$5:$L$1005,$B42,'Detailed Budget'!$L$5:$L$1005,"&gt;0"),"")</f>
        <v>114.66703752117562</v>
      </c>
      <c r="R42" s="45">
        <f>IF(SUMIFS('Detailed Budget'!$BI$5:$BI$1005,'Detailed Budget'!$L$5:$L$1005,$B42,'Detailed Budget'!$L$5:$L$1005,"&gt;0")&gt;0,SUMIFS('Detailed Budget'!$BI$5:$BI$1005,'Detailed Budget'!$L$5:$L$1005,$B42,'Detailed Budget'!$L$5:$L$1005,"&gt;0"),"")</f>
        <v>458.66815008470246</v>
      </c>
      <c r="S42" s="44" t="str">
        <f>IF(SUMIFS('Detailed Budget'!$BN$5:$BN$1005,'Detailed Budget'!$L$5:$L$1005,$B42,'Detailed Budget'!$L$5:$L$1005,"&gt;0")&gt;0,SUMIFS('Detailed Budget'!$BN$5:$BN$1005,'Detailed Budget'!$L$5:$L$1005,$B42,'Detailed Budget'!$L$5:$L$1005,"&gt;0"),"")</f>
        <v/>
      </c>
      <c r="T42" s="44" t="str">
        <f>IF(SUMIFS('Detailed Budget'!$BP$5:$BP$1005,'Detailed Budget'!$L$5:$L$1005,$B42,'Detailed Budget'!$L$5:$L$1005,"&gt;0")&gt;0,SUMIFS('Detailed Budget'!$BP$5:$BP$1005,'Detailed Budget'!$L$5:$L$1005,$B42,'Detailed Budget'!$L$5:$L$1005,"&gt;0"),"")</f>
        <v/>
      </c>
      <c r="U42" s="44" t="str">
        <f>IF(SUMIFS('Detailed Budget'!$BR$5:$BR$1005,'Detailed Budget'!$L$5:$L$1005,$B42,'Detailed Budget'!$L$5:$L$1005,"&gt;0")&gt;0,SUMIFS('Detailed Budget'!$BR$5:$BR$1005,'Detailed Budget'!$L$5:$L$1005,$B42,'Detailed Budget'!$L$5:$L$1005,"&gt;0"),"")</f>
        <v/>
      </c>
      <c r="V42" s="44" t="str">
        <f>IF(SUMIFS('Detailed Budget'!$BT$5:$BT$1005,'Detailed Budget'!$L$5:$L$1005,$B42,'Detailed Budget'!$L$5:$L$1005,"&gt;0")&gt;0,SUMIFS('Detailed Budget'!$BT$5:$BT$1005,'Detailed Budget'!$L$5:$L$1005,$B42,'Detailed Budget'!$L$5:$L$1005,"&gt;0"),"")</f>
        <v/>
      </c>
      <c r="W42" s="45" t="str">
        <f>IF(SUMIFS('Detailed Budget'!$BV$5:$BV$1005,'Detailed Budget'!$L$5:$L$1005,$B42,'Detailed Budget'!$L$5:$L$1005,"&gt;0")&gt;0,SUMIFS('Detailed Budget'!$BV$5:$BV$1005,'Detailed Budget'!$L$5:$L$1005,$B42,'Detailed Budget'!$L$5:$L$1005,"&gt;0"),"")</f>
        <v/>
      </c>
      <c r="X42" s="44">
        <f t="shared" si="0"/>
        <v>1376.0044502541073</v>
      </c>
      <c r="Y42" s="124">
        <f t="shared" si="1"/>
        <v>1.9851038476370762E-4</v>
      </c>
    </row>
    <row r="43" spans="1:25" hidden="1" x14ac:dyDescent="0.25">
      <c r="A43" s="35"/>
      <c r="B43" s="234">
        <f t="array" ref="B43">IFERROR(INDEX(CostInpNoList,MATCH(0,IF(ISBLANK(CostInpNoList),"",COUNTIF(B$16:B42,CostInpNoList)),0)),"")</f>
        <v>11.3</v>
      </c>
      <c r="C43" s="372" t="str">
        <f>IFERROR(INDEX('Data Sheet'!$F$198:$F$275,MATCH(B43,'Data Sheet'!$G$198:$G$275,0)),"")</f>
        <v>11.3 Indirect cost recovery (ICR) - % based</v>
      </c>
      <c r="D43" s="44">
        <f>IF(SUMIFS('Detailed Budget'!$AA$5:$AA$1005,'Detailed Budget'!$L$5:$L$1005,$B43,'Detailed Budget'!$L$5:$L$1005,"&gt;0")&gt;0,SUMIFS('Detailed Budget'!$AA$5:$AA$1005,'Detailed Budget'!$L$5:$L$1005,$B43,'Detailed Budget'!$L$5:$L$1005,"&gt;0"),"")</f>
        <v>2340.1</v>
      </c>
      <c r="E43" s="44">
        <f>IF(SUMIFS('Detailed Budget'!$AC$5:$AC$1005,'Detailed Budget'!$L$5:$L$1005,$B43,'Detailed Budget'!$L$5:$L$1005,"&gt;0")&gt;0,SUMIFS('Detailed Budget'!$AC$5:$AC$1005,'Detailed Budget'!$L$5:$L$1005,$B43,'Detailed Budget'!$L$5:$L$1005,"&gt;0"),"")</f>
        <v>2340.1</v>
      </c>
      <c r="F43" s="44">
        <f>IF(SUMIFS('Detailed Budget'!$AE$5:$AE$1005,'Detailed Budget'!$L$5:$L$1005,$B43,'Detailed Budget'!$L$5:$L$1005,"&gt;0")&gt;0,SUMIFS('Detailed Budget'!$AE$5:$AE$1005,'Detailed Budget'!$L$5:$L$1005,$B43,'Detailed Budget'!$L$5:$L$1005,"&gt;0"),"")</f>
        <v>2340.1</v>
      </c>
      <c r="G43" s="44">
        <f>IF(SUMIFS('Detailed Budget'!$AG$5:$AG$1005,'Detailed Budget'!$L$5:$L$1005,$B43,'Detailed Budget'!$L$5:$L$1005,"&gt;0")&gt;0,SUMIFS('Detailed Budget'!$AG$5:$AG$1005,'Detailed Budget'!$L$5:$L$1005,$B43,'Detailed Budget'!$L$5:$L$1005,"&gt;0"),"")</f>
        <v>2340.1</v>
      </c>
      <c r="H43" s="45">
        <f>IF(SUMIFS('Detailed Budget'!$AI$5:$AI$1005,'Detailed Budget'!$L$5:$L$1005,$B43,'Detailed Budget'!$L$5:$L$1005,"&gt;0")&gt;0,SUMIFS('Detailed Budget'!$AI$5:$AI$1005,'Detailed Budget'!$L$5:$L$1005,$B43,'Detailed Budget'!$L$5:$L$1005,"&gt;0"),"")</f>
        <v>9360.4</v>
      </c>
      <c r="I43" s="44">
        <f>IF(SUMIFS('Detailed Budget'!$AN$5:$AN$1005,'Detailed Budget'!$L$5:$L$1005,$B43,'Detailed Budget'!$L$5:$L$1005,"&gt;0")&gt;0,SUMIFS('Detailed Budget'!$AN$5:$AN$1005,'Detailed Budget'!$L$5:$L$1005,$B43,'Detailed Budget'!$L$5:$L$1005,"&gt;0"),"")</f>
        <v>2244.0125000000003</v>
      </c>
      <c r="J43" s="44">
        <f>IF(SUMIFS('Detailed Budget'!$AP$5:$AP$1005,'Detailed Budget'!$L$5:$L$1005,$B43,'Detailed Budget'!$L$5:$L$1005,"&gt;0")&gt;0,SUMIFS('Detailed Budget'!$AP$5:$AP$1005,'Detailed Budget'!$L$5:$L$1005,$B43,'Detailed Budget'!$L$5:$L$1005,"&gt;0"),"")</f>
        <v>2244.0125000000003</v>
      </c>
      <c r="K43" s="44">
        <f>IF(SUMIFS('Detailed Budget'!$AR$5:$AR$1005,'Detailed Budget'!$L$5:$L$1005,$B43,'Detailed Budget'!$L$5:$L$1005,"&gt;0")&gt;0,SUMIFS('Detailed Budget'!$AR$5:$AR$1005,'Detailed Budget'!$L$5:$L$1005,$B43,'Detailed Budget'!$L$5:$L$1005,"&gt;0"),"")</f>
        <v>2244.0125000000003</v>
      </c>
      <c r="L43" s="44">
        <f>IF(SUMIFS('Detailed Budget'!$AT$5:$AT$1005,'Detailed Budget'!$L$5:$L$1005,$B43,'Detailed Budget'!$L$5:$L$1005,"&gt;0")&gt;0,SUMIFS('Detailed Budget'!$AT$5:$AT$1005,'Detailed Budget'!$L$5:$L$1005,$B43,'Detailed Budget'!$L$5:$L$1005,"&gt;0"),"")</f>
        <v>2244.0125000000003</v>
      </c>
      <c r="M43" s="45">
        <f>IF(SUMIFS('Detailed Budget'!$AV$5:$AV$1005,'Detailed Budget'!$L$5:$L$1005,$B43,'Detailed Budget'!$L$5:$L$1005,"&gt;0")&gt;0,SUMIFS('Detailed Budget'!$AV$5:$AV$1005,'Detailed Budget'!$L$5:$L$1005,$B43,'Detailed Budget'!$L$5:$L$1005,"&gt;0"),"")</f>
        <v>8976.0500000000011</v>
      </c>
      <c r="N43" s="44">
        <f>IF(SUMIFS('Detailed Budget'!$BA$5:$BA$1005,'Detailed Budget'!$L$5:$L$1005,$B43,'Detailed Budget'!$L$5:$L$1005,"&gt;0")&gt;0,SUMIFS('Detailed Budget'!$BA$5:$BA$1005,'Detailed Budget'!$L$5:$L$1005,$B43,'Detailed Budget'!$L$5:$L$1005,"&gt;0"),"")</f>
        <v>2139.5500000000002</v>
      </c>
      <c r="O43" s="44">
        <f>IF(SUMIFS('Detailed Budget'!$BC$5:$BC$1005,'Detailed Budget'!$L$5:$L$1005,$B43,'Detailed Budget'!$L$5:$L$1005,"&gt;0")&gt;0,SUMIFS('Detailed Budget'!$BC$5:$BC$1005,'Detailed Budget'!$L$5:$L$1005,$B43,'Detailed Budget'!$L$5:$L$1005,"&gt;0"),"")</f>
        <v>2139.5500000000002</v>
      </c>
      <c r="P43" s="44">
        <f>IF(SUMIFS('Detailed Budget'!$BE$5:$BE$1005,'Detailed Budget'!$L$5:$L$1005,$B43,'Detailed Budget'!$L$5:$L$1005,"&gt;0")&gt;0,SUMIFS('Detailed Budget'!$BE$5:$BE$1005,'Detailed Budget'!$L$5:$L$1005,$B43,'Detailed Budget'!$L$5:$L$1005,"&gt;0"),"")</f>
        <v>2139.5500000000002</v>
      </c>
      <c r="Q43" s="44">
        <f>IF(SUMIFS('Detailed Budget'!$BG$5:$BG$1005,'Detailed Budget'!$L$5:$L$1005,$B43,'Detailed Budget'!$L$5:$L$1005,"&gt;0")&gt;0,SUMIFS('Detailed Budget'!$BG$5:$BG$1005,'Detailed Budget'!$L$5:$L$1005,$B43,'Detailed Budget'!$L$5:$L$1005,"&gt;0"),"")</f>
        <v>2139.5500000000002</v>
      </c>
      <c r="R43" s="45">
        <f>IF(SUMIFS('Detailed Budget'!$BI$5:$BI$1005,'Detailed Budget'!$L$5:$L$1005,$B43,'Detailed Budget'!$L$5:$L$1005,"&gt;0")&gt;0,SUMIFS('Detailed Budget'!$BI$5:$BI$1005,'Detailed Budget'!$L$5:$L$1005,$B43,'Detailed Budget'!$L$5:$L$1005,"&gt;0"),"")</f>
        <v>8558.2000000000007</v>
      </c>
      <c r="S43" s="44" t="str">
        <f>IF(SUMIFS('Detailed Budget'!$BN$5:$BN$1005,'Detailed Budget'!$L$5:$L$1005,$B43,'Detailed Budget'!$L$5:$L$1005,"&gt;0")&gt;0,SUMIFS('Detailed Budget'!$BN$5:$BN$1005,'Detailed Budget'!$L$5:$L$1005,$B43,'Detailed Budget'!$L$5:$L$1005,"&gt;0"),"")</f>
        <v/>
      </c>
      <c r="T43" s="44" t="str">
        <f>IF(SUMIFS('Detailed Budget'!$BP$5:$BP$1005,'Detailed Budget'!$L$5:$L$1005,$B43,'Detailed Budget'!$L$5:$L$1005,"&gt;0")&gt;0,SUMIFS('Detailed Budget'!$BP$5:$BP$1005,'Detailed Budget'!$L$5:$L$1005,$B43,'Detailed Budget'!$L$5:$L$1005,"&gt;0"),"")</f>
        <v/>
      </c>
      <c r="U43" s="44" t="str">
        <f>IF(SUMIFS('Detailed Budget'!$BR$5:$BR$1005,'Detailed Budget'!$L$5:$L$1005,$B43,'Detailed Budget'!$L$5:$L$1005,"&gt;0")&gt;0,SUMIFS('Detailed Budget'!$BR$5:$BR$1005,'Detailed Budget'!$L$5:$L$1005,$B43,'Detailed Budget'!$L$5:$L$1005,"&gt;0"),"")</f>
        <v/>
      </c>
      <c r="V43" s="44" t="str">
        <f>IF(SUMIFS('Detailed Budget'!$BT$5:$BT$1005,'Detailed Budget'!$L$5:$L$1005,$B43,'Detailed Budget'!$L$5:$L$1005,"&gt;0")&gt;0,SUMIFS('Detailed Budget'!$BT$5:$BT$1005,'Detailed Budget'!$L$5:$L$1005,$B43,'Detailed Budget'!$L$5:$L$1005,"&gt;0"),"")</f>
        <v/>
      </c>
      <c r="W43" s="45" t="str">
        <f>IF(SUMIFS('Detailed Budget'!$BV$5:$BV$1005,'Detailed Budget'!$L$5:$L$1005,$B43,'Detailed Budget'!$L$5:$L$1005,"&gt;0")&gt;0,SUMIFS('Detailed Budget'!$BV$5:$BV$1005,'Detailed Budget'!$L$5:$L$1005,$B43,'Detailed Budget'!$L$5:$L$1005,"&gt;0"),"")</f>
        <v/>
      </c>
      <c r="X43" s="44">
        <f t="shared" si="0"/>
        <v>26894.65</v>
      </c>
      <c r="Y43" s="124">
        <f t="shared" si="1"/>
        <v>3.8799782359710531E-3</v>
      </c>
    </row>
    <row r="44" spans="1:25" hidden="1" x14ac:dyDescent="0.25">
      <c r="A44" s="35"/>
      <c r="B44" s="234" t="str">
        <f t="array" ref="B44">IFERROR(INDEX(CostInpNoList,MATCH(0,IF(ISBLANK(CostInpNoList),"",COUNTIF(B$16:B43,CostInpNoList)),0)),"")</f>
        <v/>
      </c>
      <c r="C44" s="372" t="str">
        <f>IFERROR(INDEX('Data Sheet'!$F$198:$F$275,MATCH(B44,'Data Sheet'!$G$198:$G$275,0)),"")</f>
        <v/>
      </c>
      <c r="D44" s="44" t="str">
        <f>IF(SUMIFS('Detailed Budget'!$AA$5:$AA$1005,'Detailed Budget'!$L$5:$L$1005,$B44,'Detailed Budget'!$L$5:$L$1005,"&gt;0")&gt;0,SUMIFS('Detailed Budget'!$AA$5:$AA$1005,'Detailed Budget'!$L$5:$L$1005,$B44,'Detailed Budget'!$L$5:$L$1005,"&gt;0"),"")</f>
        <v/>
      </c>
      <c r="E44" s="44" t="str">
        <f>IF(SUMIFS('Detailed Budget'!$AC$5:$AC$1005,'Detailed Budget'!$L$5:$L$1005,$B44,'Detailed Budget'!$L$5:$L$1005,"&gt;0")&gt;0,SUMIFS('Detailed Budget'!$AC$5:$AC$1005,'Detailed Budget'!$L$5:$L$1005,$B44,'Detailed Budget'!$L$5:$L$1005,"&gt;0"),"")</f>
        <v/>
      </c>
      <c r="F44" s="44" t="str">
        <f>IF(SUMIFS('Detailed Budget'!$AE$5:$AE$1005,'Detailed Budget'!$L$5:$L$1005,$B44,'Detailed Budget'!$L$5:$L$1005,"&gt;0")&gt;0,SUMIFS('Detailed Budget'!$AE$5:$AE$1005,'Detailed Budget'!$L$5:$L$1005,$B44,'Detailed Budget'!$L$5:$L$1005,"&gt;0"),"")</f>
        <v/>
      </c>
      <c r="G44" s="44" t="str">
        <f>IF(SUMIFS('Detailed Budget'!$AG$5:$AG$1005,'Detailed Budget'!$L$5:$L$1005,$B44,'Detailed Budget'!$L$5:$L$1005,"&gt;0")&gt;0,SUMIFS('Detailed Budget'!$AG$5:$AG$1005,'Detailed Budget'!$L$5:$L$1005,$B44,'Detailed Budget'!$L$5:$L$1005,"&gt;0"),"")</f>
        <v/>
      </c>
      <c r="H44" s="45" t="str">
        <f>IF(SUMIFS('Detailed Budget'!$AI$5:$AI$1005,'Detailed Budget'!$L$5:$L$1005,$B44,'Detailed Budget'!$L$5:$L$1005,"&gt;0")&gt;0,SUMIFS('Detailed Budget'!$AI$5:$AI$1005,'Detailed Budget'!$L$5:$L$1005,$B44,'Detailed Budget'!$L$5:$L$1005,"&gt;0"),"")</f>
        <v/>
      </c>
      <c r="I44" s="44" t="str">
        <f>IF(SUMIFS('Detailed Budget'!$AN$5:$AN$1005,'Detailed Budget'!$L$5:$L$1005,$B44,'Detailed Budget'!$L$5:$L$1005,"&gt;0")&gt;0,SUMIFS('Detailed Budget'!$AN$5:$AN$1005,'Detailed Budget'!$L$5:$L$1005,$B44,'Detailed Budget'!$L$5:$L$1005,"&gt;0"),"")</f>
        <v/>
      </c>
      <c r="J44" s="44" t="str">
        <f>IF(SUMIFS('Detailed Budget'!$AP$5:$AP$1005,'Detailed Budget'!$L$5:$L$1005,$B44,'Detailed Budget'!$L$5:$L$1005,"&gt;0")&gt;0,SUMIFS('Detailed Budget'!$AP$5:$AP$1005,'Detailed Budget'!$L$5:$L$1005,$B44,'Detailed Budget'!$L$5:$L$1005,"&gt;0"),"")</f>
        <v/>
      </c>
      <c r="K44" s="44" t="str">
        <f>IF(SUMIFS('Detailed Budget'!$AR$5:$AR$1005,'Detailed Budget'!$L$5:$L$1005,$B44,'Detailed Budget'!$L$5:$L$1005,"&gt;0")&gt;0,SUMIFS('Detailed Budget'!$AR$5:$AR$1005,'Detailed Budget'!$L$5:$L$1005,$B44,'Detailed Budget'!$L$5:$L$1005,"&gt;0"),"")</f>
        <v/>
      </c>
      <c r="L44" s="44" t="str">
        <f>IF(SUMIFS('Detailed Budget'!$AT$5:$AT$1005,'Detailed Budget'!$L$5:$L$1005,$B44,'Detailed Budget'!$L$5:$L$1005,"&gt;0")&gt;0,SUMIFS('Detailed Budget'!$AT$5:$AT$1005,'Detailed Budget'!$L$5:$L$1005,$B44,'Detailed Budget'!$L$5:$L$1005,"&gt;0"),"")</f>
        <v/>
      </c>
      <c r="M44" s="45" t="str">
        <f>IF(SUMIFS('Detailed Budget'!$AV$5:$AV$1005,'Detailed Budget'!$L$5:$L$1005,$B44,'Detailed Budget'!$L$5:$L$1005,"&gt;0")&gt;0,SUMIFS('Detailed Budget'!$AV$5:$AV$1005,'Detailed Budget'!$L$5:$L$1005,$B44,'Detailed Budget'!$L$5:$L$1005,"&gt;0"),"")</f>
        <v/>
      </c>
      <c r="N44" s="44" t="str">
        <f>IF(SUMIFS('Detailed Budget'!$BA$5:$BA$1005,'Detailed Budget'!$L$5:$L$1005,$B44,'Detailed Budget'!$L$5:$L$1005,"&gt;0")&gt;0,SUMIFS('Detailed Budget'!$BA$5:$BA$1005,'Detailed Budget'!$L$5:$L$1005,$B44,'Detailed Budget'!$L$5:$L$1005,"&gt;0"),"")</f>
        <v/>
      </c>
      <c r="O44" s="44" t="str">
        <f>IF(SUMIFS('Detailed Budget'!$BC$5:$BC$1005,'Detailed Budget'!$L$5:$L$1005,$B44,'Detailed Budget'!$L$5:$L$1005,"&gt;0")&gt;0,SUMIFS('Detailed Budget'!$BC$5:$BC$1005,'Detailed Budget'!$L$5:$L$1005,$B44,'Detailed Budget'!$L$5:$L$1005,"&gt;0"),"")</f>
        <v/>
      </c>
      <c r="P44" s="44" t="str">
        <f>IF(SUMIFS('Detailed Budget'!$BE$5:$BE$1005,'Detailed Budget'!$L$5:$L$1005,$B44,'Detailed Budget'!$L$5:$L$1005,"&gt;0")&gt;0,SUMIFS('Detailed Budget'!$BE$5:$BE$1005,'Detailed Budget'!$L$5:$L$1005,$B44,'Detailed Budget'!$L$5:$L$1005,"&gt;0"),"")</f>
        <v/>
      </c>
      <c r="Q44" s="44" t="str">
        <f>IF(SUMIFS('Detailed Budget'!$BG$5:$BG$1005,'Detailed Budget'!$L$5:$L$1005,$B44,'Detailed Budget'!$L$5:$L$1005,"&gt;0")&gt;0,SUMIFS('Detailed Budget'!$BG$5:$BG$1005,'Detailed Budget'!$L$5:$L$1005,$B44,'Detailed Budget'!$L$5:$L$1005,"&gt;0"),"")</f>
        <v/>
      </c>
      <c r="R44" s="45" t="str">
        <f>IF(SUMIFS('Detailed Budget'!$BI$5:$BI$1005,'Detailed Budget'!$L$5:$L$1005,$B44,'Detailed Budget'!$L$5:$L$1005,"&gt;0")&gt;0,SUMIFS('Detailed Budget'!$BI$5:$BI$1005,'Detailed Budget'!$L$5:$L$1005,$B44,'Detailed Budget'!$L$5:$L$1005,"&gt;0"),"")</f>
        <v/>
      </c>
      <c r="S44" s="44" t="str">
        <f>IF(SUMIFS('Detailed Budget'!$BN$5:$BN$1005,'Detailed Budget'!$L$5:$L$1005,$B44,'Detailed Budget'!$L$5:$L$1005,"&gt;0")&gt;0,SUMIFS('Detailed Budget'!$BN$5:$BN$1005,'Detailed Budget'!$L$5:$L$1005,$B44,'Detailed Budget'!$L$5:$L$1005,"&gt;0"),"")</f>
        <v/>
      </c>
      <c r="T44" s="44" t="str">
        <f>IF(SUMIFS('Detailed Budget'!$BP$5:$BP$1005,'Detailed Budget'!$L$5:$L$1005,$B44,'Detailed Budget'!$L$5:$L$1005,"&gt;0")&gt;0,SUMIFS('Detailed Budget'!$BP$5:$BP$1005,'Detailed Budget'!$L$5:$L$1005,$B44,'Detailed Budget'!$L$5:$L$1005,"&gt;0"),"")</f>
        <v/>
      </c>
      <c r="U44" s="44" t="str">
        <f>IF(SUMIFS('Detailed Budget'!$BR$5:$BR$1005,'Detailed Budget'!$L$5:$L$1005,$B44,'Detailed Budget'!$L$5:$L$1005,"&gt;0")&gt;0,SUMIFS('Detailed Budget'!$BR$5:$BR$1005,'Detailed Budget'!$L$5:$L$1005,$B44,'Detailed Budget'!$L$5:$L$1005,"&gt;0"),"")</f>
        <v/>
      </c>
      <c r="V44" s="44" t="str">
        <f>IF(SUMIFS('Detailed Budget'!$BT$5:$BT$1005,'Detailed Budget'!$L$5:$L$1005,$B44,'Detailed Budget'!$L$5:$L$1005,"&gt;0")&gt;0,SUMIFS('Detailed Budget'!$BT$5:$BT$1005,'Detailed Budget'!$L$5:$L$1005,$B44,'Detailed Budget'!$L$5:$L$1005,"&gt;0"),"")</f>
        <v/>
      </c>
      <c r="W44" s="45" t="str">
        <f>IF(SUMIFS('Detailed Budget'!$BV$5:$BV$1005,'Detailed Budget'!$L$5:$L$1005,$B44,'Detailed Budget'!$L$5:$L$1005,"&gt;0")&gt;0,SUMIFS('Detailed Budget'!$BV$5:$BV$1005,'Detailed Budget'!$L$5:$L$1005,$B44,'Detailed Budget'!$L$5:$L$1005,"&gt;0"),"")</f>
        <v/>
      </c>
      <c r="X44" s="44" t="str">
        <f t="shared" si="0"/>
        <v/>
      </c>
      <c r="Y44" s="124" t="str">
        <f t="shared" si="1"/>
        <v/>
      </c>
    </row>
    <row r="45" spans="1:25" hidden="1" x14ac:dyDescent="0.25">
      <c r="A45" s="35"/>
      <c r="B45" s="234" t="str">
        <f t="array" ref="B45">IFERROR(INDEX(CostInpNoList,MATCH(0,IF(ISBLANK(CostInpNoList),"",COUNTIF(B$16:B44,CostInpNoList)),0)),"")</f>
        <v/>
      </c>
      <c r="C45" s="372" t="str">
        <f>IFERROR(INDEX('Data Sheet'!$F$198:$F$275,MATCH(B45,'Data Sheet'!$G$198:$G$275,0)),"")</f>
        <v/>
      </c>
      <c r="D45" s="44" t="str">
        <f>IF(SUMIFS('Detailed Budget'!$AA$5:$AA$1005,'Detailed Budget'!$L$5:$L$1005,$B45,'Detailed Budget'!$L$5:$L$1005,"&gt;0")&gt;0,SUMIFS('Detailed Budget'!$AA$5:$AA$1005,'Detailed Budget'!$L$5:$L$1005,$B45,'Detailed Budget'!$L$5:$L$1005,"&gt;0"),"")</f>
        <v/>
      </c>
      <c r="E45" s="44" t="str">
        <f>IF(SUMIFS('Detailed Budget'!$AC$5:$AC$1005,'Detailed Budget'!$L$5:$L$1005,$B45,'Detailed Budget'!$L$5:$L$1005,"&gt;0")&gt;0,SUMIFS('Detailed Budget'!$AC$5:$AC$1005,'Detailed Budget'!$L$5:$L$1005,$B45,'Detailed Budget'!$L$5:$L$1005,"&gt;0"),"")</f>
        <v/>
      </c>
      <c r="F45" s="44" t="str">
        <f>IF(SUMIFS('Detailed Budget'!$AE$5:$AE$1005,'Detailed Budget'!$L$5:$L$1005,$B45,'Detailed Budget'!$L$5:$L$1005,"&gt;0")&gt;0,SUMIFS('Detailed Budget'!$AE$5:$AE$1005,'Detailed Budget'!$L$5:$L$1005,$B45,'Detailed Budget'!$L$5:$L$1005,"&gt;0"),"")</f>
        <v/>
      </c>
      <c r="G45" s="44" t="str">
        <f>IF(SUMIFS('Detailed Budget'!$AG$5:$AG$1005,'Detailed Budget'!$L$5:$L$1005,$B45,'Detailed Budget'!$L$5:$L$1005,"&gt;0")&gt;0,SUMIFS('Detailed Budget'!$AG$5:$AG$1005,'Detailed Budget'!$L$5:$L$1005,$B45,'Detailed Budget'!$L$5:$L$1005,"&gt;0"),"")</f>
        <v/>
      </c>
      <c r="H45" s="45" t="str">
        <f>IF(SUMIFS('Detailed Budget'!$AI$5:$AI$1005,'Detailed Budget'!$L$5:$L$1005,$B45,'Detailed Budget'!$L$5:$L$1005,"&gt;0")&gt;0,SUMIFS('Detailed Budget'!$AI$5:$AI$1005,'Detailed Budget'!$L$5:$L$1005,$B45,'Detailed Budget'!$L$5:$L$1005,"&gt;0"),"")</f>
        <v/>
      </c>
      <c r="I45" s="44" t="str">
        <f>IF(SUMIFS('Detailed Budget'!$AN$5:$AN$1005,'Detailed Budget'!$L$5:$L$1005,$B45,'Detailed Budget'!$L$5:$L$1005,"&gt;0")&gt;0,SUMIFS('Detailed Budget'!$AN$5:$AN$1005,'Detailed Budget'!$L$5:$L$1005,$B45,'Detailed Budget'!$L$5:$L$1005,"&gt;0"),"")</f>
        <v/>
      </c>
      <c r="J45" s="44" t="str">
        <f>IF(SUMIFS('Detailed Budget'!$AP$5:$AP$1005,'Detailed Budget'!$L$5:$L$1005,$B45,'Detailed Budget'!$L$5:$L$1005,"&gt;0")&gt;0,SUMIFS('Detailed Budget'!$AP$5:$AP$1005,'Detailed Budget'!$L$5:$L$1005,$B45,'Detailed Budget'!$L$5:$L$1005,"&gt;0"),"")</f>
        <v/>
      </c>
      <c r="K45" s="44" t="str">
        <f>IF(SUMIFS('Detailed Budget'!$AR$5:$AR$1005,'Detailed Budget'!$L$5:$L$1005,$B45,'Detailed Budget'!$L$5:$L$1005,"&gt;0")&gt;0,SUMIFS('Detailed Budget'!$AR$5:$AR$1005,'Detailed Budget'!$L$5:$L$1005,$B45,'Detailed Budget'!$L$5:$L$1005,"&gt;0"),"")</f>
        <v/>
      </c>
      <c r="L45" s="44" t="str">
        <f>IF(SUMIFS('Detailed Budget'!$AT$5:$AT$1005,'Detailed Budget'!$L$5:$L$1005,$B45,'Detailed Budget'!$L$5:$L$1005,"&gt;0")&gt;0,SUMIFS('Detailed Budget'!$AT$5:$AT$1005,'Detailed Budget'!$L$5:$L$1005,$B45,'Detailed Budget'!$L$5:$L$1005,"&gt;0"),"")</f>
        <v/>
      </c>
      <c r="M45" s="45" t="str">
        <f>IF(SUMIFS('Detailed Budget'!$AV$5:$AV$1005,'Detailed Budget'!$L$5:$L$1005,$B45,'Detailed Budget'!$L$5:$L$1005,"&gt;0")&gt;0,SUMIFS('Detailed Budget'!$AV$5:$AV$1005,'Detailed Budget'!$L$5:$L$1005,$B45,'Detailed Budget'!$L$5:$L$1005,"&gt;0"),"")</f>
        <v/>
      </c>
      <c r="N45" s="44" t="str">
        <f>IF(SUMIFS('Detailed Budget'!$BA$5:$BA$1005,'Detailed Budget'!$L$5:$L$1005,$B45,'Detailed Budget'!$L$5:$L$1005,"&gt;0")&gt;0,SUMIFS('Detailed Budget'!$BA$5:$BA$1005,'Detailed Budget'!$L$5:$L$1005,$B45,'Detailed Budget'!$L$5:$L$1005,"&gt;0"),"")</f>
        <v/>
      </c>
      <c r="O45" s="44" t="str">
        <f>IF(SUMIFS('Detailed Budget'!$BC$5:$BC$1005,'Detailed Budget'!$L$5:$L$1005,$B45,'Detailed Budget'!$L$5:$L$1005,"&gt;0")&gt;0,SUMIFS('Detailed Budget'!$BC$5:$BC$1005,'Detailed Budget'!$L$5:$L$1005,$B45,'Detailed Budget'!$L$5:$L$1005,"&gt;0"),"")</f>
        <v/>
      </c>
      <c r="P45" s="44" t="str">
        <f>IF(SUMIFS('Detailed Budget'!$BE$5:$BE$1005,'Detailed Budget'!$L$5:$L$1005,$B45,'Detailed Budget'!$L$5:$L$1005,"&gt;0")&gt;0,SUMIFS('Detailed Budget'!$BE$5:$BE$1005,'Detailed Budget'!$L$5:$L$1005,$B45,'Detailed Budget'!$L$5:$L$1005,"&gt;0"),"")</f>
        <v/>
      </c>
      <c r="Q45" s="44" t="str">
        <f>IF(SUMIFS('Detailed Budget'!$BG$5:$BG$1005,'Detailed Budget'!$L$5:$L$1005,$B45,'Detailed Budget'!$L$5:$L$1005,"&gt;0")&gt;0,SUMIFS('Detailed Budget'!$BG$5:$BG$1005,'Detailed Budget'!$L$5:$L$1005,$B45,'Detailed Budget'!$L$5:$L$1005,"&gt;0"),"")</f>
        <v/>
      </c>
      <c r="R45" s="45" t="str">
        <f>IF(SUMIFS('Detailed Budget'!$BI$5:$BI$1005,'Detailed Budget'!$L$5:$L$1005,$B45,'Detailed Budget'!$L$5:$L$1005,"&gt;0")&gt;0,SUMIFS('Detailed Budget'!$BI$5:$BI$1005,'Detailed Budget'!$L$5:$L$1005,$B45,'Detailed Budget'!$L$5:$L$1005,"&gt;0"),"")</f>
        <v/>
      </c>
      <c r="S45" s="44" t="str">
        <f>IF(SUMIFS('Detailed Budget'!$BN$5:$BN$1005,'Detailed Budget'!$L$5:$L$1005,$B45,'Detailed Budget'!$L$5:$L$1005,"&gt;0")&gt;0,SUMIFS('Detailed Budget'!$BN$5:$BN$1005,'Detailed Budget'!$L$5:$L$1005,$B45,'Detailed Budget'!$L$5:$L$1005,"&gt;0"),"")</f>
        <v/>
      </c>
      <c r="T45" s="44" t="str">
        <f>IF(SUMIFS('Detailed Budget'!$BP$5:$BP$1005,'Detailed Budget'!$L$5:$L$1005,$B45,'Detailed Budget'!$L$5:$L$1005,"&gt;0")&gt;0,SUMIFS('Detailed Budget'!$BP$5:$BP$1005,'Detailed Budget'!$L$5:$L$1005,$B45,'Detailed Budget'!$L$5:$L$1005,"&gt;0"),"")</f>
        <v/>
      </c>
      <c r="U45" s="44" t="str">
        <f>IF(SUMIFS('Detailed Budget'!$BR$5:$BR$1005,'Detailed Budget'!$L$5:$L$1005,$B45,'Detailed Budget'!$L$5:$L$1005,"&gt;0")&gt;0,SUMIFS('Detailed Budget'!$BR$5:$BR$1005,'Detailed Budget'!$L$5:$L$1005,$B45,'Detailed Budget'!$L$5:$L$1005,"&gt;0"),"")</f>
        <v/>
      </c>
      <c r="V45" s="44" t="str">
        <f>IF(SUMIFS('Detailed Budget'!$BT$5:$BT$1005,'Detailed Budget'!$L$5:$L$1005,$B45,'Detailed Budget'!$L$5:$L$1005,"&gt;0")&gt;0,SUMIFS('Detailed Budget'!$BT$5:$BT$1005,'Detailed Budget'!$L$5:$L$1005,$B45,'Detailed Budget'!$L$5:$L$1005,"&gt;0"),"")</f>
        <v/>
      </c>
      <c r="W45" s="45" t="str">
        <f>IF(SUMIFS('Detailed Budget'!$BV$5:$BV$1005,'Detailed Budget'!$L$5:$L$1005,$B45,'Detailed Budget'!$L$5:$L$1005,"&gt;0")&gt;0,SUMIFS('Detailed Budget'!$BV$5:$BV$1005,'Detailed Budget'!$L$5:$L$1005,$B45,'Detailed Budget'!$L$5:$L$1005,"&gt;0"),"")</f>
        <v/>
      </c>
      <c r="X45" s="44" t="str">
        <f t="shared" si="0"/>
        <v/>
      </c>
      <c r="Y45" s="124" t="str">
        <f t="shared" si="1"/>
        <v/>
      </c>
    </row>
    <row r="46" spans="1:25" hidden="1" x14ac:dyDescent="0.25">
      <c r="A46" s="35"/>
      <c r="B46" s="234" t="str">
        <f t="array" ref="B46">IFERROR(INDEX(CostInpNoList,MATCH(0,IF(ISBLANK(CostInpNoList),"",COUNTIF(B$16:B45,CostInpNoList)),0)),"")</f>
        <v/>
      </c>
      <c r="C46" s="372" t="str">
        <f>IFERROR(INDEX('Data Sheet'!$F$198:$F$275,MATCH(B46,'Data Sheet'!$G$198:$G$275,0)),"")</f>
        <v/>
      </c>
      <c r="D46" s="44" t="str">
        <f>IF(SUMIFS('Detailed Budget'!$AA$5:$AA$1005,'Detailed Budget'!$L$5:$L$1005,$B46,'Detailed Budget'!$L$5:$L$1005,"&gt;0")&gt;0,SUMIFS('Detailed Budget'!$AA$5:$AA$1005,'Detailed Budget'!$L$5:$L$1005,$B46,'Detailed Budget'!$L$5:$L$1005,"&gt;0"),"")</f>
        <v/>
      </c>
      <c r="E46" s="44" t="str">
        <f>IF(SUMIFS('Detailed Budget'!$AC$5:$AC$1005,'Detailed Budget'!$L$5:$L$1005,$B46,'Detailed Budget'!$L$5:$L$1005,"&gt;0")&gt;0,SUMIFS('Detailed Budget'!$AC$5:$AC$1005,'Detailed Budget'!$L$5:$L$1005,$B46,'Detailed Budget'!$L$5:$L$1005,"&gt;0"),"")</f>
        <v/>
      </c>
      <c r="F46" s="44" t="str">
        <f>IF(SUMIFS('Detailed Budget'!$AE$5:$AE$1005,'Detailed Budget'!$L$5:$L$1005,$B46,'Detailed Budget'!$L$5:$L$1005,"&gt;0")&gt;0,SUMIFS('Detailed Budget'!$AE$5:$AE$1005,'Detailed Budget'!$L$5:$L$1005,$B46,'Detailed Budget'!$L$5:$L$1005,"&gt;0"),"")</f>
        <v/>
      </c>
      <c r="G46" s="44" t="str">
        <f>IF(SUMIFS('Detailed Budget'!$AG$5:$AG$1005,'Detailed Budget'!$L$5:$L$1005,$B46,'Detailed Budget'!$L$5:$L$1005,"&gt;0")&gt;0,SUMIFS('Detailed Budget'!$AG$5:$AG$1005,'Detailed Budget'!$L$5:$L$1005,$B46,'Detailed Budget'!$L$5:$L$1005,"&gt;0"),"")</f>
        <v/>
      </c>
      <c r="H46" s="45" t="str">
        <f>IF(SUMIFS('Detailed Budget'!$AI$5:$AI$1005,'Detailed Budget'!$L$5:$L$1005,$B46,'Detailed Budget'!$L$5:$L$1005,"&gt;0")&gt;0,SUMIFS('Detailed Budget'!$AI$5:$AI$1005,'Detailed Budget'!$L$5:$L$1005,$B46,'Detailed Budget'!$L$5:$L$1005,"&gt;0"),"")</f>
        <v/>
      </c>
      <c r="I46" s="44" t="str">
        <f>IF(SUMIFS('Detailed Budget'!$AN$5:$AN$1005,'Detailed Budget'!$L$5:$L$1005,$B46,'Detailed Budget'!$L$5:$L$1005,"&gt;0")&gt;0,SUMIFS('Detailed Budget'!$AN$5:$AN$1005,'Detailed Budget'!$L$5:$L$1005,$B46,'Detailed Budget'!$L$5:$L$1005,"&gt;0"),"")</f>
        <v/>
      </c>
      <c r="J46" s="44" t="str">
        <f>IF(SUMIFS('Detailed Budget'!$AP$5:$AP$1005,'Detailed Budget'!$L$5:$L$1005,$B46,'Detailed Budget'!$L$5:$L$1005,"&gt;0")&gt;0,SUMIFS('Detailed Budget'!$AP$5:$AP$1005,'Detailed Budget'!$L$5:$L$1005,$B46,'Detailed Budget'!$L$5:$L$1005,"&gt;0"),"")</f>
        <v/>
      </c>
      <c r="K46" s="44" t="str">
        <f>IF(SUMIFS('Detailed Budget'!$AR$5:$AR$1005,'Detailed Budget'!$L$5:$L$1005,$B46,'Detailed Budget'!$L$5:$L$1005,"&gt;0")&gt;0,SUMIFS('Detailed Budget'!$AR$5:$AR$1005,'Detailed Budget'!$L$5:$L$1005,$B46,'Detailed Budget'!$L$5:$L$1005,"&gt;0"),"")</f>
        <v/>
      </c>
      <c r="L46" s="44" t="str">
        <f>IF(SUMIFS('Detailed Budget'!$AT$5:$AT$1005,'Detailed Budget'!$L$5:$L$1005,$B46,'Detailed Budget'!$L$5:$L$1005,"&gt;0")&gt;0,SUMIFS('Detailed Budget'!$AT$5:$AT$1005,'Detailed Budget'!$L$5:$L$1005,$B46,'Detailed Budget'!$L$5:$L$1005,"&gt;0"),"")</f>
        <v/>
      </c>
      <c r="M46" s="45" t="str">
        <f>IF(SUMIFS('Detailed Budget'!$AV$5:$AV$1005,'Detailed Budget'!$L$5:$L$1005,$B46,'Detailed Budget'!$L$5:$L$1005,"&gt;0")&gt;0,SUMIFS('Detailed Budget'!$AV$5:$AV$1005,'Detailed Budget'!$L$5:$L$1005,$B46,'Detailed Budget'!$L$5:$L$1005,"&gt;0"),"")</f>
        <v/>
      </c>
      <c r="N46" s="44" t="str">
        <f>IF(SUMIFS('Detailed Budget'!$BA$5:$BA$1005,'Detailed Budget'!$L$5:$L$1005,$B46,'Detailed Budget'!$L$5:$L$1005,"&gt;0")&gt;0,SUMIFS('Detailed Budget'!$BA$5:$BA$1005,'Detailed Budget'!$L$5:$L$1005,$B46,'Detailed Budget'!$L$5:$L$1005,"&gt;0"),"")</f>
        <v/>
      </c>
      <c r="O46" s="44" t="str">
        <f>IF(SUMIFS('Detailed Budget'!$BC$5:$BC$1005,'Detailed Budget'!$L$5:$L$1005,$B46,'Detailed Budget'!$L$5:$L$1005,"&gt;0")&gt;0,SUMIFS('Detailed Budget'!$BC$5:$BC$1005,'Detailed Budget'!$L$5:$L$1005,$B46,'Detailed Budget'!$L$5:$L$1005,"&gt;0"),"")</f>
        <v/>
      </c>
      <c r="P46" s="44" t="str">
        <f>IF(SUMIFS('Detailed Budget'!$BE$5:$BE$1005,'Detailed Budget'!$L$5:$L$1005,$B46,'Detailed Budget'!$L$5:$L$1005,"&gt;0")&gt;0,SUMIFS('Detailed Budget'!$BE$5:$BE$1005,'Detailed Budget'!$L$5:$L$1005,$B46,'Detailed Budget'!$L$5:$L$1005,"&gt;0"),"")</f>
        <v/>
      </c>
      <c r="Q46" s="44" t="str">
        <f>IF(SUMIFS('Detailed Budget'!$BG$5:$BG$1005,'Detailed Budget'!$L$5:$L$1005,$B46,'Detailed Budget'!$L$5:$L$1005,"&gt;0")&gt;0,SUMIFS('Detailed Budget'!$BG$5:$BG$1005,'Detailed Budget'!$L$5:$L$1005,$B46,'Detailed Budget'!$L$5:$L$1005,"&gt;0"),"")</f>
        <v/>
      </c>
      <c r="R46" s="45" t="str">
        <f>IF(SUMIFS('Detailed Budget'!$BI$5:$BI$1005,'Detailed Budget'!$L$5:$L$1005,$B46,'Detailed Budget'!$L$5:$L$1005,"&gt;0")&gt;0,SUMIFS('Detailed Budget'!$BI$5:$BI$1005,'Detailed Budget'!$L$5:$L$1005,$B46,'Detailed Budget'!$L$5:$L$1005,"&gt;0"),"")</f>
        <v/>
      </c>
      <c r="S46" s="44" t="str">
        <f>IF(SUMIFS('Detailed Budget'!$BN$5:$BN$1005,'Detailed Budget'!$L$5:$L$1005,$B46,'Detailed Budget'!$L$5:$L$1005,"&gt;0")&gt;0,SUMIFS('Detailed Budget'!$BN$5:$BN$1005,'Detailed Budget'!$L$5:$L$1005,$B46,'Detailed Budget'!$L$5:$L$1005,"&gt;0"),"")</f>
        <v/>
      </c>
      <c r="T46" s="44" t="str">
        <f>IF(SUMIFS('Detailed Budget'!$BP$5:$BP$1005,'Detailed Budget'!$L$5:$L$1005,$B46,'Detailed Budget'!$L$5:$L$1005,"&gt;0")&gt;0,SUMIFS('Detailed Budget'!$BP$5:$BP$1005,'Detailed Budget'!$L$5:$L$1005,$B46,'Detailed Budget'!$L$5:$L$1005,"&gt;0"),"")</f>
        <v/>
      </c>
      <c r="U46" s="44" t="str">
        <f>IF(SUMIFS('Detailed Budget'!$BR$5:$BR$1005,'Detailed Budget'!$L$5:$L$1005,$B46,'Detailed Budget'!$L$5:$L$1005,"&gt;0")&gt;0,SUMIFS('Detailed Budget'!$BR$5:$BR$1005,'Detailed Budget'!$L$5:$L$1005,$B46,'Detailed Budget'!$L$5:$L$1005,"&gt;0"),"")</f>
        <v/>
      </c>
      <c r="V46" s="44" t="str">
        <f>IF(SUMIFS('Detailed Budget'!$BT$5:$BT$1005,'Detailed Budget'!$L$5:$L$1005,$B46,'Detailed Budget'!$L$5:$L$1005,"&gt;0")&gt;0,SUMIFS('Detailed Budget'!$BT$5:$BT$1005,'Detailed Budget'!$L$5:$L$1005,$B46,'Detailed Budget'!$L$5:$L$1005,"&gt;0"),"")</f>
        <v/>
      </c>
      <c r="W46" s="45" t="str">
        <f>IF(SUMIFS('Detailed Budget'!$BV$5:$BV$1005,'Detailed Budget'!$L$5:$L$1005,$B46,'Detailed Budget'!$L$5:$L$1005,"&gt;0")&gt;0,SUMIFS('Detailed Budget'!$BV$5:$BV$1005,'Detailed Budget'!$L$5:$L$1005,$B46,'Detailed Budget'!$L$5:$L$1005,"&gt;0"),"")</f>
        <v/>
      </c>
      <c r="X46" s="44" t="str">
        <f t="shared" si="0"/>
        <v/>
      </c>
      <c r="Y46" s="124" t="str">
        <f t="shared" si="1"/>
        <v/>
      </c>
    </row>
    <row r="47" spans="1:25" hidden="1" x14ac:dyDescent="0.25">
      <c r="A47" s="35"/>
      <c r="B47" s="234" t="str">
        <f t="array" ref="B47">IFERROR(INDEX(CostInpNoList,MATCH(0,IF(ISBLANK(CostInpNoList),"",COUNTIF(B$16:B46,CostInpNoList)),0)),"")</f>
        <v/>
      </c>
      <c r="C47" s="372" t="str">
        <f>IFERROR(INDEX('Data Sheet'!$F$198:$F$275,MATCH(B47,'Data Sheet'!$G$198:$G$275,0)),"")</f>
        <v/>
      </c>
      <c r="D47" s="44" t="str">
        <f>IF(SUMIFS('Detailed Budget'!$AA$5:$AA$1005,'Detailed Budget'!$L$5:$L$1005,$B47,'Detailed Budget'!$L$5:$L$1005,"&gt;0")&gt;0,SUMIFS('Detailed Budget'!$AA$5:$AA$1005,'Detailed Budget'!$L$5:$L$1005,$B47,'Detailed Budget'!$L$5:$L$1005,"&gt;0"),"")</f>
        <v/>
      </c>
      <c r="E47" s="44" t="str">
        <f>IF(SUMIFS('Detailed Budget'!$AC$5:$AC$1005,'Detailed Budget'!$L$5:$L$1005,$B47,'Detailed Budget'!$L$5:$L$1005,"&gt;0")&gt;0,SUMIFS('Detailed Budget'!$AC$5:$AC$1005,'Detailed Budget'!$L$5:$L$1005,$B47,'Detailed Budget'!$L$5:$L$1005,"&gt;0"),"")</f>
        <v/>
      </c>
      <c r="F47" s="44" t="str">
        <f>IF(SUMIFS('Detailed Budget'!$AE$5:$AE$1005,'Detailed Budget'!$L$5:$L$1005,$B47,'Detailed Budget'!$L$5:$L$1005,"&gt;0")&gt;0,SUMIFS('Detailed Budget'!$AE$5:$AE$1005,'Detailed Budget'!$L$5:$L$1005,$B47,'Detailed Budget'!$L$5:$L$1005,"&gt;0"),"")</f>
        <v/>
      </c>
      <c r="G47" s="44" t="str">
        <f>IF(SUMIFS('Detailed Budget'!$AG$5:$AG$1005,'Detailed Budget'!$L$5:$L$1005,$B47,'Detailed Budget'!$L$5:$L$1005,"&gt;0")&gt;0,SUMIFS('Detailed Budget'!$AG$5:$AG$1005,'Detailed Budget'!$L$5:$L$1005,$B47,'Detailed Budget'!$L$5:$L$1005,"&gt;0"),"")</f>
        <v/>
      </c>
      <c r="H47" s="45" t="str">
        <f>IF(SUMIFS('Detailed Budget'!$AI$5:$AI$1005,'Detailed Budget'!$L$5:$L$1005,$B47,'Detailed Budget'!$L$5:$L$1005,"&gt;0")&gt;0,SUMIFS('Detailed Budget'!$AI$5:$AI$1005,'Detailed Budget'!$L$5:$L$1005,$B47,'Detailed Budget'!$L$5:$L$1005,"&gt;0"),"")</f>
        <v/>
      </c>
      <c r="I47" s="44" t="str">
        <f>IF(SUMIFS('Detailed Budget'!$AN$5:$AN$1005,'Detailed Budget'!$L$5:$L$1005,$B47,'Detailed Budget'!$L$5:$L$1005,"&gt;0")&gt;0,SUMIFS('Detailed Budget'!$AN$5:$AN$1005,'Detailed Budget'!$L$5:$L$1005,$B47,'Detailed Budget'!$L$5:$L$1005,"&gt;0"),"")</f>
        <v/>
      </c>
      <c r="J47" s="44" t="str">
        <f>IF(SUMIFS('Detailed Budget'!$AP$5:$AP$1005,'Detailed Budget'!$L$5:$L$1005,$B47,'Detailed Budget'!$L$5:$L$1005,"&gt;0")&gt;0,SUMIFS('Detailed Budget'!$AP$5:$AP$1005,'Detailed Budget'!$L$5:$L$1005,$B47,'Detailed Budget'!$L$5:$L$1005,"&gt;0"),"")</f>
        <v/>
      </c>
      <c r="K47" s="44" t="str">
        <f>IF(SUMIFS('Detailed Budget'!$AR$5:$AR$1005,'Detailed Budget'!$L$5:$L$1005,$B47,'Detailed Budget'!$L$5:$L$1005,"&gt;0")&gt;0,SUMIFS('Detailed Budget'!$AR$5:$AR$1005,'Detailed Budget'!$L$5:$L$1005,$B47,'Detailed Budget'!$L$5:$L$1005,"&gt;0"),"")</f>
        <v/>
      </c>
      <c r="L47" s="44" t="str">
        <f>IF(SUMIFS('Detailed Budget'!$AT$5:$AT$1005,'Detailed Budget'!$L$5:$L$1005,$B47,'Detailed Budget'!$L$5:$L$1005,"&gt;0")&gt;0,SUMIFS('Detailed Budget'!$AT$5:$AT$1005,'Detailed Budget'!$L$5:$L$1005,$B47,'Detailed Budget'!$L$5:$L$1005,"&gt;0"),"")</f>
        <v/>
      </c>
      <c r="M47" s="45" t="str">
        <f>IF(SUMIFS('Detailed Budget'!$AV$5:$AV$1005,'Detailed Budget'!$L$5:$L$1005,$B47,'Detailed Budget'!$L$5:$L$1005,"&gt;0")&gt;0,SUMIFS('Detailed Budget'!$AV$5:$AV$1005,'Detailed Budget'!$L$5:$L$1005,$B47,'Detailed Budget'!$L$5:$L$1005,"&gt;0"),"")</f>
        <v/>
      </c>
      <c r="N47" s="44" t="str">
        <f>IF(SUMIFS('Detailed Budget'!$BA$5:$BA$1005,'Detailed Budget'!$L$5:$L$1005,$B47,'Detailed Budget'!$L$5:$L$1005,"&gt;0")&gt;0,SUMIFS('Detailed Budget'!$BA$5:$BA$1005,'Detailed Budget'!$L$5:$L$1005,$B47,'Detailed Budget'!$L$5:$L$1005,"&gt;0"),"")</f>
        <v/>
      </c>
      <c r="O47" s="44" t="str">
        <f>IF(SUMIFS('Detailed Budget'!$BC$5:$BC$1005,'Detailed Budget'!$L$5:$L$1005,$B47,'Detailed Budget'!$L$5:$L$1005,"&gt;0")&gt;0,SUMIFS('Detailed Budget'!$BC$5:$BC$1005,'Detailed Budget'!$L$5:$L$1005,$B47,'Detailed Budget'!$L$5:$L$1005,"&gt;0"),"")</f>
        <v/>
      </c>
      <c r="P47" s="44" t="str">
        <f>IF(SUMIFS('Detailed Budget'!$BE$5:$BE$1005,'Detailed Budget'!$L$5:$L$1005,$B47,'Detailed Budget'!$L$5:$L$1005,"&gt;0")&gt;0,SUMIFS('Detailed Budget'!$BE$5:$BE$1005,'Detailed Budget'!$L$5:$L$1005,$B47,'Detailed Budget'!$L$5:$L$1005,"&gt;0"),"")</f>
        <v/>
      </c>
      <c r="Q47" s="44" t="str">
        <f>IF(SUMIFS('Detailed Budget'!$BG$5:$BG$1005,'Detailed Budget'!$L$5:$L$1005,$B47,'Detailed Budget'!$L$5:$L$1005,"&gt;0")&gt;0,SUMIFS('Detailed Budget'!$BG$5:$BG$1005,'Detailed Budget'!$L$5:$L$1005,$B47,'Detailed Budget'!$L$5:$L$1005,"&gt;0"),"")</f>
        <v/>
      </c>
      <c r="R47" s="45" t="str">
        <f>IF(SUMIFS('Detailed Budget'!$BI$5:$BI$1005,'Detailed Budget'!$L$5:$L$1005,$B47,'Detailed Budget'!$L$5:$L$1005,"&gt;0")&gt;0,SUMIFS('Detailed Budget'!$BI$5:$BI$1005,'Detailed Budget'!$L$5:$L$1005,$B47,'Detailed Budget'!$L$5:$L$1005,"&gt;0"),"")</f>
        <v/>
      </c>
      <c r="S47" s="44" t="str">
        <f>IF(SUMIFS('Detailed Budget'!$BN$5:$BN$1005,'Detailed Budget'!$L$5:$L$1005,$B47,'Detailed Budget'!$L$5:$L$1005,"&gt;0")&gt;0,SUMIFS('Detailed Budget'!$BN$5:$BN$1005,'Detailed Budget'!$L$5:$L$1005,$B47,'Detailed Budget'!$L$5:$L$1005,"&gt;0"),"")</f>
        <v/>
      </c>
      <c r="T47" s="44" t="str">
        <f>IF(SUMIFS('Detailed Budget'!$BP$5:$BP$1005,'Detailed Budget'!$L$5:$L$1005,$B47,'Detailed Budget'!$L$5:$L$1005,"&gt;0")&gt;0,SUMIFS('Detailed Budget'!$BP$5:$BP$1005,'Detailed Budget'!$L$5:$L$1005,$B47,'Detailed Budget'!$L$5:$L$1005,"&gt;0"),"")</f>
        <v/>
      </c>
      <c r="U47" s="44" t="str">
        <f>IF(SUMIFS('Detailed Budget'!$BR$5:$BR$1005,'Detailed Budget'!$L$5:$L$1005,$B47,'Detailed Budget'!$L$5:$L$1005,"&gt;0")&gt;0,SUMIFS('Detailed Budget'!$BR$5:$BR$1005,'Detailed Budget'!$L$5:$L$1005,$B47,'Detailed Budget'!$L$5:$L$1005,"&gt;0"),"")</f>
        <v/>
      </c>
      <c r="V47" s="44" t="str">
        <f>IF(SUMIFS('Detailed Budget'!$BT$5:$BT$1005,'Detailed Budget'!$L$5:$L$1005,$B47,'Detailed Budget'!$L$5:$L$1005,"&gt;0")&gt;0,SUMIFS('Detailed Budget'!$BT$5:$BT$1005,'Detailed Budget'!$L$5:$L$1005,$B47,'Detailed Budget'!$L$5:$L$1005,"&gt;0"),"")</f>
        <v/>
      </c>
      <c r="W47" s="45" t="str">
        <f>IF(SUMIFS('Detailed Budget'!$BV$5:$BV$1005,'Detailed Budget'!$L$5:$L$1005,$B47,'Detailed Budget'!$L$5:$L$1005,"&gt;0")&gt;0,SUMIFS('Detailed Budget'!$BV$5:$BV$1005,'Detailed Budget'!$L$5:$L$1005,$B47,'Detailed Budget'!$L$5:$L$1005,"&gt;0"),"")</f>
        <v/>
      </c>
      <c r="X47" s="44" t="str">
        <f t="shared" si="0"/>
        <v/>
      </c>
      <c r="Y47" s="124" t="str">
        <f t="shared" si="1"/>
        <v/>
      </c>
    </row>
    <row r="48" spans="1:25" hidden="1" x14ac:dyDescent="0.25">
      <c r="A48" s="35"/>
      <c r="B48" s="234" t="str">
        <f t="array" ref="B48">IFERROR(INDEX(CostInpNoList,MATCH(0,IF(ISBLANK(CostInpNoList),"",COUNTIF(B$16:B47,CostInpNoList)),0)),"")</f>
        <v/>
      </c>
      <c r="C48" s="372" t="str">
        <f>IFERROR(INDEX('Data Sheet'!$F$198:$F$275,MATCH(B48,'Data Sheet'!$G$198:$G$275,0)),"")</f>
        <v/>
      </c>
      <c r="D48" s="44" t="str">
        <f>IF(SUMIFS('Detailed Budget'!$AA$5:$AA$1005,'Detailed Budget'!$L$5:$L$1005,$B48,'Detailed Budget'!$L$5:$L$1005,"&gt;0")&gt;0,SUMIFS('Detailed Budget'!$AA$5:$AA$1005,'Detailed Budget'!$L$5:$L$1005,$B48,'Detailed Budget'!$L$5:$L$1005,"&gt;0"),"")</f>
        <v/>
      </c>
      <c r="E48" s="44" t="str">
        <f>IF(SUMIFS('Detailed Budget'!$AC$5:$AC$1005,'Detailed Budget'!$L$5:$L$1005,$B48,'Detailed Budget'!$L$5:$L$1005,"&gt;0")&gt;0,SUMIFS('Detailed Budget'!$AC$5:$AC$1005,'Detailed Budget'!$L$5:$L$1005,$B48,'Detailed Budget'!$L$5:$L$1005,"&gt;0"),"")</f>
        <v/>
      </c>
      <c r="F48" s="44" t="str">
        <f>IF(SUMIFS('Detailed Budget'!$AE$5:$AE$1005,'Detailed Budget'!$L$5:$L$1005,$B48,'Detailed Budget'!$L$5:$L$1005,"&gt;0")&gt;0,SUMIFS('Detailed Budget'!$AE$5:$AE$1005,'Detailed Budget'!$L$5:$L$1005,$B48,'Detailed Budget'!$L$5:$L$1005,"&gt;0"),"")</f>
        <v/>
      </c>
      <c r="G48" s="44" t="str">
        <f>IF(SUMIFS('Detailed Budget'!$AG$5:$AG$1005,'Detailed Budget'!$L$5:$L$1005,$B48,'Detailed Budget'!$L$5:$L$1005,"&gt;0")&gt;0,SUMIFS('Detailed Budget'!$AG$5:$AG$1005,'Detailed Budget'!$L$5:$L$1005,$B48,'Detailed Budget'!$L$5:$L$1005,"&gt;0"),"")</f>
        <v/>
      </c>
      <c r="H48" s="45" t="str">
        <f>IF(SUMIFS('Detailed Budget'!$AI$5:$AI$1005,'Detailed Budget'!$L$5:$L$1005,$B48,'Detailed Budget'!$L$5:$L$1005,"&gt;0")&gt;0,SUMIFS('Detailed Budget'!$AI$5:$AI$1005,'Detailed Budget'!$L$5:$L$1005,$B48,'Detailed Budget'!$L$5:$L$1005,"&gt;0"),"")</f>
        <v/>
      </c>
      <c r="I48" s="44" t="str">
        <f>IF(SUMIFS('Detailed Budget'!$AN$5:$AN$1005,'Detailed Budget'!$L$5:$L$1005,$B48,'Detailed Budget'!$L$5:$L$1005,"&gt;0")&gt;0,SUMIFS('Detailed Budget'!$AN$5:$AN$1005,'Detailed Budget'!$L$5:$L$1005,$B48,'Detailed Budget'!$L$5:$L$1005,"&gt;0"),"")</f>
        <v/>
      </c>
      <c r="J48" s="44" t="str">
        <f>IF(SUMIFS('Detailed Budget'!$AP$5:$AP$1005,'Detailed Budget'!$L$5:$L$1005,$B48,'Detailed Budget'!$L$5:$L$1005,"&gt;0")&gt;0,SUMIFS('Detailed Budget'!$AP$5:$AP$1005,'Detailed Budget'!$L$5:$L$1005,$B48,'Detailed Budget'!$L$5:$L$1005,"&gt;0"),"")</f>
        <v/>
      </c>
      <c r="K48" s="44" t="str">
        <f>IF(SUMIFS('Detailed Budget'!$AR$5:$AR$1005,'Detailed Budget'!$L$5:$L$1005,$B48,'Detailed Budget'!$L$5:$L$1005,"&gt;0")&gt;0,SUMIFS('Detailed Budget'!$AR$5:$AR$1005,'Detailed Budget'!$L$5:$L$1005,$B48,'Detailed Budget'!$L$5:$L$1005,"&gt;0"),"")</f>
        <v/>
      </c>
      <c r="L48" s="44" t="str">
        <f>IF(SUMIFS('Detailed Budget'!$AT$5:$AT$1005,'Detailed Budget'!$L$5:$L$1005,$B48,'Detailed Budget'!$L$5:$L$1005,"&gt;0")&gt;0,SUMIFS('Detailed Budget'!$AT$5:$AT$1005,'Detailed Budget'!$L$5:$L$1005,$B48,'Detailed Budget'!$L$5:$L$1005,"&gt;0"),"")</f>
        <v/>
      </c>
      <c r="M48" s="45" t="str">
        <f>IF(SUMIFS('Detailed Budget'!$AV$5:$AV$1005,'Detailed Budget'!$L$5:$L$1005,$B48,'Detailed Budget'!$L$5:$L$1005,"&gt;0")&gt;0,SUMIFS('Detailed Budget'!$AV$5:$AV$1005,'Detailed Budget'!$L$5:$L$1005,$B48,'Detailed Budget'!$L$5:$L$1005,"&gt;0"),"")</f>
        <v/>
      </c>
      <c r="N48" s="44" t="str">
        <f>IF(SUMIFS('Detailed Budget'!$BA$5:$BA$1005,'Detailed Budget'!$L$5:$L$1005,$B48,'Detailed Budget'!$L$5:$L$1005,"&gt;0")&gt;0,SUMIFS('Detailed Budget'!$BA$5:$BA$1005,'Detailed Budget'!$L$5:$L$1005,$B48,'Detailed Budget'!$L$5:$L$1005,"&gt;0"),"")</f>
        <v/>
      </c>
      <c r="O48" s="44" t="str">
        <f>IF(SUMIFS('Detailed Budget'!$BC$5:$BC$1005,'Detailed Budget'!$L$5:$L$1005,$B48,'Detailed Budget'!$L$5:$L$1005,"&gt;0")&gt;0,SUMIFS('Detailed Budget'!$BC$5:$BC$1005,'Detailed Budget'!$L$5:$L$1005,$B48,'Detailed Budget'!$L$5:$L$1005,"&gt;0"),"")</f>
        <v/>
      </c>
      <c r="P48" s="44" t="str">
        <f>IF(SUMIFS('Detailed Budget'!$BE$5:$BE$1005,'Detailed Budget'!$L$5:$L$1005,$B48,'Detailed Budget'!$L$5:$L$1005,"&gt;0")&gt;0,SUMIFS('Detailed Budget'!$BE$5:$BE$1005,'Detailed Budget'!$L$5:$L$1005,$B48,'Detailed Budget'!$L$5:$L$1005,"&gt;0"),"")</f>
        <v/>
      </c>
      <c r="Q48" s="44" t="str">
        <f>IF(SUMIFS('Detailed Budget'!$BG$5:$BG$1005,'Detailed Budget'!$L$5:$L$1005,$B48,'Detailed Budget'!$L$5:$L$1005,"&gt;0")&gt;0,SUMIFS('Detailed Budget'!$BG$5:$BG$1005,'Detailed Budget'!$L$5:$L$1005,$B48,'Detailed Budget'!$L$5:$L$1005,"&gt;0"),"")</f>
        <v/>
      </c>
      <c r="R48" s="45" t="str">
        <f>IF(SUMIFS('Detailed Budget'!$BI$5:$BI$1005,'Detailed Budget'!$L$5:$L$1005,$B48,'Detailed Budget'!$L$5:$L$1005,"&gt;0")&gt;0,SUMIFS('Detailed Budget'!$BI$5:$BI$1005,'Detailed Budget'!$L$5:$L$1005,$B48,'Detailed Budget'!$L$5:$L$1005,"&gt;0"),"")</f>
        <v/>
      </c>
      <c r="S48" s="44" t="str">
        <f>IF(SUMIFS('Detailed Budget'!$BN$5:$BN$1005,'Detailed Budget'!$L$5:$L$1005,$B48,'Detailed Budget'!$L$5:$L$1005,"&gt;0")&gt;0,SUMIFS('Detailed Budget'!$BN$5:$BN$1005,'Detailed Budget'!$L$5:$L$1005,$B48,'Detailed Budget'!$L$5:$L$1005,"&gt;0"),"")</f>
        <v/>
      </c>
      <c r="T48" s="44" t="str">
        <f>IF(SUMIFS('Detailed Budget'!$BP$5:$BP$1005,'Detailed Budget'!$L$5:$L$1005,$B48,'Detailed Budget'!$L$5:$L$1005,"&gt;0")&gt;0,SUMIFS('Detailed Budget'!$BP$5:$BP$1005,'Detailed Budget'!$L$5:$L$1005,$B48,'Detailed Budget'!$L$5:$L$1005,"&gt;0"),"")</f>
        <v/>
      </c>
      <c r="U48" s="44" t="str">
        <f>IF(SUMIFS('Detailed Budget'!$BR$5:$BR$1005,'Detailed Budget'!$L$5:$L$1005,$B48,'Detailed Budget'!$L$5:$L$1005,"&gt;0")&gt;0,SUMIFS('Detailed Budget'!$BR$5:$BR$1005,'Detailed Budget'!$L$5:$L$1005,$B48,'Detailed Budget'!$L$5:$L$1005,"&gt;0"),"")</f>
        <v/>
      </c>
      <c r="V48" s="44" t="str">
        <f>IF(SUMIFS('Detailed Budget'!$BT$5:$BT$1005,'Detailed Budget'!$L$5:$L$1005,$B48,'Detailed Budget'!$L$5:$L$1005,"&gt;0")&gt;0,SUMIFS('Detailed Budget'!$BT$5:$BT$1005,'Detailed Budget'!$L$5:$L$1005,$B48,'Detailed Budget'!$L$5:$L$1005,"&gt;0"),"")</f>
        <v/>
      </c>
      <c r="W48" s="45" t="str">
        <f>IF(SUMIFS('Detailed Budget'!$BV$5:$BV$1005,'Detailed Budget'!$L$5:$L$1005,$B48,'Detailed Budget'!$L$5:$L$1005,"&gt;0")&gt;0,SUMIFS('Detailed Budget'!$BV$5:$BV$1005,'Detailed Budget'!$L$5:$L$1005,$B48,'Detailed Budget'!$L$5:$L$1005,"&gt;0"),"")</f>
        <v/>
      </c>
      <c r="X48" s="44" t="str">
        <f t="shared" si="0"/>
        <v/>
      </c>
      <c r="Y48" s="124" t="str">
        <f t="shared" si="1"/>
        <v/>
      </c>
    </row>
    <row r="49" spans="1:25" hidden="1" x14ac:dyDescent="0.25">
      <c r="A49" s="35"/>
      <c r="B49" s="234" t="str">
        <f t="array" ref="B49">IFERROR(INDEX(CostInpNoList,MATCH(0,IF(ISBLANK(CostInpNoList),"",COUNTIF(B$16:B48,CostInpNoList)),0)),"")</f>
        <v/>
      </c>
      <c r="C49" s="372" t="str">
        <f>IFERROR(INDEX('Data Sheet'!$F$198:$F$275,MATCH(B49,'Data Sheet'!$G$198:$G$275,0)),"")</f>
        <v/>
      </c>
      <c r="D49" s="44" t="str">
        <f>IF(SUMIFS('Detailed Budget'!$AA$5:$AA$1005,'Detailed Budget'!$L$5:$L$1005,$B49,'Detailed Budget'!$L$5:$L$1005,"&gt;0")&gt;0,SUMIFS('Detailed Budget'!$AA$5:$AA$1005,'Detailed Budget'!$L$5:$L$1005,$B49,'Detailed Budget'!$L$5:$L$1005,"&gt;0"),"")</f>
        <v/>
      </c>
      <c r="E49" s="44" t="str">
        <f>IF(SUMIFS('Detailed Budget'!$AC$5:$AC$1005,'Detailed Budget'!$L$5:$L$1005,$B49,'Detailed Budget'!$L$5:$L$1005,"&gt;0")&gt;0,SUMIFS('Detailed Budget'!$AC$5:$AC$1005,'Detailed Budget'!$L$5:$L$1005,$B49,'Detailed Budget'!$L$5:$L$1005,"&gt;0"),"")</f>
        <v/>
      </c>
      <c r="F49" s="44" t="str">
        <f>IF(SUMIFS('Detailed Budget'!$AE$5:$AE$1005,'Detailed Budget'!$L$5:$L$1005,$B49,'Detailed Budget'!$L$5:$L$1005,"&gt;0")&gt;0,SUMIFS('Detailed Budget'!$AE$5:$AE$1005,'Detailed Budget'!$L$5:$L$1005,$B49,'Detailed Budget'!$L$5:$L$1005,"&gt;0"),"")</f>
        <v/>
      </c>
      <c r="G49" s="44" t="str">
        <f>IF(SUMIFS('Detailed Budget'!$AG$5:$AG$1005,'Detailed Budget'!$L$5:$L$1005,$B49,'Detailed Budget'!$L$5:$L$1005,"&gt;0")&gt;0,SUMIFS('Detailed Budget'!$AG$5:$AG$1005,'Detailed Budget'!$L$5:$L$1005,$B49,'Detailed Budget'!$L$5:$L$1005,"&gt;0"),"")</f>
        <v/>
      </c>
      <c r="H49" s="45" t="str">
        <f>IF(SUMIFS('Detailed Budget'!$AI$5:$AI$1005,'Detailed Budget'!$L$5:$L$1005,$B49,'Detailed Budget'!$L$5:$L$1005,"&gt;0")&gt;0,SUMIFS('Detailed Budget'!$AI$5:$AI$1005,'Detailed Budget'!$L$5:$L$1005,$B49,'Detailed Budget'!$L$5:$L$1005,"&gt;0"),"")</f>
        <v/>
      </c>
      <c r="I49" s="44" t="str">
        <f>IF(SUMIFS('Detailed Budget'!$AN$5:$AN$1005,'Detailed Budget'!$L$5:$L$1005,$B49,'Detailed Budget'!$L$5:$L$1005,"&gt;0")&gt;0,SUMIFS('Detailed Budget'!$AN$5:$AN$1005,'Detailed Budget'!$L$5:$L$1005,$B49,'Detailed Budget'!$L$5:$L$1005,"&gt;0"),"")</f>
        <v/>
      </c>
      <c r="J49" s="44" t="str">
        <f>IF(SUMIFS('Detailed Budget'!$AP$5:$AP$1005,'Detailed Budget'!$L$5:$L$1005,$B49,'Detailed Budget'!$L$5:$L$1005,"&gt;0")&gt;0,SUMIFS('Detailed Budget'!$AP$5:$AP$1005,'Detailed Budget'!$L$5:$L$1005,$B49,'Detailed Budget'!$L$5:$L$1005,"&gt;0"),"")</f>
        <v/>
      </c>
      <c r="K49" s="44" t="str">
        <f>IF(SUMIFS('Detailed Budget'!$AR$5:$AR$1005,'Detailed Budget'!$L$5:$L$1005,$B49,'Detailed Budget'!$L$5:$L$1005,"&gt;0")&gt;0,SUMIFS('Detailed Budget'!$AR$5:$AR$1005,'Detailed Budget'!$L$5:$L$1005,$B49,'Detailed Budget'!$L$5:$L$1005,"&gt;0"),"")</f>
        <v/>
      </c>
      <c r="L49" s="44" t="str">
        <f>IF(SUMIFS('Detailed Budget'!$AT$5:$AT$1005,'Detailed Budget'!$L$5:$L$1005,$B49,'Detailed Budget'!$L$5:$L$1005,"&gt;0")&gt;0,SUMIFS('Detailed Budget'!$AT$5:$AT$1005,'Detailed Budget'!$L$5:$L$1005,$B49,'Detailed Budget'!$L$5:$L$1005,"&gt;0"),"")</f>
        <v/>
      </c>
      <c r="M49" s="45" t="str">
        <f>IF(SUMIFS('Detailed Budget'!$AV$5:$AV$1005,'Detailed Budget'!$L$5:$L$1005,$B49,'Detailed Budget'!$L$5:$L$1005,"&gt;0")&gt;0,SUMIFS('Detailed Budget'!$AV$5:$AV$1005,'Detailed Budget'!$L$5:$L$1005,$B49,'Detailed Budget'!$L$5:$L$1005,"&gt;0"),"")</f>
        <v/>
      </c>
      <c r="N49" s="44" t="str">
        <f>IF(SUMIFS('Detailed Budget'!$BA$5:$BA$1005,'Detailed Budget'!$L$5:$L$1005,$B49,'Detailed Budget'!$L$5:$L$1005,"&gt;0")&gt;0,SUMIFS('Detailed Budget'!$BA$5:$BA$1005,'Detailed Budget'!$L$5:$L$1005,$B49,'Detailed Budget'!$L$5:$L$1005,"&gt;0"),"")</f>
        <v/>
      </c>
      <c r="O49" s="44" t="str">
        <f>IF(SUMIFS('Detailed Budget'!$BC$5:$BC$1005,'Detailed Budget'!$L$5:$L$1005,$B49,'Detailed Budget'!$L$5:$L$1005,"&gt;0")&gt;0,SUMIFS('Detailed Budget'!$BC$5:$BC$1005,'Detailed Budget'!$L$5:$L$1005,$B49,'Detailed Budget'!$L$5:$L$1005,"&gt;0"),"")</f>
        <v/>
      </c>
      <c r="P49" s="44" t="str">
        <f>IF(SUMIFS('Detailed Budget'!$BE$5:$BE$1005,'Detailed Budget'!$L$5:$L$1005,$B49,'Detailed Budget'!$L$5:$L$1005,"&gt;0")&gt;0,SUMIFS('Detailed Budget'!$BE$5:$BE$1005,'Detailed Budget'!$L$5:$L$1005,$B49,'Detailed Budget'!$L$5:$L$1005,"&gt;0"),"")</f>
        <v/>
      </c>
      <c r="Q49" s="44" t="str">
        <f>IF(SUMIFS('Detailed Budget'!$BG$5:$BG$1005,'Detailed Budget'!$L$5:$L$1005,$B49,'Detailed Budget'!$L$5:$L$1005,"&gt;0")&gt;0,SUMIFS('Detailed Budget'!$BG$5:$BG$1005,'Detailed Budget'!$L$5:$L$1005,$B49,'Detailed Budget'!$L$5:$L$1005,"&gt;0"),"")</f>
        <v/>
      </c>
      <c r="R49" s="45" t="str">
        <f>IF(SUMIFS('Detailed Budget'!$BI$5:$BI$1005,'Detailed Budget'!$L$5:$L$1005,$B49,'Detailed Budget'!$L$5:$L$1005,"&gt;0")&gt;0,SUMIFS('Detailed Budget'!$BI$5:$BI$1005,'Detailed Budget'!$L$5:$L$1005,$B49,'Detailed Budget'!$L$5:$L$1005,"&gt;0"),"")</f>
        <v/>
      </c>
      <c r="S49" s="44" t="str">
        <f>IF(SUMIFS('Detailed Budget'!$BN$5:$BN$1005,'Detailed Budget'!$L$5:$L$1005,$B49,'Detailed Budget'!$L$5:$L$1005,"&gt;0")&gt;0,SUMIFS('Detailed Budget'!$BN$5:$BN$1005,'Detailed Budget'!$L$5:$L$1005,$B49,'Detailed Budget'!$L$5:$L$1005,"&gt;0"),"")</f>
        <v/>
      </c>
      <c r="T49" s="44" t="str">
        <f>IF(SUMIFS('Detailed Budget'!$BP$5:$BP$1005,'Detailed Budget'!$L$5:$L$1005,$B49,'Detailed Budget'!$L$5:$L$1005,"&gt;0")&gt;0,SUMIFS('Detailed Budget'!$BP$5:$BP$1005,'Detailed Budget'!$L$5:$L$1005,$B49,'Detailed Budget'!$L$5:$L$1005,"&gt;0"),"")</f>
        <v/>
      </c>
      <c r="U49" s="44" t="str">
        <f>IF(SUMIFS('Detailed Budget'!$BR$5:$BR$1005,'Detailed Budget'!$L$5:$L$1005,$B49,'Detailed Budget'!$L$5:$L$1005,"&gt;0")&gt;0,SUMIFS('Detailed Budget'!$BR$5:$BR$1005,'Detailed Budget'!$L$5:$L$1005,$B49,'Detailed Budget'!$L$5:$L$1005,"&gt;0"),"")</f>
        <v/>
      </c>
      <c r="V49" s="44" t="str">
        <f>IF(SUMIFS('Detailed Budget'!$BT$5:$BT$1005,'Detailed Budget'!$L$5:$L$1005,$B49,'Detailed Budget'!$L$5:$L$1005,"&gt;0")&gt;0,SUMIFS('Detailed Budget'!$BT$5:$BT$1005,'Detailed Budget'!$L$5:$L$1005,$B49,'Detailed Budget'!$L$5:$L$1005,"&gt;0"),"")</f>
        <v/>
      </c>
      <c r="W49" s="45" t="str">
        <f>IF(SUMIFS('Detailed Budget'!$BV$5:$BV$1005,'Detailed Budget'!$L$5:$L$1005,$B49,'Detailed Budget'!$L$5:$L$1005,"&gt;0")&gt;0,SUMIFS('Detailed Budget'!$BV$5:$BV$1005,'Detailed Budget'!$L$5:$L$1005,$B49,'Detailed Budget'!$L$5:$L$1005,"&gt;0"),"")</f>
        <v/>
      </c>
      <c r="X49" s="44" t="str">
        <f t="shared" ref="X49:X77" si="2">IF(SUM(H49,M49,R49,W49)&gt;0,SUM(H49,M49,R49,W49),"")</f>
        <v/>
      </c>
      <c r="Y49" s="124" t="str">
        <f t="shared" ref="Y49:Y77" si="3">IFERROR(X49/$X$107,"")</f>
        <v/>
      </c>
    </row>
    <row r="50" spans="1:25" hidden="1" x14ac:dyDescent="0.25">
      <c r="A50" s="35"/>
      <c r="B50" s="234" t="str">
        <f t="array" ref="B50">IFERROR(INDEX(CostInpNoList,MATCH(0,IF(ISBLANK(CostInpNoList),"",COUNTIF(B$16:B49,CostInpNoList)),0)),"")</f>
        <v/>
      </c>
      <c r="C50" s="372" t="str">
        <f>IFERROR(INDEX('Data Sheet'!$F$198:$F$275,MATCH(B50,'Data Sheet'!$G$198:$G$275,0)),"")</f>
        <v/>
      </c>
      <c r="D50" s="44" t="str">
        <f>IF(SUMIFS('Detailed Budget'!$AA$5:$AA$1005,'Detailed Budget'!$L$5:$L$1005,$B50,'Detailed Budget'!$L$5:$L$1005,"&gt;0")&gt;0,SUMIFS('Detailed Budget'!$AA$5:$AA$1005,'Detailed Budget'!$L$5:$L$1005,$B50,'Detailed Budget'!$L$5:$L$1005,"&gt;0"),"")</f>
        <v/>
      </c>
      <c r="E50" s="44" t="str">
        <f>IF(SUMIFS('Detailed Budget'!$AC$5:$AC$1005,'Detailed Budget'!$L$5:$L$1005,$B50,'Detailed Budget'!$L$5:$L$1005,"&gt;0")&gt;0,SUMIFS('Detailed Budget'!$AC$5:$AC$1005,'Detailed Budget'!$L$5:$L$1005,$B50,'Detailed Budget'!$L$5:$L$1005,"&gt;0"),"")</f>
        <v/>
      </c>
      <c r="F50" s="44" t="str">
        <f>IF(SUMIFS('Detailed Budget'!$AE$5:$AE$1005,'Detailed Budget'!$L$5:$L$1005,$B50,'Detailed Budget'!$L$5:$L$1005,"&gt;0")&gt;0,SUMIFS('Detailed Budget'!$AE$5:$AE$1005,'Detailed Budget'!$L$5:$L$1005,$B50,'Detailed Budget'!$L$5:$L$1005,"&gt;0"),"")</f>
        <v/>
      </c>
      <c r="G50" s="44" t="str">
        <f>IF(SUMIFS('Detailed Budget'!$AG$5:$AG$1005,'Detailed Budget'!$L$5:$L$1005,$B50,'Detailed Budget'!$L$5:$L$1005,"&gt;0")&gt;0,SUMIFS('Detailed Budget'!$AG$5:$AG$1005,'Detailed Budget'!$L$5:$L$1005,$B50,'Detailed Budget'!$L$5:$L$1005,"&gt;0"),"")</f>
        <v/>
      </c>
      <c r="H50" s="45" t="str">
        <f>IF(SUMIFS('Detailed Budget'!$AI$5:$AI$1005,'Detailed Budget'!$L$5:$L$1005,$B50,'Detailed Budget'!$L$5:$L$1005,"&gt;0")&gt;0,SUMIFS('Detailed Budget'!$AI$5:$AI$1005,'Detailed Budget'!$L$5:$L$1005,$B50,'Detailed Budget'!$L$5:$L$1005,"&gt;0"),"")</f>
        <v/>
      </c>
      <c r="I50" s="44" t="str">
        <f>IF(SUMIFS('Detailed Budget'!$AN$5:$AN$1005,'Detailed Budget'!$L$5:$L$1005,$B50,'Detailed Budget'!$L$5:$L$1005,"&gt;0")&gt;0,SUMIFS('Detailed Budget'!$AN$5:$AN$1005,'Detailed Budget'!$L$5:$L$1005,$B50,'Detailed Budget'!$L$5:$L$1005,"&gt;0"),"")</f>
        <v/>
      </c>
      <c r="J50" s="44" t="str">
        <f>IF(SUMIFS('Detailed Budget'!$AP$5:$AP$1005,'Detailed Budget'!$L$5:$L$1005,$B50,'Detailed Budget'!$L$5:$L$1005,"&gt;0")&gt;0,SUMIFS('Detailed Budget'!$AP$5:$AP$1005,'Detailed Budget'!$L$5:$L$1005,$B50,'Detailed Budget'!$L$5:$L$1005,"&gt;0"),"")</f>
        <v/>
      </c>
      <c r="K50" s="44" t="str">
        <f>IF(SUMIFS('Detailed Budget'!$AR$5:$AR$1005,'Detailed Budget'!$L$5:$L$1005,$B50,'Detailed Budget'!$L$5:$L$1005,"&gt;0")&gt;0,SUMIFS('Detailed Budget'!$AR$5:$AR$1005,'Detailed Budget'!$L$5:$L$1005,$B50,'Detailed Budget'!$L$5:$L$1005,"&gt;0"),"")</f>
        <v/>
      </c>
      <c r="L50" s="44" t="str">
        <f>IF(SUMIFS('Detailed Budget'!$AT$5:$AT$1005,'Detailed Budget'!$L$5:$L$1005,$B50,'Detailed Budget'!$L$5:$L$1005,"&gt;0")&gt;0,SUMIFS('Detailed Budget'!$AT$5:$AT$1005,'Detailed Budget'!$L$5:$L$1005,$B50,'Detailed Budget'!$L$5:$L$1005,"&gt;0"),"")</f>
        <v/>
      </c>
      <c r="M50" s="45" t="str">
        <f>IF(SUMIFS('Detailed Budget'!$AV$5:$AV$1005,'Detailed Budget'!$L$5:$L$1005,$B50,'Detailed Budget'!$L$5:$L$1005,"&gt;0")&gt;0,SUMIFS('Detailed Budget'!$AV$5:$AV$1005,'Detailed Budget'!$L$5:$L$1005,$B50,'Detailed Budget'!$L$5:$L$1005,"&gt;0"),"")</f>
        <v/>
      </c>
      <c r="N50" s="44" t="str">
        <f>IF(SUMIFS('Detailed Budget'!$BA$5:$BA$1005,'Detailed Budget'!$L$5:$L$1005,$B50,'Detailed Budget'!$L$5:$L$1005,"&gt;0")&gt;0,SUMIFS('Detailed Budget'!$BA$5:$BA$1005,'Detailed Budget'!$L$5:$L$1005,$B50,'Detailed Budget'!$L$5:$L$1005,"&gt;0"),"")</f>
        <v/>
      </c>
      <c r="O50" s="44" t="str">
        <f>IF(SUMIFS('Detailed Budget'!$BC$5:$BC$1005,'Detailed Budget'!$L$5:$L$1005,$B50,'Detailed Budget'!$L$5:$L$1005,"&gt;0")&gt;0,SUMIFS('Detailed Budget'!$BC$5:$BC$1005,'Detailed Budget'!$L$5:$L$1005,$B50,'Detailed Budget'!$L$5:$L$1005,"&gt;0"),"")</f>
        <v/>
      </c>
      <c r="P50" s="44" t="str">
        <f>IF(SUMIFS('Detailed Budget'!$BE$5:$BE$1005,'Detailed Budget'!$L$5:$L$1005,$B50,'Detailed Budget'!$L$5:$L$1005,"&gt;0")&gt;0,SUMIFS('Detailed Budget'!$BE$5:$BE$1005,'Detailed Budget'!$L$5:$L$1005,$B50,'Detailed Budget'!$L$5:$L$1005,"&gt;0"),"")</f>
        <v/>
      </c>
      <c r="Q50" s="44" t="str">
        <f>IF(SUMIFS('Detailed Budget'!$BG$5:$BG$1005,'Detailed Budget'!$L$5:$L$1005,$B50,'Detailed Budget'!$L$5:$L$1005,"&gt;0")&gt;0,SUMIFS('Detailed Budget'!$BG$5:$BG$1005,'Detailed Budget'!$L$5:$L$1005,$B50,'Detailed Budget'!$L$5:$L$1005,"&gt;0"),"")</f>
        <v/>
      </c>
      <c r="R50" s="45" t="str">
        <f>IF(SUMIFS('Detailed Budget'!$BI$5:$BI$1005,'Detailed Budget'!$L$5:$L$1005,$B50,'Detailed Budget'!$L$5:$L$1005,"&gt;0")&gt;0,SUMIFS('Detailed Budget'!$BI$5:$BI$1005,'Detailed Budget'!$L$5:$L$1005,$B50,'Detailed Budget'!$L$5:$L$1005,"&gt;0"),"")</f>
        <v/>
      </c>
      <c r="S50" s="44" t="str">
        <f>IF(SUMIFS('Detailed Budget'!$BN$5:$BN$1005,'Detailed Budget'!$L$5:$L$1005,$B50,'Detailed Budget'!$L$5:$L$1005,"&gt;0")&gt;0,SUMIFS('Detailed Budget'!$BN$5:$BN$1005,'Detailed Budget'!$L$5:$L$1005,$B50,'Detailed Budget'!$L$5:$L$1005,"&gt;0"),"")</f>
        <v/>
      </c>
      <c r="T50" s="44" t="str">
        <f>IF(SUMIFS('Detailed Budget'!$BP$5:$BP$1005,'Detailed Budget'!$L$5:$L$1005,$B50,'Detailed Budget'!$L$5:$L$1005,"&gt;0")&gt;0,SUMIFS('Detailed Budget'!$BP$5:$BP$1005,'Detailed Budget'!$L$5:$L$1005,$B50,'Detailed Budget'!$L$5:$L$1005,"&gt;0"),"")</f>
        <v/>
      </c>
      <c r="U50" s="44" t="str">
        <f>IF(SUMIFS('Detailed Budget'!$BR$5:$BR$1005,'Detailed Budget'!$L$5:$L$1005,$B50,'Detailed Budget'!$L$5:$L$1005,"&gt;0")&gt;0,SUMIFS('Detailed Budget'!$BR$5:$BR$1005,'Detailed Budget'!$L$5:$L$1005,$B50,'Detailed Budget'!$L$5:$L$1005,"&gt;0"),"")</f>
        <v/>
      </c>
      <c r="V50" s="44" t="str">
        <f>IF(SUMIFS('Detailed Budget'!$BT$5:$BT$1005,'Detailed Budget'!$L$5:$L$1005,$B50,'Detailed Budget'!$L$5:$L$1005,"&gt;0")&gt;0,SUMIFS('Detailed Budget'!$BT$5:$BT$1005,'Detailed Budget'!$L$5:$L$1005,$B50,'Detailed Budget'!$L$5:$L$1005,"&gt;0"),"")</f>
        <v/>
      </c>
      <c r="W50" s="45" t="str">
        <f>IF(SUMIFS('Detailed Budget'!$BV$5:$BV$1005,'Detailed Budget'!$L$5:$L$1005,$B50,'Detailed Budget'!$L$5:$L$1005,"&gt;0")&gt;0,SUMIFS('Detailed Budget'!$BV$5:$BV$1005,'Detailed Budget'!$L$5:$L$1005,$B50,'Detailed Budget'!$L$5:$L$1005,"&gt;0"),"")</f>
        <v/>
      </c>
      <c r="X50" s="44" t="str">
        <f t="shared" si="2"/>
        <v/>
      </c>
      <c r="Y50" s="124" t="str">
        <f t="shared" si="3"/>
        <v/>
      </c>
    </row>
    <row r="51" spans="1:25" hidden="1" x14ac:dyDescent="0.25">
      <c r="A51" s="35"/>
      <c r="B51" s="234" t="str">
        <f t="array" ref="B51">IFERROR(INDEX(CostInpNoList,MATCH(0,IF(ISBLANK(CostInpNoList),"",COUNTIF(B$16:B50,CostInpNoList)),0)),"")</f>
        <v/>
      </c>
      <c r="C51" s="372" t="str">
        <f>IFERROR(INDEX('Data Sheet'!$F$198:$F$275,MATCH(B51,'Data Sheet'!$G$198:$G$275,0)),"")</f>
        <v/>
      </c>
      <c r="D51" s="44" t="str">
        <f>IF(SUMIFS('Detailed Budget'!$AA$5:$AA$1005,'Detailed Budget'!$L$5:$L$1005,$B51,'Detailed Budget'!$L$5:$L$1005,"&gt;0")&gt;0,SUMIFS('Detailed Budget'!$AA$5:$AA$1005,'Detailed Budget'!$L$5:$L$1005,$B51,'Detailed Budget'!$L$5:$L$1005,"&gt;0"),"")</f>
        <v/>
      </c>
      <c r="E51" s="44" t="str">
        <f>IF(SUMIFS('Detailed Budget'!$AC$5:$AC$1005,'Detailed Budget'!$L$5:$L$1005,$B51,'Detailed Budget'!$L$5:$L$1005,"&gt;0")&gt;0,SUMIFS('Detailed Budget'!$AC$5:$AC$1005,'Detailed Budget'!$L$5:$L$1005,$B51,'Detailed Budget'!$L$5:$L$1005,"&gt;0"),"")</f>
        <v/>
      </c>
      <c r="F51" s="44" t="str">
        <f>IF(SUMIFS('Detailed Budget'!$AE$5:$AE$1005,'Detailed Budget'!$L$5:$L$1005,$B51,'Detailed Budget'!$L$5:$L$1005,"&gt;0")&gt;0,SUMIFS('Detailed Budget'!$AE$5:$AE$1005,'Detailed Budget'!$L$5:$L$1005,$B51,'Detailed Budget'!$L$5:$L$1005,"&gt;0"),"")</f>
        <v/>
      </c>
      <c r="G51" s="44" t="str">
        <f>IF(SUMIFS('Detailed Budget'!$AG$5:$AG$1005,'Detailed Budget'!$L$5:$L$1005,$B51,'Detailed Budget'!$L$5:$L$1005,"&gt;0")&gt;0,SUMIFS('Detailed Budget'!$AG$5:$AG$1005,'Detailed Budget'!$L$5:$L$1005,$B51,'Detailed Budget'!$L$5:$L$1005,"&gt;0"),"")</f>
        <v/>
      </c>
      <c r="H51" s="45" t="str">
        <f>IF(SUMIFS('Detailed Budget'!$AI$5:$AI$1005,'Detailed Budget'!$L$5:$L$1005,$B51,'Detailed Budget'!$L$5:$L$1005,"&gt;0")&gt;0,SUMIFS('Detailed Budget'!$AI$5:$AI$1005,'Detailed Budget'!$L$5:$L$1005,$B51,'Detailed Budget'!$L$5:$L$1005,"&gt;0"),"")</f>
        <v/>
      </c>
      <c r="I51" s="44" t="str">
        <f>IF(SUMIFS('Detailed Budget'!$AN$5:$AN$1005,'Detailed Budget'!$L$5:$L$1005,$B51,'Detailed Budget'!$L$5:$L$1005,"&gt;0")&gt;0,SUMIFS('Detailed Budget'!$AN$5:$AN$1005,'Detailed Budget'!$L$5:$L$1005,$B51,'Detailed Budget'!$L$5:$L$1005,"&gt;0"),"")</f>
        <v/>
      </c>
      <c r="J51" s="44" t="str">
        <f>IF(SUMIFS('Detailed Budget'!$AP$5:$AP$1005,'Detailed Budget'!$L$5:$L$1005,$B51,'Detailed Budget'!$L$5:$L$1005,"&gt;0")&gt;0,SUMIFS('Detailed Budget'!$AP$5:$AP$1005,'Detailed Budget'!$L$5:$L$1005,$B51,'Detailed Budget'!$L$5:$L$1005,"&gt;0"),"")</f>
        <v/>
      </c>
      <c r="K51" s="44" t="str">
        <f>IF(SUMIFS('Detailed Budget'!$AR$5:$AR$1005,'Detailed Budget'!$L$5:$L$1005,$B51,'Detailed Budget'!$L$5:$L$1005,"&gt;0")&gt;0,SUMIFS('Detailed Budget'!$AR$5:$AR$1005,'Detailed Budget'!$L$5:$L$1005,$B51,'Detailed Budget'!$L$5:$L$1005,"&gt;0"),"")</f>
        <v/>
      </c>
      <c r="L51" s="44" t="str">
        <f>IF(SUMIFS('Detailed Budget'!$AT$5:$AT$1005,'Detailed Budget'!$L$5:$L$1005,$B51,'Detailed Budget'!$L$5:$L$1005,"&gt;0")&gt;0,SUMIFS('Detailed Budget'!$AT$5:$AT$1005,'Detailed Budget'!$L$5:$L$1005,$B51,'Detailed Budget'!$L$5:$L$1005,"&gt;0"),"")</f>
        <v/>
      </c>
      <c r="M51" s="45" t="str">
        <f>IF(SUMIFS('Detailed Budget'!$AV$5:$AV$1005,'Detailed Budget'!$L$5:$L$1005,$B51,'Detailed Budget'!$L$5:$L$1005,"&gt;0")&gt;0,SUMIFS('Detailed Budget'!$AV$5:$AV$1005,'Detailed Budget'!$L$5:$L$1005,$B51,'Detailed Budget'!$L$5:$L$1005,"&gt;0"),"")</f>
        <v/>
      </c>
      <c r="N51" s="44" t="str">
        <f>IF(SUMIFS('Detailed Budget'!$BA$5:$BA$1005,'Detailed Budget'!$L$5:$L$1005,$B51,'Detailed Budget'!$L$5:$L$1005,"&gt;0")&gt;0,SUMIFS('Detailed Budget'!$BA$5:$BA$1005,'Detailed Budget'!$L$5:$L$1005,$B51,'Detailed Budget'!$L$5:$L$1005,"&gt;0"),"")</f>
        <v/>
      </c>
      <c r="O51" s="44" t="str">
        <f>IF(SUMIFS('Detailed Budget'!$BC$5:$BC$1005,'Detailed Budget'!$L$5:$L$1005,$B51,'Detailed Budget'!$L$5:$L$1005,"&gt;0")&gt;0,SUMIFS('Detailed Budget'!$BC$5:$BC$1005,'Detailed Budget'!$L$5:$L$1005,$B51,'Detailed Budget'!$L$5:$L$1005,"&gt;0"),"")</f>
        <v/>
      </c>
      <c r="P51" s="44" t="str">
        <f>IF(SUMIFS('Detailed Budget'!$BE$5:$BE$1005,'Detailed Budget'!$L$5:$L$1005,$B51,'Detailed Budget'!$L$5:$L$1005,"&gt;0")&gt;0,SUMIFS('Detailed Budget'!$BE$5:$BE$1005,'Detailed Budget'!$L$5:$L$1005,$B51,'Detailed Budget'!$L$5:$L$1005,"&gt;0"),"")</f>
        <v/>
      </c>
      <c r="Q51" s="44" t="str">
        <f>IF(SUMIFS('Detailed Budget'!$BG$5:$BG$1005,'Detailed Budget'!$L$5:$L$1005,$B51,'Detailed Budget'!$L$5:$L$1005,"&gt;0")&gt;0,SUMIFS('Detailed Budget'!$BG$5:$BG$1005,'Detailed Budget'!$L$5:$L$1005,$B51,'Detailed Budget'!$L$5:$L$1005,"&gt;0"),"")</f>
        <v/>
      </c>
      <c r="R51" s="45" t="str">
        <f>IF(SUMIFS('Detailed Budget'!$BI$5:$BI$1005,'Detailed Budget'!$L$5:$L$1005,$B51,'Detailed Budget'!$L$5:$L$1005,"&gt;0")&gt;0,SUMIFS('Detailed Budget'!$BI$5:$BI$1005,'Detailed Budget'!$L$5:$L$1005,$B51,'Detailed Budget'!$L$5:$L$1005,"&gt;0"),"")</f>
        <v/>
      </c>
      <c r="S51" s="44" t="str">
        <f>IF(SUMIFS('Detailed Budget'!$BN$5:$BN$1005,'Detailed Budget'!$L$5:$L$1005,$B51,'Detailed Budget'!$L$5:$L$1005,"&gt;0")&gt;0,SUMIFS('Detailed Budget'!$BN$5:$BN$1005,'Detailed Budget'!$L$5:$L$1005,$B51,'Detailed Budget'!$L$5:$L$1005,"&gt;0"),"")</f>
        <v/>
      </c>
      <c r="T51" s="44" t="str">
        <f>IF(SUMIFS('Detailed Budget'!$BP$5:$BP$1005,'Detailed Budget'!$L$5:$L$1005,$B51,'Detailed Budget'!$L$5:$L$1005,"&gt;0")&gt;0,SUMIFS('Detailed Budget'!$BP$5:$BP$1005,'Detailed Budget'!$L$5:$L$1005,$B51,'Detailed Budget'!$L$5:$L$1005,"&gt;0"),"")</f>
        <v/>
      </c>
      <c r="U51" s="44" t="str">
        <f>IF(SUMIFS('Detailed Budget'!$BR$5:$BR$1005,'Detailed Budget'!$L$5:$L$1005,$B51,'Detailed Budget'!$L$5:$L$1005,"&gt;0")&gt;0,SUMIFS('Detailed Budget'!$BR$5:$BR$1005,'Detailed Budget'!$L$5:$L$1005,$B51,'Detailed Budget'!$L$5:$L$1005,"&gt;0"),"")</f>
        <v/>
      </c>
      <c r="V51" s="44" t="str">
        <f>IF(SUMIFS('Detailed Budget'!$BT$5:$BT$1005,'Detailed Budget'!$L$5:$L$1005,$B51,'Detailed Budget'!$L$5:$L$1005,"&gt;0")&gt;0,SUMIFS('Detailed Budget'!$BT$5:$BT$1005,'Detailed Budget'!$L$5:$L$1005,$B51,'Detailed Budget'!$L$5:$L$1005,"&gt;0"),"")</f>
        <v/>
      </c>
      <c r="W51" s="45" t="str">
        <f>IF(SUMIFS('Detailed Budget'!$BV$5:$BV$1005,'Detailed Budget'!$L$5:$L$1005,$B51,'Detailed Budget'!$L$5:$L$1005,"&gt;0")&gt;0,SUMIFS('Detailed Budget'!$BV$5:$BV$1005,'Detailed Budget'!$L$5:$L$1005,$B51,'Detailed Budget'!$L$5:$L$1005,"&gt;0"),"")</f>
        <v/>
      </c>
      <c r="X51" s="44" t="str">
        <f t="shared" si="2"/>
        <v/>
      </c>
      <c r="Y51" s="124" t="str">
        <f t="shared" si="3"/>
        <v/>
      </c>
    </row>
    <row r="52" spans="1:25" hidden="1" x14ac:dyDescent="0.25">
      <c r="A52" s="35"/>
      <c r="B52" s="234" t="str">
        <f t="array" ref="B52">IFERROR(INDEX(CostInpNoList,MATCH(0,IF(ISBLANK(CostInpNoList),"",COUNTIF(B$16:B51,CostInpNoList)),0)),"")</f>
        <v/>
      </c>
      <c r="C52" s="372" t="str">
        <f>IFERROR(INDEX('Data Sheet'!$F$198:$F$275,MATCH(B52,'Data Sheet'!$G$198:$G$275,0)),"")</f>
        <v/>
      </c>
      <c r="D52" s="44" t="str">
        <f>IF(SUMIFS('Detailed Budget'!$AA$5:$AA$1005,'Detailed Budget'!$L$5:$L$1005,$B52,'Detailed Budget'!$L$5:$L$1005,"&gt;0")&gt;0,SUMIFS('Detailed Budget'!$AA$5:$AA$1005,'Detailed Budget'!$L$5:$L$1005,$B52,'Detailed Budget'!$L$5:$L$1005,"&gt;0"),"")</f>
        <v/>
      </c>
      <c r="E52" s="44" t="str">
        <f>IF(SUMIFS('Detailed Budget'!$AC$5:$AC$1005,'Detailed Budget'!$L$5:$L$1005,$B52,'Detailed Budget'!$L$5:$L$1005,"&gt;0")&gt;0,SUMIFS('Detailed Budget'!$AC$5:$AC$1005,'Detailed Budget'!$L$5:$L$1005,$B52,'Detailed Budget'!$L$5:$L$1005,"&gt;0"),"")</f>
        <v/>
      </c>
      <c r="F52" s="44" t="str">
        <f>IF(SUMIFS('Detailed Budget'!$AE$5:$AE$1005,'Detailed Budget'!$L$5:$L$1005,$B52,'Detailed Budget'!$L$5:$L$1005,"&gt;0")&gt;0,SUMIFS('Detailed Budget'!$AE$5:$AE$1005,'Detailed Budget'!$L$5:$L$1005,$B52,'Detailed Budget'!$L$5:$L$1005,"&gt;0"),"")</f>
        <v/>
      </c>
      <c r="G52" s="44" t="str">
        <f>IF(SUMIFS('Detailed Budget'!$AG$5:$AG$1005,'Detailed Budget'!$L$5:$L$1005,$B52,'Detailed Budget'!$L$5:$L$1005,"&gt;0")&gt;0,SUMIFS('Detailed Budget'!$AG$5:$AG$1005,'Detailed Budget'!$L$5:$L$1005,$B52,'Detailed Budget'!$L$5:$L$1005,"&gt;0"),"")</f>
        <v/>
      </c>
      <c r="H52" s="45" t="str">
        <f>IF(SUMIFS('Detailed Budget'!$AI$5:$AI$1005,'Detailed Budget'!$L$5:$L$1005,$B52,'Detailed Budget'!$L$5:$L$1005,"&gt;0")&gt;0,SUMIFS('Detailed Budget'!$AI$5:$AI$1005,'Detailed Budget'!$L$5:$L$1005,$B52,'Detailed Budget'!$L$5:$L$1005,"&gt;0"),"")</f>
        <v/>
      </c>
      <c r="I52" s="44" t="str">
        <f>IF(SUMIFS('Detailed Budget'!$AN$5:$AN$1005,'Detailed Budget'!$L$5:$L$1005,$B52,'Detailed Budget'!$L$5:$L$1005,"&gt;0")&gt;0,SUMIFS('Detailed Budget'!$AN$5:$AN$1005,'Detailed Budget'!$L$5:$L$1005,$B52,'Detailed Budget'!$L$5:$L$1005,"&gt;0"),"")</f>
        <v/>
      </c>
      <c r="J52" s="44" t="str">
        <f>IF(SUMIFS('Detailed Budget'!$AP$5:$AP$1005,'Detailed Budget'!$L$5:$L$1005,$B52,'Detailed Budget'!$L$5:$L$1005,"&gt;0")&gt;0,SUMIFS('Detailed Budget'!$AP$5:$AP$1005,'Detailed Budget'!$L$5:$L$1005,$B52,'Detailed Budget'!$L$5:$L$1005,"&gt;0"),"")</f>
        <v/>
      </c>
      <c r="K52" s="44" t="str">
        <f>IF(SUMIFS('Detailed Budget'!$AR$5:$AR$1005,'Detailed Budget'!$L$5:$L$1005,$B52,'Detailed Budget'!$L$5:$L$1005,"&gt;0")&gt;0,SUMIFS('Detailed Budget'!$AR$5:$AR$1005,'Detailed Budget'!$L$5:$L$1005,$B52,'Detailed Budget'!$L$5:$L$1005,"&gt;0"),"")</f>
        <v/>
      </c>
      <c r="L52" s="44" t="str">
        <f>IF(SUMIFS('Detailed Budget'!$AT$5:$AT$1005,'Detailed Budget'!$L$5:$L$1005,$B52,'Detailed Budget'!$L$5:$L$1005,"&gt;0")&gt;0,SUMIFS('Detailed Budget'!$AT$5:$AT$1005,'Detailed Budget'!$L$5:$L$1005,$B52,'Detailed Budget'!$L$5:$L$1005,"&gt;0"),"")</f>
        <v/>
      </c>
      <c r="M52" s="45" t="str">
        <f>IF(SUMIFS('Detailed Budget'!$AV$5:$AV$1005,'Detailed Budget'!$L$5:$L$1005,$B52,'Detailed Budget'!$L$5:$L$1005,"&gt;0")&gt;0,SUMIFS('Detailed Budget'!$AV$5:$AV$1005,'Detailed Budget'!$L$5:$L$1005,$B52,'Detailed Budget'!$L$5:$L$1005,"&gt;0"),"")</f>
        <v/>
      </c>
      <c r="N52" s="44" t="str">
        <f>IF(SUMIFS('Detailed Budget'!$BA$5:$BA$1005,'Detailed Budget'!$L$5:$L$1005,$B52,'Detailed Budget'!$L$5:$L$1005,"&gt;0")&gt;0,SUMIFS('Detailed Budget'!$BA$5:$BA$1005,'Detailed Budget'!$L$5:$L$1005,$B52,'Detailed Budget'!$L$5:$L$1005,"&gt;0"),"")</f>
        <v/>
      </c>
      <c r="O52" s="44" t="str">
        <f>IF(SUMIFS('Detailed Budget'!$BC$5:$BC$1005,'Detailed Budget'!$L$5:$L$1005,$B52,'Detailed Budget'!$L$5:$L$1005,"&gt;0")&gt;0,SUMIFS('Detailed Budget'!$BC$5:$BC$1005,'Detailed Budget'!$L$5:$L$1005,$B52,'Detailed Budget'!$L$5:$L$1005,"&gt;0"),"")</f>
        <v/>
      </c>
      <c r="P52" s="44" t="str">
        <f>IF(SUMIFS('Detailed Budget'!$BE$5:$BE$1005,'Detailed Budget'!$L$5:$L$1005,$B52,'Detailed Budget'!$L$5:$L$1005,"&gt;0")&gt;0,SUMIFS('Detailed Budget'!$BE$5:$BE$1005,'Detailed Budget'!$L$5:$L$1005,$B52,'Detailed Budget'!$L$5:$L$1005,"&gt;0"),"")</f>
        <v/>
      </c>
      <c r="Q52" s="44" t="str">
        <f>IF(SUMIFS('Detailed Budget'!$BG$5:$BG$1005,'Detailed Budget'!$L$5:$L$1005,$B52,'Detailed Budget'!$L$5:$L$1005,"&gt;0")&gt;0,SUMIFS('Detailed Budget'!$BG$5:$BG$1005,'Detailed Budget'!$L$5:$L$1005,$B52,'Detailed Budget'!$L$5:$L$1005,"&gt;0"),"")</f>
        <v/>
      </c>
      <c r="R52" s="45" t="str">
        <f>IF(SUMIFS('Detailed Budget'!$BI$5:$BI$1005,'Detailed Budget'!$L$5:$L$1005,$B52,'Detailed Budget'!$L$5:$L$1005,"&gt;0")&gt;0,SUMIFS('Detailed Budget'!$BI$5:$BI$1005,'Detailed Budget'!$L$5:$L$1005,$B52,'Detailed Budget'!$L$5:$L$1005,"&gt;0"),"")</f>
        <v/>
      </c>
      <c r="S52" s="44" t="str">
        <f>IF(SUMIFS('Detailed Budget'!$BN$5:$BN$1005,'Detailed Budget'!$L$5:$L$1005,$B52,'Detailed Budget'!$L$5:$L$1005,"&gt;0")&gt;0,SUMIFS('Detailed Budget'!$BN$5:$BN$1005,'Detailed Budget'!$L$5:$L$1005,$B52,'Detailed Budget'!$L$5:$L$1005,"&gt;0"),"")</f>
        <v/>
      </c>
      <c r="T52" s="44" t="str">
        <f>IF(SUMIFS('Detailed Budget'!$BP$5:$BP$1005,'Detailed Budget'!$L$5:$L$1005,$B52,'Detailed Budget'!$L$5:$L$1005,"&gt;0")&gt;0,SUMIFS('Detailed Budget'!$BP$5:$BP$1005,'Detailed Budget'!$L$5:$L$1005,$B52,'Detailed Budget'!$L$5:$L$1005,"&gt;0"),"")</f>
        <v/>
      </c>
      <c r="U52" s="44" t="str">
        <f>IF(SUMIFS('Detailed Budget'!$BR$5:$BR$1005,'Detailed Budget'!$L$5:$L$1005,$B52,'Detailed Budget'!$L$5:$L$1005,"&gt;0")&gt;0,SUMIFS('Detailed Budget'!$BR$5:$BR$1005,'Detailed Budget'!$L$5:$L$1005,$B52,'Detailed Budget'!$L$5:$L$1005,"&gt;0"),"")</f>
        <v/>
      </c>
      <c r="V52" s="44" t="str">
        <f>IF(SUMIFS('Detailed Budget'!$BT$5:$BT$1005,'Detailed Budget'!$L$5:$L$1005,$B52,'Detailed Budget'!$L$5:$L$1005,"&gt;0")&gt;0,SUMIFS('Detailed Budget'!$BT$5:$BT$1005,'Detailed Budget'!$L$5:$L$1005,$B52,'Detailed Budget'!$L$5:$L$1005,"&gt;0"),"")</f>
        <v/>
      </c>
      <c r="W52" s="45" t="str">
        <f>IF(SUMIFS('Detailed Budget'!$BV$5:$BV$1005,'Detailed Budget'!$L$5:$L$1005,$B52,'Detailed Budget'!$L$5:$L$1005,"&gt;0")&gt;0,SUMIFS('Detailed Budget'!$BV$5:$BV$1005,'Detailed Budget'!$L$5:$L$1005,$B52,'Detailed Budget'!$L$5:$L$1005,"&gt;0"),"")</f>
        <v/>
      </c>
      <c r="X52" s="44" t="str">
        <f t="shared" si="2"/>
        <v/>
      </c>
      <c r="Y52" s="124" t="str">
        <f t="shared" si="3"/>
        <v/>
      </c>
    </row>
    <row r="53" spans="1:25" hidden="1" x14ac:dyDescent="0.25">
      <c r="A53" s="35"/>
      <c r="B53" s="234" t="str">
        <f t="array" ref="B53">IFERROR(INDEX(CostInpNoList,MATCH(0,IF(ISBLANK(CostInpNoList),"",COUNTIF(B$16:B52,CostInpNoList)),0)),"")</f>
        <v/>
      </c>
      <c r="C53" s="372" t="str">
        <f>IFERROR(INDEX('Data Sheet'!$F$198:$F$275,MATCH(B53,'Data Sheet'!$G$198:$G$275,0)),"")</f>
        <v/>
      </c>
      <c r="D53" s="44" t="str">
        <f>IF(SUMIFS('Detailed Budget'!$AA$5:$AA$1005,'Detailed Budget'!$L$5:$L$1005,$B53,'Detailed Budget'!$L$5:$L$1005,"&gt;0")&gt;0,SUMIFS('Detailed Budget'!$AA$5:$AA$1005,'Detailed Budget'!$L$5:$L$1005,$B53,'Detailed Budget'!$L$5:$L$1005,"&gt;0"),"")</f>
        <v/>
      </c>
      <c r="E53" s="44" t="str">
        <f>IF(SUMIFS('Detailed Budget'!$AC$5:$AC$1005,'Detailed Budget'!$L$5:$L$1005,$B53,'Detailed Budget'!$L$5:$L$1005,"&gt;0")&gt;0,SUMIFS('Detailed Budget'!$AC$5:$AC$1005,'Detailed Budget'!$L$5:$L$1005,$B53,'Detailed Budget'!$L$5:$L$1005,"&gt;0"),"")</f>
        <v/>
      </c>
      <c r="F53" s="44" t="str">
        <f>IF(SUMIFS('Detailed Budget'!$AE$5:$AE$1005,'Detailed Budget'!$L$5:$L$1005,$B53,'Detailed Budget'!$L$5:$L$1005,"&gt;0")&gt;0,SUMIFS('Detailed Budget'!$AE$5:$AE$1005,'Detailed Budget'!$L$5:$L$1005,$B53,'Detailed Budget'!$L$5:$L$1005,"&gt;0"),"")</f>
        <v/>
      </c>
      <c r="G53" s="44" t="str">
        <f>IF(SUMIFS('Detailed Budget'!$AG$5:$AG$1005,'Detailed Budget'!$L$5:$L$1005,$B53,'Detailed Budget'!$L$5:$L$1005,"&gt;0")&gt;0,SUMIFS('Detailed Budget'!$AG$5:$AG$1005,'Detailed Budget'!$L$5:$L$1005,$B53,'Detailed Budget'!$L$5:$L$1005,"&gt;0"),"")</f>
        <v/>
      </c>
      <c r="H53" s="45" t="str">
        <f>IF(SUMIFS('Detailed Budget'!$AI$5:$AI$1005,'Detailed Budget'!$L$5:$L$1005,$B53,'Detailed Budget'!$L$5:$L$1005,"&gt;0")&gt;0,SUMIFS('Detailed Budget'!$AI$5:$AI$1005,'Detailed Budget'!$L$5:$L$1005,$B53,'Detailed Budget'!$L$5:$L$1005,"&gt;0"),"")</f>
        <v/>
      </c>
      <c r="I53" s="44" t="str">
        <f>IF(SUMIFS('Detailed Budget'!$AN$5:$AN$1005,'Detailed Budget'!$L$5:$L$1005,$B53,'Detailed Budget'!$L$5:$L$1005,"&gt;0")&gt;0,SUMIFS('Detailed Budget'!$AN$5:$AN$1005,'Detailed Budget'!$L$5:$L$1005,$B53,'Detailed Budget'!$L$5:$L$1005,"&gt;0"),"")</f>
        <v/>
      </c>
      <c r="J53" s="44" t="str">
        <f>IF(SUMIFS('Detailed Budget'!$AP$5:$AP$1005,'Detailed Budget'!$L$5:$L$1005,$B53,'Detailed Budget'!$L$5:$L$1005,"&gt;0")&gt;0,SUMIFS('Detailed Budget'!$AP$5:$AP$1005,'Detailed Budget'!$L$5:$L$1005,$B53,'Detailed Budget'!$L$5:$L$1005,"&gt;0"),"")</f>
        <v/>
      </c>
      <c r="K53" s="44" t="str">
        <f>IF(SUMIFS('Detailed Budget'!$AR$5:$AR$1005,'Detailed Budget'!$L$5:$L$1005,$B53,'Detailed Budget'!$L$5:$L$1005,"&gt;0")&gt;0,SUMIFS('Detailed Budget'!$AR$5:$AR$1005,'Detailed Budget'!$L$5:$L$1005,$B53,'Detailed Budget'!$L$5:$L$1005,"&gt;0"),"")</f>
        <v/>
      </c>
      <c r="L53" s="44" t="str">
        <f>IF(SUMIFS('Detailed Budget'!$AT$5:$AT$1005,'Detailed Budget'!$L$5:$L$1005,$B53,'Detailed Budget'!$L$5:$L$1005,"&gt;0")&gt;0,SUMIFS('Detailed Budget'!$AT$5:$AT$1005,'Detailed Budget'!$L$5:$L$1005,$B53,'Detailed Budget'!$L$5:$L$1005,"&gt;0"),"")</f>
        <v/>
      </c>
      <c r="M53" s="45" t="str">
        <f>IF(SUMIFS('Detailed Budget'!$AV$5:$AV$1005,'Detailed Budget'!$L$5:$L$1005,$B53,'Detailed Budget'!$L$5:$L$1005,"&gt;0")&gt;0,SUMIFS('Detailed Budget'!$AV$5:$AV$1005,'Detailed Budget'!$L$5:$L$1005,$B53,'Detailed Budget'!$L$5:$L$1005,"&gt;0"),"")</f>
        <v/>
      </c>
      <c r="N53" s="44" t="str">
        <f>IF(SUMIFS('Detailed Budget'!$BA$5:$BA$1005,'Detailed Budget'!$L$5:$L$1005,$B53,'Detailed Budget'!$L$5:$L$1005,"&gt;0")&gt;0,SUMIFS('Detailed Budget'!$BA$5:$BA$1005,'Detailed Budget'!$L$5:$L$1005,$B53,'Detailed Budget'!$L$5:$L$1005,"&gt;0"),"")</f>
        <v/>
      </c>
      <c r="O53" s="44" t="str">
        <f>IF(SUMIFS('Detailed Budget'!$BC$5:$BC$1005,'Detailed Budget'!$L$5:$L$1005,$B53,'Detailed Budget'!$L$5:$L$1005,"&gt;0")&gt;0,SUMIFS('Detailed Budget'!$BC$5:$BC$1005,'Detailed Budget'!$L$5:$L$1005,$B53,'Detailed Budget'!$L$5:$L$1005,"&gt;0"),"")</f>
        <v/>
      </c>
      <c r="P53" s="44" t="str">
        <f>IF(SUMIFS('Detailed Budget'!$BE$5:$BE$1005,'Detailed Budget'!$L$5:$L$1005,$B53,'Detailed Budget'!$L$5:$L$1005,"&gt;0")&gt;0,SUMIFS('Detailed Budget'!$BE$5:$BE$1005,'Detailed Budget'!$L$5:$L$1005,$B53,'Detailed Budget'!$L$5:$L$1005,"&gt;0"),"")</f>
        <v/>
      </c>
      <c r="Q53" s="44" t="str">
        <f>IF(SUMIFS('Detailed Budget'!$BG$5:$BG$1005,'Detailed Budget'!$L$5:$L$1005,$B53,'Detailed Budget'!$L$5:$L$1005,"&gt;0")&gt;0,SUMIFS('Detailed Budget'!$BG$5:$BG$1005,'Detailed Budget'!$L$5:$L$1005,$B53,'Detailed Budget'!$L$5:$L$1005,"&gt;0"),"")</f>
        <v/>
      </c>
      <c r="R53" s="45" t="str">
        <f>IF(SUMIFS('Detailed Budget'!$BI$5:$BI$1005,'Detailed Budget'!$L$5:$L$1005,$B53,'Detailed Budget'!$L$5:$L$1005,"&gt;0")&gt;0,SUMIFS('Detailed Budget'!$BI$5:$BI$1005,'Detailed Budget'!$L$5:$L$1005,$B53,'Detailed Budget'!$L$5:$L$1005,"&gt;0"),"")</f>
        <v/>
      </c>
      <c r="S53" s="44" t="str">
        <f>IF(SUMIFS('Detailed Budget'!$BN$5:$BN$1005,'Detailed Budget'!$L$5:$L$1005,$B53,'Detailed Budget'!$L$5:$L$1005,"&gt;0")&gt;0,SUMIFS('Detailed Budget'!$BN$5:$BN$1005,'Detailed Budget'!$L$5:$L$1005,$B53,'Detailed Budget'!$L$5:$L$1005,"&gt;0"),"")</f>
        <v/>
      </c>
      <c r="T53" s="44" t="str">
        <f>IF(SUMIFS('Detailed Budget'!$BP$5:$BP$1005,'Detailed Budget'!$L$5:$L$1005,$B53,'Detailed Budget'!$L$5:$L$1005,"&gt;0")&gt;0,SUMIFS('Detailed Budget'!$BP$5:$BP$1005,'Detailed Budget'!$L$5:$L$1005,$B53,'Detailed Budget'!$L$5:$L$1005,"&gt;0"),"")</f>
        <v/>
      </c>
      <c r="U53" s="44" t="str">
        <f>IF(SUMIFS('Detailed Budget'!$BR$5:$BR$1005,'Detailed Budget'!$L$5:$L$1005,$B53,'Detailed Budget'!$L$5:$L$1005,"&gt;0")&gt;0,SUMIFS('Detailed Budget'!$BR$5:$BR$1005,'Detailed Budget'!$L$5:$L$1005,$B53,'Detailed Budget'!$L$5:$L$1005,"&gt;0"),"")</f>
        <v/>
      </c>
      <c r="V53" s="44" t="str">
        <f>IF(SUMIFS('Detailed Budget'!$BT$5:$BT$1005,'Detailed Budget'!$L$5:$L$1005,$B53,'Detailed Budget'!$L$5:$L$1005,"&gt;0")&gt;0,SUMIFS('Detailed Budget'!$BT$5:$BT$1005,'Detailed Budget'!$L$5:$L$1005,$B53,'Detailed Budget'!$L$5:$L$1005,"&gt;0"),"")</f>
        <v/>
      </c>
      <c r="W53" s="45" t="str">
        <f>IF(SUMIFS('Detailed Budget'!$BV$5:$BV$1005,'Detailed Budget'!$L$5:$L$1005,$B53,'Detailed Budget'!$L$5:$L$1005,"&gt;0")&gt;0,SUMIFS('Detailed Budget'!$BV$5:$BV$1005,'Detailed Budget'!$L$5:$L$1005,$B53,'Detailed Budget'!$L$5:$L$1005,"&gt;0"),"")</f>
        <v/>
      </c>
      <c r="X53" s="44" t="str">
        <f t="shared" si="2"/>
        <v/>
      </c>
      <c r="Y53" s="124" t="str">
        <f t="shared" si="3"/>
        <v/>
      </c>
    </row>
    <row r="54" spans="1:25" hidden="1" x14ac:dyDescent="0.25">
      <c r="A54" s="35"/>
      <c r="B54" s="234" t="str">
        <f t="array" ref="B54">IFERROR(INDEX(CostInpNoList,MATCH(0,IF(ISBLANK(CostInpNoList),"",COUNTIF(B$16:B53,CostInpNoList)),0)),"")</f>
        <v/>
      </c>
      <c r="C54" s="372" t="str">
        <f>IFERROR(INDEX('Data Sheet'!$F$198:$F$275,MATCH(B54,'Data Sheet'!$G$198:$G$275,0)),"")</f>
        <v/>
      </c>
      <c r="D54" s="44" t="str">
        <f>IF(SUMIFS('Detailed Budget'!$AA$5:$AA$1005,'Detailed Budget'!$L$5:$L$1005,$B54,'Detailed Budget'!$L$5:$L$1005,"&gt;0")&gt;0,SUMIFS('Detailed Budget'!$AA$5:$AA$1005,'Detailed Budget'!$L$5:$L$1005,$B54,'Detailed Budget'!$L$5:$L$1005,"&gt;0"),"")</f>
        <v/>
      </c>
      <c r="E54" s="44" t="str">
        <f>IF(SUMIFS('Detailed Budget'!$AC$5:$AC$1005,'Detailed Budget'!$L$5:$L$1005,$B54,'Detailed Budget'!$L$5:$L$1005,"&gt;0")&gt;0,SUMIFS('Detailed Budget'!$AC$5:$AC$1005,'Detailed Budget'!$L$5:$L$1005,$B54,'Detailed Budget'!$L$5:$L$1005,"&gt;0"),"")</f>
        <v/>
      </c>
      <c r="F54" s="44" t="str">
        <f>IF(SUMIFS('Detailed Budget'!$AE$5:$AE$1005,'Detailed Budget'!$L$5:$L$1005,$B54,'Detailed Budget'!$L$5:$L$1005,"&gt;0")&gt;0,SUMIFS('Detailed Budget'!$AE$5:$AE$1005,'Detailed Budget'!$L$5:$L$1005,$B54,'Detailed Budget'!$L$5:$L$1005,"&gt;0"),"")</f>
        <v/>
      </c>
      <c r="G54" s="44" t="str">
        <f>IF(SUMIFS('Detailed Budget'!$AG$5:$AG$1005,'Detailed Budget'!$L$5:$L$1005,$B54,'Detailed Budget'!$L$5:$L$1005,"&gt;0")&gt;0,SUMIFS('Detailed Budget'!$AG$5:$AG$1005,'Detailed Budget'!$L$5:$L$1005,$B54,'Detailed Budget'!$L$5:$L$1005,"&gt;0"),"")</f>
        <v/>
      </c>
      <c r="H54" s="45" t="str">
        <f>IF(SUMIFS('Detailed Budget'!$AI$5:$AI$1005,'Detailed Budget'!$L$5:$L$1005,$B54,'Detailed Budget'!$L$5:$L$1005,"&gt;0")&gt;0,SUMIFS('Detailed Budget'!$AI$5:$AI$1005,'Detailed Budget'!$L$5:$L$1005,$B54,'Detailed Budget'!$L$5:$L$1005,"&gt;0"),"")</f>
        <v/>
      </c>
      <c r="I54" s="44" t="str">
        <f>IF(SUMIFS('Detailed Budget'!$AN$5:$AN$1005,'Detailed Budget'!$L$5:$L$1005,$B54,'Detailed Budget'!$L$5:$L$1005,"&gt;0")&gt;0,SUMIFS('Detailed Budget'!$AN$5:$AN$1005,'Detailed Budget'!$L$5:$L$1005,$B54,'Detailed Budget'!$L$5:$L$1005,"&gt;0"),"")</f>
        <v/>
      </c>
      <c r="J54" s="44" t="str">
        <f>IF(SUMIFS('Detailed Budget'!$AP$5:$AP$1005,'Detailed Budget'!$L$5:$L$1005,$B54,'Detailed Budget'!$L$5:$L$1005,"&gt;0")&gt;0,SUMIFS('Detailed Budget'!$AP$5:$AP$1005,'Detailed Budget'!$L$5:$L$1005,$B54,'Detailed Budget'!$L$5:$L$1005,"&gt;0"),"")</f>
        <v/>
      </c>
      <c r="K54" s="44" t="str">
        <f>IF(SUMIFS('Detailed Budget'!$AR$5:$AR$1005,'Detailed Budget'!$L$5:$L$1005,$B54,'Detailed Budget'!$L$5:$L$1005,"&gt;0")&gt;0,SUMIFS('Detailed Budget'!$AR$5:$AR$1005,'Detailed Budget'!$L$5:$L$1005,$B54,'Detailed Budget'!$L$5:$L$1005,"&gt;0"),"")</f>
        <v/>
      </c>
      <c r="L54" s="44" t="str">
        <f>IF(SUMIFS('Detailed Budget'!$AT$5:$AT$1005,'Detailed Budget'!$L$5:$L$1005,$B54,'Detailed Budget'!$L$5:$L$1005,"&gt;0")&gt;0,SUMIFS('Detailed Budget'!$AT$5:$AT$1005,'Detailed Budget'!$L$5:$L$1005,$B54,'Detailed Budget'!$L$5:$L$1005,"&gt;0"),"")</f>
        <v/>
      </c>
      <c r="M54" s="45" t="str">
        <f>IF(SUMIFS('Detailed Budget'!$AV$5:$AV$1005,'Detailed Budget'!$L$5:$L$1005,$B54,'Detailed Budget'!$L$5:$L$1005,"&gt;0")&gt;0,SUMIFS('Detailed Budget'!$AV$5:$AV$1005,'Detailed Budget'!$L$5:$L$1005,$B54,'Detailed Budget'!$L$5:$L$1005,"&gt;0"),"")</f>
        <v/>
      </c>
      <c r="N54" s="44" t="str">
        <f>IF(SUMIFS('Detailed Budget'!$BA$5:$BA$1005,'Detailed Budget'!$L$5:$L$1005,$B54,'Detailed Budget'!$L$5:$L$1005,"&gt;0")&gt;0,SUMIFS('Detailed Budget'!$BA$5:$BA$1005,'Detailed Budget'!$L$5:$L$1005,$B54,'Detailed Budget'!$L$5:$L$1005,"&gt;0"),"")</f>
        <v/>
      </c>
      <c r="O54" s="44" t="str">
        <f>IF(SUMIFS('Detailed Budget'!$BC$5:$BC$1005,'Detailed Budget'!$L$5:$L$1005,$B54,'Detailed Budget'!$L$5:$L$1005,"&gt;0")&gt;0,SUMIFS('Detailed Budget'!$BC$5:$BC$1005,'Detailed Budget'!$L$5:$L$1005,$B54,'Detailed Budget'!$L$5:$L$1005,"&gt;0"),"")</f>
        <v/>
      </c>
      <c r="P54" s="44" t="str">
        <f>IF(SUMIFS('Detailed Budget'!$BE$5:$BE$1005,'Detailed Budget'!$L$5:$L$1005,$B54,'Detailed Budget'!$L$5:$L$1005,"&gt;0")&gt;0,SUMIFS('Detailed Budget'!$BE$5:$BE$1005,'Detailed Budget'!$L$5:$L$1005,$B54,'Detailed Budget'!$L$5:$L$1005,"&gt;0"),"")</f>
        <v/>
      </c>
      <c r="Q54" s="44" t="str">
        <f>IF(SUMIFS('Detailed Budget'!$BG$5:$BG$1005,'Detailed Budget'!$L$5:$L$1005,$B54,'Detailed Budget'!$L$5:$L$1005,"&gt;0")&gt;0,SUMIFS('Detailed Budget'!$BG$5:$BG$1005,'Detailed Budget'!$L$5:$L$1005,$B54,'Detailed Budget'!$L$5:$L$1005,"&gt;0"),"")</f>
        <v/>
      </c>
      <c r="R54" s="45" t="str">
        <f>IF(SUMIFS('Detailed Budget'!$BI$5:$BI$1005,'Detailed Budget'!$L$5:$L$1005,$B54,'Detailed Budget'!$L$5:$L$1005,"&gt;0")&gt;0,SUMIFS('Detailed Budget'!$BI$5:$BI$1005,'Detailed Budget'!$L$5:$L$1005,$B54,'Detailed Budget'!$L$5:$L$1005,"&gt;0"),"")</f>
        <v/>
      </c>
      <c r="S54" s="44" t="str">
        <f>IF(SUMIFS('Detailed Budget'!$BN$5:$BN$1005,'Detailed Budget'!$L$5:$L$1005,$B54,'Detailed Budget'!$L$5:$L$1005,"&gt;0")&gt;0,SUMIFS('Detailed Budget'!$BN$5:$BN$1005,'Detailed Budget'!$L$5:$L$1005,$B54,'Detailed Budget'!$L$5:$L$1005,"&gt;0"),"")</f>
        <v/>
      </c>
      <c r="T54" s="44" t="str">
        <f>IF(SUMIFS('Detailed Budget'!$BP$5:$BP$1005,'Detailed Budget'!$L$5:$L$1005,$B54,'Detailed Budget'!$L$5:$L$1005,"&gt;0")&gt;0,SUMIFS('Detailed Budget'!$BP$5:$BP$1005,'Detailed Budget'!$L$5:$L$1005,$B54,'Detailed Budget'!$L$5:$L$1005,"&gt;0"),"")</f>
        <v/>
      </c>
      <c r="U54" s="44" t="str">
        <f>IF(SUMIFS('Detailed Budget'!$BR$5:$BR$1005,'Detailed Budget'!$L$5:$L$1005,$B54,'Detailed Budget'!$L$5:$L$1005,"&gt;0")&gt;0,SUMIFS('Detailed Budget'!$BR$5:$BR$1005,'Detailed Budget'!$L$5:$L$1005,$B54,'Detailed Budget'!$L$5:$L$1005,"&gt;0"),"")</f>
        <v/>
      </c>
      <c r="V54" s="44" t="str">
        <f>IF(SUMIFS('Detailed Budget'!$BT$5:$BT$1005,'Detailed Budget'!$L$5:$L$1005,$B54,'Detailed Budget'!$L$5:$L$1005,"&gt;0")&gt;0,SUMIFS('Detailed Budget'!$BT$5:$BT$1005,'Detailed Budget'!$L$5:$L$1005,$B54,'Detailed Budget'!$L$5:$L$1005,"&gt;0"),"")</f>
        <v/>
      </c>
      <c r="W54" s="45" t="str">
        <f>IF(SUMIFS('Detailed Budget'!$BV$5:$BV$1005,'Detailed Budget'!$L$5:$L$1005,$B54,'Detailed Budget'!$L$5:$L$1005,"&gt;0")&gt;0,SUMIFS('Detailed Budget'!$BV$5:$BV$1005,'Detailed Budget'!$L$5:$L$1005,$B54,'Detailed Budget'!$L$5:$L$1005,"&gt;0"),"")</f>
        <v/>
      </c>
      <c r="X54" s="44" t="str">
        <f t="shared" si="2"/>
        <v/>
      </c>
      <c r="Y54" s="124" t="str">
        <f t="shared" si="3"/>
        <v/>
      </c>
    </row>
    <row r="55" spans="1:25" hidden="1" x14ac:dyDescent="0.25">
      <c r="A55" s="35"/>
      <c r="B55" s="234" t="str">
        <f t="array" ref="B55">IFERROR(INDEX(CostInpNoList,MATCH(0,IF(ISBLANK(CostInpNoList),"",COUNTIF(B$16:B54,CostInpNoList)),0)),"")</f>
        <v/>
      </c>
      <c r="C55" s="372" t="str">
        <f>IFERROR(INDEX('Data Sheet'!$F$198:$F$275,MATCH(B55,'Data Sheet'!$G$198:$G$275,0)),"")</f>
        <v/>
      </c>
      <c r="D55" s="44" t="str">
        <f>IF(SUMIFS('Detailed Budget'!$AA$5:$AA$1005,'Detailed Budget'!$L$5:$L$1005,$B55,'Detailed Budget'!$L$5:$L$1005,"&gt;0")&gt;0,SUMIFS('Detailed Budget'!$AA$5:$AA$1005,'Detailed Budget'!$L$5:$L$1005,$B55,'Detailed Budget'!$L$5:$L$1005,"&gt;0"),"")</f>
        <v/>
      </c>
      <c r="E55" s="44" t="str">
        <f>IF(SUMIFS('Detailed Budget'!$AC$5:$AC$1005,'Detailed Budget'!$L$5:$L$1005,$B55,'Detailed Budget'!$L$5:$L$1005,"&gt;0")&gt;0,SUMIFS('Detailed Budget'!$AC$5:$AC$1005,'Detailed Budget'!$L$5:$L$1005,$B55,'Detailed Budget'!$L$5:$L$1005,"&gt;0"),"")</f>
        <v/>
      </c>
      <c r="F55" s="44" t="str">
        <f>IF(SUMIFS('Detailed Budget'!$AE$5:$AE$1005,'Detailed Budget'!$L$5:$L$1005,$B55,'Detailed Budget'!$L$5:$L$1005,"&gt;0")&gt;0,SUMIFS('Detailed Budget'!$AE$5:$AE$1005,'Detailed Budget'!$L$5:$L$1005,$B55,'Detailed Budget'!$L$5:$L$1005,"&gt;0"),"")</f>
        <v/>
      </c>
      <c r="G55" s="44" t="str">
        <f>IF(SUMIFS('Detailed Budget'!$AG$5:$AG$1005,'Detailed Budget'!$L$5:$L$1005,$B55,'Detailed Budget'!$L$5:$L$1005,"&gt;0")&gt;0,SUMIFS('Detailed Budget'!$AG$5:$AG$1005,'Detailed Budget'!$L$5:$L$1005,$B55,'Detailed Budget'!$L$5:$L$1005,"&gt;0"),"")</f>
        <v/>
      </c>
      <c r="H55" s="45" t="str">
        <f>IF(SUMIFS('Detailed Budget'!$AI$5:$AI$1005,'Detailed Budget'!$L$5:$L$1005,$B55,'Detailed Budget'!$L$5:$L$1005,"&gt;0")&gt;0,SUMIFS('Detailed Budget'!$AI$5:$AI$1005,'Detailed Budget'!$L$5:$L$1005,$B55,'Detailed Budget'!$L$5:$L$1005,"&gt;0"),"")</f>
        <v/>
      </c>
      <c r="I55" s="44" t="str">
        <f>IF(SUMIFS('Detailed Budget'!$AN$5:$AN$1005,'Detailed Budget'!$L$5:$L$1005,$B55,'Detailed Budget'!$L$5:$L$1005,"&gt;0")&gt;0,SUMIFS('Detailed Budget'!$AN$5:$AN$1005,'Detailed Budget'!$L$5:$L$1005,$B55,'Detailed Budget'!$L$5:$L$1005,"&gt;0"),"")</f>
        <v/>
      </c>
      <c r="J55" s="44" t="str">
        <f>IF(SUMIFS('Detailed Budget'!$AP$5:$AP$1005,'Detailed Budget'!$L$5:$L$1005,$B55,'Detailed Budget'!$L$5:$L$1005,"&gt;0")&gt;0,SUMIFS('Detailed Budget'!$AP$5:$AP$1005,'Detailed Budget'!$L$5:$L$1005,$B55,'Detailed Budget'!$L$5:$L$1005,"&gt;0"),"")</f>
        <v/>
      </c>
      <c r="K55" s="44" t="str">
        <f>IF(SUMIFS('Detailed Budget'!$AR$5:$AR$1005,'Detailed Budget'!$L$5:$L$1005,$B55,'Detailed Budget'!$L$5:$L$1005,"&gt;0")&gt;0,SUMIFS('Detailed Budget'!$AR$5:$AR$1005,'Detailed Budget'!$L$5:$L$1005,$B55,'Detailed Budget'!$L$5:$L$1005,"&gt;0"),"")</f>
        <v/>
      </c>
      <c r="L55" s="44" t="str">
        <f>IF(SUMIFS('Detailed Budget'!$AT$5:$AT$1005,'Detailed Budget'!$L$5:$L$1005,$B55,'Detailed Budget'!$L$5:$L$1005,"&gt;0")&gt;0,SUMIFS('Detailed Budget'!$AT$5:$AT$1005,'Detailed Budget'!$L$5:$L$1005,$B55,'Detailed Budget'!$L$5:$L$1005,"&gt;0"),"")</f>
        <v/>
      </c>
      <c r="M55" s="45" t="str">
        <f>IF(SUMIFS('Detailed Budget'!$AV$5:$AV$1005,'Detailed Budget'!$L$5:$L$1005,$B55,'Detailed Budget'!$L$5:$L$1005,"&gt;0")&gt;0,SUMIFS('Detailed Budget'!$AV$5:$AV$1005,'Detailed Budget'!$L$5:$L$1005,$B55,'Detailed Budget'!$L$5:$L$1005,"&gt;0"),"")</f>
        <v/>
      </c>
      <c r="N55" s="44" t="str">
        <f>IF(SUMIFS('Detailed Budget'!$BA$5:$BA$1005,'Detailed Budget'!$L$5:$L$1005,$B55,'Detailed Budget'!$L$5:$L$1005,"&gt;0")&gt;0,SUMIFS('Detailed Budget'!$BA$5:$BA$1005,'Detailed Budget'!$L$5:$L$1005,$B55,'Detailed Budget'!$L$5:$L$1005,"&gt;0"),"")</f>
        <v/>
      </c>
      <c r="O55" s="44" t="str">
        <f>IF(SUMIFS('Detailed Budget'!$BC$5:$BC$1005,'Detailed Budget'!$L$5:$L$1005,$B55,'Detailed Budget'!$L$5:$L$1005,"&gt;0")&gt;0,SUMIFS('Detailed Budget'!$BC$5:$BC$1005,'Detailed Budget'!$L$5:$L$1005,$B55,'Detailed Budget'!$L$5:$L$1005,"&gt;0"),"")</f>
        <v/>
      </c>
      <c r="P55" s="44" t="str">
        <f>IF(SUMIFS('Detailed Budget'!$BE$5:$BE$1005,'Detailed Budget'!$L$5:$L$1005,$B55,'Detailed Budget'!$L$5:$L$1005,"&gt;0")&gt;0,SUMIFS('Detailed Budget'!$BE$5:$BE$1005,'Detailed Budget'!$L$5:$L$1005,$B55,'Detailed Budget'!$L$5:$L$1005,"&gt;0"),"")</f>
        <v/>
      </c>
      <c r="Q55" s="44" t="str">
        <f>IF(SUMIFS('Detailed Budget'!$BG$5:$BG$1005,'Detailed Budget'!$L$5:$L$1005,$B55,'Detailed Budget'!$L$5:$L$1005,"&gt;0")&gt;0,SUMIFS('Detailed Budget'!$BG$5:$BG$1005,'Detailed Budget'!$L$5:$L$1005,$B55,'Detailed Budget'!$L$5:$L$1005,"&gt;0"),"")</f>
        <v/>
      </c>
      <c r="R55" s="45" t="str">
        <f>IF(SUMIFS('Detailed Budget'!$BI$5:$BI$1005,'Detailed Budget'!$L$5:$L$1005,$B55,'Detailed Budget'!$L$5:$L$1005,"&gt;0")&gt;0,SUMIFS('Detailed Budget'!$BI$5:$BI$1005,'Detailed Budget'!$L$5:$L$1005,$B55,'Detailed Budget'!$L$5:$L$1005,"&gt;0"),"")</f>
        <v/>
      </c>
      <c r="S55" s="44" t="str">
        <f>IF(SUMIFS('Detailed Budget'!$BN$5:$BN$1005,'Detailed Budget'!$L$5:$L$1005,$B55,'Detailed Budget'!$L$5:$L$1005,"&gt;0")&gt;0,SUMIFS('Detailed Budget'!$BN$5:$BN$1005,'Detailed Budget'!$L$5:$L$1005,$B55,'Detailed Budget'!$L$5:$L$1005,"&gt;0"),"")</f>
        <v/>
      </c>
      <c r="T55" s="44" t="str">
        <f>IF(SUMIFS('Detailed Budget'!$BP$5:$BP$1005,'Detailed Budget'!$L$5:$L$1005,$B55,'Detailed Budget'!$L$5:$L$1005,"&gt;0")&gt;0,SUMIFS('Detailed Budget'!$BP$5:$BP$1005,'Detailed Budget'!$L$5:$L$1005,$B55,'Detailed Budget'!$L$5:$L$1005,"&gt;0"),"")</f>
        <v/>
      </c>
      <c r="U55" s="44" t="str">
        <f>IF(SUMIFS('Detailed Budget'!$BR$5:$BR$1005,'Detailed Budget'!$L$5:$L$1005,$B55,'Detailed Budget'!$L$5:$L$1005,"&gt;0")&gt;0,SUMIFS('Detailed Budget'!$BR$5:$BR$1005,'Detailed Budget'!$L$5:$L$1005,$B55,'Detailed Budget'!$L$5:$L$1005,"&gt;0"),"")</f>
        <v/>
      </c>
      <c r="V55" s="44" t="str">
        <f>IF(SUMIFS('Detailed Budget'!$BT$5:$BT$1005,'Detailed Budget'!$L$5:$L$1005,$B55,'Detailed Budget'!$L$5:$L$1005,"&gt;0")&gt;0,SUMIFS('Detailed Budget'!$BT$5:$BT$1005,'Detailed Budget'!$L$5:$L$1005,$B55,'Detailed Budget'!$L$5:$L$1005,"&gt;0"),"")</f>
        <v/>
      </c>
      <c r="W55" s="45" t="str">
        <f>IF(SUMIFS('Detailed Budget'!$BV$5:$BV$1005,'Detailed Budget'!$L$5:$L$1005,$B55,'Detailed Budget'!$L$5:$L$1005,"&gt;0")&gt;0,SUMIFS('Detailed Budget'!$BV$5:$BV$1005,'Detailed Budget'!$L$5:$L$1005,$B55,'Detailed Budget'!$L$5:$L$1005,"&gt;0"),"")</f>
        <v/>
      </c>
      <c r="X55" s="44" t="str">
        <f t="shared" si="2"/>
        <v/>
      </c>
      <c r="Y55" s="124" t="str">
        <f t="shared" si="3"/>
        <v/>
      </c>
    </row>
    <row r="56" spans="1:25" hidden="1" x14ac:dyDescent="0.25">
      <c r="A56" s="35"/>
      <c r="B56" s="234" t="str">
        <f t="array" ref="B56">IFERROR(INDEX(CostInpNoList,MATCH(0,IF(ISBLANK(CostInpNoList),"",COUNTIF(B$16:B55,CostInpNoList)),0)),"")</f>
        <v/>
      </c>
      <c r="C56" s="372" t="str">
        <f>IFERROR(INDEX('Data Sheet'!$F$198:$F$275,MATCH(B56,'Data Sheet'!$G$198:$G$275,0)),"")</f>
        <v/>
      </c>
      <c r="D56" s="44" t="str">
        <f>IF(SUMIFS('Detailed Budget'!$AA$5:$AA$1005,'Detailed Budget'!$L$5:$L$1005,$B56,'Detailed Budget'!$L$5:$L$1005,"&gt;0")&gt;0,SUMIFS('Detailed Budget'!$AA$5:$AA$1005,'Detailed Budget'!$L$5:$L$1005,$B56,'Detailed Budget'!$L$5:$L$1005,"&gt;0"),"")</f>
        <v/>
      </c>
      <c r="E56" s="44" t="str">
        <f>IF(SUMIFS('Detailed Budget'!$AC$5:$AC$1005,'Detailed Budget'!$L$5:$L$1005,$B56,'Detailed Budget'!$L$5:$L$1005,"&gt;0")&gt;0,SUMIFS('Detailed Budget'!$AC$5:$AC$1005,'Detailed Budget'!$L$5:$L$1005,$B56,'Detailed Budget'!$L$5:$L$1005,"&gt;0"),"")</f>
        <v/>
      </c>
      <c r="F56" s="44" t="str">
        <f>IF(SUMIFS('Detailed Budget'!$AE$5:$AE$1005,'Detailed Budget'!$L$5:$L$1005,$B56,'Detailed Budget'!$L$5:$L$1005,"&gt;0")&gt;0,SUMIFS('Detailed Budget'!$AE$5:$AE$1005,'Detailed Budget'!$L$5:$L$1005,$B56,'Detailed Budget'!$L$5:$L$1005,"&gt;0"),"")</f>
        <v/>
      </c>
      <c r="G56" s="44" t="str">
        <f>IF(SUMIFS('Detailed Budget'!$AG$5:$AG$1005,'Detailed Budget'!$L$5:$L$1005,$B56,'Detailed Budget'!$L$5:$L$1005,"&gt;0")&gt;0,SUMIFS('Detailed Budget'!$AG$5:$AG$1005,'Detailed Budget'!$L$5:$L$1005,$B56,'Detailed Budget'!$L$5:$L$1005,"&gt;0"),"")</f>
        <v/>
      </c>
      <c r="H56" s="45" t="str">
        <f>IF(SUMIFS('Detailed Budget'!$AI$5:$AI$1005,'Detailed Budget'!$L$5:$L$1005,$B56,'Detailed Budget'!$L$5:$L$1005,"&gt;0")&gt;0,SUMIFS('Detailed Budget'!$AI$5:$AI$1005,'Detailed Budget'!$L$5:$L$1005,$B56,'Detailed Budget'!$L$5:$L$1005,"&gt;0"),"")</f>
        <v/>
      </c>
      <c r="I56" s="44" t="str">
        <f>IF(SUMIFS('Detailed Budget'!$AN$5:$AN$1005,'Detailed Budget'!$L$5:$L$1005,$B56,'Detailed Budget'!$L$5:$L$1005,"&gt;0")&gt;0,SUMIFS('Detailed Budget'!$AN$5:$AN$1005,'Detailed Budget'!$L$5:$L$1005,$B56,'Detailed Budget'!$L$5:$L$1005,"&gt;0"),"")</f>
        <v/>
      </c>
      <c r="J56" s="44" t="str">
        <f>IF(SUMIFS('Detailed Budget'!$AP$5:$AP$1005,'Detailed Budget'!$L$5:$L$1005,$B56,'Detailed Budget'!$L$5:$L$1005,"&gt;0")&gt;0,SUMIFS('Detailed Budget'!$AP$5:$AP$1005,'Detailed Budget'!$L$5:$L$1005,$B56,'Detailed Budget'!$L$5:$L$1005,"&gt;0"),"")</f>
        <v/>
      </c>
      <c r="K56" s="44" t="str">
        <f>IF(SUMIFS('Detailed Budget'!$AR$5:$AR$1005,'Detailed Budget'!$L$5:$L$1005,$B56,'Detailed Budget'!$L$5:$L$1005,"&gt;0")&gt;0,SUMIFS('Detailed Budget'!$AR$5:$AR$1005,'Detailed Budget'!$L$5:$L$1005,$B56,'Detailed Budget'!$L$5:$L$1005,"&gt;0"),"")</f>
        <v/>
      </c>
      <c r="L56" s="44" t="str">
        <f>IF(SUMIFS('Detailed Budget'!$AT$5:$AT$1005,'Detailed Budget'!$L$5:$L$1005,$B56,'Detailed Budget'!$L$5:$L$1005,"&gt;0")&gt;0,SUMIFS('Detailed Budget'!$AT$5:$AT$1005,'Detailed Budget'!$L$5:$L$1005,$B56,'Detailed Budget'!$L$5:$L$1005,"&gt;0"),"")</f>
        <v/>
      </c>
      <c r="M56" s="45" t="str">
        <f>IF(SUMIFS('Detailed Budget'!$AV$5:$AV$1005,'Detailed Budget'!$L$5:$L$1005,$B56,'Detailed Budget'!$L$5:$L$1005,"&gt;0")&gt;0,SUMIFS('Detailed Budget'!$AV$5:$AV$1005,'Detailed Budget'!$L$5:$L$1005,$B56,'Detailed Budget'!$L$5:$L$1005,"&gt;0"),"")</f>
        <v/>
      </c>
      <c r="N56" s="44" t="str">
        <f>IF(SUMIFS('Detailed Budget'!$BA$5:$BA$1005,'Detailed Budget'!$L$5:$L$1005,$B56,'Detailed Budget'!$L$5:$L$1005,"&gt;0")&gt;0,SUMIFS('Detailed Budget'!$BA$5:$BA$1005,'Detailed Budget'!$L$5:$L$1005,$B56,'Detailed Budget'!$L$5:$L$1005,"&gt;0"),"")</f>
        <v/>
      </c>
      <c r="O56" s="44" t="str">
        <f>IF(SUMIFS('Detailed Budget'!$BC$5:$BC$1005,'Detailed Budget'!$L$5:$L$1005,$B56,'Detailed Budget'!$L$5:$L$1005,"&gt;0")&gt;0,SUMIFS('Detailed Budget'!$BC$5:$BC$1005,'Detailed Budget'!$L$5:$L$1005,$B56,'Detailed Budget'!$L$5:$L$1005,"&gt;0"),"")</f>
        <v/>
      </c>
      <c r="P56" s="44" t="str">
        <f>IF(SUMIFS('Detailed Budget'!$BE$5:$BE$1005,'Detailed Budget'!$L$5:$L$1005,$B56,'Detailed Budget'!$L$5:$L$1005,"&gt;0")&gt;0,SUMIFS('Detailed Budget'!$BE$5:$BE$1005,'Detailed Budget'!$L$5:$L$1005,$B56,'Detailed Budget'!$L$5:$L$1005,"&gt;0"),"")</f>
        <v/>
      </c>
      <c r="Q56" s="44" t="str">
        <f>IF(SUMIFS('Detailed Budget'!$BG$5:$BG$1005,'Detailed Budget'!$L$5:$L$1005,$B56,'Detailed Budget'!$L$5:$L$1005,"&gt;0")&gt;0,SUMIFS('Detailed Budget'!$BG$5:$BG$1005,'Detailed Budget'!$L$5:$L$1005,$B56,'Detailed Budget'!$L$5:$L$1005,"&gt;0"),"")</f>
        <v/>
      </c>
      <c r="R56" s="45" t="str">
        <f>IF(SUMIFS('Detailed Budget'!$BI$5:$BI$1005,'Detailed Budget'!$L$5:$L$1005,$B56,'Detailed Budget'!$L$5:$L$1005,"&gt;0")&gt;0,SUMIFS('Detailed Budget'!$BI$5:$BI$1005,'Detailed Budget'!$L$5:$L$1005,$B56,'Detailed Budget'!$L$5:$L$1005,"&gt;0"),"")</f>
        <v/>
      </c>
      <c r="S56" s="44" t="str">
        <f>IF(SUMIFS('Detailed Budget'!$BN$5:$BN$1005,'Detailed Budget'!$L$5:$L$1005,$B56,'Detailed Budget'!$L$5:$L$1005,"&gt;0")&gt;0,SUMIFS('Detailed Budget'!$BN$5:$BN$1005,'Detailed Budget'!$L$5:$L$1005,$B56,'Detailed Budget'!$L$5:$L$1005,"&gt;0"),"")</f>
        <v/>
      </c>
      <c r="T56" s="44" t="str">
        <f>IF(SUMIFS('Detailed Budget'!$BP$5:$BP$1005,'Detailed Budget'!$L$5:$L$1005,$B56,'Detailed Budget'!$L$5:$L$1005,"&gt;0")&gt;0,SUMIFS('Detailed Budget'!$BP$5:$BP$1005,'Detailed Budget'!$L$5:$L$1005,$B56,'Detailed Budget'!$L$5:$L$1005,"&gt;0"),"")</f>
        <v/>
      </c>
      <c r="U56" s="44" t="str">
        <f>IF(SUMIFS('Detailed Budget'!$BR$5:$BR$1005,'Detailed Budget'!$L$5:$L$1005,$B56,'Detailed Budget'!$L$5:$L$1005,"&gt;0")&gt;0,SUMIFS('Detailed Budget'!$BR$5:$BR$1005,'Detailed Budget'!$L$5:$L$1005,$B56,'Detailed Budget'!$L$5:$L$1005,"&gt;0"),"")</f>
        <v/>
      </c>
      <c r="V56" s="44" t="str">
        <f>IF(SUMIFS('Detailed Budget'!$BT$5:$BT$1005,'Detailed Budget'!$L$5:$L$1005,$B56,'Detailed Budget'!$L$5:$L$1005,"&gt;0")&gt;0,SUMIFS('Detailed Budget'!$BT$5:$BT$1005,'Detailed Budget'!$L$5:$L$1005,$B56,'Detailed Budget'!$L$5:$L$1005,"&gt;0"),"")</f>
        <v/>
      </c>
      <c r="W56" s="45" t="str">
        <f>IF(SUMIFS('Detailed Budget'!$BV$5:$BV$1005,'Detailed Budget'!$L$5:$L$1005,$B56,'Detailed Budget'!$L$5:$L$1005,"&gt;0")&gt;0,SUMIFS('Detailed Budget'!$BV$5:$BV$1005,'Detailed Budget'!$L$5:$L$1005,$B56,'Detailed Budget'!$L$5:$L$1005,"&gt;0"),"")</f>
        <v/>
      </c>
      <c r="X56" s="44" t="str">
        <f t="shared" si="2"/>
        <v/>
      </c>
      <c r="Y56" s="124" t="str">
        <f t="shared" si="3"/>
        <v/>
      </c>
    </row>
    <row r="57" spans="1:25" hidden="1" x14ac:dyDescent="0.25">
      <c r="A57" s="35"/>
      <c r="B57" s="234" t="str">
        <f t="array" ref="B57">IFERROR(INDEX(CostInpNoList,MATCH(0,IF(ISBLANK(CostInpNoList),"",COUNTIF(B$16:B56,CostInpNoList)),0)),"")</f>
        <v/>
      </c>
      <c r="C57" s="372" t="str">
        <f>IFERROR(INDEX('Data Sheet'!$F$198:$F$275,MATCH(B57,'Data Sheet'!$G$198:$G$275,0)),"")</f>
        <v/>
      </c>
      <c r="D57" s="44" t="str">
        <f>IF(SUMIFS('Detailed Budget'!$AA$5:$AA$1005,'Detailed Budget'!$L$5:$L$1005,$B57,'Detailed Budget'!$L$5:$L$1005,"&gt;0")&gt;0,SUMIFS('Detailed Budget'!$AA$5:$AA$1005,'Detailed Budget'!$L$5:$L$1005,$B57,'Detailed Budget'!$L$5:$L$1005,"&gt;0"),"")</f>
        <v/>
      </c>
      <c r="E57" s="44" t="str">
        <f>IF(SUMIFS('Detailed Budget'!$AC$5:$AC$1005,'Detailed Budget'!$L$5:$L$1005,$B57,'Detailed Budget'!$L$5:$L$1005,"&gt;0")&gt;0,SUMIFS('Detailed Budget'!$AC$5:$AC$1005,'Detailed Budget'!$L$5:$L$1005,$B57,'Detailed Budget'!$L$5:$L$1005,"&gt;0"),"")</f>
        <v/>
      </c>
      <c r="F57" s="44" t="str">
        <f>IF(SUMIFS('Detailed Budget'!$AE$5:$AE$1005,'Detailed Budget'!$L$5:$L$1005,$B57,'Detailed Budget'!$L$5:$L$1005,"&gt;0")&gt;0,SUMIFS('Detailed Budget'!$AE$5:$AE$1005,'Detailed Budget'!$L$5:$L$1005,$B57,'Detailed Budget'!$L$5:$L$1005,"&gt;0"),"")</f>
        <v/>
      </c>
      <c r="G57" s="44" t="str">
        <f>IF(SUMIFS('Detailed Budget'!$AG$5:$AG$1005,'Detailed Budget'!$L$5:$L$1005,$B57,'Detailed Budget'!$L$5:$L$1005,"&gt;0")&gt;0,SUMIFS('Detailed Budget'!$AG$5:$AG$1005,'Detailed Budget'!$L$5:$L$1005,$B57,'Detailed Budget'!$L$5:$L$1005,"&gt;0"),"")</f>
        <v/>
      </c>
      <c r="H57" s="45" t="str">
        <f>IF(SUMIFS('Detailed Budget'!$AI$5:$AI$1005,'Detailed Budget'!$L$5:$L$1005,$B57,'Detailed Budget'!$L$5:$L$1005,"&gt;0")&gt;0,SUMIFS('Detailed Budget'!$AI$5:$AI$1005,'Detailed Budget'!$L$5:$L$1005,$B57,'Detailed Budget'!$L$5:$L$1005,"&gt;0"),"")</f>
        <v/>
      </c>
      <c r="I57" s="44" t="str">
        <f>IF(SUMIFS('Detailed Budget'!$AN$5:$AN$1005,'Detailed Budget'!$L$5:$L$1005,$B57,'Detailed Budget'!$L$5:$L$1005,"&gt;0")&gt;0,SUMIFS('Detailed Budget'!$AN$5:$AN$1005,'Detailed Budget'!$L$5:$L$1005,$B57,'Detailed Budget'!$L$5:$L$1005,"&gt;0"),"")</f>
        <v/>
      </c>
      <c r="J57" s="44" t="str">
        <f>IF(SUMIFS('Detailed Budget'!$AP$5:$AP$1005,'Detailed Budget'!$L$5:$L$1005,$B57,'Detailed Budget'!$L$5:$L$1005,"&gt;0")&gt;0,SUMIFS('Detailed Budget'!$AP$5:$AP$1005,'Detailed Budget'!$L$5:$L$1005,$B57,'Detailed Budget'!$L$5:$L$1005,"&gt;0"),"")</f>
        <v/>
      </c>
      <c r="K57" s="44" t="str">
        <f>IF(SUMIFS('Detailed Budget'!$AR$5:$AR$1005,'Detailed Budget'!$L$5:$L$1005,$B57,'Detailed Budget'!$L$5:$L$1005,"&gt;0")&gt;0,SUMIFS('Detailed Budget'!$AR$5:$AR$1005,'Detailed Budget'!$L$5:$L$1005,$B57,'Detailed Budget'!$L$5:$L$1005,"&gt;0"),"")</f>
        <v/>
      </c>
      <c r="L57" s="44" t="str">
        <f>IF(SUMIFS('Detailed Budget'!$AT$5:$AT$1005,'Detailed Budget'!$L$5:$L$1005,$B57,'Detailed Budget'!$L$5:$L$1005,"&gt;0")&gt;0,SUMIFS('Detailed Budget'!$AT$5:$AT$1005,'Detailed Budget'!$L$5:$L$1005,$B57,'Detailed Budget'!$L$5:$L$1005,"&gt;0"),"")</f>
        <v/>
      </c>
      <c r="M57" s="45" t="str">
        <f>IF(SUMIFS('Detailed Budget'!$AV$5:$AV$1005,'Detailed Budget'!$L$5:$L$1005,$B57,'Detailed Budget'!$L$5:$L$1005,"&gt;0")&gt;0,SUMIFS('Detailed Budget'!$AV$5:$AV$1005,'Detailed Budget'!$L$5:$L$1005,$B57,'Detailed Budget'!$L$5:$L$1005,"&gt;0"),"")</f>
        <v/>
      </c>
      <c r="N57" s="44" t="str">
        <f>IF(SUMIFS('Detailed Budget'!$BA$5:$BA$1005,'Detailed Budget'!$L$5:$L$1005,$B57,'Detailed Budget'!$L$5:$L$1005,"&gt;0")&gt;0,SUMIFS('Detailed Budget'!$BA$5:$BA$1005,'Detailed Budget'!$L$5:$L$1005,$B57,'Detailed Budget'!$L$5:$L$1005,"&gt;0"),"")</f>
        <v/>
      </c>
      <c r="O57" s="44" t="str">
        <f>IF(SUMIFS('Detailed Budget'!$BC$5:$BC$1005,'Detailed Budget'!$L$5:$L$1005,$B57,'Detailed Budget'!$L$5:$L$1005,"&gt;0")&gt;0,SUMIFS('Detailed Budget'!$BC$5:$BC$1005,'Detailed Budget'!$L$5:$L$1005,$B57,'Detailed Budget'!$L$5:$L$1005,"&gt;0"),"")</f>
        <v/>
      </c>
      <c r="P57" s="44" t="str">
        <f>IF(SUMIFS('Detailed Budget'!$BE$5:$BE$1005,'Detailed Budget'!$L$5:$L$1005,$B57,'Detailed Budget'!$L$5:$L$1005,"&gt;0")&gt;0,SUMIFS('Detailed Budget'!$BE$5:$BE$1005,'Detailed Budget'!$L$5:$L$1005,$B57,'Detailed Budget'!$L$5:$L$1005,"&gt;0"),"")</f>
        <v/>
      </c>
      <c r="Q57" s="44" t="str">
        <f>IF(SUMIFS('Detailed Budget'!$BG$5:$BG$1005,'Detailed Budget'!$L$5:$L$1005,$B57,'Detailed Budget'!$L$5:$L$1005,"&gt;0")&gt;0,SUMIFS('Detailed Budget'!$BG$5:$BG$1005,'Detailed Budget'!$L$5:$L$1005,$B57,'Detailed Budget'!$L$5:$L$1005,"&gt;0"),"")</f>
        <v/>
      </c>
      <c r="R57" s="45" t="str">
        <f>IF(SUMIFS('Detailed Budget'!$BI$5:$BI$1005,'Detailed Budget'!$L$5:$L$1005,$B57,'Detailed Budget'!$L$5:$L$1005,"&gt;0")&gt;0,SUMIFS('Detailed Budget'!$BI$5:$BI$1005,'Detailed Budget'!$L$5:$L$1005,$B57,'Detailed Budget'!$L$5:$L$1005,"&gt;0"),"")</f>
        <v/>
      </c>
      <c r="S57" s="44" t="str">
        <f>IF(SUMIFS('Detailed Budget'!$BN$5:$BN$1005,'Detailed Budget'!$L$5:$L$1005,$B57,'Detailed Budget'!$L$5:$L$1005,"&gt;0")&gt;0,SUMIFS('Detailed Budget'!$BN$5:$BN$1005,'Detailed Budget'!$L$5:$L$1005,$B57,'Detailed Budget'!$L$5:$L$1005,"&gt;0"),"")</f>
        <v/>
      </c>
      <c r="T57" s="44" t="str">
        <f>IF(SUMIFS('Detailed Budget'!$BP$5:$BP$1005,'Detailed Budget'!$L$5:$L$1005,$B57,'Detailed Budget'!$L$5:$L$1005,"&gt;0")&gt;0,SUMIFS('Detailed Budget'!$BP$5:$BP$1005,'Detailed Budget'!$L$5:$L$1005,$B57,'Detailed Budget'!$L$5:$L$1005,"&gt;0"),"")</f>
        <v/>
      </c>
      <c r="U57" s="44" t="str">
        <f>IF(SUMIFS('Detailed Budget'!$BR$5:$BR$1005,'Detailed Budget'!$L$5:$L$1005,$B57,'Detailed Budget'!$L$5:$L$1005,"&gt;0")&gt;0,SUMIFS('Detailed Budget'!$BR$5:$BR$1005,'Detailed Budget'!$L$5:$L$1005,$B57,'Detailed Budget'!$L$5:$L$1005,"&gt;0"),"")</f>
        <v/>
      </c>
      <c r="V57" s="44" t="str">
        <f>IF(SUMIFS('Detailed Budget'!$BT$5:$BT$1005,'Detailed Budget'!$L$5:$L$1005,$B57,'Detailed Budget'!$L$5:$L$1005,"&gt;0")&gt;0,SUMIFS('Detailed Budget'!$BT$5:$BT$1005,'Detailed Budget'!$L$5:$L$1005,$B57,'Detailed Budget'!$L$5:$L$1005,"&gt;0"),"")</f>
        <v/>
      </c>
      <c r="W57" s="45" t="str">
        <f>IF(SUMIFS('Detailed Budget'!$BV$5:$BV$1005,'Detailed Budget'!$L$5:$L$1005,$B57,'Detailed Budget'!$L$5:$L$1005,"&gt;0")&gt;0,SUMIFS('Detailed Budget'!$BV$5:$BV$1005,'Detailed Budget'!$L$5:$L$1005,$B57,'Detailed Budget'!$L$5:$L$1005,"&gt;0"),"")</f>
        <v/>
      </c>
      <c r="X57" s="44" t="str">
        <f t="shared" si="2"/>
        <v/>
      </c>
      <c r="Y57" s="124" t="str">
        <f t="shared" si="3"/>
        <v/>
      </c>
    </row>
    <row r="58" spans="1:25" hidden="1" x14ac:dyDescent="0.25">
      <c r="A58" s="35"/>
      <c r="B58" s="234" t="str">
        <f t="array" ref="B58">IFERROR(INDEX(CostInpNoList,MATCH(0,IF(ISBLANK(CostInpNoList),"",COUNTIF(B$16:B57,CostInpNoList)),0)),"")</f>
        <v/>
      </c>
      <c r="C58" s="372" t="str">
        <f>IFERROR(INDEX('Data Sheet'!$F$198:$F$275,MATCH(B58,'Data Sheet'!$G$198:$G$275,0)),"")</f>
        <v/>
      </c>
      <c r="D58" s="44" t="str">
        <f>IF(SUMIFS('Detailed Budget'!$AA$5:$AA$1005,'Detailed Budget'!$L$5:$L$1005,$B58,'Detailed Budget'!$L$5:$L$1005,"&gt;0")&gt;0,SUMIFS('Detailed Budget'!$AA$5:$AA$1005,'Detailed Budget'!$L$5:$L$1005,$B58,'Detailed Budget'!$L$5:$L$1005,"&gt;0"),"")</f>
        <v/>
      </c>
      <c r="E58" s="44" t="str">
        <f>IF(SUMIFS('Detailed Budget'!$AC$5:$AC$1005,'Detailed Budget'!$L$5:$L$1005,$B58,'Detailed Budget'!$L$5:$L$1005,"&gt;0")&gt;0,SUMIFS('Detailed Budget'!$AC$5:$AC$1005,'Detailed Budget'!$L$5:$L$1005,$B58,'Detailed Budget'!$L$5:$L$1005,"&gt;0"),"")</f>
        <v/>
      </c>
      <c r="F58" s="44" t="str">
        <f>IF(SUMIFS('Detailed Budget'!$AE$5:$AE$1005,'Detailed Budget'!$L$5:$L$1005,$B58,'Detailed Budget'!$L$5:$L$1005,"&gt;0")&gt;0,SUMIFS('Detailed Budget'!$AE$5:$AE$1005,'Detailed Budget'!$L$5:$L$1005,$B58,'Detailed Budget'!$L$5:$L$1005,"&gt;0"),"")</f>
        <v/>
      </c>
      <c r="G58" s="44" t="str">
        <f>IF(SUMIFS('Detailed Budget'!$AG$5:$AG$1005,'Detailed Budget'!$L$5:$L$1005,$B58,'Detailed Budget'!$L$5:$L$1005,"&gt;0")&gt;0,SUMIFS('Detailed Budget'!$AG$5:$AG$1005,'Detailed Budget'!$L$5:$L$1005,$B58,'Detailed Budget'!$L$5:$L$1005,"&gt;0"),"")</f>
        <v/>
      </c>
      <c r="H58" s="45" t="str">
        <f>IF(SUMIFS('Detailed Budget'!$AI$5:$AI$1005,'Detailed Budget'!$L$5:$L$1005,$B58,'Detailed Budget'!$L$5:$L$1005,"&gt;0")&gt;0,SUMIFS('Detailed Budget'!$AI$5:$AI$1005,'Detailed Budget'!$L$5:$L$1005,$B58,'Detailed Budget'!$L$5:$L$1005,"&gt;0"),"")</f>
        <v/>
      </c>
      <c r="I58" s="44" t="str">
        <f>IF(SUMIFS('Detailed Budget'!$AN$5:$AN$1005,'Detailed Budget'!$L$5:$L$1005,$B58,'Detailed Budget'!$L$5:$L$1005,"&gt;0")&gt;0,SUMIFS('Detailed Budget'!$AN$5:$AN$1005,'Detailed Budget'!$L$5:$L$1005,$B58,'Detailed Budget'!$L$5:$L$1005,"&gt;0"),"")</f>
        <v/>
      </c>
      <c r="J58" s="44" t="str">
        <f>IF(SUMIFS('Detailed Budget'!$AP$5:$AP$1005,'Detailed Budget'!$L$5:$L$1005,$B58,'Detailed Budget'!$L$5:$L$1005,"&gt;0")&gt;0,SUMIFS('Detailed Budget'!$AP$5:$AP$1005,'Detailed Budget'!$L$5:$L$1005,$B58,'Detailed Budget'!$L$5:$L$1005,"&gt;0"),"")</f>
        <v/>
      </c>
      <c r="K58" s="44" t="str">
        <f>IF(SUMIFS('Detailed Budget'!$AR$5:$AR$1005,'Detailed Budget'!$L$5:$L$1005,$B58,'Detailed Budget'!$L$5:$L$1005,"&gt;0")&gt;0,SUMIFS('Detailed Budget'!$AR$5:$AR$1005,'Detailed Budget'!$L$5:$L$1005,$B58,'Detailed Budget'!$L$5:$L$1005,"&gt;0"),"")</f>
        <v/>
      </c>
      <c r="L58" s="44" t="str">
        <f>IF(SUMIFS('Detailed Budget'!$AT$5:$AT$1005,'Detailed Budget'!$L$5:$L$1005,$B58,'Detailed Budget'!$L$5:$L$1005,"&gt;0")&gt;0,SUMIFS('Detailed Budget'!$AT$5:$AT$1005,'Detailed Budget'!$L$5:$L$1005,$B58,'Detailed Budget'!$L$5:$L$1005,"&gt;0"),"")</f>
        <v/>
      </c>
      <c r="M58" s="45" t="str">
        <f>IF(SUMIFS('Detailed Budget'!$AV$5:$AV$1005,'Detailed Budget'!$L$5:$L$1005,$B58,'Detailed Budget'!$L$5:$L$1005,"&gt;0")&gt;0,SUMIFS('Detailed Budget'!$AV$5:$AV$1005,'Detailed Budget'!$L$5:$L$1005,$B58,'Detailed Budget'!$L$5:$L$1005,"&gt;0"),"")</f>
        <v/>
      </c>
      <c r="N58" s="44" t="str">
        <f>IF(SUMIFS('Detailed Budget'!$BA$5:$BA$1005,'Detailed Budget'!$L$5:$L$1005,$B58,'Detailed Budget'!$L$5:$L$1005,"&gt;0")&gt;0,SUMIFS('Detailed Budget'!$BA$5:$BA$1005,'Detailed Budget'!$L$5:$L$1005,$B58,'Detailed Budget'!$L$5:$L$1005,"&gt;0"),"")</f>
        <v/>
      </c>
      <c r="O58" s="44" t="str">
        <f>IF(SUMIFS('Detailed Budget'!$BC$5:$BC$1005,'Detailed Budget'!$L$5:$L$1005,$B58,'Detailed Budget'!$L$5:$L$1005,"&gt;0")&gt;0,SUMIFS('Detailed Budget'!$BC$5:$BC$1005,'Detailed Budget'!$L$5:$L$1005,$B58,'Detailed Budget'!$L$5:$L$1005,"&gt;0"),"")</f>
        <v/>
      </c>
      <c r="P58" s="44" t="str">
        <f>IF(SUMIFS('Detailed Budget'!$BE$5:$BE$1005,'Detailed Budget'!$L$5:$L$1005,$B58,'Detailed Budget'!$L$5:$L$1005,"&gt;0")&gt;0,SUMIFS('Detailed Budget'!$BE$5:$BE$1005,'Detailed Budget'!$L$5:$L$1005,$B58,'Detailed Budget'!$L$5:$L$1005,"&gt;0"),"")</f>
        <v/>
      </c>
      <c r="Q58" s="44" t="str">
        <f>IF(SUMIFS('Detailed Budget'!$BG$5:$BG$1005,'Detailed Budget'!$L$5:$L$1005,$B58,'Detailed Budget'!$L$5:$L$1005,"&gt;0")&gt;0,SUMIFS('Detailed Budget'!$BG$5:$BG$1005,'Detailed Budget'!$L$5:$L$1005,$B58,'Detailed Budget'!$L$5:$L$1005,"&gt;0"),"")</f>
        <v/>
      </c>
      <c r="R58" s="45" t="str">
        <f>IF(SUMIFS('Detailed Budget'!$BI$5:$BI$1005,'Detailed Budget'!$L$5:$L$1005,$B58,'Detailed Budget'!$L$5:$L$1005,"&gt;0")&gt;0,SUMIFS('Detailed Budget'!$BI$5:$BI$1005,'Detailed Budget'!$L$5:$L$1005,$B58,'Detailed Budget'!$L$5:$L$1005,"&gt;0"),"")</f>
        <v/>
      </c>
      <c r="S58" s="44" t="str">
        <f>IF(SUMIFS('Detailed Budget'!$BN$5:$BN$1005,'Detailed Budget'!$L$5:$L$1005,$B58,'Detailed Budget'!$L$5:$L$1005,"&gt;0")&gt;0,SUMIFS('Detailed Budget'!$BN$5:$BN$1005,'Detailed Budget'!$L$5:$L$1005,$B58,'Detailed Budget'!$L$5:$L$1005,"&gt;0"),"")</f>
        <v/>
      </c>
      <c r="T58" s="44" t="str">
        <f>IF(SUMIFS('Detailed Budget'!$BP$5:$BP$1005,'Detailed Budget'!$L$5:$L$1005,$B58,'Detailed Budget'!$L$5:$L$1005,"&gt;0")&gt;0,SUMIFS('Detailed Budget'!$BP$5:$BP$1005,'Detailed Budget'!$L$5:$L$1005,$B58,'Detailed Budget'!$L$5:$L$1005,"&gt;0"),"")</f>
        <v/>
      </c>
      <c r="U58" s="44" t="str">
        <f>IF(SUMIFS('Detailed Budget'!$BR$5:$BR$1005,'Detailed Budget'!$L$5:$L$1005,$B58,'Detailed Budget'!$L$5:$L$1005,"&gt;0")&gt;0,SUMIFS('Detailed Budget'!$BR$5:$BR$1005,'Detailed Budget'!$L$5:$L$1005,$B58,'Detailed Budget'!$L$5:$L$1005,"&gt;0"),"")</f>
        <v/>
      </c>
      <c r="V58" s="44" t="str">
        <f>IF(SUMIFS('Detailed Budget'!$BT$5:$BT$1005,'Detailed Budget'!$L$5:$L$1005,$B58,'Detailed Budget'!$L$5:$L$1005,"&gt;0")&gt;0,SUMIFS('Detailed Budget'!$BT$5:$BT$1005,'Detailed Budget'!$L$5:$L$1005,$B58,'Detailed Budget'!$L$5:$L$1005,"&gt;0"),"")</f>
        <v/>
      </c>
      <c r="W58" s="45" t="str">
        <f>IF(SUMIFS('Detailed Budget'!$BV$5:$BV$1005,'Detailed Budget'!$L$5:$L$1005,$B58,'Detailed Budget'!$L$5:$L$1005,"&gt;0")&gt;0,SUMIFS('Detailed Budget'!$BV$5:$BV$1005,'Detailed Budget'!$L$5:$L$1005,$B58,'Detailed Budget'!$L$5:$L$1005,"&gt;0"),"")</f>
        <v/>
      </c>
      <c r="X58" s="44" t="str">
        <f t="shared" si="2"/>
        <v/>
      </c>
      <c r="Y58" s="124" t="str">
        <f t="shared" si="3"/>
        <v/>
      </c>
    </row>
    <row r="59" spans="1:25" hidden="1" x14ac:dyDescent="0.25">
      <c r="A59" s="35"/>
      <c r="B59" s="234" t="str">
        <f t="array" ref="B59">IFERROR(INDEX(CostInpNoList,MATCH(0,IF(ISBLANK(CostInpNoList),"",COUNTIF(B$16:B58,CostInpNoList)),0)),"")</f>
        <v/>
      </c>
      <c r="C59" s="372" t="str">
        <f>IFERROR(INDEX('Data Sheet'!$F$198:$F$275,MATCH(B59,'Data Sheet'!$G$198:$G$275,0)),"")</f>
        <v/>
      </c>
      <c r="D59" s="44" t="str">
        <f>IF(SUMIFS('Detailed Budget'!$AA$5:$AA$1005,'Detailed Budget'!$L$5:$L$1005,$B59,'Detailed Budget'!$L$5:$L$1005,"&gt;0")&gt;0,SUMIFS('Detailed Budget'!$AA$5:$AA$1005,'Detailed Budget'!$L$5:$L$1005,$B59,'Detailed Budget'!$L$5:$L$1005,"&gt;0"),"")</f>
        <v/>
      </c>
      <c r="E59" s="44" t="str">
        <f>IF(SUMIFS('Detailed Budget'!$AC$5:$AC$1005,'Detailed Budget'!$L$5:$L$1005,$B59,'Detailed Budget'!$L$5:$L$1005,"&gt;0")&gt;0,SUMIFS('Detailed Budget'!$AC$5:$AC$1005,'Detailed Budget'!$L$5:$L$1005,$B59,'Detailed Budget'!$L$5:$L$1005,"&gt;0"),"")</f>
        <v/>
      </c>
      <c r="F59" s="44" t="str">
        <f>IF(SUMIFS('Detailed Budget'!$AE$5:$AE$1005,'Detailed Budget'!$L$5:$L$1005,$B59,'Detailed Budget'!$L$5:$L$1005,"&gt;0")&gt;0,SUMIFS('Detailed Budget'!$AE$5:$AE$1005,'Detailed Budget'!$L$5:$L$1005,$B59,'Detailed Budget'!$L$5:$L$1005,"&gt;0"),"")</f>
        <v/>
      </c>
      <c r="G59" s="44" t="str">
        <f>IF(SUMIFS('Detailed Budget'!$AG$5:$AG$1005,'Detailed Budget'!$L$5:$L$1005,$B59,'Detailed Budget'!$L$5:$L$1005,"&gt;0")&gt;0,SUMIFS('Detailed Budget'!$AG$5:$AG$1005,'Detailed Budget'!$L$5:$L$1005,$B59,'Detailed Budget'!$L$5:$L$1005,"&gt;0"),"")</f>
        <v/>
      </c>
      <c r="H59" s="45" t="str">
        <f>IF(SUMIFS('Detailed Budget'!$AI$5:$AI$1005,'Detailed Budget'!$L$5:$L$1005,$B59,'Detailed Budget'!$L$5:$L$1005,"&gt;0")&gt;0,SUMIFS('Detailed Budget'!$AI$5:$AI$1005,'Detailed Budget'!$L$5:$L$1005,$B59,'Detailed Budget'!$L$5:$L$1005,"&gt;0"),"")</f>
        <v/>
      </c>
      <c r="I59" s="44" t="str">
        <f>IF(SUMIFS('Detailed Budget'!$AN$5:$AN$1005,'Detailed Budget'!$L$5:$L$1005,$B59,'Detailed Budget'!$L$5:$L$1005,"&gt;0")&gt;0,SUMIFS('Detailed Budget'!$AN$5:$AN$1005,'Detailed Budget'!$L$5:$L$1005,$B59,'Detailed Budget'!$L$5:$L$1005,"&gt;0"),"")</f>
        <v/>
      </c>
      <c r="J59" s="44" t="str">
        <f>IF(SUMIFS('Detailed Budget'!$AP$5:$AP$1005,'Detailed Budget'!$L$5:$L$1005,$B59,'Detailed Budget'!$L$5:$L$1005,"&gt;0")&gt;0,SUMIFS('Detailed Budget'!$AP$5:$AP$1005,'Detailed Budget'!$L$5:$L$1005,$B59,'Detailed Budget'!$L$5:$L$1005,"&gt;0"),"")</f>
        <v/>
      </c>
      <c r="K59" s="44" t="str">
        <f>IF(SUMIFS('Detailed Budget'!$AR$5:$AR$1005,'Detailed Budget'!$L$5:$L$1005,$B59,'Detailed Budget'!$L$5:$L$1005,"&gt;0")&gt;0,SUMIFS('Detailed Budget'!$AR$5:$AR$1005,'Detailed Budget'!$L$5:$L$1005,$B59,'Detailed Budget'!$L$5:$L$1005,"&gt;0"),"")</f>
        <v/>
      </c>
      <c r="L59" s="44" t="str">
        <f>IF(SUMIFS('Detailed Budget'!$AT$5:$AT$1005,'Detailed Budget'!$L$5:$L$1005,$B59,'Detailed Budget'!$L$5:$L$1005,"&gt;0")&gt;0,SUMIFS('Detailed Budget'!$AT$5:$AT$1005,'Detailed Budget'!$L$5:$L$1005,$B59,'Detailed Budget'!$L$5:$L$1005,"&gt;0"),"")</f>
        <v/>
      </c>
      <c r="M59" s="45" t="str">
        <f>IF(SUMIFS('Detailed Budget'!$AV$5:$AV$1005,'Detailed Budget'!$L$5:$L$1005,$B59,'Detailed Budget'!$L$5:$L$1005,"&gt;0")&gt;0,SUMIFS('Detailed Budget'!$AV$5:$AV$1005,'Detailed Budget'!$L$5:$L$1005,$B59,'Detailed Budget'!$L$5:$L$1005,"&gt;0"),"")</f>
        <v/>
      </c>
      <c r="N59" s="44" t="str">
        <f>IF(SUMIFS('Detailed Budget'!$BA$5:$BA$1005,'Detailed Budget'!$L$5:$L$1005,$B59,'Detailed Budget'!$L$5:$L$1005,"&gt;0")&gt;0,SUMIFS('Detailed Budget'!$BA$5:$BA$1005,'Detailed Budget'!$L$5:$L$1005,$B59,'Detailed Budget'!$L$5:$L$1005,"&gt;0"),"")</f>
        <v/>
      </c>
      <c r="O59" s="44" t="str">
        <f>IF(SUMIFS('Detailed Budget'!$BC$5:$BC$1005,'Detailed Budget'!$L$5:$L$1005,$B59,'Detailed Budget'!$L$5:$L$1005,"&gt;0")&gt;0,SUMIFS('Detailed Budget'!$BC$5:$BC$1005,'Detailed Budget'!$L$5:$L$1005,$B59,'Detailed Budget'!$L$5:$L$1005,"&gt;0"),"")</f>
        <v/>
      </c>
      <c r="P59" s="44" t="str">
        <f>IF(SUMIFS('Detailed Budget'!$BE$5:$BE$1005,'Detailed Budget'!$L$5:$L$1005,$B59,'Detailed Budget'!$L$5:$L$1005,"&gt;0")&gt;0,SUMIFS('Detailed Budget'!$BE$5:$BE$1005,'Detailed Budget'!$L$5:$L$1005,$B59,'Detailed Budget'!$L$5:$L$1005,"&gt;0"),"")</f>
        <v/>
      </c>
      <c r="Q59" s="44" t="str">
        <f>IF(SUMIFS('Detailed Budget'!$BG$5:$BG$1005,'Detailed Budget'!$L$5:$L$1005,$B59,'Detailed Budget'!$L$5:$L$1005,"&gt;0")&gt;0,SUMIFS('Detailed Budget'!$BG$5:$BG$1005,'Detailed Budget'!$L$5:$L$1005,$B59,'Detailed Budget'!$L$5:$L$1005,"&gt;0"),"")</f>
        <v/>
      </c>
      <c r="R59" s="45" t="str">
        <f>IF(SUMIFS('Detailed Budget'!$BI$5:$BI$1005,'Detailed Budget'!$L$5:$L$1005,$B59,'Detailed Budget'!$L$5:$L$1005,"&gt;0")&gt;0,SUMIFS('Detailed Budget'!$BI$5:$BI$1005,'Detailed Budget'!$L$5:$L$1005,$B59,'Detailed Budget'!$L$5:$L$1005,"&gt;0"),"")</f>
        <v/>
      </c>
      <c r="S59" s="44" t="str">
        <f>IF(SUMIFS('Detailed Budget'!$BN$5:$BN$1005,'Detailed Budget'!$L$5:$L$1005,$B59,'Detailed Budget'!$L$5:$L$1005,"&gt;0")&gt;0,SUMIFS('Detailed Budget'!$BN$5:$BN$1005,'Detailed Budget'!$L$5:$L$1005,$B59,'Detailed Budget'!$L$5:$L$1005,"&gt;0"),"")</f>
        <v/>
      </c>
      <c r="T59" s="44" t="str">
        <f>IF(SUMIFS('Detailed Budget'!$BP$5:$BP$1005,'Detailed Budget'!$L$5:$L$1005,$B59,'Detailed Budget'!$L$5:$L$1005,"&gt;0")&gt;0,SUMIFS('Detailed Budget'!$BP$5:$BP$1005,'Detailed Budget'!$L$5:$L$1005,$B59,'Detailed Budget'!$L$5:$L$1005,"&gt;0"),"")</f>
        <v/>
      </c>
      <c r="U59" s="44" t="str">
        <f>IF(SUMIFS('Detailed Budget'!$BR$5:$BR$1005,'Detailed Budget'!$L$5:$L$1005,$B59,'Detailed Budget'!$L$5:$L$1005,"&gt;0")&gt;0,SUMIFS('Detailed Budget'!$BR$5:$BR$1005,'Detailed Budget'!$L$5:$L$1005,$B59,'Detailed Budget'!$L$5:$L$1005,"&gt;0"),"")</f>
        <v/>
      </c>
      <c r="V59" s="44" t="str">
        <f>IF(SUMIFS('Detailed Budget'!$BT$5:$BT$1005,'Detailed Budget'!$L$5:$L$1005,$B59,'Detailed Budget'!$L$5:$L$1005,"&gt;0")&gt;0,SUMIFS('Detailed Budget'!$BT$5:$BT$1005,'Detailed Budget'!$L$5:$L$1005,$B59,'Detailed Budget'!$L$5:$L$1005,"&gt;0"),"")</f>
        <v/>
      </c>
      <c r="W59" s="45" t="str">
        <f>IF(SUMIFS('Detailed Budget'!$BV$5:$BV$1005,'Detailed Budget'!$L$5:$L$1005,$B59,'Detailed Budget'!$L$5:$L$1005,"&gt;0")&gt;0,SUMIFS('Detailed Budget'!$BV$5:$BV$1005,'Detailed Budget'!$L$5:$L$1005,$B59,'Detailed Budget'!$L$5:$L$1005,"&gt;0"),"")</f>
        <v/>
      </c>
      <c r="X59" s="44" t="str">
        <f t="shared" si="2"/>
        <v/>
      </c>
      <c r="Y59" s="124" t="str">
        <f t="shared" si="3"/>
        <v/>
      </c>
    </row>
    <row r="60" spans="1:25" hidden="1" x14ac:dyDescent="0.25">
      <c r="A60" s="35"/>
      <c r="B60" s="234" t="str">
        <f t="array" ref="B60">IFERROR(INDEX(CostInpNoList,MATCH(0,IF(ISBLANK(CostInpNoList),"",COUNTIF(B$16:B59,CostInpNoList)),0)),"")</f>
        <v/>
      </c>
      <c r="C60" s="372" t="str">
        <f>IFERROR(INDEX('Data Sheet'!$F$198:$F$275,MATCH(B60,'Data Sheet'!$G$198:$G$275,0)),"")</f>
        <v/>
      </c>
      <c r="D60" s="44" t="str">
        <f>IF(SUMIFS('Detailed Budget'!$AA$5:$AA$1005,'Detailed Budget'!$L$5:$L$1005,$B60,'Detailed Budget'!$L$5:$L$1005,"&gt;0")&gt;0,SUMIFS('Detailed Budget'!$AA$5:$AA$1005,'Detailed Budget'!$L$5:$L$1005,$B60,'Detailed Budget'!$L$5:$L$1005,"&gt;0"),"")</f>
        <v/>
      </c>
      <c r="E60" s="44" t="str">
        <f>IF(SUMIFS('Detailed Budget'!$AC$5:$AC$1005,'Detailed Budget'!$L$5:$L$1005,$B60,'Detailed Budget'!$L$5:$L$1005,"&gt;0")&gt;0,SUMIFS('Detailed Budget'!$AC$5:$AC$1005,'Detailed Budget'!$L$5:$L$1005,$B60,'Detailed Budget'!$L$5:$L$1005,"&gt;0"),"")</f>
        <v/>
      </c>
      <c r="F60" s="44" t="str">
        <f>IF(SUMIFS('Detailed Budget'!$AE$5:$AE$1005,'Detailed Budget'!$L$5:$L$1005,$B60,'Detailed Budget'!$L$5:$L$1005,"&gt;0")&gt;0,SUMIFS('Detailed Budget'!$AE$5:$AE$1005,'Detailed Budget'!$L$5:$L$1005,$B60,'Detailed Budget'!$L$5:$L$1005,"&gt;0"),"")</f>
        <v/>
      </c>
      <c r="G60" s="44" t="str">
        <f>IF(SUMIFS('Detailed Budget'!$AG$5:$AG$1005,'Detailed Budget'!$L$5:$L$1005,$B60,'Detailed Budget'!$L$5:$L$1005,"&gt;0")&gt;0,SUMIFS('Detailed Budget'!$AG$5:$AG$1005,'Detailed Budget'!$L$5:$L$1005,$B60,'Detailed Budget'!$L$5:$L$1005,"&gt;0"),"")</f>
        <v/>
      </c>
      <c r="H60" s="45" t="str">
        <f>IF(SUMIFS('Detailed Budget'!$AI$5:$AI$1005,'Detailed Budget'!$L$5:$L$1005,$B60,'Detailed Budget'!$L$5:$L$1005,"&gt;0")&gt;0,SUMIFS('Detailed Budget'!$AI$5:$AI$1005,'Detailed Budget'!$L$5:$L$1005,$B60,'Detailed Budget'!$L$5:$L$1005,"&gt;0"),"")</f>
        <v/>
      </c>
      <c r="I60" s="44" t="str">
        <f>IF(SUMIFS('Detailed Budget'!$AN$5:$AN$1005,'Detailed Budget'!$L$5:$L$1005,$B60,'Detailed Budget'!$L$5:$L$1005,"&gt;0")&gt;0,SUMIFS('Detailed Budget'!$AN$5:$AN$1005,'Detailed Budget'!$L$5:$L$1005,$B60,'Detailed Budget'!$L$5:$L$1005,"&gt;0"),"")</f>
        <v/>
      </c>
      <c r="J60" s="44" t="str">
        <f>IF(SUMIFS('Detailed Budget'!$AP$5:$AP$1005,'Detailed Budget'!$L$5:$L$1005,$B60,'Detailed Budget'!$L$5:$L$1005,"&gt;0")&gt;0,SUMIFS('Detailed Budget'!$AP$5:$AP$1005,'Detailed Budget'!$L$5:$L$1005,$B60,'Detailed Budget'!$L$5:$L$1005,"&gt;0"),"")</f>
        <v/>
      </c>
      <c r="K60" s="44" t="str">
        <f>IF(SUMIFS('Detailed Budget'!$AR$5:$AR$1005,'Detailed Budget'!$L$5:$L$1005,$B60,'Detailed Budget'!$L$5:$L$1005,"&gt;0")&gt;0,SUMIFS('Detailed Budget'!$AR$5:$AR$1005,'Detailed Budget'!$L$5:$L$1005,$B60,'Detailed Budget'!$L$5:$L$1005,"&gt;0"),"")</f>
        <v/>
      </c>
      <c r="L60" s="44" t="str">
        <f>IF(SUMIFS('Detailed Budget'!$AT$5:$AT$1005,'Detailed Budget'!$L$5:$L$1005,$B60,'Detailed Budget'!$L$5:$L$1005,"&gt;0")&gt;0,SUMIFS('Detailed Budget'!$AT$5:$AT$1005,'Detailed Budget'!$L$5:$L$1005,$B60,'Detailed Budget'!$L$5:$L$1005,"&gt;0"),"")</f>
        <v/>
      </c>
      <c r="M60" s="45" t="str">
        <f>IF(SUMIFS('Detailed Budget'!$AV$5:$AV$1005,'Detailed Budget'!$L$5:$L$1005,$B60,'Detailed Budget'!$L$5:$L$1005,"&gt;0")&gt;0,SUMIFS('Detailed Budget'!$AV$5:$AV$1005,'Detailed Budget'!$L$5:$L$1005,$B60,'Detailed Budget'!$L$5:$L$1005,"&gt;0"),"")</f>
        <v/>
      </c>
      <c r="N60" s="44" t="str">
        <f>IF(SUMIFS('Detailed Budget'!$BA$5:$BA$1005,'Detailed Budget'!$L$5:$L$1005,$B60,'Detailed Budget'!$L$5:$L$1005,"&gt;0")&gt;0,SUMIFS('Detailed Budget'!$BA$5:$BA$1005,'Detailed Budget'!$L$5:$L$1005,$B60,'Detailed Budget'!$L$5:$L$1005,"&gt;0"),"")</f>
        <v/>
      </c>
      <c r="O60" s="44" t="str">
        <f>IF(SUMIFS('Detailed Budget'!$BC$5:$BC$1005,'Detailed Budget'!$L$5:$L$1005,$B60,'Detailed Budget'!$L$5:$L$1005,"&gt;0")&gt;0,SUMIFS('Detailed Budget'!$BC$5:$BC$1005,'Detailed Budget'!$L$5:$L$1005,$B60,'Detailed Budget'!$L$5:$L$1005,"&gt;0"),"")</f>
        <v/>
      </c>
      <c r="P60" s="44" t="str">
        <f>IF(SUMIFS('Detailed Budget'!$BE$5:$BE$1005,'Detailed Budget'!$L$5:$L$1005,$B60,'Detailed Budget'!$L$5:$L$1005,"&gt;0")&gt;0,SUMIFS('Detailed Budget'!$BE$5:$BE$1005,'Detailed Budget'!$L$5:$L$1005,$B60,'Detailed Budget'!$L$5:$L$1005,"&gt;0"),"")</f>
        <v/>
      </c>
      <c r="Q60" s="44" t="str">
        <f>IF(SUMIFS('Detailed Budget'!$BG$5:$BG$1005,'Detailed Budget'!$L$5:$L$1005,$B60,'Detailed Budget'!$L$5:$L$1005,"&gt;0")&gt;0,SUMIFS('Detailed Budget'!$BG$5:$BG$1005,'Detailed Budget'!$L$5:$L$1005,$B60,'Detailed Budget'!$L$5:$L$1005,"&gt;0"),"")</f>
        <v/>
      </c>
      <c r="R60" s="45" t="str">
        <f>IF(SUMIFS('Detailed Budget'!$BI$5:$BI$1005,'Detailed Budget'!$L$5:$L$1005,$B60,'Detailed Budget'!$L$5:$L$1005,"&gt;0")&gt;0,SUMIFS('Detailed Budget'!$BI$5:$BI$1005,'Detailed Budget'!$L$5:$L$1005,$B60,'Detailed Budget'!$L$5:$L$1005,"&gt;0"),"")</f>
        <v/>
      </c>
      <c r="S60" s="44" t="str">
        <f>IF(SUMIFS('Detailed Budget'!$BN$5:$BN$1005,'Detailed Budget'!$L$5:$L$1005,$B60,'Detailed Budget'!$L$5:$L$1005,"&gt;0")&gt;0,SUMIFS('Detailed Budget'!$BN$5:$BN$1005,'Detailed Budget'!$L$5:$L$1005,$B60,'Detailed Budget'!$L$5:$L$1005,"&gt;0"),"")</f>
        <v/>
      </c>
      <c r="T60" s="44" t="str">
        <f>IF(SUMIFS('Detailed Budget'!$BP$5:$BP$1005,'Detailed Budget'!$L$5:$L$1005,$B60,'Detailed Budget'!$L$5:$L$1005,"&gt;0")&gt;0,SUMIFS('Detailed Budget'!$BP$5:$BP$1005,'Detailed Budget'!$L$5:$L$1005,$B60,'Detailed Budget'!$L$5:$L$1005,"&gt;0"),"")</f>
        <v/>
      </c>
      <c r="U60" s="44" t="str">
        <f>IF(SUMIFS('Detailed Budget'!$BR$5:$BR$1005,'Detailed Budget'!$L$5:$L$1005,$B60,'Detailed Budget'!$L$5:$L$1005,"&gt;0")&gt;0,SUMIFS('Detailed Budget'!$BR$5:$BR$1005,'Detailed Budget'!$L$5:$L$1005,$B60,'Detailed Budget'!$L$5:$L$1005,"&gt;0"),"")</f>
        <v/>
      </c>
      <c r="V60" s="44" t="str">
        <f>IF(SUMIFS('Detailed Budget'!$BT$5:$BT$1005,'Detailed Budget'!$L$5:$L$1005,$B60,'Detailed Budget'!$L$5:$L$1005,"&gt;0")&gt;0,SUMIFS('Detailed Budget'!$BT$5:$BT$1005,'Detailed Budget'!$L$5:$L$1005,$B60,'Detailed Budget'!$L$5:$L$1005,"&gt;0"),"")</f>
        <v/>
      </c>
      <c r="W60" s="45" t="str">
        <f>IF(SUMIFS('Detailed Budget'!$BV$5:$BV$1005,'Detailed Budget'!$L$5:$L$1005,$B60,'Detailed Budget'!$L$5:$L$1005,"&gt;0")&gt;0,SUMIFS('Detailed Budget'!$BV$5:$BV$1005,'Detailed Budget'!$L$5:$L$1005,$B60,'Detailed Budget'!$L$5:$L$1005,"&gt;0"),"")</f>
        <v/>
      </c>
      <c r="X60" s="44" t="str">
        <f t="shared" si="2"/>
        <v/>
      </c>
      <c r="Y60" s="124" t="str">
        <f t="shared" si="3"/>
        <v/>
      </c>
    </row>
    <row r="61" spans="1:25" hidden="1" x14ac:dyDescent="0.25">
      <c r="A61" s="35"/>
      <c r="B61" s="234" t="str">
        <f t="array" ref="B61">IFERROR(INDEX(CostInpNoList,MATCH(0,IF(ISBLANK(CostInpNoList),"",COUNTIF(B$16:B60,CostInpNoList)),0)),"")</f>
        <v/>
      </c>
      <c r="C61" s="372" t="str">
        <f>IFERROR(INDEX('Data Sheet'!$F$198:$F$275,MATCH(B61,'Data Sheet'!$G$198:$G$275,0)),"")</f>
        <v/>
      </c>
      <c r="D61" s="44" t="str">
        <f>IF(SUMIFS('Detailed Budget'!$AA$5:$AA$1005,'Detailed Budget'!$L$5:$L$1005,$B61,'Detailed Budget'!$L$5:$L$1005,"&gt;0")&gt;0,SUMIFS('Detailed Budget'!$AA$5:$AA$1005,'Detailed Budget'!$L$5:$L$1005,$B61,'Detailed Budget'!$L$5:$L$1005,"&gt;0"),"")</f>
        <v/>
      </c>
      <c r="E61" s="44" t="str">
        <f>IF(SUMIFS('Detailed Budget'!$AC$5:$AC$1005,'Detailed Budget'!$L$5:$L$1005,$B61,'Detailed Budget'!$L$5:$L$1005,"&gt;0")&gt;0,SUMIFS('Detailed Budget'!$AC$5:$AC$1005,'Detailed Budget'!$L$5:$L$1005,$B61,'Detailed Budget'!$L$5:$L$1005,"&gt;0"),"")</f>
        <v/>
      </c>
      <c r="F61" s="44" t="str">
        <f>IF(SUMIFS('Detailed Budget'!$AE$5:$AE$1005,'Detailed Budget'!$L$5:$L$1005,$B61,'Detailed Budget'!$L$5:$L$1005,"&gt;0")&gt;0,SUMIFS('Detailed Budget'!$AE$5:$AE$1005,'Detailed Budget'!$L$5:$L$1005,$B61,'Detailed Budget'!$L$5:$L$1005,"&gt;0"),"")</f>
        <v/>
      </c>
      <c r="G61" s="44" t="str">
        <f>IF(SUMIFS('Detailed Budget'!$AG$5:$AG$1005,'Detailed Budget'!$L$5:$L$1005,$B61,'Detailed Budget'!$L$5:$L$1005,"&gt;0")&gt;0,SUMIFS('Detailed Budget'!$AG$5:$AG$1005,'Detailed Budget'!$L$5:$L$1005,$B61,'Detailed Budget'!$L$5:$L$1005,"&gt;0"),"")</f>
        <v/>
      </c>
      <c r="H61" s="45" t="str">
        <f>IF(SUMIFS('Detailed Budget'!$AI$5:$AI$1005,'Detailed Budget'!$L$5:$L$1005,$B61,'Detailed Budget'!$L$5:$L$1005,"&gt;0")&gt;0,SUMIFS('Detailed Budget'!$AI$5:$AI$1005,'Detailed Budget'!$L$5:$L$1005,$B61,'Detailed Budget'!$L$5:$L$1005,"&gt;0"),"")</f>
        <v/>
      </c>
      <c r="I61" s="44" t="str">
        <f>IF(SUMIFS('Detailed Budget'!$AN$5:$AN$1005,'Detailed Budget'!$L$5:$L$1005,$B61,'Detailed Budget'!$L$5:$L$1005,"&gt;0")&gt;0,SUMIFS('Detailed Budget'!$AN$5:$AN$1005,'Detailed Budget'!$L$5:$L$1005,$B61,'Detailed Budget'!$L$5:$L$1005,"&gt;0"),"")</f>
        <v/>
      </c>
      <c r="J61" s="44" t="str">
        <f>IF(SUMIFS('Detailed Budget'!$AP$5:$AP$1005,'Detailed Budget'!$L$5:$L$1005,$B61,'Detailed Budget'!$L$5:$L$1005,"&gt;0")&gt;0,SUMIFS('Detailed Budget'!$AP$5:$AP$1005,'Detailed Budget'!$L$5:$L$1005,$B61,'Detailed Budget'!$L$5:$L$1005,"&gt;0"),"")</f>
        <v/>
      </c>
      <c r="K61" s="44" t="str">
        <f>IF(SUMIFS('Detailed Budget'!$AR$5:$AR$1005,'Detailed Budget'!$L$5:$L$1005,$B61,'Detailed Budget'!$L$5:$L$1005,"&gt;0")&gt;0,SUMIFS('Detailed Budget'!$AR$5:$AR$1005,'Detailed Budget'!$L$5:$L$1005,$B61,'Detailed Budget'!$L$5:$L$1005,"&gt;0"),"")</f>
        <v/>
      </c>
      <c r="L61" s="44" t="str">
        <f>IF(SUMIFS('Detailed Budget'!$AT$5:$AT$1005,'Detailed Budget'!$L$5:$L$1005,$B61,'Detailed Budget'!$L$5:$L$1005,"&gt;0")&gt;0,SUMIFS('Detailed Budget'!$AT$5:$AT$1005,'Detailed Budget'!$L$5:$L$1005,$B61,'Detailed Budget'!$L$5:$L$1005,"&gt;0"),"")</f>
        <v/>
      </c>
      <c r="M61" s="45" t="str">
        <f>IF(SUMIFS('Detailed Budget'!$AV$5:$AV$1005,'Detailed Budget'!$L$5:$L$1005,$B61,'Detailed Budget'!$L$5:$L$1005,"&gt;0")&gt;0,SUMIFS('Detailed Budget'!$AV$5:$AV$1005,'Detailed Budget'!$L$5:$L$1005,$B61,'Detailed Budget'!$L$5:$L$1005,"&gt;0"),"")</f>
        <v/>
      </c>
      <c r="N61" s="44" t="str">
        <f>IF(SUMIFS('Detailed Budget'!$BA$5:$BA$1005,'Detailed Budget'!$L$5:$L$1005,$B61,'Detailed Budget'!$L$5:$L$1005,"&gt;0")&gt;0,SUMIFS('Detailed Budget'!$BA$5:$BA$1005,'Detailed Budget'!$L$5:$L$1005,$B61,'Detailed Budget'!$L$5:$L$1005,"&gt;0"),"")</f>
        <v/>
      </c>
      <c r="O61" s="44" t="str">
        <f>IF(SUMIFS('Detailed Budget'!$BC$5:$BC$1005,'Detailed Budget'!$L$5:$L$1005,$B61,'Detailed Budget'!$L$5:$L$1005,"&gt;0")&gt;0,SUMIFS('Detailed Budget'!$BC$5:$BC$1005,'Detailed Budget'!$L$5:$L$1005,$B61,'Detailed Budget'!$L$5:$L$1005,"&gt;0"),"")</f>
        <v/>
      </c>
      <c r="P61" s="44" t="str">
        <f>IF(SUMIFS('Detailed Budget'!$BE$5:$BE$1005,'Detailed Budget'!$L$5:$L$1005,$B61,'Detailed Budget'!$L$5:$L$1005,"&gt;0")&gt;0,SUMIFS('Detailed Budget'!$BE$5:$BE$1005,'Detailed Budget'!$L$5:$L$1005,$B61,'Detailed Budget'!$L$5:$L$1005,"&gt;0"),"")</f>
        <v/>
      </c>
      <c r="Q61" s="44" t="str">
        <f>IF(SUMIFS('Detailed Budget'!$BG$5:$BG$1005,'Detailed Budget'!$L$5:$L$1005,$B61,'Detailed Budget'!$L$5:$L$1005,"&gt;0")&gt;0,SUMIFS('Detailed Budget'!$BG$5:$BG$1005,'Detailed Budget'!$L$5:$L$1005,$B61,'Detailed Budget'!$L$5:$L$1005,"&gt;0"),"")</f>
        <v/>
      </c>
      <c r="R61" s="45" t="str">
        <f>IF(SUMIFS('Detailed Budget'!$BI$5:$BI$1005,'Detailed Budget'!$L$5:$L$1005,$B61,'Detailed Budget'!$L$5:$L$1005,"&gt;0")&gt;0,SUMIFS('Detailed Budget'!$BI$5:$BI$1005,'Detailed Budget'!$L$5:$L$1005,$B61,'Detailed Budget'!$L$5:$L$1005,"&gt;0"),"")</f>
        <v/>
      </c>
      <c r="S61" s="44" t="str">
        <f>IF(SUMIFS('Detailed Budget'!$BN$5:$BN$1005,'Detailed Budget'!$L$5:$L$1005,$B61,'Detailed Budget'!$L$5:$L$1005,"&gt;0")&gt;0,SUMIFS('Detailed Budget'!$BN$5:$BN$1005,'Detailed Budget'!$L$5:$L$1005,$B61,'Detailed Budget'!$L$5:$L$1005,"&gt;0"),"")</f>
        <v/>
      </c>
      <c r="T61" s="44" t="str">
        <f>IF(SUMIFS('Detailed Budget'!$BP$5:$BP$1005,'Detailed Budget'!$L$5:$L$1005,$B61,'Detailed Budget'!$L$5:$L$1005,"&gt;0")&gt;0,SUMIFS('Detailed Budget'!$BP$5:$BP$1005,'Detailed Budget'!$L$5:$L$1005,$B61,'Detailed Budget'!$L$5:$L$1005,"&gt;0"),"")</f>
        <v/>
      </c>
      <c r="U61" s="44" t="str">
        <f>IF(SUMIFS('Detailed Budget'!$BR$5:$BR$1005,'Detailed Budget'!$L$5:$L$1005,$B61,'Detailed Budget'!$L$5:$L$1005,"&gt;0")&gt;0,SUMIFS('Detailed Budget'!$BR$5:$BR$1005,'Detailed Budget'!$L$5:$L$1005,$B61,'Detailed Budget'!$L$5:$L$1005,"&gt;0"),"")</f>
        <v/>
      </c>
      <c r="V61" s="44" t="str">
        <f>IF(SUMIFS('Detailed Budget'!$BT$5:$BT$1005,'Detailed Budget'!$L$5:$L$1005,$B61,'Detailed Budget'!$L$5:$L$1005,"&gt;0")&gt;0,SUMIFS('Detailed Budget'!$BT$5:$BT$1005,'Detailed Budget'!$L$5:$L$1005,$B61,'Detailed Budget'!$L$5:$L$1005,"&gt;0"),"")</f>
        <v/>
      </c>
      <c r="W61" s="45" t="str">
        <f>IF(SUMIFS('Detailed Budget'!$BV$5:$BV$1005,'Detailed Budget'!$L$5:$L$1005,$B61,'Detailed Budget'!$L$5:$L$1005,"&gt;0")&gt;0,SUMIFS('Detailed Budget'!$BV$5:$BV$1005,'Detailed Budget'!$L$5:$L$1005,$B61,'Detailed Budget'!$L$5:$L$1005,"&gt;0"),"")</f>
        <v/>
      </c>
      <c r="X61" s="44" t="str">
        <f t="shared" si="2"/>
        <v/>
      </c>
      <c r="Y61" s="124" t="str">
        <f t="shared" si="3"/>
        <v/>
      </c>
    </row>
    <row r="62" spans="1:25" hidden="1" x14ac:dyDescent="0.25">
      <c r="A62" s="35"/>
      <c r="B62" s="234" t="str">
        <f t="array" ref="B62">IFERROR(INDEX(CostInpNoList,MATCH(0,IF(ISBLANK(CostInpNoList),"",COUNTIF(B$16:B61,CostInpNoList)),0)),"")</f>
        <v/>
      </c>
      <c r="C62" s="372" t="str">
        <f>IFERROR(INDEX('Data Sheet'!$F$198:$F$275,MATCH(B62,'Data Sheet'!$G$198:$G$275,0)),"")</f>
        <v/>
      </c>
      <c r="D62" s="44" t="str">
        <f>IF(SUMIFS('Detailed Budget'!$AA$5:$AA$1005,'Detailed Budget'!$L$5:$L$1005,$B62,'Detailed Budget'!$L$5:$L$1005,"&gt;0")&gt;0,SUMIFS('Detailed Budget'!$AA$5:$AA$1005,'Detailed Budget'!$L$5:$L$1005,$B62,'Detailed Budget'!$L$5:$L$1005,"&gt;0"),"")</f>
        <v/>
      </c>
      <c r="E62" s="44" t="str">
        <f>IF(SUMIFS('Detailed Budget'!$AC$5:$AC$1005,'Detailed Budget'!$L$5:$L$1005,$B62,'Detailed Budget'!$L$5:$L$1005,"&gt;0")&gt;0,SUMIFS('Detailed Budget'!$AC$5:$AC$1005,'Detailed Budget'!$L$5:$L$1005,$B62,'Detailed Budget'!$L$5:$L$1005,"&gt;0"),"")</f>
        <v/>
      </c>
      <c r="F62" s="44" t="str">
        <f>IF(SUMIFS('Detailed Budget'!$AE$5:$AE$1005,'Detailed Budget'!$L$5:$L$1005,$B62,'Detailed Budget'!$L$5:$L$1005,"&gt;0")&gt;0,SUMIFS('Detailed Budget'!$AE$5:$AE$1005,'Detailed Budget'!$L$5:$L$1005,$B62,'Detailed Budget'!$L$5:$L$1005,"&gt;0"),"")</f>
        <v/>
      </c>
      <c r="G62" s="44" t="str">
        <f>IF(SUMIFS('Detailed Budget'!$AG$5:$AG$1005,'Detailed Budget'!$L$5:$L$1005,$B62,'Detailed Budget'!$L$5:$L$1005,"&gt;0")&gt;0,SUMIFS('Detailed Budget'!$AG$5:$AG$1005,'Detailed Budget'!$L$5:$L$1005,$B62,'Detailed Budget'!$L$5:$L$1005,"&gt;0"),"")</f>
        <v/>
      </c>
      <c r="H62" s="45" t="str">
        <f>IF(SUMIFS('Detailed Budget'!$AI$5:$AI$1005,'Detailed Budget'!$L$5:$L$1005,$B62,'Detailed Budget'!$L$5:$L$1005,"&gt;0")&gt;0,SUMIFS('Detailed Budget'!$AI$5:$AI$1005,'Detailed Budget'!$L$5:$L$1005,$B62,'Detailed Budget'!$L$5:$L$1005,"&gt;0"),"")</f>
        <v/>
      </c>
      <c r="I62" s="44" t="str">
        <f>IF(SUMIFS('Detailed Budget'!$AN$5:$AN$1005,'Detailed Budget'!$L$5:$L$1005,$B62,'Detailed Budget'!$L$5:$L$1005,"&gt;0")&gt;0,SUMIFS('Detailed Budget'!$AN$5:$AN$1005,'Detailed Budget'!$L$5:$L$1005,$B62,'Detailed Budget'!$L$5:$L$1005,"&gt;0"),"")</f>
        <v/>
      </c>
      <c r="J62" s="44" t="str">
        <f>IF(SUMIFS('Detailed Budget'!$AP$5:$AP$1005,'Detailed Budget'!$L$5:$L$1005,$B62,'Detailed Budget'!$L$5:$L$1005,"&gt;0")&gt;0,SUMIFS('Detailed Budget'!$AP$5:$AP$1005,'Detailed Budget'!$L$5:$L$1005,$B62,'Detailed Budget'!$L$5:$L$1005,"&gt;0"),"")</f>
        <v/>
      </c>
      <c r="K62" s="44" t="str">
        <f>IF(SUMIFS('Detailed Budget'!$AR$5:$AR$1005,'Detailed Budget'!$L$5:$L$1005,$B62,'Detailed Budget'!$L$5:$L$1005,"&gt;0")&gt;0,SUMIFS('Detailed Budget'!$AR$5:$AR$1005,'Detailed Budget'!$L$5:$L$1005,$B62,'Detailed Budget'!$L$5:$L$1005,"&gt;0"),"")</f>
        <v/>
      </c>
      <c r="L62" s="44" t="str">
        <f>IF(SUMIFS('Detailed Budget'!$AT$5:$AT$1005,'Detailed Budget'!$L$5:$L$1005,$B62,'Detailed Budget'!$L$5:$L$1005,"&gt;0")&gt;0,SUMIFS('Detailed Budget'!$AT$5:$AT$1005,'Detailed Budget'!$L$5:$L$1005,$B62,'Detailed Budget'!$L$5:$L$1005,"&gt;0"),"")</f>
        <v/>
      </c>
      <c r="M62" s="45" t="str">
        <f>IF(SUMIFS('Detailed Budget'!$AV$5:$AV$1005,'Detailed Budget'!$L$5:$L$1005,$B62,'Detailed Budget'!$L$5:$L$1005,"&gt;0")&gt;0,SUMIFS('Detailed Budget'!$AV$5:$AV$1005,'Detailed Budget'!$L$5:$L$1005,$B62,'Detailed Budget'!$L$5:$L$1005,"&gt;0"),"")</f>
        <v/>
      </c>
      <c r="N62" s="44" t="str">
        <f>IF(SUMIFS('Detailed Budget'!$BA$5:$BA$1005,'Detailed Budget'!$L$5:$L$1005,$B62,'Detailed Budget'!$L$5:$L$1005,"&gt;0")&gt;0,SUMIFS('Detailed Budget'!$BA$5:$BA$1005,'Detailed Budget'!$L$5:$L$1005,$B62,'Detailed Budget'!$L$5:$L$1005,"&gt;0"),"")</f>
        <v/>
      </c>
      <c r="O62" s="44" t="str">
        <f>IF(SUMIFS('Detailed Budget'!$BC$5:$BC$1005,'Detailed Budget'!$L$5:$L$1005,$B62,'Detailed Budget'!$L$5:$L$1005,"&gt;0")&gt;0,SUMIFS('Detailed Budget'!$BC$5:$BC$1005,'Detailed Budget'!$L$5:$L$1005,$B62,'Detailed Budget'!$L$5:$L$1005,"&gt;0"),"")</f>
        <v/>
      </c>
      <c r="P62" s="44" t="str">
        <f>IF(SUMIFS('Detailed Budget'!$BE$5:$BE$1005,'Detailed Budget'!$L$5:$L$1005,$B62,'Detailed Budget'!$L$5:$L$1005,"&gt;0")&gt;0,SUMIFS('Detailed Budget'!$BE$5:$BE$1005,'Detailed Budget'!$L$5:$L$1005,$B62,'Detailed Budget'!$L$5:$L$1005,"&gt;0"),"")</f>
        <v/>
      </c>
      <c r="Q62" s="44" t="str">
        <f>IF(SUMIFS('Detailed Budget'!$BG$5:$BG$1005,'Detailed Budget'!$L$5:$L$1005,$B62,'Detailed Budget'!$L$5:$L$1005,"&gt;0")&gt;0,SUMIFS('Detailed Budget'!$BG$5:$BG$1005,'Detailed Budget'!$L$5:$L$1005,$B62,'Detailed Budget'!$L$5:$L$1005,"&gt;0"),"")</f>
        <v/>
      </c>
      <c r="R62" s="45" t="str">
        <f>IF(SUMIFS('Detailed Budget'!$BI$5:$BI$1005,'Detailed Budget'!$L$5:$L$1005,$B62,'Detailed Budget'!$L$5:$L$1005,"&gt;0")&gt;0,SUMIFS('Detailed Budget'!$BI$5:$BI$1005,'Detailed Budget'!$L$5:$L$1005,$B62,'Detailed Budget'!$L$5:$L$1005,"&gt;0"),"")</f>
        <v/>
      </c>
      <c r="S62" s="44" t="str">
        <f>IF(SUMIFS('Detailed Budget'!$BN$5:$BN$1005,'Detailed Budget'!$L$5:$L$1005,$B62,'Detailed Budget'!$L$5:$L$1005,"&gt;0")&gt;0,SUMIFS('Detailed Budget'!$BN$5:$BN$1005,'Detailed Budget'!$L$5:$L$1005,$B62,'Detailed Budget'!$L$5:$L$1005,"&gt;0"),"")</f>
        <v/>
      </c>
      <c r="T62" s="44" t="str">
        <f>IF(SUMIFS('Detailed Budget'!$BP$5:$BP$1005,'Detailed Budget'!$L$5:$L$1005,$B62,'Detailed Budget'!$L$5:$L$1005,"&gt;0")&gt;0,SUMIFS('Detailed Budget'!$BP$5:$BP$1005,'Detailed Budget'!$L$5:$L$1005,$B62,'Detailed Budget'!$L$5:$L$1005,"&gt;0"),"")</f>
        <v/>
      </c>
      <c r="U62" s="44" t="str">
        <f>IF(SUMIFS('Detailed Budget'!$BR$5:$BR$1005,'Detailed Budget'!$L$5:$L$1005,$B62,'Detailed Budget'!$L$5:$L$1005,"&gt;0")&gt;0,SUMIFS('Detailed Budget'!$BR$5:$BR$1005,'Detailed Budget'!$L$5:$L$1005,$B62,'Detailed Budget'!$L$5:$L$1005,"&gt;0"),"")</f>
        <v/>
      </c>
      <c r="V62" s="44" t="str">
        <f>IF(SUMIFS('Detailed Budget'!$BT$5:$BT$1005,'Detailed Budget'!$L$5:$L$1005,$B62,'Detailed Budget'!$L$5:$L$1005,"&gt;0")&gt;0,SUMIFS('Detailed Budget'!$BT$5:$BT$1005,'Detailed Budget'!$L$5:$L$1005,$B62,'Detailed Budget'!$L$5:$L$1005,"&gt;0"),"")</f>
        <v/>
      </c>
      <c r="W62" s="45" t="str">
        <f>IF(SUMIFS('Detailed Budget'!$BV$5:$BV$1005,'Detailed Budget'!$L$5:$L$1005,$B62,'Detailed Budget'!$L$5:$L$1005,"&gt;0")&gt;0,SUMIFS('Detailed Budget'!$BV$5:$BV$1005,'Detailed Budget'!$L$5:$L$1005,$B62,'Detailed Budget'!$L$5:$L$1005,"&gt;0"),"")</f>
        <v/>
      </c>
      <c r="X62" s="44" t="str">
        <f t="shared" si="2"/>
        <v/>
      </c>
      <c r="Y62" s="124" t="str">
        <f t="shared" si="3"/>
        <v/>
      </c>
    </row>
    <row r="63" spans="1:25" hidden="1" x14ac:dyDescent="0.25">
      <c r="A63" s="35"/>
      <c r="B63" s="234" t="str">
        <f t="array" ref="B63">IFERROR(INDEX(CostInpNoList,MATCH(0,IF(ISBLANK(CostInpNoList),"",COUNTIF(B$16:B62,CostInpNoList)),0)),"")</f>
        <v/>
      </c>
      <c r="C63" s="372" t="str">
        <f>IFERROR(INDEX('Data Sheet'!$F$198:$F$275,MATCH(B63,'Data Sheet'!$G$198:$G$275,0)),"")</f>
        <v/>
      </c>
      <c r="D63" s="44" t="str">
        <f>IF(SUMIFS('Detailed Budget'!$AA$5:$AA$1005,'Detailed Budget'!$L$5:$L$1005,$B63,'Detailed Budget'!$L$5:$L$1005,"&gt;0")&gt;0,SUMIFS('Detailed Budget'!$AA$5:$AA$1005,'Detailed Budget'!$L$5:$L$1005,$B63,'Detailed Budget'!$L$5:$L$1005,"&gt;0"),"")</f>
        <v/>
      </c>
      <c r="E63" s="44" t="str">
        <f>IF(SUMIFS('Detailed Budget'!$AC$5:$AC$1005,'Detailed Budget'!$L$5:$L$1005,$B63,'Detailed Budget'!$L$5:$L$1005,"&gt;0")&gt;0,SUMIFS('Detailed Budget'!$AC$5:$AC$1005,'Detailed Budget'!$L$5:$L$1005,$B63,'Detailed Budget'!$L$5:$L$1005,"&gt;0"),"")</f>
        <v/>
      </c>
      <c r="F63" s="44" t="str">
        <f>IF(SUMIFS('Detailed Budget'!$AE$5:$AE$1005,'Detailed Budget'!$L$5:$L$1005,$B63,'Detailed Budget'!$L$5:$L$1005,"&gt;0")&gt;0,SUMIFS('Detailed Budget'!$AE$5:$AE$1005,'Detailed Budget'!$L$5:$L$1005,$B63,'Detailed Budget'!$L$5:$L$1005,"&gt;0"),"")</f>
        <v/>
      </c>
      <c r="G63" s="44" t="str">
        <f>IF(SUMIFS('Detailed Budget'!$AG$5:$AG$1005,'Detailed Budget'!$L$5:$L$1005,$B63,'Detailed Budget'!$L$5:$L$1005,"&gt;0")&gt;0,SUMIFS('Detailed Budget'!$AG$5:$AG$1005,'Detailed Budget'!$L$5:$L$1005,$B63,'Detailed Budget'!$L$5:$L$1005,"&gt;0"),"")</f>
        <v/>
      </c>
      <c r="H63" s="45" t="str">
        <f>IF(SUMIFS('Detailed Budget'!$AI$5:$AI$1005,'Detailed Budget'!$L$5:$L$1005,$B63,'Detailed Budget'!$L$5:$L$1005,"&gt;0")&gt;0,SUMIFS('Detailed Budget'!$AI$5:$AI$1005,'Detailed Budget'!$L$5:$L$1005,$B63,'Detailed Budget'!$L$5:$L$1005,"&gt;0"),"")</f>
        <v/>
      </c>
      <c r="I63" s="44" t="str">
        <f>IF(SUMIFS('Detailed Budget'!$AN$5:$AN$1005,'Detailed Budget'!$L$5:$L$1005,$B63,'Detailed Budget'!$L$5:$L$1005,"&gt;0")&gt;0,SUMIFS('Detailed Budget'!$AN$5:$AN$1005,'Detailed Budget'!$L$5:$L$1005,$B63,'Detailed Budget'!$L$5:$L$1005,"&gt;0"),"")</f>
        <v/>
      </c>
      <c r="J63" s="44" t="str">
        <f>IF(SUMIFS('Detailed Budget'!$AP$5:$AP$1005,'Detailed Budget'!$L$5:$L$1005,$B63,'Detailed Budget'!$L$5:$L$1005,"&gt;0")&gt;0,SUMIFS('Detailed Budget'!$AP$5:$AP$1005,'Detailed Budget'!$L$5:$L$1005,$B63,'Detailed Budget'!$L$5:$L$1005,"&gt;0"),"")</f>
        <v/>
      </c>
      <c r="K63" s="44" t="str">
        <f>IF(SUMIFS('Detailed Budget'!$AR$5:$AR$1005,'Detailed Budget'!$L$5:$L$1005,$B63,'Detailed Budget'!$L$5:$L$1005,"&gt;0")&gt;0,SUMIFS('Detailed Budget'!$AR$5:$AR$1005,'Detailed Budget'!$L$5:$L$1005,$B63,'Detailed Budget'!$L$5:$L$1005,"&gt;0"),"")</f>
        <v/>
      </c>
      <c r="L63" s="44" t="str">
        <f>IF(SUMIFS('Detailed Budget'!$AT$5:$AT$1005,'Detailed Budget'!$L$5:$L$1005,$B63,'Detailed Budget'!$L$5:$L$1005,"&gt;0")&gt;0,SUMIFS('Detailed Budget'!$AT$5:$AT$1005,'Detailed Budget'!$L$5:$L$1005,$B63,'Detailed Budget'!$L$5:$L$1005,"&gt;0"),"")</f>
        <v/>
      </c>
      <c r="M63" s="45" t="str">
        <f>IF(SUMIFS('Detailed Budget'!$AV$5:$AV$1005,'Detailed Budget'!$L$5:$L$1005,$B63,'Detailed Budget'!$L$5:$L$1005,"&gt;0")&gt;0,SUMIFS('Detailed Budget'!$AV$5:$AV$1005,'Detailed Budget'!$L$5:$L$1005,$B63,'Detailed Budget'!$L$5:$L$1005,"&gt;0"),"")</f>
        <v/>
      </c>
      <c r="N63" s="44" t="str">
        <f>IF(SUMIFS('Detailed Budget'!$BA$5:$BA$1005,'Detailed Budget'!$L$5:$L$1005,$B63,'Detailed Budget'!$L$5:$L$1005,"&gt;0")&gt;0,SUMIFS('Detailed Budget'!$BA$5:$BA$1005,'Detailed Budget'!$L$5:$L$1005,$B63,'Detailed Budget'!$L$5:$L$1005,"&gt;0"),"")</f>
        <v/>
      </c>
      <c r="O63" s="44" t="str">
        <f>IF(SUMIFS('Detailed Budget'!$BC$5:$BC$1005,'Detailed Budget'!$L$5:$L$1005,$B63,'Detailed Budget'!$L$5:$L$1005,"&gt;0")&gt;0,SUMIFS('Detailed Budget'!$BC$5:$BC$1005,'Detailed Budget'!$L$5:$L$1005,$B63,'Detailed Budget'!$L$5:$L$1005,"&gt;0"),"")</f>
        <v/>
      </c>
      <c r="P63" s="44" t="str">
        <f>IF(SUMIFS('Detailed Budget'!$BE$5:$BE$1005,'Detailed Budget'!$L$5:$L$1005,$B63,'Detailed Budget'!$L$5:$L$1005,"&gt;0")&gt;0,SUMIFS('Detailed Budget'!$BE$5:$BE$1005,'Detailed Budget'!$L$5:$L$1005,$B63,'Detailed Budget'!$L$5:$L$1005,"&gt;0"),"")</f>
        <v/>
      </c>
      <c r="Q63" s="44" t="str">
        <f>IF(SUMIFS('Detailed Budget'!$BG$5:$BG$1005,'Detailed Budget'!$L$5:$L$1005,$B63,'Detailed Budget'!$L$5:$L$1005,"&gt;0")&gt;0,SUMIFS('Detailed Budget'!$BG$5:$BG$1005,'Detailed Budget'!$L$5:$L$1005,$B63,'Detailed Budget'!$L$5:$L$1005,"&gt;0"),"")</f>
        <v/>
      </c>
      <c r="R63" s="45" t="str">
        <f>IF(SUMIFS('Detailed Budget'!$BI$5:$BI$1005,'Detailed Budget'!$L$5:$L$1005,$B63,'Detailed Budget'!$L$5:$L$1005,"&gt;0")&gt;0,SUMIFS('Detailed Budget'!$BI$5:$BI$1005,'Detailed Budget'!$L$5:$L$1005,$B63,'Detailed Budget'!$L$5:$L$1005,"&gt;0"),"")</f>
        <v/>
      </c>
      <c r="S63" s="44" t="str">
        <f>IF(SUMIFS('Detailed Budget'!$BN$5:$BN$1005,'Detailed Budget'!$L$5:$L$1005,$B63,'Detailed Budget'!$L$5:$L$1005,"&gt;0")&gt;0,SUMIFS('Detailed Budget'!$BN$5:$BN$1005,'Detailed Budget'!$L$5:$L$1005,$B63,'Detailed Budget'!$L$5:$L$1005,"&gt;0"),"")</f>
        <v/>
      </c>
      <c r="T63" s="44" t="str">
        <f>IF(SUMIFS('Detailed Budget'!$BP$5:$BP$1005,'Detailed Budget'!$L$5:$L$1005,$B63,'Detailed Budget'!$L$5:$L$1005,"&gt;0")&gt;0,SUMIFS('Detailed Budget'!$BP$5:$BP$1005,'Detailed Budget'!$L$5:$L$1005,$B63,'Detailed Budget'!$L$5:$L$1005,"&gt;0"),"")</f>
        <v/>
      </c>
      <c r="U63" s="44" t="str">
        <f>IF(SUMIFS('Detailed Budget'!$BR$5:$BR$1005,'Detailed Budget'!$L$5:$L$1005,$B63,'Detailed Budget'!$L$5:$L$1005,"&gt;0")&gt;0,SUMIFS('Detailed Budget'!$BR$5:$BR$1005,'Detailed Budget'!$L$5:$L$1005,$B63,'Detailed Budget'!$L$5:$L$1005,"&gt;0"),"")</f>
        <v/>
      </c>
      <c r="V63" s="44" t="str">
        <f>IF(SUMIFS('Detailed Budget'!$BT$5:$BT$1005,'Detailed Budget'!$L$5:$L$1005,$B63,'Detailed Budget'!$L$5:$L$1005,"&gt;0")&gt;0,SUMIFS('Detailed Budget'!$BT$5:$BT$1005,'Detailed Budget'!$L$5:$L$1005,$B63,'Detailed Budget'!$L$5:$L$1005,"&gt;0"),"")</f>
        <v/>
      </c>
      <c r="W63" s="45" t="str">
        <f>IF(SUMIFS('Detailed Budget'!$BV$5:$BV$1005,'Detailed Budget'!$L$5:$L$1005,$B63,'Detailed Budget'!$L$5:$L$1005,"&gt;0")&gt;0,SUMIFS('Detailed Budget'!$BV$5:$BV$1005,'Detailed Budget'!$L$5:$L$1005,$B63,'Detailed Budget'!$L$5:$L$1005,"&gt;0"),"")</f>
        <v/>
      </c>
      <c r="X63" s="44" t="str">
        <f t="shared" si="2"/>
        <v/>
      </c>
      <c r="Y63" s="124" t="str">
        <f t="shared" si="3"/>
        <v/>
      </c>
    </row>
    <row r="64" spans="1:25" hidden="1" x14ac:dyDescent="0.25">
      <c r="A64" s="35"/>
      <c r="B64" s="234" t="str">
        <f t="array" ref="B64">IFERROR(INDEX(CostInpNoList,MATCH(0,IF(ISBLANK(CostInpNoList),"",COUNTIF(B$16:B63,CostInpNoList)),0)),"")</f>
        <v/>
      </c>
      <c r="C64" s="372" t="str">
        <f>IFERROR(INDEX('Data Sheet'!$F$198:$F$275,MATCH(B64,'Data Sheet'!$G$198:$G$275,0)),"")</f>
        <v/>
      </c>
      <c r="D64" s="44" t="str">
        <f>IF(SUMIFS('Detailed Budget'!$AA$5:$AA$1005,'Detailed Budget'!$L$5:$L$1005,$B64,'Detailed Budget'!$L$5:$L$1005,"&gt;0")&gt;0,SUMIFS('Detailed Budget'!$AA$5:$AA$1005,'Detailed Budget'!$L$5:$L$1005,$B64,'Detailed Budget'!$L$5:$L$1005,"&gt;0"),"")</f>
        <v/>
      </c>
      <c r="E64" s="44" t="str">
        <f>IF(SUMIFS('Detailed Budget'!$AC$5:$AC$1005,'Detailed Budget'!$L$5:$L$1005,$B64,'Detailed Budget'!$L$5:$L$1005,"&gt;0")&gt;0,SUMIFS('Detailed Budget'!$AC$5:$AC$1005,'Detailed Budget'!$L$5:$L$1005,$B64,'Detailed Budget'!$L$5:$L$1005,"&gt;0"),"")</f>
        <v/>
      </c>
      <c r="F64" s="44" t="str">
        <f>IF(SUMIFS('Detailed Budget'!$AE$5:$AE$1005,'Detailed Budget'!$L$5:$L$1005,$B64,'Detailed Budget'!$L$5:$L$1005,"&gt;0")&gt;0,SUMIFS('Detailed Budget'!$AE$5:$AE$1005,'Detailed Budget'!$L$5:$L$1005,$B64,'Detailed Budget'!$L$5:$L$1005,"&gt;0"),"")</f>
        <v/>
      </c>
      <c r="G64" s="44" t="str">
        <f>IF(SUMIFS('Detailed Budget'!$AG$5:$AG$1005,'Detailed Budget'!$L$5:$L$1005,$B64,'Detailed Budget'!$L$5:$L$1005,"&gt;0")&gt;0,SUMIFS('Detailed Budget'!$AG$5:$AG$1005,'Detailed Budget'!$L$5:$L$1005,$B64,'Detailed Budget'!$L$5:$L$1005,"&gt;0"),"")</f>
        <v/>
      </c>
      <c r="H64" s="45" t="str">
        <f>IF(SUMIFS('Detailed Budget'!$AI$5:$AI$1005,'Detailed Budget'!$L$5:$L$1005,$B64,'Detailed Budget'!$L$5:$L$1005,"&gt;0")&gt;0,SUMIFS('Detailed Budget'!$AI$5:$AI$1005,'Detailed Budget'!$L$5:$L$1005,$B64,'Detailed Budget'!$L$5:$L$1005,"&gt;0"),"")</f>
        <v/>
      </c>
      <c r="I64" s="44" t="str">
        <f>IF(SUMIFS('Detailed Budget'!$AN$5:$AN$1005,'Detailed Budget'!$L$5:$L$1005,$B64,'Detailed Budget'!$L$5:$L$1005,"&gt;0")&gt;0,SUMIFS('Detailed Budget'!$AN$5:$AN$1005,'Detailed Budget'!$L$5:$L$1005,$B64,'Detailed Budget'!$L$5:$L$1005,"&gt;0"),"")</f>
        <v/>
      </c>
      <c r="J64" s="44" t="str">
        <f>IF(SUMIFS('Detailed Budget'!$AP$5:$AP$1005,'Detailed Budget'!$L$5:$L$1005,$B64,'Detailed Budget'!$L$5:$L$1005,"&gt;0")&gt;0,SUMIFS('Detailed Budget'!$AP$5:$AP$1005,'Detailed Budget'!$L$5:$L$1005,$B64,'Detailed Budget'!$L$5:$L$1005,"&gt;0"),"")</f>
        <v/>
      </c>
      <c r="K64" s="44" t="str">
        <f>IF(SUMIFS('Detailed Budget'!$AR$5:$AR$1005,'Detailed Budget'!$L$5:$L$1005,$B64,'Detailed Budget'!$L$5:$L$1005,"&gt;0")&gt;0,SUMIFS('Detailed Budget'!$AR$5:$AR$1005,'Detailed Budget'!$L$5:$L$1005,$B64,'Detailed Budget'!$L$5:$L$1005,"&gt;0"),"")</f>
        <v/>
      </c>
      <c r="L64" s="44" t="str">
        <f>IF(SUMIFS('Detailed Budget'!$AT$5:$AT$1005,'Detailed Budget'!$L$5:$L$1005,$B64,'Detailed Budget'!$L$5:$L$1005,"&gt;0")&gt;0,SUMIFS('Detailed Budget'!$AT$5:$AT$1005,'Detailed Budget'!$L$5:$L$1005,$B64,'Detailed Budget'!$L$5:$L$1005,"&gt;0"),"")</f>
        <v/>
      </c>
      <c r="M64" s="45" t="str">
        <f>IF(SUMIFS('Detailed Budget'!$AV$5:$AV$1005,'Detailed Budget'!$L$5:$L$1005,$B64,'Detailed Budget'!$L$5:$L$1005,"&gt;0")&gt;0,SUMIFS('Detailed Budget'!$AV$5:$AV$1005,'Detailed Budget'!$L$5:$L$1005,$B64,'Detailed Budget'!$L$5:$L$1005,"&gt;0"),"")</f>
        <v/>
      </c>
      <c r="N64" s="44" t="str">
        <f>IF(SUMIFS('Detailed Budget'!$BA$5:$BA$1005,'Detailed Budget'!$L$5:$L$1005,$B64,'Detailed Budget'!$L$5:$L$1005,"&gt;0")&gt;0,SUMIFS('Detailed Budget'!$BA$5:$BA$1005,'Detailed Budget'!$L$5:$L$1005,$B64,'Detailed Budget'!$L$5:$L$1005,"&gt;0"),"")</f>
        <v/>
      </c>
      <c r="O64" s="44" t="str">
        <f>IF(SUMIFS('Detailed Budget'!$BC$5:$BC$1005,'Detailed Budget'!$L$5:$L$1005,$B64,'Detailed Budget'!$L$5:$L$1005,"&gt;0")&gt;0,SUMIFS('Detailed Budget'!$BC$5:$BC$1005,'Detailed Budget'!$L$5:$L$1005,$B64,'Detailed Budget'!$L$5:$L$1005,"&gt;0"),"")</f>
        <v/>
      </c>
      <c r="P64" s="44" t="str">
        <f>IF(SUMIFS('Detailed Budget'!$BE$5:$BE$1005,'Detailed Budget'!$L$5:$L$1005,$B64,'Detailed Budget'!$L$5:$L$1005,"&gt;0")&gt;0,SUMIFS('Detailed Budget'!$BE$5:$BE$1005,'Detailed Budget'!$L$5:$L$1005,$B64,'Detailed Budget'!$L$5:$L$1005,"&gt;0"),"")</f>
        <v/>
      </c>
      <c r="Q64" s="44" t="str">
        <f>IF(SUMIFS('Detailed Budget'!$BG$5:$BG$1005,'Detailed Budget'!$L$5:$L$1005,$B64,'Detailed Budget'!$L$5:$L$1005,"&gt;0")&gt;0,SUMIFS('Detailed Budget'!$BG$5:$BG$1005,'Detailed Budget'!$L$5:$L$1005,$B64,'Detailed Budget'!$L$5:$L$1005,"&gt;0"),"")</f>
        <v/>
      </c>
      <c r="R64" s="45" t="str">
        <f>IF(SUMIFS('Detailed Budget'!$BI$5:$BI$1005,'Detailed Budget'!$L$5:$L$1005,$B64,'Detailed Budget'!$L$5:$L$1005,"&gt;0")&gt;0,SUMIFS('Detailed Budget'!$BI$5:$BI$1005,'Detailed Budget'!$L$5:$L$1005,$B64,'Detailed Budget'!$L$5:$L$1005,"&gt;0"),"")</f>
        <v/>
      </c>
      <c r="S64" s="44" t="str">
        <f>IF(SUMIFS('Detailed Budget'!$BN$5:$BN$1005,'Detailed Budget'!$L$5:$L$1005,$B64,'Detailed Budget'!$L$5:$L$1005,"&gt;0")&gt;0,SUMIFS('Detailed Budget'!$BN$5:$BN$1005,'Detailed Budget'!$L$5:$L$1005,$B64,'Detailed Budget'!$L$5:$L$1005,"&gt;0"),"")</f>
        <v/>
      </c>
      <c r="T64" s="44" t="str">
        <f>IF(SUMIFS('Detailed Budget'!$BP$5:$BP$1005,'Detailed Budget'!$L$5:$L$1005,$B64,'Detailed Budget'!$L$5:$L$1005,"&gt;0")&gt;0,SUMIFS('Detailed Budget'!$BP$5:$BP$1005,'Detailed Budget'!$L$5:$L$1005,$B64,'Detailed Budget'!$L$5:$L$1005,"&gt;0"),"")</f>
        <v/>
      </c>
      <c r="U64" s="44" t="str">
        <f>IF(SUMIFS('Detailed Budget'!$BR$5:$BR$1005,'Detailed Budget'!$L$5:$L$1005,$B64,'Detailed Budget'!$L$5:$L$1005,"&gt;0")&gt;0,SUMIFS('Detailed Budget'!$BR$5:$BR$1005,'Detailed Budget'!$L$5:$L$1005,$B64,'Detailed Budget'!$L$5:$L$1005,"&gt;0"),"")</f>
        <v/>
      </c>
      <c r="V64" s="44" t="str">
        <f>IF(SUMIFS('Detailed Budget'!$BT$5:$BT$1005,'Detailed Budget'!$L$5:$L$1005,$B64,'Detailed Budget'!$L$5:$L$1005,"&gt;0")&gt;0,SUMIFS('Detailed Budget'!$BT$5:$BT$1005,'Detailed Budget'!$L$5:$L$1005,$B64,'Detailed Budget'!$L$5:$L$1005,"&gt;0"),"")</f>
        <v/>
      </c>
      <c r="W64" s="45" t="str">
        <f>IF(SUMIFS('Detailed Budget'!$BV$5:$BV$1005,'Detailed Budget'!$L$5:$L$1005,$B64,'Detailed Budget'!$L$5:$L$1005,"&gt;0")&gt;0,SUMIFS('Detailed Budget'!$BV$5:$BV$1005,'Detailed Budget'!$L$5:$L$1005,$B64,'Detailed Budget'!$L$5:$L$1005,"&gt;0"),"")</f>
        <v/>
      </c>
      <c r="X64" s="44" t="str">
        <f t="shared" si="2"/>
        <v/>
      </c>
      <c r="Y64" s="124" t="str">
        <f t="shared" si="3"/>
        <v/>
      </c>
    </row>
    <row r="65" spans="1:25" hidden="1" x14ac:dyDescent="0.25">
      <c r="A65" s="35"/>
      <c r="B65" s="234" t="str">
        <f t="array" ref="B65">IFERROR(INDEX(CostInpNoList,MATCH(0,IF(ISBLANK(CostInpNoList),"",COUNTIF(B$16:B64,CostInpNoList)),0)),"")</f>
        <v/>
      </c>
      <c r="C65" s="372" t="str">
        <f>IFERROR(INDEX('Data Sheet'!$F$198:$F$275,MATCH(B65,'Data Sheet'!$G$198:$G$275,0)),"")</f>
        <v/>
      </c>
      <c r="D65" s="44" t="str">
        <f>IF(SUMIFS('Detailed Budget'!$AA$5:$AA$1005,'Detailed Budget'!$L$5:$L$1005,$B65,'Detailed Budget'!$L$5:$L$1005,"&gt;0")&gt;0,SUMIFS('Detailed Budget'!$AA$5:$AA$1005,'Detailed Budget'!$L$5:$L$1005,$B65,'Detailed Budget'!$L$5:$L$1005,"&gt;0"),"")</f>
        <v/>
      </c>
      <c r="E65" s="44" t="str">
        <f>IF(SUMIFS('Detailed Budget'!$AC$5:$AC$1005,'Detailed Budget'!$L$5:$L$1005,$B65,'Detailed Budget'!$L$5:$L$1005,"&gt;0")&gt;0,SUMIFS('Detailed Budget'!$AC$5:$AC$1005,'Detailed Budget'!$L$5:$L$1005,$B65,'Detailed Budget'!$L$5:$L$1005,"&gt;0"),"")</f>
        <v/>
      </c>
      <c r="F65" s="44" t="str">
        <f>IF(SUMIFS('Detailed Budget'!$AE$5:$AE$1005,'Detailed Budget'!$L$5:$L$1005,$B65,'Detailed Budget'!$L$5:$L$1005,"&gt;0")&gt;0,SUMIFS('Detailed Budget'!$AE$5:$AE$1005,'Detailed Budget'!$L$5:$L$1005,$B65,'Detailed Budget'!$L$5:$L$1005,"&gt;0"),"")</f>
        <v/>
      </c>
      <c r="G65" s="44" t="str">
        <f>IF(SUMIFS('Detailed Budget'!$AG$5:$AG$1005,'Detailed Budget'!$L$5:$L$1005,$B65,'Detailed Budget'!$L$5:$L$1005,"&gt;0")&gt;0,SUMIFS('Detailed Budget'!$AG$5:$AG$1005,'Detailed Budget'!$L$5:$L$1005,$B65,'Detailed Budget'!$L$5:$L$1005,"&gt;0"),"")</f>
        <v/>
      </c>
      <c r="H65" s="45" t="str">
        <f>IF(SUMIFS('Detailed Budget'!$AI$5:$AI$1005,'Detailed Budget'!$L$5:$L$1005,$B65,'Detailed Budget'!$L$5:$L$1005,"&gt;0")&gt;0,SUMIFS('Detailed Budget'!$AI$5:$AI$1005,'Detailed Budget'!$L$5:$L$1005,$B65,'Detailed Budget'!$L$5:$L$1005,"&gt;0"),"")</f>
        <v/>
      </c>
      <c r="I65" s="44" t="str">
        <f>IF(SUMIFS('Detailed Budget'!$AN$5:$AN$1005,'Detailed Budget'!$L$5:$L$1005,$B65,'Detailed Budget'!$L$5:$L$1005,"&gt;0")&gt;0,SUMIFS('Detailed Budget'!$AN$5:$AN$1005,'Detailed Budget'!$L$5:$L$1005,$B65,'Detailed Budget'!$L$5:$L$1005,"&gt;0"),"")</f>
        <v/>
      </c>
      <c r="J65" s="44" t="str">
        <f>IF(SUMIFS('Detailed Budget'!$AP$5:$AP$1005,'Detailed Budget'!$L$5:$L$1005,$B65,'Detailed Budget'!$L$5:$L$1005,"&gt;0")&gt;0,SUMIFS('Detailed Budget'!$AP$5:$AP$1005,'Detailed Budget'!$L$5:$L$1005,$B65,'Detailed Budget'!$L$5:$L$1005,"&gt;0"),"")</f>
        <v/>
      </c>
      <c r="K65" s="44" t="str">
        <f>IF(SUMIFS('Detailed Budget'!$AR$5:$AR$1005,'Detailed Budget'!$L$5:$L$1005,$B65,'Detailed Budget'!$L$5:$L$1005,"&gt;0")&gt;0,SUMIFS('Detailed Budget'!$AR$5:$AR$1005,'Detailed Budget'!$L$5:$L$1005,$B65,'Detailed Budget'!$L$5:$L$1005,"&gt;0"),"")</f>
        <v/>
      </c>
      <c r="L65" s="44" t="str">
        <f>IF(SUMIFS('Detailed Budget'!$AT$5:$AT$1005,'Detailed Budget'!$L$5:$L$1005,$B65,'Detailed Budget'!$L$5:$L$1005,"&gt;0")&gt;0,SUMIFS('Detailed Budget'!$AT$5:$AT$1005,'Detailed Budget'!$L$5:$L$1005,$B65,'Detailed Budget'!$L$5:$L$1005,"&gt;0"),"")</f>
        <v/>
      </c>
      <c r="M65" s="45" t="str">
        <f>IF(SUMIFS('Detailed Budget'!$AV$5:$AV$1005,'Detailed Budget'!$L$5:$L$1005,$B65,'Detailed Budget'!$L$5:$L$1005,"&gt;0")&gt;0,SUMIFS('Detailed Budget'!$AV$5:$AV$1005,'Detailed Budget'!$L$5:$L$1005,$B65,'Detailed Budget'!$L$5:$L$1005,"&gt;0"),"")</f>
        <v/>
      </c>
      <c r="N65" s="44" t="str">
        <f>IF(SUMIFS('Detailed Budget'!$BA$5:$BA$1005,'Detailed Budget'!$L$5:$L$1005,$B65,'Detailed Budget'!$L$5:$L$1005,"&gt;0")&gt;0,SUMIFS('Detailed Budget'!$BA$5:$BA$1005,'Detailed Budget'!$L$5:$L$1005,$B65,'Detailed Budget'!$L$5:$L$1005,"&gt;0"),"")</f>
        <v/>
      </c>
      <c r="O65" s="44" t="str">
        <f>IF(SUMIFS('Detailed Budget'!$BC$5:$BC$1005,'Detailed Budget'!$L$5:$L$1005,$B65,'Detailed Budget'!$L$5:$L$1005,"&gt;0")&gt;0,SUMIFS('Detailed Budget'!$BC$5:$BC$1005,'Detailed Budget'!$L$5:$L$1005,$B65,'Detailed Budget'!$L$5:$L$1005,"&gt;0"),"")</f>
        <v/>
      </c>
      <c r="P65" s="44" t="str">
        <f>IF(SUMIFS('Detailed Budget'!$BE$5:$BE$1005,'Detailed Budget'!$L$5:$L$1005,$B65,'Detailed Budget'!$L$5:$L$1005,"&gt;0")&gt;0,SUMIFS('Detailed Budget'!$BE$5:$BE$1005,'Detailed Budget'!$L$5:$L$1005,$B65,'Detailed Budget'!$L$5:$L$1005,"&gt;0"),"")</f>
        <v/>
      </c>
      <c r="Q65" s="44" t="str">
        <f>IF(SUMIFS('Detailed Budget'!$BG$5:$BG$1005,'Detailed Budget'!$L$5:$L$1005,$B65,'Detailed Budget'!$L$5:$L$1005,"&gt;0")&gt;0,SUMIFS('Detailed Budget'!$BG$5:$BG$1005,'Detailed Budget'!$L$5:$L$1005,$B65,'Detailed Budget'!$L$5:$L$1005,"&gt;0"),"")</f>
        <v/>
      </c>
      <c r="R65" s="45" t="str">
        <f>IF(SUMIFS('Detailed Budget'!$BI$5:$BI$1005,'Detailed Budget'!$L$5:$L$1005,$B65,'Detailed Budget'!$L$5:$L$1005,"&gt;0")&gt;0,SUMIFS('Detailed Budget'!$BI$5:$BI$1005,'Detailed Budget'!$L$5:$L$1005,$B65,'Detailed Budget'!$L$5:$L$1005,"&gt;0"),"")</f>
        <v/>
      </c>
      <c r="S65" s="44" t="str">
        <f>IF(SUMIFS('Detailed Budget'!$BN$5:$BN$1005,'Detailed Budget'!$L$5:$L$1005,$B65,'Detailed Budget'!$L$5:$L$1005,"&gt;0")&gt;0,SUMIFS('Detailed Budget'!$BN$5:$BN$1005,'Detailed Budget'!$L$5:$L$1005,$B65,'Detailed Budget'!$L$5:$L$1005,"&gt;0"),"")</f>
        <v/>
      </c>
      <c r="T65" s="44" t="str">
        <f>IF(SUMIFS('Detailed Budget'!$BP$5:$BP$1005,'Detailed Budget'!$L$5:$L$1005,$B65,'Detailed Budget'!$L$5:$L$1005,"&gt;0")&gt;0,SUMIFS('Detailed Budget'!$BP$5:$BP$1005,'Detailed Budget'!$L$5:$L$1005,$B65,'Detailed Budget'!$L$5:$L$1005,"&gt;0"),"")</f>
        <v/>
      </c>
      <c r="U65" s="44" t="str">
        <f>IF(SUMIFS('Detailed Budget'!$BR$5:$BR$1005,'Detailed Budget'!$L$5:$L$1005,$B65,'Detailed Budget'!$L$5:$L$1005,"&gt;0")&gt;0,SUMIFS('Detailed Budget'!$BR$5:$BR$1005,'Detailed Budget'!$L$5:$L$1005,$B65,'Detailed Budget'!$L$5:$L$1005,"&gt;0"),"")</f>
        <v/>
      </c>
      <c r="V65" s="44" t="str">
        <f>IF(SUMIFS('Detailed Budget'!$BT$5:$BT$1005,'Detailed Budget'!$L$5:$L$1005,$B65,'Detailed Budget'!$L$5:$L$1005,"&gt;0")&gt;0,SUMIFS('Detailed Budget'!$BT$5:$BT$1005,'Detailed Budget'!$L$5:$L$1005,$B65,'Detailed Budget'!$L$5:$L$1005,"&gt;0"),"")</f>
        <v/>
      </c>
      <c r="W65" s="45" t="str">
        <f>IF(SUMIFS('Detailed Budget'!$BV$5:$BV$1005,'Detailed Budget'!$L$5:$L$1005,$B65,'Detailed Budget'!$L$5:$L$1005,"&gt;0")&gt;0,SUMIFS('Detailed Budget'!$BV$5:$BV$1005,'Detailed Budget'!$L$5:$L$1005,$B65,'Detailed Budget'!$L$5:$L$1005,"&gt;0"),"")</f>
        <v/>
      </c>
      <c r="X65" s="44" t="str">
        <f t="shared" si="2"/>
        <v/>
      </c>
      <c r="Y65" s="124" t="str">
        <f t="shared" si="3"/>
        <v/>
      </c>
    </row>
    <row r="66" spans="1:25" hidden="1" x14ac:dyDescent="0.25">
      <c r="A66" s="35"/>
      <c r="B66" s="234" t="str">
        <f t="array" ref="B66">IFERROR(INDEX(CostInpNoList,MATCH(0,IF(ISBLANK(CostInpNoList),"",COUNTIF(B$16:B65,CostInpNoList)),0)),"")</f>
        <v/>
      </c>
      <c r="C66" s="372" t="str">
        <f>IFERROR(INDEX('Data Sheet'!$F$198:$F$275,MATCH(B66,'Data Sheet'!$G$198:$G$275,0)),"")</f>
        <v/>
      </c>
      <c r="D66" s="44" t="str">
        <f>IF(SUMIFS('Detailed Budget'!$AA$5:$AA$1005,'Detailed Budget'!$L$5:$L$1005,$B66,'Detailed Budget'!$L$5:$L$1005,"&gt;0")&gt;0,SUMIFS('Detailed Budget'!$AA$5:$AA$1005,'Detailed Budget'!$L$5:$L$1005,$B66,'Detailed Budget'!$L$5:$L$1005,"&gt;0"),"")</f>
        <v/>
      </c>
      <c r="E66" s="44" t="str">
        <f>IF(SUMIFS('Detailed Budget'!$AC$5:$AC$1005,'Detailed Budget'!$L$5:$L$1005,$B66,'Detailed Budget'!$L$5:$L$1005,"&gt;0")&gt;0,SUMIFS('Detailed Budget'!$AC$5:$AC$1005,'Detailed Budget'!$L$5:$L$1005,$B66,'Detailed Budget'!$L$5:$L$1005,"&gt;0"),"")</f>
        <v/>
      </c>
      <c r="F66" s="44" t="str">
        <f>IF(SUMIFS('Detailed Budget'!$AE$5:$AE$1005,'Detailed Budget'!$L$5:$L$1005,$B66,'Detailed Budget'!$L$5:$L$1005,"&gt;0")&gt;0,SUMIFS('Detailed Budget'!$AE$5:$AE$1005,'Detailed Budget'!$L$5:$L$1005,$B66,'Detailed Budget'!$L$5:$L$1005,"&gt;0"),"")</f>
        <v/>
      </c>
      <c r="G66" s="44" t="str">
        <f>IF(SUMIFS('Detailed Budget'!$AG$5:$AG$1005,'Detailed Budget'!$L$5:$L$1005,$B66,'Detailed Budget'!$L$5:$L$1005,"&gt;0")&gt;0,SUMIFS('Detailed Budget'!$AG$5:$AG$1005,'Detailed Budget'!$L$5:$L$1005,$B66,'Detailed Budget'!$L$5:$L$1005,"&gt;0"),"")</f>
        <v/>
      </c>
      <c r="H66" s="45" t="str">
        <f>IF(SUMIFS('Detailed Budget'!$AI$5:$AI$1005,'Detailed Budget'!$L$5:$L$1005,$B66,'Detailed Budget'!$L$5:$L$1005,"&gt;0")&gt;0,SUMIFS('Detailed Budget'!$AI$5:$AI$1005,'Detailed Budget'!$L$5:$L$1005,$B66,'Detailed Budget'!$L$5:$L$1005,"&gt;0"),"")</f>
        <v/>
      </c>
      <c r="I66" s="44" t="str">
        <f>IF(SUMIFS('Detailed Budget'!$AN$5:$AN$1005,'Detailed Budget'!$L$5:$L$1005,$B66,'Detailed Budget'!$L$5:$L$1005,"&gt;0")&gt;0,SUMIFS('Detailed Budget'!$AN$5:$AN$1005,'Detailed Budget'!$L$5:$L$1005,$B66,'Detailed Budget'!$L$5:$L$1005,"&gt;0"),"")</f>
        <v/>
      </c>
      <c r="J66" s="44" t="str">
        <f>IF(SUMIFS('Detailed Budget'!$AP$5:$AP$1005,'Detailed Budget'!$L$5:$L$1005,$B66,'Detailed Budget'!$L$5:$L$1005,"&gt;0")&gt;0,SUMIFS('Detailed Budget'!$AP$5:$AP$1005,'Detailed Budget'!$L$5:$L$1005,$B66,'Detailed Budget'!$L$5:$L$1005,"&gt;0"),"")</f>
        <v/>
      </c>
      <c r="K66" s="44" t="str">
        <f>IF(SUMIFS('Detailed Budget'!$AR$5:$AR$1005,'Detailed Budget'!$L$5:$L$1005,$B66,'Detailed Budget'!$L$5:$L$1005,"&gt;0")&gt;0,SUMIFS('Detailed Budget'!$AR$5:$AR$1005,'Detailed Budget'!$L$5:$L$1005,$B66,'Detailed Budget'!$L$5:$L$1005,"&gt;0"),"")</f>
        <v/>
      </c>
      <c r="L66" s="44" t="str">
        <f>IF(SUMIFS('Detailed Budget'!$AT$5:$AT$1005,'Detailed Budget'!$L$5:$L$1005,$B66,'Detailed Budget'!$L$5:$L$1005,"&gt;0")&gt;0,SUMIFS('Detailed Budget'!$AT$5:$AT$1005,'Detailed Budget'!$L$5:$L$1005,$B66,'Detailed Budget'!$L$5:$L$1005,"&gt;0"),"")</f>
        <v/>
      </c>
      <c r="M66" s="45" t="str">
        <f>IF(SUMIFS('Detailed Budget'!$AV$5:$AV$1005,'Detailed Budget'!$L$5:$L$1005,$B66,'Detailed Budget'!$L$5:$L$1005,"&gt;0")&gt;0,SUMIFS('Detailed Budget'!$AV$5:$AV$1005,'Detailed Budget'!$L$5:$L$1005,$B66,'Detailed Budget'!$L$5:$L$1005,"&gt;0"),"")</f>
        <v/>
      </c>
      <c r="N66" s="44" t="str">
        <f>IF(SUMIFS('Detailed Budget'!$BA$5:$BA$1005,'Detailed Budget'!$L$5:$L$1005,$B66,'Detailed Budget'!$L$5:$L$1005,"&gt;0")&gt;0,SUMIFS('Detailed Budget'!$BA$5:$BA$1005,'Detailed Budget'!$L$5:$L$1005,$B66,'Detailed Budget'!$L$5:$L$1005,"&gt;0"),"")</f>
        <v/>
      </c>
      <c r="O66" s="44" t="str">
        <f>IF(SUMIFS('Detailed Budget'!$BC$5:$BC$1005,'Detailed Budget'!$L$5:$L$1005,$B66,'Detailed Budget'!$L$5:$L$1005,"&gt;0")&gt;0,SUMIFS('Detailed Budget'!$BC$5:$BC$1005,'Detailed Budget'!$L$5:$L$1005,$B66,'Detailed Budget'!$L$5:$L$1005,"&gt;0"),"")</f>
        <v/>
      </c>
      <c r="P66" s="44" t="str">
        <f>IF(SUMIFS('Detailed Budget'!$BE$5:$BE$1005,'Detailed Budget'!$L$5:$L$1005,$B66,'Detailed Budget'!$L$5:$L$1005,"&gt;0")&gt;0,SUMIFS('Detailed Budget'!$BE$5:$BE$1005,'Detailed Budget'!$L$5:$L$1005,$B66,'Detailed Budget'!$L$5:$L$1005,"&gt;0"),"")</f>
        <v/>
      </c>
      <c r="Q66" s="44" t="str">
        <f>IF(SUMIFS('Detailed Budget'!$BG$5:$BG$1005,'Detailed Budget'!$L$5:$L$1005,$B66,'Detailed Budget'!$L$5:$L$1005,"&gt;0")&gt;0,SUMIFS('Detailed Budget'!$BG$5:$BG$1005,'Detailed Budget'!$L$5:$L$1005,$B66,'Detailed Budget'!$L$5:$L$1005,"&gt;0"),"")</f>
        <v/>
      </c>
      <c r="R66" s="45" t="str">
        <f>IF(SUMIFS('Detailed Budget'!$BI$5:$BI$1005,'Detailed Budget'!$L$5:$L$1005,$B66,'Detailed Budget'!$L$5:$L$1005,"&gt;0")&gt;0,SUMIFS('Detailed Budget'!$BI$5:$BI$1005,'Detailed Budget'!$L$5:$L$1005,$B66,'Detailed Budget'!$L$5:$L$1005,"&gt;0"),"")</f>
        <v/>
      </c>
      <c r="S66" s="44" t="str">
        <f>IF(SUMIFS('Detailed Budget'!$BN$5:$BN$1005,'Detailed Budget'!$L$5:$L$1005,$B66,'Detailed Budget'!$L$5:$L$1005,"&gt;0")&gt;0,SUMIFS('Detailed Budget'!$BN$5:$BN$1005,'Detailed Budget'!$L$5:$L$1005,$B66,'Detailed Budget'!$L$5:$L$1005,"&gt;0"),"")</f>
        <v/>
      </c>
      <c r="T66" s="44" t="str">
        <f>IF(SUMIFS('Detailed Budget'!$BP$5:$BP$1005,'Detailed Budget'!$L$5:$L$1005,$B66,'Detailed Budget'!$L$5:$L$1005,"&gt;0")&gt;0,SUMIFS('Detailed Budget'!$BP$5:$BP$1005,'Detailed Budget'!$L$5:$L$1005,$B66,'Detailed Budget'!$L$5:$L$1005,"&gt;0"),"")</f>
        <v/>
      </c>
      <c r="U66" s="44" t="str">
        <f>IF(SUMIFS('Detailed Budget'!$BR$5:$BR$1005,'Detailed Budget'!$L$5:$L$1005,$B66,'Detailed Budget'!$L$5:$L$1005,"&gt;0")&gt;0,SUMIFS('Detailed Budget'!$BR$5:$BR$1005,'Detailed Budget'!$L$5:$L$1005,$B66,'Detailed Budget'!$L$5:$L$1005,"&gt;0"),"")</f>
        <v/>
      </c>
      <c r="V66" s="44" t="str">
        <f>IF(SUMIFS('Detailed Budget'!$BT$5:$BT$1005,'Detailed Budget'!$L$5:$L$1005,$B66,'Detailed Budget'!$L$5:$L$1005,"&gt;0")&gt;0,SUMIFS('Detailed Budget'!$BT$5:$BT$1005,'Detailed Budget'!$L$5:$L$1005,$B66,'Detailed Budget'!$L$5:$L$1005,"&gt;0"),"")</f>
        <v/>
      </c>
      <c r="W66" s="45" t="str">
        <f>IF(SUMIFS('Detailed Budget'!$BV$5:$BV$1005,'Detailed Budget'!$L$5:$L$1005,$B66,'Detailed Budget'!$L$5:$L$1005,"&gt;0")&gt;0,SUMIFS('Detailed Budget'!$BV$5:$BV$1005,'Detailed Budget'!$L$5:$L$1005,$B66,'Detailed Budget'!$L$5:$L$1005,"&gt;0"),"")</f>
        <v/>
      </c>
      <c r="X66" s="44" t="str">
        <f t="shared" si="2"/>
        <v/>
      </c>
      <c r="Y66" s="124" t="str">
        <f t="shared" si="3"/>
        <v/>
      </c>
    </row>
    <row r="67" spans="1:25" hidden="1" x14ac:dyDescent="0.25">
      <c r="A67" s="35"/>
      <c r="B67" s="234" t="str">
        <f t="array" ref="B67">IFERROR(INDEX(CostInpNoList,MATCH(0,IF(ISBLANK(CostInpNoList),"",COUNTIF(B$16:B66,CostInpNoList)),0)),"")</f>
        <v/>
      </c>
      <c r="C67" s="372" t="str">
        <f>IFERROR(INDEX('Data Sheet'!$F$198:$F$275,MATCH(B67,'Data Sheet'!$G$198:$G$275,0)),"")</f>
        <v/>
      </c>
      <c r="D67" s="44" t="str">
        <f>IF(SUMIFS('Detailed Budget'!$AA$5:$AA$1005,'Detailed Budget'!$L$5:$L$1005,$B67,'Detailed Budget'!$L$5:$L$1005,"&gt;0")&gt;0,SUMIFS('Detailed Budget'!$AA$5:$AA$1005,'Detailed Budget'!$L$5:$L$1005,$B67,'Detailed Budget'!$L$5:$L$1005,"&gt;0"),"")</f>
        <v/>
      </c>
      <c r="E67" s="44" t="str">
        <f>IF(SUMIFS('Detailed Budget'!$AC$5:$AC$1005,'Detailed Budget'!$L$5:$L$1005,$B67,'Detailed Budget'!$L$5:$L$1005,"&gt;0")&gt;0,SUMIFS('Detailed Budget'!$AC$5:$AC$1005,'Detailed Budget'!$L$5:$L$1005,$B67,'Detailed Budget'!$L$5:$L$1005,"&gt;0"),"")</f>
        <v/>
      </c>
      <c r="F67" s="44" t="str">
        <f>IF(SUMIFS('Detailed Budget'!$AE$5:$AE$1005,'Detailed Budget'!$L$5:$L$1005,$B67,'Detailed Budget'!$L$5:$L$1005,"&gt;0")&gt;0,SUMIFS('Detailed Budget'!$AE$5:$AE$1005,'Detailed Budget'!$L$5:$L$1005,$B67,'Detailed Budget'!$L$5:$L$1005,"&gt;0"),"")</f>
        <v/>
      </c>
      <c r="G67" s="44" t="str">
        <f>IF(SUMIFS('Detailed Budget'!$AG$5:$AG$1005,'Detailed Budget'!$L$5:$L$1005,$B67,'Detailed Budget'!$L$5:$L$1005,"&gt;0")&gt;0,SUMIFS('Detailed Budget'!$AG$5:$AG$1005,'Detailed Budget'!$L$5:$L$1005,$B67,'Detailed Budget'!$L$5:$L$1005,"&gt;0"),"")</f>
        <v/>
      </c>
      <c r="H67" s="45" t="str">
        <f>IF(SUMIFS('Detailed Budget'!$AI$5:$AI$1005,'Detailed Budget'!$L$5:$L$1005,$B67,'Detailed Budget'!$L$5:$L$1005,"&gt;0")&gt;0,SUMIFS('Detailed Budget'!$AI$5:$AI$1005,'Detailed Budget'!$L$5:$L$1005,$B67,'Detailed Budget'!$L$5:$L$1005,"&gt;0"),"")</f>
        <v/>
      </c>
      <c r="I67" s="44" t="str">
        <f>IF(SUMIFS('Detailed Budget'!$AN$5:$AN$1005,'Detailed Budget'!$L$5:$L$1005,$B67,'Detailed Budget'!$L$5:$L$1005,"&gt;0")&gt;0,SUMIFS('Detailed Budget'!$AN$5:$AN$1005,'Detailed Budget'!$L$5:$L$1005,$B67,'Detailed Budget'!$L$5:$L$1005,"&gt;0"),"")</f>
        <v/>
      </c>
      <c r="J67" s="44" t="str">
        <f>IF(SUMIFS('Detailed Budget'!$AP$5:$AP$1005,'Detailed Budget'!$L$5:$L$1005,$B67,'Detailed Budget'!$L$5:$L$1005,"&gt;0")&gt;0,SUMIFS('Detailed Budget'!$AP$5:$AP$1005,'Detailed Budget'!$L$5:$L$1005,$B67,'Detailed Budget'!$L$5:$L$1005,"&gt;0"),"")</f>
        <v/>
      </c>
      <c r="K67" s="44" t="str">
        <f>IF(SUMIFS('Detailed Budget'!$AR$5:$AR$1005,'Detailed Budget'!$L$5:$L$1005,$B67,'Detailed Budget'!$L$5:$L$1005,"&gt;0")&gt;0,SUMIFS('Detailed Budget'!$AR$5:$AR$1005,'Detailed Budget'!$L$5:$L$1005,$B67,'Detailed Budget'!$L$5:$L$1005,"&gt;0"),"")</f>
        <v/>
      </c>
      <c r="L67" s="44" t="str">
        <f>IF(SUMIFS('Detailed Budget'!$AT$5:$AT$1005,'Detailed Budget'!$L$5:$L$1005,$B67,'Detailed Budget'!$L$5:$L$1005,"&gt;0")&gt;0,SUMIFS('Detailed Budget'!$AT$5:$AT$1005,'Detailed Budget'!$L$5:$L$1005,$B67,'Detailed Budget'!$L$5:$L$1005,"&gt;0"),"")</f>
        <v/>
      </c>
      <c r="M67" s="45" t="str">
        <f>IF(SUMIFS('Detailed Budget'!$AV$5:$AV$1005,'Detailed Budget'!$L$5:$L$1005,$B67,'Detailed Budget'!$L$5:$L$1005,"&gt;0")&gt;0,SUMIFS('Detailed Budget'!$AV$5:$AV$1005,'Detailed Budget'!$L$5:$L$1005,$B67,'Detailed Budget'!$L$5:$L$1005,"&gt;0"),"")</f>
        <v/>
      </c>
      <c r="N67" s="44" t="str">
        <f>IF(SUMIFS('Detailed Budget'!$BA$5:$BA$1005,'Detailed Budget'!$L$5:$L$1005,$B67,'Detailed Budget'!$L$5:$L$1005,"&gt;0")&gt;0,SUMIFS('Detailed Budget'!$BA$5:$BA$1005,'Detailed Budget'!$L$5:$L$1005,$B67,'Detailed Budget'!$L$5:$L$1005,"&gt;0"),"")</f>
        <v/>
      </c>
      <c r="O67" s="44" t="str">
        <f>IF(SUMIFS('Detailed Budget'!$BC$5:$BC$1005,'Detailed Budget'!$L$5:$L$1005,$B67,'Detailed Budget'!$L$5:$L$1005,"&gt;0")&gt;0,SUMIFS('Detailed Budget'!$BC$5:$BC$1005,'Detailed Budget'!$L$5:$L$1005,$B67,'Detailed Budget'!$L$5:$L$1005,"&gt;0"),"")</f>
        <v/>
      </c>
      <c r="P67" s="44" t="str">
        <f>IF(SUMIFS('Detailed Budget'!$BE$5:$BE$1005,'Detailed Budget'!$L$5:$L$1005,$B67,'Detailed Budget'!$L$5:$L$1005,"&gt;0")&gt;0,SUMIFS('Detailed Budget'!$BE$5:$BE$1005,'Detailed Budget'!$L$5:$L$1005,$B67,'Detailed Budget'!$L$5:$L$1005,"&gt;0"),"")</f>
        <v/>
      </c>
      <c r="Q67" s="44" t="str">
        <f>IF(SUMIFS('Detailed Budget'!$BG$5:$BG$1005,'Detailed Budget'!$L$5:$L$1005,$B67,'Detailed Budget'!$L$5:$L$1005,"&gt;0")&gt;0,SUMIFS('Detailed Budget'!$BG$5:$BG$1005,'Detailed Budget'!$L$5:$L$1005,$B67,'Detailed Budget'!$L$5:$L$1005,"&gt;0"),"")</f>
        <v/>
      </c>
      <c r="R67" s="45" t="str">
        <f>IF(SUMIFS('Detailed Budget'!$BI$5:$BI$1005,'Detailed Budget'!$L$5:$L$1005,$B67,'Detailed Budget'!$L$5:$L$1005,"&gt;0")&gt;0,SUMIFS('Detailed Budget'!$BI$5:$BI$1005,'Detailed Budget'!$L$5:$L$1005,$B67,'Detailed Budget'!$L$5:$L$1005,"&gt;0"),"")</f>
        <v/>
      </c>
      <c r="S67" s="44" t="str">
        <f>IF(SUMIFS('Detailed Budget'!$BN$5:$BN$1005,'Detailed Budget'!$L$5:$L$1005,$B67,'Detailed Budget'!$L$5:$L$1005,"&gt;0")&gt;0,SUMIFS('Detailed Budget'!$BN$5:$BN$1005,'Detailed Budget'!$L$5:$L$1005,$B67,'Detailed Budget'!$L$5:$L$1005,"&gt;0"),"")</f>
        <v/>
      </c>
      <c r="T67" s="44" t="str">
        <f>IF(SUMIFS('Detailed Budget'!$BP$5:$BP$1005,'Detailed Budget'!$L$5:$L$1005,$B67,'Detailed Budget'!$L$5:$L$1005,"&gt;0")&gt;0,SUMIFS('Detailed Budget'!$BP$5:$BP$1005,'Detailed Budget'!$L$5:$L$1005,$B67,'Detailed Budget'!$L$5:$L$1005,"&gt;0"),"")</f>
        <v/>
      </c>
      <c r="U67" s="44" t="str">
        <f>IF(SUMIFS('Detailed Budget'!$BR$5:$BR$1005,'Detailed Budget'!$L$5:$L$1005,$B67,'Detailed Budget'!$L$5:$L$1005,"&gt;0")&gt;0,SUMIFS('Detailed Budget'!$BR$5:$BR$1005,'Detailed Budget'!$L$5:$L$1005,$B67,'Detailed Budget'!$L$5:$L$1005,"&gt;0"),"")</f>
        <v/>
      </c>
      <c r="V67" s="44" t="str">
        <f>IF(SUMIFS('Detailed Budget'!$BT$5:$BT$1005,'Detailed Budget'!$L$5:$L$1005,$B67,'Detailed Budget'!$L$5:$L$1005,"&gt;0")&gt;0,SUMIFS('Detailed Budget'!$BT$5:$BT$1005,'Detailed Budget'!$L$5:$L$1005,$B67,'Detailed Budget'!$L$5:$L$1005,"&gt;0"),"")</f>
        <v/>
      </c>
      <c r="W67" s="45" t="str">
        <f>IF(SUMIFS('Detailed Budget'!$BV$5:$BV$1005,'Detailed Budget'!$L$5:$L$1005,$B67,'Detailed Budget'!$L$5:$L$1005,"&gt;0")&gt;0,SUMIFS('Detailed Budget'!$BV$5:$BV$1005,'Detailed Budget'!$L$5:$L$1005,$B67,'Detailed Budget'!$L$5:$L$1005,"&gt;0"),"")</f>
        <v/>
      </c>
      <c r="X67" s="44" t="str">
        <f t="shared" si="2"/>
        <v/>
      </c>
      <c r="Y67" s="124" t="str">
        <f t="shared" si="3"/>
        <v/>
      </c>
    </row>
    <row r="68" spans="1:25" hidden="1" x14ac:dyDescent="0.25">
      <c r="A68" s="35"/>
      <c r="B68" s="234" t="str">
        <f t="array" ref="B68">IFERROR(INDEX(CostInpNoList,MATCH(0,IF(ISBLANK(CostInpNoList),"",COUNTIF(B$16:B67,CostInpNoList)),0)),"")</f>
        <v/>
      </c>
      <c r="C68" s="372" t="str">
        <f>IFERROR(INDEX('Data Sheet'!$F$198:$F$275,MATCH(B68,'Data Sheet'!$G$198:$G$275,0)),"")</f>
        <v/>
      </c>
      <c r="D68" s="44" t="str">
        <f>IF(SUMIFS('Detailed Budget'!$AA$5:$AA$1005,'Detailed Budget'!$L$5:$L$1005,$B68,'Detailed Budget'!$L$5:$L$1005,"&gt;0")&gt;0,SUMIFS('Detailed Budget'!$AA$5:$AA$1005,'Detailed Budget'!$L$5:$L$1005,$B68,'Detailed Budget'!$L$5:$L$1005,"&gt;0"),"")</f>
        <v/>
      </c>
      <c r="E68" s="44" t="str">
        <f>IF(SUMIFS('Detailed Budget'!$AC$5:$AC$1005,'Detailed Budget'!$L$5:$L$1005,$B68,'Detailed Budget'!$L$5:$L$1005,"&gt;0")&gt;0,SUMIFS('Detailed Budget'!$AC$5:$AC$1005,'Detailed Budget'!$L$5:$L$1005,$B68,'Detailed Budget'!$L$5:$L$1005,"&gt;0"),"")</f>
        <v/>
      </c>
      <c r="F68" s="44" t="str">
        <f>IF(SUMIFS('Detailed Budget'!$AE$5:$AE$1005,'Detailed Budget'!$L$5:$L$1005,$B68,'Detailed Budget'!$L$5:$L$1005,"&gt;0")&gt;0,SUMIFS('Detailed Budget'!$AE$5:$AE$1005,'Detailed Budget'!$L$5:$L$1005,$B68,'Detailed Budget'!$L$5:$L$1005,"&gt;0"),"")</f>
        <v/>
      </c>
      <c r="G68" s="44" t="str">
        <f>IF(SUMIFS('Detailed Budget'!$AG$5:$AG$1005,'Detailed Budget'!$L$5:$L$1005,$B68,'Detailed Budget'!$L$5:$L$1005,"&gt;0")&gt;0,SUMIFS('Detailed Budget'!$AG$5:$AG$1005,'Detailed Budget'!$L$5:$L$1005,$B68,'Detailed Budget'!$L$5:$L$1005,"&gt;0"),"")</f>
        <v/>
      </c>
      <c r="H68" s="45" t="str">
        <f>IF(SUMIFS('Detailed Budget'!$AI$5:$AI$1005,'Detailed Budget'!$L$5:$L$1005,$B68,'Detailed Budget'!$L$5:$L$1005,"&gt;0")&gt;0,SUMIFS('Detailed Budget'!$AI$5:$AI$1005,'Detailed Budget'!$L$5:$L$1005,$B68,'Detailed Budget'!$L$5:$L$1005,"&gt;0"),"")</f>
        <v/>
      </c>
      <c r="I68" s="44" t="str">
        <f>IF(SUMIFS('Detailed Budget'!$AN$5:$AN$1005,'Detailed Budget'!$L$5:$L$1005,$B68,'Detailed Budget'!$L$5:$L$1005,"&gt;0")&gt;0,SUMIFS('Detailed Budget'!$AN$5:$AN$1005,'Detailed Budget'!$L$5:$L$1005,$B68,'Detailed Budget'!$L$5:$L$1005,"&gt;0"),"")</f>
        <v/>
      </c>
      <c r="J68" s="44" t="str">
        <f>IF(SUMIFS('Detailed Budget'!$AP$5:$AP$1005,'Detailed Budget'!$L$5:$L$1005,$B68,'Detailed Budget'!$L$5:$L$1005,"&gt;0")&gt;0,SUMIFS('Detailed Budget'!$AP$5:$AP$1005,'Detailed Budget'!$L$5:$L$1005,$B68,'Detailed Budget'!$L$5:$L$1005,"&gt;0"),"")</f>
        <v/>
      </c>
      <c r="K68" s="44" t="str">
        <f>IF(SUMIFS('Detailed Budget'!$AR$5:$AR$1005,'Detailed Budget'!$L$5:$L$1005,$B68,'Detailed Budget'!$L$5:$L$1005,"&gt;0")&gt;0,SUMIFS('Detailed Budget'!$AR$5:$AR$1005,'Detailed Budget'!$L$5:$L$1005,$B68,'Detailed Budget'!$L$5:$L$1005,"&gt;0"),"")</f>
        <v/>
      </c>
      <c r="L68" s="44" t="str">
        <f>IF(SUMIFS('Detailed Budget'!$AT$5:$AT$1005,'Detailed Budget'!$L$5:$L$1005,$B68,'Detailed Budget'!$L$5:$L$1005,"&gt;0")&gt;0,SUMIFS('Detailed Budget'!$AT$5:$AT$1005,'Detailed Budget'!$L$5:$L$1005,$B68,'Detailed Budget'!$L$5:$L$1005,"&gt;0"),"")</f>
        <v/>
      </c>
      <c r="M68" s="45" t="str">
        <f>IF(SUMIFS('Detailed Budget'!$AV$5:$AV$1005,'Detailed Budget'!$L$5:$L$1005,$B68,'Detailed Budget'!$L$5:$L$1005,"&gt;0")&gt;0,SUMIFS('Detailed Budget'!$AV$5:$AV$1005,'Detailed Budget'!$L$5:$L$1005,$B68,'Detailed Budget'!$L$5:$L$1005,"&gt;0"),"")</f>
        <v/>
      </c>
      <c r="N68" s="44" t="str">
        <f>IF(SUMIFS('Detailed Budget'!$BA$5:$BA$1005,'Detailed Budget'!$L$5:$L$1005,$B68,'Detailed Budget'!$L$5:$L$1005,"&gt;0")&gt;0,SUMIFS('Detailed Budget'!$BA$5:$BA$1005,'Detailed Budget'!$L$5:$L$1005,$B68,'Detailed Budget'!$L$5:$L$1005,"&gt;0"),"")</f>
        <v/>
      </c>
      <c r="O68" s="44" t="str">
        <f>IF(SUMIFS('Detailed Budget'!$BC$5:$BC$1005,'Detailed Budget'!$L$5:$L$1005,$B68,'Detailed Budget'!$L$5:$L$1005,"&gt;0")&gt;0,SUMIFS('Detailed Budget'!$BC$5:$BC$1005,'Detailed Budget'!$L$5:$L$1005,$B68,'Detailed Budget'!$L$5:$L$1005,"&gt;0"),"")</f>
        <v/>
      </c>
      <c r="P68" s="44" t="str">
        <f>IF(SUMIFS('Detailed Budget'!$BE$5:$BE$1005,'Detailed Budget'!$L$5:$L$1005,$B68,'Detailed Budget'!$L$5:$L$1005,"&gt;0")&gt;0,SUMIFS('Detailed Budget'!$BE$5:$BE$1005,'Detailed Budget'!$L$5:$L$1005,$B68,'Detailed Budget'!$L$5:$L$1005,"&gt;0"),"")</f>
        <v/>
      </c>
      <c r="Q68" s="44" t="str">
        <f>IF(SUMIFS('Detailed Budget'!$BG$5:$BG$1005,'Detailed Budget'!$L$5:$L$1005,$B68,'Detailed Budget'!$L$5:$L$1005,"&gt;0")&gt;0,SUMIFS('Detailed Budget'!$BG$5:$BG$1005,'Detailed Budget'!$L$5:$L$1005,$B68,'Detailed Budget'!$L$5:$L$1005,"&gt;0"),"")</f>
        <v/>
      </c>
      <c r="R68" s="45" t="str">
        <f>IF(SUMIFS('Detailed Budget'!$BI$5:$BI$1005,'Detailed Budget'!$L$5:$L$1005,$B68,'Detailed Budget'!$L$5:$L$1005,"&gt;0")&gt;0,SUMIFS('Detailed Budget'!$BI$5:$BI$1005,'Detailed Budget'!$L$5:$L$1005,$B68,'Detailed Budget'!$L$5:$L$1005,"&gt;0"),"")</f>
        <v/>
      </c>
      <c r="S68" s="44" t="str">
        <f>IF(SUMIFS('Detailed Budget'!$BN$5:$BN$1005,'Detailed Budget'!$L$5:$L$1005,$B68,'Detailed Budget'!$L$5:$L$1005,"&gt;0")&gt;0,SUMIFS('Detailed Budget'!$BN$5:$BN$1005,'Detailed Budget'!$L$5:$L$1005,$B68,'Detailed Budget'!$L$5:$L$1005,"&gt;0"),"")</f>
        <v/>
      </c>
      <c r="T68" s="44" t="str">
        <f>IF(SUMIFS('Detailed Budget'!$BP$5:$BP$1005,'Detailed Budget'!$L$5:$L$1005,$B68,'Detailed Budget'!$L$5:$L$1005,"&gt;0")&gt;0,SUMIFS('Detailed Budget'!$BP$5:$BP$1005,'Detailed Budget'!$L$5:$L$1005,$B68,'Detailed Budget'!$L$5:$L$1005,"&gt;0"),"")</f>
        <v/>
      </c>
      <c r="U68" s="44" t="str">
        <f>IF(SUMIFS('Detailed Budget'!$BR$5:$BR$1005,'Detailed Budget'!$L$5:$L$1005,$B68,'Detailed Budget'!$L$5:$L$1005,"&gt;0")&gt;0,SUMIFS('Detailed Budget'!$BR$5:$BR$1005,'Detailed Budget'!$L$5:$L$1005,$B68,'Detailed Budget'!$L$5:$L$1005,"&gt;0"),"")</f>
        <v/>
      </c>
      <c r="V68" s="44" t="str">
        <f>IF(SUMIFS('Detailed Budget'!$BT$5:$BT$1005,'Detailed Budget'!$L$5:$L$1005,$B68,'Detailed Budget'!$L$5:$L$1005,"&gt;0")&gt;0,SUMIFS('Detailed Budget'!$BT$5:$BT$1005,'Detailed Budget'!$L$5:$L$1005,$B68,'Detailed Budget'!$L$5:$L$1005,"&gt;0"),"")</f>
        <v/>
      </c>
      <c r="W68" s="45" t="str">
        <f>IF(SUMIFS('Detailed Budget'!$BV$5:$BV$1005,'Detailed Budget'!$L$5:$L$1005,$B68,'Detailed Budget'!$L$5:$L$1005,"&gt;0")&gt;0,SUMIFS('Detailed Budget'!$BV$5:$BV$1005,'Detailed Budget'!$L$5:$L$1005,$B68,'Detailed Budget'!$L$5:$L$1005,"&gt;0"),"")</f>
        <v/>
      </c>
      <c r="X68" s="44" t="str">
        <f t="shared" si="2"/>
        <v/>
      </c>
      <c r="Y68" s="124" t="str">
        <f t="shared" si="3"/>
        <v/>
      </c>
    </row>
    <row r="69" spans="1:25" hidden="1" x14ac:dyDescent="0.25">
      <c r="A69" s="35"/>
      <c r="B69" s="234" t="str">
        <f t="array" ref="B69">IFERROR(INDEX(CostInpNoList,MATCH(0,IF(ISBLANK(CostInpNoList),"",COUNTIF(B$16:B68,CostInpNoList)),0)),"")</f>
        <v/>
      </c>
      <c r="C69" s="372" t="str">
        <f>IFERROR(INDEX('Data Sheet'!$F$198:$F$275,MATCH(B69,'Data Sheet'!$G$198:$G$275,0)),"")</f>
        <v/>
      </c>
      <c r="D69" s="44" t="str">
        <f>IF(SUMIFS('Detailed Budget'!$AA$5:$AA$1005,'Detailed Budget'!$L$5:$L$1005,$B69,'Detailed Budget'!$L$5:$L$1005,"&gt;0")&gt;0,SUMIFS('Detailed Budget'!$AA$5:$AA$1005,'Detailed Budget'!$L$5:$L$1005,$B69,'Detailed Budget'!$L$5:$L$1005,"&gt;0"),"")</f>
        <v/>
      </c>
      <c r="E69" s="44" t="str">
        <f>IF(SUMIFS('Detailed Budget'!$AC$5:$AC$1005,'Detailed Budget'!$L$5:$L$1005,$B69,'Detailed Budget'!$L$5:$L$1005,"&gt;0")&gt;0,SUMIFS('Detailed Budget'!$AC$5:$AC$1005,'Detailed Budget'!$L$5:$L$1005,$B69,'Detailed Budget'!$L$5:$L$1005,"&gt;0"),"")</f>
        <v/>
      </c>
      <c r="F69" s="44" t="str">
        <f>IF(SUMIFS('Detailed Budget'!$AE$5:$AE$1005,'Detailed Budget'!$L$5:$L$1005,$B69,'Detailed Budget'!$L$5:$L$1005,"&gt;0")&gt;0,SUMIFS('Detailed Budget'!$AE$5:$AE$1005,'Detailed Budget'!$L$5:$L$1005,$B69,'Detailed Budget'!$L$5:$L$1005,"&gt;0"),"")</f>
        <v/>
      </c>
      <c r="G69" s="44" t="str">
        <f>IF(SUMIFS('Detailed Budget'!$AG$5:$AG$1005,'Detailed Budget'!$L$5:$L$1005,$B69,'Detailed Budget'!$L$5:$L$1005,"&gt;0")&gt;0,SUMIFS('Detailed Budget'!$AG$5:$AG$1005,'Detailed Budget'!$L$5:$L$1005,$B69,'Detailed Budget'!$L$5:$L$1005,"&gt;0"),"")</f>
        <v/>
      </c>
      <c r="H69" s="45" t="str">
        <f>IF(SUMIFS('Detailed Budget'!$AI$5:$AI$1005,'Detailed Budget'!$L$5:$L$1005,$B69,'Detailed Budget'!$L$5:$L$1005,"&gt;0")&gt;0,SUMIFS('Detailed Budget'!$AI$5:$AI$1005,'Detailed Budget'!$L$5:$L$1005,$B69,'Detailed Budget'!$L$5:$L$1005,"&gt;0"),"")</f>
        <v/>
      </c>
      <c r="I69" s="44" t="str">
        <f>IF(SUMIFS('Detailed Budget'!$AN$5:$AN$1005,'Detailed Budget'!$L$5:$L$1005,$B69,'Detailed Budget'!$L$5:$L$1005,"&gt;0")&gt;0,SUMIFS('Detailed Budget'!$AN$5:$AN$1005,'Detailed Budget'!$L$5:$L$1005,$B69,'Detailed Budget'!$L$5:$L$1005,"&gt;0"),"")</f>
        <v/>
      </c>
      <c r="J69" s="44" t="str">
        <f>IF(SUMIFS('Detailed Budget'!$AP$5:$AP$1005,'Detailed Budget'!$L$5:$L$1005,$B69,'Detailed Budget'!$L$5:$L$1005,"&gt;0")&gt;0,SUMIFS('Detailed Budget'!$AP$5:$AP$1005,'Detailed Budget'!$L$5:$L$1005,$B69,'Detailed Budget'!$L$5:$L$1005,"&gt;0"),"")</f>
        <v/>
      </c>
      <c r="K69" s="44" t="str">
        <f>IF(SUMIFS('Detailed Budget'!$AR$5:$AR$1005,'Detailed Budget'!$L$5:$L$1005,$B69,'Detailed Budget'!$L$5:$L$1005,"&gt;0")&gt;0,SUMIFS('Detailed Budget'!$AR$5:$AR$1005,'Detailed Budget'!$L$5:$L$1005,$B69,'Detailed Budget'!$L$5:$L$1005,"&gt;0"),"")</f>
        <v/>
      </c>
      <c r="L69" s="44" t="str">
        <f>IF(SUMIFS('Detailed Budget'!$AT$5:$AT$1005,'Detailed Budget'!$L$5:$L$1005,$B69,'Detailed Budget'!$L$5:$L$1005,"&gt;0")&gt;0,SUMIFS('Detailed Budget'!$AT$5:$AT$1005,'Detailed Budget'!$L$5:$L$1005,$B69,'Detailed Budget'!$L$5:$L$1005,"&gt;0"),"")</f>
        <v/>
      </c>
      <c r="M69" s="45" t="str">
        <f>IF(SUMIFS('Detailed Budget'!$AV$5:$AV$1005,'Detailed Budget'!$L$5:$L$1005,$B69,'Detailed Budget'!$L$5:$L$1005,"&gt;0")&gt;0,SUMIFS('Detailed Budget'!$AV$5:$AV$1005,'Detailed Budget'!$L$5:$L$1005,$B69,'Detailed Budget'!$L$5:$L$1005,"&gt;0"),"")</f>
        <v/>
      </c>
      <c r="N69" s="44" t="str">
        <f>IF(SUMIFS('Detailed Budget'!$BA$5:$BA$1005,'Detailed Budget'!$L$5:$L$1005,$B69,'Detailed Budget'!$L$5:$L$1005,"&gt;0")&gt;0,SUMIFS('Detailed Budget'!$BA$5:$BA$1005,'Detailed Budget'!$L$5:$L$1005,$B69,'Detailed Budget'!$L$5:$L$1005,"&gt;0"),"")</f>
        <v/>
      </c>
      <c r="O69" s="44" t="str">
        <f>IF(SUMIFS('Detailed Budget'!$BC$5:$BC$1005,'Detailed Budget'!$L$5:$L$1005,$B69,'Detailed Budget'!$L$5:$L$1005,"&gt;0")&gt;0,SUMIFS('Detailed Budget'!$BC$5:$BC$1005,'Detailed Budget'!$L$5:$L$1005,$B69,'Detailed Budget'!$L$5:$L$1005,"&gt;0"),"")</f>
        <v/>
      </c>
      <c r="P69" s="44" t="str">
        <f>IF(SUMIFS('Detailed Budget'!$BE$5:$BE$1005,'Detailed Budget'!$L$5:$L$1005,$B69,'Detailed Budget'!$L$5:$L$1005,"&gt;0")&gt;0,SUMIFS('Detailed Budget'!$BE$5:$BE$1005,'Detailed Budget'!$L$5:$L$1005,$B69,'Detailed Budget'!$L$5:$L$1005,"&gt;0"),"")</f>
        <v/>
      </c>
      <c r="Q69" s="44" t="str">
        <f>IF(SUMIFS('Detailed Budget'!$BG$5:$BG$1005,'Detailed Budget'!$L$5:$L$1005,$B69,'Detailed Budget'!$L$5:$L$1005,"&gt;0")&gt;0,SUMIFS('Detailed Budget'!$BG$5:$BG$1005,'Detailed Budget'!$L$5:$L$1005,$B69,'Detailed Budget'!$L$5:$L$1005,"&gt;0"),"")</f>
        <v/>
      </c>
      <c r="R69" s="45" t="str">
        <f>IF(SUMIFS('Detailed Budget'!$BI$5:$BI$1005,'Detailed Budget'!$L$5:$L$1005,$B69,'Detailed Budget'!$L$5:$L$1005,"&gt;0")&gt;0,SUMIFS('Detailed Budget'!$BI$5:$BI$1005,'Detailed Budget'!$L$5:$L$1005,$B69,'Detailed Budget'!$L$5:$L$1005,"&gt;0"),"")</f>
        <v/>
      </c>
      <c r="S69" s="44" t="str">
        <f>IF(SUMIFS('Detailed Budget'!$BN$5:$BN$1005,'Detailed Budget'!$L$5:$L$1005,$B69,'Detailed Budget'!$L$5:$L$1005,"&gt;0")&gt;0,SUMIFS('Detailed Budget'!$BN$5:$BN$1005,'Detailed Budget'!$L$5:$L$1005,$B69,'Detailed Budget'!$L$5:$L$1005,"&gt;0"),"")</f>
        <v/>
      </c>
      <c r="T69" s="44" t="str">
        <f>IF(SUMIFS('Detailed Budget'!$BP$5:$BP$1005,'Detailed Budget'!$L$5:$L$1005,$B69,'Detailed Budget'!$L$5:$L$1005,"&gt;0")&gt;0,SUMIFS('Detailed Budget'!$BP$5:$BP$1005,'Detailed Budget'!$L$5:$L$1005,$B69,'Detailed Budget'!$L$5:$L$1005,"&gt;0"),"")</f>
        <v/>
      </c>
      <c r="U69" s="44" t="str">
        <f>IF(SUMIFS('Detailed Budget'!$BR$5:$BR$1005,'Detailed Budget'!$L$5:$L$1005,$B69,'Detailed Budget'!$L$5:$L$1005,"&gt;0")&gt;0,SUMIFS('Detailed Budget'!$BR$5:$BR$1005,'Detailed Budget'!$L$5:$L$1005,$B69,'Detailed Budget'!$L$5:$L$1005,"&gt;0"),"")</f>
        <v/>
      </c>
      <c r="V69" s="44" t="str">
        <f>IF(SUMIFS('Detailed Budget'!$BT$5:$BT$1005,'Detailed Budget'!$L$5:$L$1005,$B69,'Detailed Budget'!$L$5:$L$1005,"&gt;0")&gt;0,SUMIFS('Detailed Budget'!$BT$5:$BT$1005,'Detailed Budget'!$L$5:$L$1005,$B69,'Detailed Budget'!$L$5:$L$1005,"&gt;0"),"")</f>
        <v/>
      </c>
      <c r="W69" s="45" t="str">
        <f>IF(SUMIFS('Detailed Budget'!$BV$5:$BV$1005,'Detailed Budget'!$L$5:$L$1005,$B69,'Detailed Budget'!$L$5:$L$1005,"&gt;0")&gt;0,SUMIFS('Detailed Budget'!$BV$5:$BV$1005,'Detailed Budget'!$L$5:$L$1005,$B69,'Detailed Budget'!$L$5:$L$1005,"&gt;0"),"")</f>
        <v/>
      </c>
      <c r="X69" s="44" t="str">
        <f t="shared" si="2"/>
        <v/>
      </c>
      <c r="Y69" s="124" t="str">
        <f t="shared" si="3"/>
        <v/>
      </c>
    </row>
    <row r="70" spans="1:25" hidden="1" x14ac:dyDescent="0.25">
      <c r="A70" s="35"/>
      <c r="B70" s="234" t="str">
        <f t="array" ref="B70">IFERROR(INDEX(CostInpNoList,MATCH(0,IF(ISBLANK(CostInpNoList),"",COUNTIF(B$16:B69,CostInpNoList)),0)),"")</f>
        <v/>
      </c>
      <c r="C70" s="372" t="str">
        <f>IFERROR(INDEX('Data Sheet'!$F$198:$F$275,MATCH(B70,'Data Sheet'!$G$198:$G$275,0)),"")</f>
        <v/>
      </c>
      <c r="D70" s="44" t="str">
        <f>IF(SUMIFS('Detailed Budget'!$AA$5:$AA$1005,'Detailed Budget'!$L$5:$L$1005,$B70,'Detailed Budget'!$L$5:$L$1005,"&gt;0")&gt;0,SUMIFS('Detailed Budget'!$AA$5:$AA$1005,'Detailed Budget'!$L$5:$L$1005,$B70,'Detailed Budget'!$L$5:$L$1005,"&gt;0"),"")</f>
        <v/>
      </c>
      <c r="E70" s="44" t="str">
        <f>IF(SUMIFS('Detailed Budget'!$AC$5:$AC$1005,'Detailed Budget'!$L$5:$L$1005,$B70,'Detailed Budget'!$L$5:$L$1005,"&gt;0")&gt;0,SUMIFS('Detailed Budget'!$AC$5:$AC$1005,'Detailed Budget'!$L$5:$L$1005,$B70,'Detailed Budget'!$L$5:$L$1005,"&gt;0"),"")</f>
        <v/>
      </c>
      <c r="F70" s="44" t="str">
        <f>IF(SUMIFS('Detailed Budget'!$AE$5:$AE$1005,'Detailed Budget'!$L$5:$L$1005,$B70,'Detailed Budget'!$L$5:$L$1005,"&gt;0")&gt;0,SUMIFS('Detailed Budget'!$AE$5:$AE$1005,'Detailed Budget'!$L$5:$L$1005,$B70,'Detailed Budget'!$L$5:$L$1005,"&gt;0"),"")</f>
        <v/>
      </c>
      <c r="G70" s="44" t="str">
        <f>IF(SUMIFS('Detailed Budget'!$AG$5:$AG$1005,'Detailed Budget'!$L$5:$L$1005,$B70,'Detailed Budget'!$L$5:$L$1005,"&gt;0")&gt;0,SUMIFS('Detailed Budget'!$AG$5:$AG$1005,'Detailed Budget'!$L$5:$L$1005,$B70,'Detailed Budget'!$L$5:$L$1005,"&gt;0"),"")</f>
        <v/>
      </c>
      <c r="H70" s="45" t="str">
        <f>IF(SUMIFS('Detailed Budget'!$AI$5:$AI$1005,'Detailed Budget'!$L$5:$L$1005,$B70,'Detailed Budget'!$L$5:$L$1005,"&gt;0")&gt;0,SUMIFS('Detailed Budget'!$AI$5:$AI$1005,'Detailed Budget'!$L$5:$L$1005,$B70,'Detailed Budget'!$L$5:$L$1005,"&gt;0"),"")</f>
        <v/>
      </c>
      <c r="I70" s="44" t="str">
        <f>IF(SUMIFS('Detailed Budget'!$AN$5:$AN$1005,'Detailed Budget'!$L$5:$L$1005,$B70,'Detailed Budget'!$L$5:$L$1005,"&gt;0")&gt;0,SUMIFS('Detailed Budget'!$AN$5:$AN$1005,'Detailed Budget'!$L$5:$L$1005,$B70,'Detailed Budget'!$L$5:$L$1005,"&gt;0"),"")</f>
        <v/>
      </c>
      <c r="J70" s="44" t="str">
        <f>IF(SUMIFS('Detailed Budget'!$AP$5:$AP$1005,'Detailed Budget'!$L$5:$L$1005,$B70,'Detailed Budget'!$L$5:$L$1005,"&gt;0")&gt;0,SUMIFS('Detailed Budget'!$AP$5:$AP$1005,'Detailed Budget'!$L$5:$L$1005,$B70,'Detailed Budget'!$L$5:$L$1005,"&gt;0"),"")</f>
        <v/>
      </c>
      <c r="K70" s="44" t="str">
        <f>IF(SUMIFS('Detailed Budget'!$AR$5:$AR$1005,'Detailed Budget'!$L$5:$L$1005,$B70,'Detailed Budget'!$L$5:$L$1005,"&gt;0")&gt;0,SUMIFS('Detailed Budget'!$AR$5:$AR$1005,'Detailed Budget'!$L$5:$L$1005,$B70,'Detailed Budget'!$L$5:$L$1005,"&gt;0"),"")</f>
        <v/>
      </c>
      <c r="L70" s="44" t="str">
        <f>IF(SUMIFS('Detailed Budget'!$AT$5:$AT$1005,'Detailed Budget'!$L$5:$L$1005,$B70,'Detailed Budget'!$L$5:$L$1005,"&gt;0")&gt;0,SUMIFS('Detailed Budget'!$AT$5:$AT$1005,'Detailed Budget'!$L$5:$L$1005,$B70,'Detailed Budget'!$L$5:$L$1005,"&gt;0"),"")</f>
        <v/>
      </c>
      <c r="M70" s="45" t="str">
        <f>IF(SUMIFS('Detailed Budget'!$AV$5:$AV$1005,'Detailed Budget'!$L$5:$L$1005,$B70,'Detailed Budget'!$L$5:$L$1005,"&gt;0")&gt;0,SUMIFS('Detailed Budget'!$AV$5:$AV$1005,'Detailed Budget'!$L$5:$L$1005,$B70,'Detailed Budget'!$L$5:$L$1005,"&gt;0"),"")</f>
        <v/>
      </c>
      <c r="N70" s="44" t="str">
        <f>IF(SUMIFS('Detailed Budget'!$BA$5:$BA$1005,'Detailed Budget'!$L$5:$L$1005,$B70,'Detailed Budget'!$L$5:$L$1005,"&gt;0")&gt;0,SUMIFS('Detailed Budget'!$BA$5:$BA$1005,'Detailed Budget'!$L$5:$L$1005,$B70,'Detailed Budget'!$L$5:$L$1005,"&gt;0"),"")</f>
        <v/>
      </c>
      <c r="O70" s="44" t="str">
        <f>IF(SUMIFS('Detailed Budget'!$BC$5:$BC$1005,'Detailed Budget'!$L$5:$L$1005,$B70,'Detailed Budget'!$L$5:$L$1005,"&gt;0")&gt;0,SUMIFS('Detailed Budget'!$BC$5:$BC$1005,'Detailed Budget'!$L$5:$L$1005,$B70,'Detailed Budget'!$L$5:$L$1005,"&gt;0"),"")</f>
        <v/>
      </c>
      <c r="P70" s="44" t="str">
        <f>IF(SUMIFS('Detailed Budget'!$BE$5:$BE$1005,'Detailed Budget'!$L$5:$L$1005,$B70,'Detailed Budget'!$L$5:$L$1005,"&gt;0")&gt;0,SUMIFS('Detailed Budget'!$BE$5:$BE$1005,'Detailed Budget'!$L$5:$L$1005,$B70,'Detailed Budget'!$L$5:$L$1005,"&gt;0"),"")</f>
        <v/>
      </c>
      <c r="Q70" s="44" t="str">
        <f>IF(SUMIFS('Detailed Budget'!$BG$5:$BG$1005,'Detailed Budget'!$L$5:$L$1005,$B70,'Detailed Budget'!$L$5:$L$1005,"&gt;0")&gt;0,SUMIFS('Detailed Budget'!$BG$5:$BG$1005,'Detailed Budget'!$L$5:$L$1005,$B70,'Detailed Budget'!$L$5:$L$1005,"&gt;0"),"")</f>
        <v/>
      </c>
      <c r="R70" s="45" t="str">
        <f>IF(SUMIFS('Detailed Budget'!$BI$5:$BI$1005,'Detailed Budget'!$L$5:$L$1005,$B70,'Detailed Budget'!$L$5:$L$1005,"&gt;0")&gt;0,SUMIFS('Detailed Budget'!$BI$5:$BI$1005,'Detailed Budget'!$L$5:$L$1005,$B70,'Detailed Budget'!$L$5:$L$1005,"&gt;0"),"")</f>
        <v/>
      </c>
      <c r="S70" s="44" t="str">
        <f>IF(SUMIFS('Detailed Budget'!$BN$5:$BN$1005,'Detailed Budget'!$L$5:$L$1005,$B70,'Detailed Budget'!$L$5:$L$1005,"&gt;0")&gt;0,SUMIFS('Detailed Budget'!$BN$5:$BN$1005,'Detailed Budget'!$L$5:$L$1005,$B70,'Detailed Budget'!$L$5:$L$1005,"&gt;0"),"")</f>
        <v/>
      </c>
      <c r="T70" s="44" t="str">
        <f>IF(SUMIFS('Detailed Budget'!$BP$5:$BP$1005,'Detailed Budget'!$L$5:$L$1005,$B70,'Detailed Budget'!$L$5:$L$1005,"&gt;0")&gt;0,SUMIFS('Detailed Budget'!$BP$5:$BP$1005,'Detailed Budget'!$L$5:$L$1005,$B70,'Detailed Budget'!$L$5:$L$1005,"&gt;0"),"")</f>
        <v/>
      </c>
      <c r="U70" s="44" t="str">
        <f>IF(SUMIFS('Detailed Budget'!$BR$5:$BR$1005,'Detailed Budget'!$L$5:$L$1005,$B70,'Detailed Budget'!$L$5:$L$1005,"&gt;0")&gt;0,SUMIFS('Detailed Budget'!$BR$5:$BR$1005,'Detailed Budget'!$L$5:$L$1005,$B70,'Detailed Budget'!$L$5:$L$1005,"&gt;0"),"")</f>
        <v/>
      </c>
      <c r="V70" s="44" t="str">
        <f>IF(SUMIFS('Detailed Budget'!$BT$5:$BT$1005,'Detailed Budget'!$L$5:$L$1005,$B70,'Detailed Budget'!$L$5:$L$1005,"&gt;0")&gt;0,SUMIFS('Detailed Budget'!$BT$5:$BT$1005,'Detailed Budget'!$L$5:$L$1005,$B70,'Detailed Budget'!$L$5:$L$1005,"&gt;0"),"")</f>
        <v/>
      </c>
      <c r="W70" s="45" t="str">
        <f>IF(SUMIFS('Detailed Budget'!$BV$5:$BV$1005,'Detailed Budget'!$L$5:$L$1005,$B70,'Detailed Budget'!$L$5:$L$1005,"&gt;0")&gt;0,SUMIFS('Detailed Budget'!$BV$5:$BV$1005,'Detailed Budget'!$L$5:$L$1005,$B70,'Detailed Budget'!$L$5:$L$1005,"&gt;0"),"")</f>
        <v/>
      </c>
      <c r="X70" s="44" t="str">
        <f t="shared" si="2"/>
        <v/>
      </c>
      <c r="Y70" s="124" t="str">
        <f t="shared" si="3"/>
        <v/>
      </c>
    </row>
    <row r="71" spans="1:25" hidden="1" x14ac:dyDescent="0.25">
      <c r="A71" s="35"/>
      <c r="B71" s="234" t="str">
        <f t="array" ref="B71">IFERROR(INDEX(CostInpNoList,MATCH(0,IF(ISBLANK(CostInpNoList),"",COUNTIF(B$16:B70,CostInpNoList)),0)),"")</f>
        <v/>
      </c>
      <c r="C71" s="372" t="str">
        <f>IFERROR(INDEX('Data Sheet'!$F$198:$F$275,MATCH(B71,'Data Sheet'!$G$198:$G$275,0)),"")</f>
        <v/>
      </c>
      <c r="D71" s="44" t="str">
        <f>IF(SUMIFS('Detailed Budget'!$AA$5:$AA$1005,'Detailed Budget'!$L$5:$L$1005,$B71,'Detailed Budget'!$L$5:$L$1005,"&gt;0")&gt;0,SUMIFS('Detailed Budget'!$AA$5:$AA$1005,'Detailed Budget'!$L$5:$L$1005,$B71,'Detailed Budget'!$L$5:$L$1005,"&gt;0"),"")</f>
        <v/>
      </c>
      <c r="E71" s="44" t="str">
        <f>IF(SUMIFS('Detailed Budget'!$AC$5:$AC$1005,'Detailed Budget'!$L$5:$L$1005,$B71,'Detailed Budget'!$L$5:$L$1005,"&gt;0")&gt;0,SUMIFS('Detailed Budget'!$AC$5:$AC$1005,'Detailed Budget'!$L$5:$L$1005,$B71,'Detailed Budget'!$L$5:$L$1005,"&gt;0"),"")</f>
        <v/>
      </c>
      <c r="F71" s="44" t="str">
        <f>IF(SUMIFS('Detailed Budget'!$AE$5:$AE$1005,'Detailed Budget'!$L$5:$L$1005,$B71,'Detailed Budget'!$L$5:$L$1005,"&gt;0")&gt;0,SUMIFS('Detailed Budget'!$AE$5:$AE$1005,'Detailed Budget'!$L$5:$L$1005,$B71,'Detailed Budget'!$L$5:$L$1005,"&gt;0"),"")</f>
        <v/>
      </c>
      <c r="G71" s="44" t="str">
        <f>IF(SUMIFS('Detailed Budget'!$AG$5:$AG$1005,'Detailed Budget'!$L$5:$L$1005,$B71,'Detailed Budget'!$L$5:$L$1005,"&gt;0")&gt;0,SUMIFS('Detailed Budget'!$AG$5:$AG$1005,'Detailed Budget'!$L$5:$L$1005,$B71,'Detailed Budget'!$L$5:$L$1005,"&gt;0"),"")</f>
        <v/>
      </c>
      <c r="H71" s="45" t="str">
        <f>IF(SUMIFS('Detailed Budget'!$AI$5:$AI$1005,'Detailed Budget'!$L$5:$L$1005,$B71,'Detailed Budget'!$L$5:$L$1005,"&gt;0")&gt;0,SUMIFS('Detailed Budget'!$AI$5:$AI$1005,'Detailed Budget'!$L$5:$L$1005,$B71,'Detailed Budget'!$L$5:$L$1005,"&gt;0"),"")</f>
        <v/>
      </c>
      <c r="I71" s="44" t="str">
        <f>IF(SUMIFS('Detailed Budget'!$AN$5:$AN$1005,'Detailed Budget'!$L$5:$L$1005,$B71,'Detailed Budget'!$L$5:$L$1005,"&gt;0")&gt;0,SUMIFS('Detailed Budget'!$AN$5:$AN$1005,'Detailed Budget'!$L$5:$L$1005,$B71,'Detailed Budget'!$L$5:$L$1005,"&gt;0"),"")</f>
        <v/>
      </c>
      <c r="J71" s="44" t="str">
        <f>IF(SUMIFS('Detailed Budget'!$AP$5:$AP$1005,'Detailed Budget'!$L$5:$L$1005,$B71,'Detailed Budget'!$L$5:$L$1005,"&gt;0")&gt;0,SUMIFS('Detailed Budget'!$AP$5:$AP$1005,'Detailed Budget'!$L$5:$L$1005,$B71,'Detailed Budget'!$L$5:$L$1005,"&gt;0"),"")</f>
        <v/>
      </c>
      <c r="K71" s="44" t="str">
        <f>IF(SUMIFS('Detailed Budget'!$AR$5:$AR$1005,'Detailed Budget'!$L$5:$L$1005,$B71,'Detailed Budget'!$L$5:$L$1005,"&gt;0")&gt;0,SUMIFS('Detailed Budget'!$AR$5:$AR$1005,'Detailed Budget'!$L$5:$L$1005,$B71,'Detailed Budget'!$L$5:$L$1005,"&gt;0"),"")</f>
        <v/>
      </c>
      <c r="L71" s="44" t="str">
        <f>IF(SUMIFS('Detailed Budget'!$AT$5:$AT$1005,'Detailed Budget'!$L$5:$L$1005,$B71,'Detailed Budget'!$L$5:$L$1005,"&gt;0")&gt;0,SUMIFS('Detailed Budget'!$AT$5:$AT$1005,'Detailed Budget'!$L$5:$L$1005,$B71,'Detailed Budget'!$L$5:$L$1005,"&gt;0"),"")</f>
        <v/>
      </c>
      <c r="M71" s="45" t="str">
        <f>IF(SUMIFS('Detailed Budget'!$AV$5:$AV$1005,'Detailed Budget'!$L$5:$L$1005,$B71,'Detailed Budget'!$L$5:$L$1005,"&gt;0")&gt;0,SUMIFS('Detailed Budget'!$AV$5:$AV$1005,'Detailed Budget'!$L$5:$L$1005,$B71,'Detailed Budget'!$L$5:$L$1005,"&gt;0"),"")</f>
        <v/>
      </c>
      <c r="N71" s="44" t="str">
        <f>IF(SUMIFS('Detailed Budget'!$BA$5:$BA$1005,'Detailed Budget'!$L$5:$L$1005,$B71,'Detailed Budget'!$L$5:$L$1005,"&gt;0")&gt;0,SUMIFS('Detailed Budget'!$BA$5:$BA$1005,'Detailed Budget'!$L$5:$L$1005,$B71,'Detailed Budget'!$L$5:$L$1005,"&gt;0"),"")</f>
        <v/>
      </c>
      <c r="O71" s="44" t="str">
        <f>IF(SUMIFS('Detailed Budget'!$BC$5:$BC$1005,'Detailed Budget'!$L$5:$L$1005,$B71,'Detailed Budget'!$L$5:$L$1005,"&gt;0")&gt;0,SUMIFS('Detailed Budget'!$BC$5:$BC$1005,'Detailed Budget'!$L$5:$L$1005,$B71,'Detailed Budget'!$L$5:$L$1005,"&gt;0"),"")</f>
        <v/>
      </c>
      <c r="P71" s="44" t="str">
        <f>IF(SUMIFS('Detailed Budget'!$BE$5:$BE$1005,'Detailed Budget'!$L$5:$L$1005,$B71,'Detailed Budget'!$L$5:$L$1005,"&gt;0")&gt;0,SUMIFS('Detailed Budget'!$BE$5:$BE$1005,'Detailed Budget'!$L$5:$L$1005,$B71,'Detailed Budget'!$L$5:$L$1005,"&gt;0"),"")</f>
        <v/>
      </c>
      <c r="Q71" s="44" t="str">
        <f>IF(SUMIFS('Detailed Budget'!$BG$5:$BG$1005,'Detailed Budget'!$L$5:$L$1005,$B71,'Detailed Budget'!$L$5:$L$1005,"&gt;0")&gt;0,SUMIFS('Detailed Budget'!$BG$5:$BG$1005,'Detailed Budget'!$L$5:$L$1005,$B71,'Detailed Budget'!$L$5:$L$1005,"&gt;0"),"")</f>
        <v/>
      </c>
      <c r="R71" s="45" t="str">
        <f>IF(SUMIFS('Detailed Budget'!$BI$5:$BI$1005,'Detailed Budget'!$L$5:$L$1005,$B71,'Detailed Budget'!$L$5:$L$1005,"&gt;0")&gt;0,SUMIFS('Detailed Budget'!$BI$5:$BI$1005,'Detailed Budget'!$L$5:$L$1005,$B71,'Detailed Budget'!$L$5:$L$1005,"&gt;0"),"")</f>
        <v/>
      </c>
      <c r="S71" s="44" t="str">
        <f>IF(SUMIFS('Detailed Budget'!$BN$5:$BN$1005,'Detailed Budget'!$L$5:$L$1005,$B71,'Detailed Budget'!$L$5:$L$1005,"&gt;0")&gt;0,SUMIFS('Detailed Budget'!$BN$5:$BN$1005,'Detailed Budget'!$L$5:$L$1005,$B71,'Detailed Budget'!$L$5:$L$1005,"&gt;0"),"")</f>
        <v/>
      </c>
      <c r="T71" s="44" t="str">
        <f>IF(SUMIFS('Detailed Budget'!$BP$5:$BP$1005,'Detailed Budget'!$L$5:$L$1005,$B71,'Detailed Budget'!$L$5:$L$1005,"&gt;0")&gt;0,SUMIFS('Detailed Budget'!$BP$5:$BP$1005,'Detailed Budget'!$L$5:$L$1005,$B71,'Detailed Budget'!$L$5:$L$1005,"&gt;0"),"")</f>
        <v/>
      </c>
      <c r="U71" s="44" t="str">
        <f>IF(SUMIFS('Detailed Budget'!$BR$5:$BR$1005,'Detailed Budget'!$L$5:$L$1005,$B71,'Detailed Budget'!$L$5:$L$1005,"&gt;0")&gt;0,SUMIFS('Detailed Budget'!$BR$5:$BR$1005,'Detailed Budget'!$L$5:$L$1005,$B71,'Detailed Budget'!$L$5:$L$1005,"&gt;0"),"")</f>
        <v/>
      </c>
      <c r="V71" s="44" t="str">
        <f>IF(SUMIFS('Detailed Budget'!$BT$5:$BT$1005,'Detailed Budget'!$L$5:$L$1005,$B71,'Detailed Budget'!$L$5:$L$1005,"&gt;0")&gt;0,SUMIFS('Detailed Budget'!$BT$5:$BT$1005,'Detailed Budget'!$L$5:$L$1005,$B71,'Detailed Budget'!$L$5:$L$1005,"&gt;0"),"")</f>
        <v/>
      </c>
      <c r="W71" s="45" t="str">
        <f>IF(SUMIFS('Detailed Budget'!$BV$5:$BV$1005,'Detailed Budget'!$L$5:$L$1005,$B71,'Detailed Budget'!$L$5:$L$1005,"&gt;0")&gt;0,SUMIFS('Detailed Budget'!$BV$5:$BV$1005,'Detailed Budget'!$L$5:$L$1005,$B71,'Detailed Budget'!$L$5:$L$1005,"&gt;0"),"")</f>
        <v/>
      </c>
      <c r="X71" s="44" t="str">
        <f t="shared" si="2"/>
        <v/>
      </c>
      <c r="Y71" s="124" t="str">
        <f t="shared" si="3"/>
        <v/>
      </c>
    </row>
    <row r="72" spans="1:25" hidden="1" x14ac:dyDescent="0.25">
      <c r="A72" s="35"/>
      <c r="B72" s="234" t="str">
        <f t="array" ref="B72">IFERROR(INDEX(CostInpNoList,MATCH(0,IF(ISBLANK(CostInpNoList),"",COUNTIF(B$16:B71,CostInpNoList)),0)),"")</f>
        <v/>
      </c>
      <c r="C72" s="372" t="str">
        <f>IFERROR(INDEX('Data Sheet'!$F$198:$F$275,MATCH(B72,'Data Sheet'!$G$198:$G$275,0)),"")</f>
        <v/>
      </c>
      <c r="D72" s="44" t="str">
        <f>IF(SUMIFS('Detailed Budget'!$AA$5:$AA$1005,'Detailed Budget'!$L$5:$L$1005,$B72,'Detailed Budget'!$L$5:$L$1005,"&gt;0")&gt;0,SUMIFS('Detailed Budget'!$AA$5:$AA$1005,'Detailed Budget'!$L$5:$L$1005,$B72,'Detailed Budget'!$L$5:$L$1005,"&gt;0"),"")</f>
        <v/>
      </c>
      <c r="E72" s="44" t="str">
        <f>IF(SUMIFS('Detailed Budget'!$AC$5:$AC$1005,'Detailed Budget'!$L$5:$L$1005,$B72,'Detailed Budget'!$L$5:$L$1005,"&gt;0")&gt;0,SUMIFS('Detailed Budget'!$AC$5:$AC$1005,'Detailed Budget'!$L$5:$L$1005,$B72,'Detailed Budget'!$L$5:$L$1005,"&gt;0"),"")</f>
        <v/>
      </c>
      <c r="F72" s="44" t="str">
        <f>IF(SUMIFS('Detailed Budget'!$AE$5:$AE$1005,'Detailed Budget'!$L$5:$L$1005,$B72,'Detailed Budget'!$L$5:$L$1005,"&gt;0")&gt;0,SUMIFS('Detailed Budget'!$AE$5:$AE$1005,'Detailed Budget'!$L$5:$L$1005,$B72,'Detailed Budget'!$L$5:$L$1005,"&gt;0"),"")</f>
        <v/>
      </c>
      <c r="G72" s="44" t="str">
        <f>IF(SUMIFS('Detailed Budget'!$AG$5:$AG$1005,'Detailed Budget'!$L$5:$L$1005,$B72,'Detailed Budget'!$L$5:$L$1005,"&gt;0")&gt;0,SUMIFS('Detailed Budget'!$AG$5:$AG$1005,'Detailed Budget'!$L$5:$L$1005,$B72,'Detailed Budget'!$L$5:$L$1005,"&gt;0"),"")</f>
        <v/>
      </c>
      <c r="H72" s="45" t="str">
        <f>IF(SUMIFS('Detailed Budget'!$AI$5:$AI$1005,'Detailed Budget'!$L$5:$L$1005,$B72,'Detailed Budget'!$L$5:$L$1005,"&gt;0")&gt;0,SUMIFS('Detailed Budget'!$AI$5:$AI$1005,'Detailed Budget'!$L$5:$L$1005,$B72,'Detailed Budget'!$L$5:$L$1005,"&gt;0"),"")</f>
        <v/>
      </c>
      <c r="I72" s="44" t="str">
        <f>IF(SUMIFS('Detailed Budget'!$AN$5:$AN$1005,'Detailed Budget'!$L$5:$L$1005,$B72,'Detailed Budget'!$L$5:$L$1005,"&gt;0")&gt;0,SUMIFS('Detailed Budget'!$AN$5:$AN$1005,'Detailed Budget'!$L$5:$L$1005,$B72,'Detailed Budget'!$L$5:$L$1005,"&gt;0"),"")</f>
        <v/>
      </c>
      <c r="J72" s="44" t="str">
        <f>IF(SUMIFS('Detailed Budget'!$AP$5:$AP$1005,'Detailed Budget'!$L$5:$L$1005,$B72,'Detailed Budget'!$L$5:$L$1005,"&gt;0")&gt;0,SUMIFS('Detailed Budget'!$AP$5:$AP$1005,'Detailed Budget'!$L$5:$L$1005,$B72,'Detailed Budget'!$L$5:$L$1005,"&gt;0"),"")</f>
        <v/>
      </c>
      <c r="K72" s="44" t="str">
        <f>IF(SUMIFS('Detailed Budget'!$AR$5:$AR$1005,'Detailed Budget'!$L$5:$L$1005,$B72,'Detailed Budget'!$L$5:$L$1005,"&gt;0")&gt;0,SUMIFS('Detailed Budget'!$AR$5:$AR$1005,'Detailed Budget'!$L$5:$L$1005,$B72,'Detailed Budget'!$L$5:$L$1005,"&gt;0"),"")</f>
        <v/>
      </c>
      <c r="L72" s="44" t="str">
        <f>IF(SUMIFS('Detailed Budget'!$AT$5:$AT$1005,'Detailed Budget'!$L$5:$L$1005,$B72,'Detailed Budget'!$L$5:$L$1005,"&gt;0")&gt;0,SUMIFS('Detailed Budget'!$AT$5:$AT$1005,'Detailed Budget'!$L$5:$L$1005,$B72,'Detailed Budget'!$L$5:$L$1005,"&gt;0"),"")</f>
        <v/>
      </c>
      <c r="M72" s="45" t="str">
        <f>IF(SUMIFS('Detailed Budget'!$AV$5:$AV$1005,'Detailed Budget'!$L$5:$L$1005,$B72,'Detailed Budget'!$L$5:$L$1005,"&gt;0")&gt;0,SUMIFS('Detailed Budget'!$AV$5:$AV$1005,'Detailed Budget'!$L$5:$L$1005,$B72,'Detailed Budget'!$L$5:$L$1005,"&gt;0"),"")</f>
        <v/>
      </c>
      <c r="N72" s="44" t="str">
        <f>IF(SUMIFS('Detailed Budget'!$BA$5:$BA$1005,'Detailed Budget'!$L$5:$L$1005,$B72,'Detailed Budget'!$L$5:$L$1005,"&gt;0")&gt;0,SUMIFS('Detailed Budget'!$BA$5:$BA$1005,'Detailed Budget'!$L$5:$L$1005,$B72,'Detailed Budget'!$L$5:$L$1005,"&gt;0"),"")</f>
        <v/>
      </c>
      <c r="O72" s="44" t="str">
        <f>IF(SUMIFS('Detailed Budget'!$BC$5:$BC$1005,'Detailed Budget'!$L$5:$L$1005,$B72,'Detailed Budget'!$L$5:$L$1005,"&gt;0")&gt;0,SUMIFS('Detailed Budget'!$BC$5:$BC$1005,'Detailed Budget'!$L$5:$L$1005,$B72,'Detailed Budget'!$L$5:$L$1005,"&gt;0"),"")</f>
        <v/>
      </c>
      <c r="P72" s="44" t="str">
        <f>IF(SUMIFS('Detailed Budget'!$BE$5:$BE$1005,'Detailed Budget'!$L$5:$L$1005,$B72,'Detailed Budget'!$L$5:$L$1005,"&gt;0")&gt;0,SUMIFS('Detailed Budget'!$BE$5:$BE$1005,'Detailed Budget'!$L$5:$L$1005,$B72,'Detailed Budget'!$L$5:$L$1005,"&gt;0"),"")</f>
        <v/>
      </c>
      <c r="Q72" s="44" t="str">
        <f>IF(SUMIFS('Detailed Budget'!$BG$5:$BG$1005,'Detailed Budget'!$L$5:$L$1005,$B72,'Detailed Budget'!$L$5:$L$1005,"&gt;0")&gt;0,SUMIFS('Detailed Budget'!$BG$5:$BG$1005,'Detailed Budget'!$L$5:$L$1005,$B72,'Detailed Budget'!$L$5:$L$1005,"&gt;0"),"")</f>
        <v/>
      </c>
      <c r="R72" s="45" t="str">
        <f>IF(SUMIFS('Detailed Budget'!$BI$5:$BI$1005,'Detailed Budget'!$L$5:$L$1005,$B72,'Detailed Budget'!$L$5:$L$1005,"&gt;0")&gt;0,SUMIFS('Detailed Budget'!$BI$5:$BI$1005,'Detailed Budget'!$L$5:$L$1005,$B72,'Detailed Budget'!$L$5:$L$1005,"&gt;0"),"")</f>
        <v/>
      </c>
      <c r="S72" s="44" t="str">
        <f>IF(SUMIFS('Detailed Budget'!$BN$5:$BN$1005,'Detailed Budget'!$L$5:$L$1005,$B72,'Detailed Budget'!$L$5:$L$1005,"&gt;0")&gt;0,SUMIFS('Detailed Budget'!$BN$5:$BN$1005,'Detailed Budget'!$L$5:$L$1005,$B72,'Detailed Budget'!$L$5:$L$1005,"&gt;0"),"")</f>
        <v/>
      </c>
      <c r="T72" s="44" t="str">
        <f>IF(SUMIFS('Detailed Budget'!$BP$5:$BP$1005,'Detailed Budget'!$L$5:$L$1005,$B72,'Detailed Budget'!$L$5:$L$1005,"&gt;0")&gt;0,SUMIFS('Detailed Budget'!$BP$5:$BP$1005,'Detailed Budget'!$L$5:$L$1005,$B72,'Detailed Budget'!$L$5:$L$1005,"&gt;0"),"")</f>
        <v/>
      </c>
      <c r="U72" s="44" t="str">
        <f>IF(SUMIFS('Detailed Budget'!$BR$5:$BR$1005,'Detailed Budget'!$L$5:$L$1005,$B72,'Detailed Budget'!$L$5:$L$1005,"&gt;0")&gt;0,SUMIFS('Detailed Budget'!$BR$5:$BR$1005,'Detailed Budget'!$L$5:$L$1005,$B72,'Detailed Budget'!$L$5:$L$1005,"&gt;0"),"")</f>
        <v/>
      </c>
      <c r="V72" s="44" t="str">
        <f>IF(SUMIFS('Detailed Budget'!$BT$5:$BT$1005,'Detailed Budget'!$L$5:$L$1005,$B72,'Detailed Budget'!$L$5:$L$1005,"&gt;0")&gt;0,SUMIFS('Detailed Budget'!$BT$5:$BT$1005,'Detailed Budget'!$L$5:$L$1005,$B72,'Detailed Budget'!$L$5:$L$1005,"&gt;0"),"")</f>
        <v/>
      </c>
      <c r="W72" s="45" t="str">
        <f>IF(SUMIFS('Detailed Budget'!$BV$5:$BV$1005,'Detailed Budget'!$L$5:$L$1005,$B72,'Detailed Budget'!$L$5:$L$1005,"&gt;0")&gt;0,SUMIFS('Detailed Budget'!$BV$5:$BV$1005,'Detailed Budget'!$L$5:$L$1005,$B72,'Detailed Budget'!$L$5:$L$1005,"&gt;0"),"")</f>
        <v/>
      </c>
      <c r="X72" s="44" t="str">
        <f t="shared" si="2"/>
        <v/>
      </c>
      <c r="Y72" s="124" t="str">
        <f t="shared" si="3"/>
        <v/>
      </c>
    </row>
    <row r="73" spans="1:25" hidden="1" x14ac:dyDescent="0.25">
      <c r="A73" s="35"/>
      <c r="B73" s="234" t="str">
        <f t="array" ref="B73">IFERROR(INDEX(CostInpNoList,MATCH(0,IF(ISBLANK(CostInpNoList),"",COUNTIF(B$16:B72,CostInpNoList)),0)),"")</f>
        <v/>
      </c>
      <c r="C73" s="372" t="str">
        <f>IFERROR(INDEX('Data Sheet'!$F$198:$F$275,MATCH(B73,'Data Sheet'!$G$198:$G$275,0)),"")</f>
        <v/>
      </c>
      <c r="D73" s="44" t="str">
        <f>IF(SUMIFS('Detailed Budget'!$AA$5:$AA$1005,'Detailed Budget'!$L$5:$L$1005,$B73,'Detailed Budget'!$L$5:$L$1005,"&gt;0")&gt;0,SUMIFS('Detailed Budget'!$AA$5:$AA$1005,'Detailed Budget'!$L$5:$L$1005,$B73,'Detailed Budget'!$L$5:$L$1005,"&gt;0"),"")</f>
        <v/>
      </c>
      <c r="E73" s="44" t="str">
        <f>IF(SUMIFS('Detailed Budget'!$AC$5:$AC$1005,'Detailed Budget'!$L$5:$L$1005,$B73,'Detailed Budget'!$L$5:$L$1005,"&gt;0")&gt;0,SUMIFS('Detailed Budget'!$AC$5:$AC$1005,'Detailed Budget'!$L$5:$L$1005,$B73,'Detailed Budget'!$L$5:$L$1005,"&gt;0"),"")</f>
        <v/>
      </c>
      <c r="F73" s="44" t="str">
        <f>IF(SUMIFS('Detailed Budget'!$AE$5:$AE$1005,'Detailed Budget'!$L$5:$L$1005,$B73,'Detailed Budget'!$L$5:$L$1005,"&gt;0")&gt;0,SUMIFS('Detailed Budget'!$AE$5:$AE$1005,'Detailed Budget'!$L$5:$L$1005,$B73,'Detailed Budget'!$L$5:$L$1005,"&gt;0"),"")</f>
        <v/>
      </c>
      <c r="G73" s="44" t="str">
        <f>IF(SUMIFS('Detailed Budget'!$AG$5:$AG$1005,'Detailed Budget'!$L$5:$L$1005,$B73,'Detailed Budget'!$L$5:$L$1005,"&gt;0")&gt;0,SUMIFS('Detailed Budget'!$AG$5:$AG$1005,'Detailed Budget'!$L$5:$L$1005,$B73,'Detailed Budget'!$L$5:$L$1005,"&gt;0"),"")</f>
        <v/>
      </c>
      <c r="H73" s="45" t="str">
        <f>IF(SUMIFS('Detailed Budget'!$AI$5:$AI$1005,'Detailed Budget'!$L$5:$L$1005,$B73,'Detailed Budget'!$L$5:$L$1005,"&gt;0")&gt;0,SUMIFS('Detailed Budget'!$AI$5:$AI$1005,'Detailed Budget'!$L$5:$L$1005,$B73,'Detailed Budget'!$L$5:$L$1005,"&gt;0"),"")</f>
        <v/>
      </c>
      <c r="I73" s="44" t="str">
        <f>IF(SUMIFS('Detailed Budget'!$AN$5:$AN$1005,'Detailed Budget'!$L$5:$L$1005,$B73,'Detailed Budget'!$L$5:$L$1005,"&gt;0")&gt;0,SUMIFS('Detailed Budget'!$AN$5:$AN$1005,'Detailed Budget'!$L$5:$L$1005,$B73,'Detailed Budget'!$L$5:$L$1005,"&gt;0"),"")</f>
        <v/>
      </c>
      <c r="J73" s="44" t="str">
        <f>IF(SUMIFS('Detailed Budget'!$AP$5:$AP$1005,'Detailed Budget'!$L$5:$L$1005,$B73,'Detailed Budget'!$L$5:$L$1005,"&gt;0")&gt;0,SUMIFS('Detailed Budget'!$AP$5:$AP$1005,'Detailed Budget'!$L$5:$L$1005,$B73,'Detailed Budget'!$L$5:$L$1005,"&gt;0"),"")</f>
        <v/>
      </c>
      <c r="K73" s="44" t="str">
        <f>IF(SUMIFS('Detailed Budget'!$AR$5:$AR$1005,'Detailed Budget'!$L$5:$L$1005,$B73,'Detailed Budget'!$L$5:$L$1005,"&gt;0")&gt;0,SUMIFS('Detailed Budget'!$AR$5:$AR$1005,'Detailed Budget'!$L$5:$L$1005,$B73,'Detailed Budget'!$L$5:$L$1005,"&gt;0"),"")</f>
        <v/>
      </c>
      <c r="L73" s="44" t="str">
        <f>IF(SUMIFS('Detailed Budget'!$AT$5:$AT$1005,'Detailed Budget'!$L$5:$L$1005,$B73,'Detailed Budget'!$L$5:$L$1005,"&gt;0")&gt;0,SUMIFS('Detailed Budget'!$AT$5:$AT$1005,'Detailed Budget'!$L$5:$L$1005,$B73,'Detailed Budget'!$L$5:$L$1005,"&gt;0"),"")</f>
        <v/>
      </c>
      <c r="M73" s="45" t="str">
        <f>IF(SUMIFS('Detailed Budget'!$AV$5:$AV$1005,'Detailed Budget'!$L$5:$L$1005,$B73,'Detailed Budget'!$L$5:$L$1005,"&gt;0")&gt;0,SUMIFS('Detailed Budget'!$AV$5:$AV$1005,'Detailed Budget'!$L$5:$L$1005,$B73,'Detailed Budget'!$L$5:$L$1005,"&gt;0"),"")</f>
        <v/>
      </c>
      <c r="N73" s="44" t="str">
        <f>IF(SUMIFS('Detailed Budget'!$BA$5:$BA$1005,'Detailed Budget'!$L$5:$L$1005,$B73,'Detailed Budget'!$L$5:$L$1005,"&gt;0")&gt;0,SUMIFS('Detailed Budget'!$BA$5:$BA$1005,'Detailed Budget'!$L$5:$L$1005,$B73,'Detailed Budget'!$L$5:$L$1005,"&gt;0"),"")</f>
        <v/>
      </c>
      <c r="O73" s="44" t="str">
        <f>IF(SUMIFS('Detailed Budget'!$BC$5:$BC$1005,'Detailed Budget'!$L$5:$L$1005,$B73,'Detailed Budget'!$L$5:$L$1005,"&gt;0")&gt;0,SUMIFS('Detailed Budget'!$BC$5:$BC$1005,'Detailed Budget'!$L$5:$L$1005,$B73,'Detailed Budget'!$L$5:$L$1005,"&gt;0"),"")</f>
        <v/>
      </c>
      <c r="P73" s="44" t="str">
        <f>IF(SUMIFS('Detailed Budget'!$BE$5:$BE$1005,'Detailed Budget'!$L$5:$L$1005,$B73,'Detailed Budget'!$L$5:$L$1005,"&gt;0")&gt;0,SUMIFS('Detailed Budget'!$BE$5:$BE$1005,'Detailed Budget'!$L$5:$L$1005,$B73,'Detailed Budget'!$L$5:$L$1005,"&gt;0"),"")</f>
        <v/>
      </c>
      <c r="Q73" s="44" t="str">
        <f>IF(SUMIFS('Detailed Budget'!$BG$5:$BG$1005,'Detailed Budget'!$L$5:$L$1005,$B73,'Detailed Budget'!$L$5:$L$1005,"&gt;0")&gt;0,SUMIFS('Detailed Budget'!$BG$5:$BG$1005,'Detailed Budget'!$L$5:$L$1005,$B73,'Detailed Budget'!$L$5:$L$1005,"&gt;0"),"")</f>
        <v/>
      </c>
      <c r="R73" s="45" t="str">
        <f>IF(SUMIFS('Detailed Budget'!$BI$5:$BI$1005,'Detailed Budget'!$L$5:$L$1005,$B73,'Detailed Budget'!$L$5:$L$1005,"&gt;0")&gt;0,SUMIFS('Detailed Budget'!$BI$5:$BI$1005,'Detailed Budget'!$L$5:$L$1005,$B73,'Detailed Budget'!$L$5:$L$1005,"&gt;0"),"")</f>
        <v/>
      </c>
      <c r="S73" s="44" t="str">
        <f>IF(SUMIFS('Detailed Budget'!$BN$5:$BN$1005,'Detailed Budget'!$L$5:$L$1005,$B73,'Detailed Budget'!$L$5:$L$1005,"&gt;0")&gt;0,SUMIFS('Detailed Budget'!$BN$5:$BN$1005,'Detailed Budget'!$L$5:$L$1005,$B73,'Detailed Budget'!$L$5:$L$1005,"&gt;0"),"")</f>
        <v/>
      </c>
      <c r="T73" s="44" t="str">
        <f>IF(SUMIFS('Detailed Budget'!$BP$5:$BP$1005,'Detailed Budget'!$L$5:$L$1005,$B73,'Detailed Budget'!$L$5:$L$1005,"&gt;0")&gt;0,SUMIFS('Detailed Budget'!$BP$5:$BP$1005,'Detailed Budget'!$L$5:$L$1005,$B73,'Detailed Budget'!$L$5:$L$1005,"&gt;0"),"")</f>
        <v/>
      </c>
      <c r="U73" s="44" t="str">
        <f>IF(SUMIFS('Detailed Budget'!$BR$5:$BR$1005,'Detailed Budget'!$L$5:$L$1005,$B73,'Detailed Budget'!$L$5:$L$1005,"&gt;0")&gt;0,SUMIFS('Detailed Budget'!$BR$5:$BR$1005,'Detailed Budget'!$L$5:$L$1005,$B73,'Detailed Budget'!$L$5:$L$1005,"&gt;0"),"")</f>
        <v/>
      </c>
      <c r="V73" s="44" t="str">
        <f>IF(SUMIFS('Detailed Budget'!$BT$5:$BT$1005,'Detailed Budget'!$L$5:$L$1005,$B73,'Detailed Budget'!$L$5:$L$1005,"&gt;0")&gt;0,SUMIFS('Detailed Budget'!$BT$5:$BT$1005,'Detailed Budget'!$L$5:$L$1005,$B73,'Detailed Budget'!$L$5:$L$1005,"&gt;0"),"")</f>
        <v/>
      </c>
      <c r="W73" s="45" t="str">
        <f>IF(SUMIFS('Detailed Budget'!$BV$5:$BV$1005,'Detailed Budget'!$L$5:$L$1005,$B73,'Detailed Budget'!$L$5:$L$1005,"&gt;0")&gt;0,SUMIFS('Detailed Budget'!$BV$5:$BV$1005,'Detailed Budget'!$L$5:$L$1005,$B73,'Detailed Budget'!$L$5:$L$1005,"&gt;0"),"")</f>
        <v/>
      </c>
      <c r="X73" s="44" t="str">
        <f t="shared" si="2"/>
        <v/>
      </c>
      <c r="Y73" s="124" t="str">
        <f t="shared" si="3"/>
        <v/>
      </c>
    </row>
    <row r="74" spans="1:25" hidden="1" x14ac:dyDescent="0.25">
      <c r="A74" s="35"/>
      <c r="B74" s="234" t="str">
        <f t="array" ref="B74">IFERROR(INDEX(CostInpNoList,MATCH(0,IF(ISBLANK(CostInpNoList),"",COUNTIF(B$16:B73,CostInpNoList)),0)),"")</f>
        <v/>
      </c>
      <c r="C74" s="372" t="str">
        <f>IFERROR(INDEX('Data Sheet'!$F$198:$F$275,MATCH(B74,'Data Sheet'!$G$198:$G$275,0)),"")</f>
        <v/>
      </c>
      <c r="D74" s="44" t="str">
        <f>IF(SUMIFS('Detailed Budget'!$AA$5:$AA$1005,'Detailed Budget'!$L$5:$L$1005,$B74,'Detailed Budget'!$L$5:$L$1005,"&gt;0")&gt;0,SUMIFS('Detailed Budget'!$AA$5:$AA$1005,'Detailed Budget'!$L$5:$L$1005,$B74,'Detailed Budget'!$L$5:$L$1005,"&gt;0"),"")</f>
        <v/>
      </c>
      <c r="E74" s="44" t="str">
        <f>IF(SUMIFS('Detailed Budget'!$AC$5:$AC$1005,'Detailed Budget'!$L$5:$L$1005,$B74,'Detailed Budget'!$L$5:$L$1005,"&gt;0")&gt;0,SUMIFS('Detailed Budget'!$AC$5:$AC$1005,'Detailed Budget'!$L$5:$L$1005,$B74,'Detailed Budget'!$L$5:$L$1005,"&gt;0"),"")</f>
        <v/>
      </c>
      <c r="F74" s="44" t="str">
        <f>IF(SUMIFS('Detailed Budget'!$AE$5:$AE$1005,'Detailed Budget'!$L$5:$L$1005,$B74,'Detailed Budget'!$L$5:$L$1005,"&gt;0")&gt;0,SUMIFS('Detailed Budget'!$AE$5:$AE$1005,'Detailed Budget'!$L$5:$L$1005,$B74,'Detailed Budget'!$L$5:$L$1005,"&gt;0"),"")</f>
        <v/>
      </c>
      <c r="G74" s="44" t="str">
        <f>IF(SUMIFS('Detailed Budget'!$AG$5:$AG$1005,'Detailed Budget'!$L$5:$L$1005,$B74,'Detailed Budget'!$L$5:$L$1005,"&gt;0")&gt;0,SUMIFS('Detailed Budget'!$AG$5:$AG$1005,'Detailed Budget'!$L$5:$L$1005,$B74,'Detailed Budget'!$L$5:$L$1005,"&gt;0"),"")</f>
        <v/>
      </c>
      <c r="H74" s="45" t="str">
        <f>IF(SUMIFS('Detailed Budget'!$AI$5:$AI$1005,'Detailed Budget'!$L$5:$L$1005,$B74,'Detailed Budget'!$L$5:$L$1005,"&gt;0")&gt;0,SUMIFS('Detailed Budget'!$AI$5:$AI$1005,'Detailed Budget'!$L$5:$L$1005,$B74,'Detailed Budget'!$L$5:$L$1005,"&gt;0"),"")</f>
        <v/>
      </c>
      <c r="I74" s="44" t="str">
        <f>IF(SUMIFS('Detailed Budget'!$AN$5:$AN$1005,'Detailed Budget'!$L$5:$L$1005,$B74,'Detailed Budget'!$L$5:$L$1005,"&gt;0")&gt;0,SUMIFS('Detailed Budget'!$AN$5:$AN$1005,'Detailed Budget'!$L$5:$L$1005,$B74,'Detailed Budget'!$L$5:$L$1005,"&gt;0"),"")</f>
        <v/>
      </c>
      <c r="J74" s="44" t="str">
        <f>IF(SUMIFS('Detailed Budget'!$AP$5:$AP$1005,'Detailed Budget'!$L$5:$L$1005,$B74,'Detailed Budget'!$L$5:$L$1005,"&gt;0")&gt;0,SUMIFS('Detailed Budget'!$AP$5:$AP$1005,'Detailed Budget'!$L$5:$L$1005,$B74,'Detailed Budget'!$L$5:$L$1005,"&gt;0"),"")</f>
        <v/>
      </c>
      <c r="K74" s="44" t="str">
        <f>IF(SUMIFS('Detailed Budget'!$AR$5:$AR$1005,'Detailed Budget'!$L$5:$L$1005,$B74,'Detailed Budget'!$L$5:$L$1005,"&gt;0")&gt;0,SUMIFS('Detailed Budget'!$AR$5:$AR$1005,'Detailed Budget'!$L$5:$L$1005,$B74,'Detailed Budget'!$L$5:$L$1005,"&gt;0"),"")</f>
        <v/>
      </c>
      <c r="L74" s="44" t="str">
        <f>IF(SUMIFS('Detailed Budget'!$AT$5:$AT$1005,'Detailed Budget'!$L$5:$L$1005,$B74,'Detailed Budget'!$L$5:$L$1005,"&gt;0")&gt;0,SUMIFS('Detailed Budget'!$AT$5:$AT$1005,'Detailed Budget'!$L$5:$L$1005,$B74,'Detailed Budget'!$L$5:$L$1005,"&gt;0"),"")</f>
        <v/>
      </c>
      <c r="M74" s="45" t="str">
        <f>IF(SUMIFS('Detailed Budget'!$AV$5:$AV$1005,'Detailed Budget'!$L$5:$L$1005,$B74,'Detailed Budget'!$L$5:$L$1005,"&gt;0")&gt;0,SUMIFS('Detailed Budget'!$AV$5:$AV$1005,'Detailed Budget'!$L$5:$L$1005,$B74,'Detailed Budget'!$L$5:$L$1005,"&gt;0"),"")</f>
        <v/>
      </c>
      <c r="N74" s="44" t="str">
        <f>IF(SUMIFS('Detailed Budget'!$BA$5:$BA$1005,'Detailed Budget'!$L$5:$L$1005,$B74,'Detailed Budget'!$L$5:$L$1005,"&gt;0")&gt;0,SUMIFS('Detailed Budget'!$BA$5:$BA$1005,'Detailed Budget'!$L$5:$L$1005,$B74,'Detailed Budget'!$L$5:$L$1005,"&gt;0"),"")</f>
        <v/>
      </c>
      <c r="O74" s="44" t="str">
        <f>IF(SUMIFS('Detailed Budget'!$BC$5:$BC$1005,'Detailed Budget'!$L$5:$L$1005,$B74,'Detailed Budget'!$L$5:$L$1005,"&gt;0")&gt;0,SUMIFS('Detailed Budget'!$BC$5:$BC$1005,'Detailed Budget'!$L$5:$L$1005,$B74,'Detailed Budget'!$L$5:$L$1005,"&gt;0"),"")</f>
        <v/>
      </c>
      <c r="P74" s="44" t="str">
        <f>IF(SUMIFS('Detailed Budget'!$BE$5:$BE$1005,'Detailed Budget'!$L$5:$L$1005,$B74,'Detailed Budget'!$L$5:$L$1005,"&gt;0")&gt;0,SUMIFS('Detailed Budget'!$BE$5:$BE$1005,'Detailed Budget'!$L$5:$L$1005,$B74,'Detailed Budget'!$L$5:$L$1005,"&gt;0"),"")</f>
        <v/>
      </c>
      <c r="Q74" s="44" t="str">
        <f>IF(SUMIFS('Detailed Budget'!$BG$5:$BG$1005,'Detailed Budget'!$L$5:$L$1005,$B74,'Detailed Budget'!$L$5:$L$1005,"&gt;0")&gt;0,SUMIFS('Detailed Budget'!$BG$5:$BG$1005,'Detailed Budget'!$L$5:$L$1005,$B74,'Detailed Budget'!$L$5:$L$1005,"&gt;0"),"")</f>
        <v/>
      </c>
      <c r="R74" s="45" t="str">
        <f>IF(SUMIFS('Detailed Budget'!$BI$5:$BI$1005,'Detailed Budget'!$L$5:$L$1005,$B74,'Detailed Budget'!$L$5:$L$1005,"&gt;0")&gt;0,SUMIFS('Detailed Budget'!$BI$5:$BI$1005,'Detailed Budget'!$L$5:$L$1005,$B74,'Detailed Budget'!$L$5:$L$1005,"&gt;0"),"")</f>
        <v/>
      </c>
      <c r="S74" s="44" t="str">
        <f>IF(SUMIFS('Detailed Budget'!$BN$5:$BN$1005,'Detailed Budget'!$L$5:$L$1005,$B74,'Detailed Budget'!$L$5:$L$1005,"&gt;0")&gt;0,SUMIFS('Detailed Budget'!$BN$5:$BN$1005,'Detailed Budget'!$L$5:$L$1005,$B74,'Detailed Budget'!$L$5:$L$1005,"&gt;0"),"")</f>
        <v/>
      </c>
      <c r="T74" s="44" t="str">
        <f>IF(SUMIFS('Detailed Budget'!$BP$5:$BP$1005,'Detailed Budget'!$L$5:$L$1005,$B74,'Detailed Budget'!$L$5:$L$1005,"&gt;0")&gt;0,SUMIFS('Detailed Budget'!$BP$5:$BP$1005,'Detailed Budget'!$L$5:$L$1005,$B74,'Detailed Budget'!$L$5:$L$1005,"&gt;0"),"")</f>
        <v/>
      </c>
      <c r="U74" s="44" t="str">
        <f>IF(SUMIFS('Detailed Budget'!$BR$5:$BR$1005,'Detailed Budget'!$L$5:$L$1005,$B74,'Detailed Budget'!$L$5:$L$1005,"&gt;0")&gt;0,SUMIFS('Detailed Budget'!$BR$5:$BR$1005,'Detailed Budget'!$L$5:$L$1005,$B74,'Detailed Budget'!$L$5:$L$1005,"&gt;0"),"")</f>
        <v/>
      </c>
      <c r="V74" s="44" t="str">
        <f>IF(SUMIFS('Detailed Budget'!$BT$5:$BT$1005,'Detailed Budget'!$L$5:$L$1005,$B74,'Detailed Budget'!$L$5:$L$1005,"&gt;0")&gt;0,SUMIFS('Detailed Budget'!$BT$5:$BT$1005,'Detailed Budget'!$L$5:$L$1005,$B74,'Detailed Budget'!$L$5:$L$1005,"&gt;0"),"")</f>
        <v/>
      </c>
      <c r="W74" s="45" t="str">
        <f>IF(SUMIFS('Detailed Budget'!$BV$5:$BV$1005,'Detailed Budget'!$L$5:$L$1005,$B74,'Detailed Budget'!$L$5:$L$1005,"&gt;0")&gt;0,SUMIFS('Detailed Budget'!$BV$5:$BV$1005,'Detailed Budget'!$L$5:$L$1005,$B74,'Detailed Budget'!$L$5:$L$1005,"&gt;0"),"")</f>
        <v/>
      </c>
      <c r="X74" s="44" t="str">
        <f t="shared" si="2"/>
        <v/>
      </c>
      <c r="Y74" s="124" t="str">
        <f t="shared" si="3"/>
        <v/>
      </c>
    </row>
    <row r="75" spans="1:25" hidden="1" x14ac:dyDescent="0.25">
      <c r="A75" s="35"/>
      <c r="B75" s="234" t="str">
        <f t="array" ref="B75">IFERROR(INDEX(CostInpNoList,MATCH(0,IF(ISBLANK(CostInpNoList),"",COUNTIF(B$16:B74,CostInpNoList)),0)),"")</f>
        <v/>
      </c>
      <c r="C75" s="372" t="str">
        <f>IFERROR(INDEX('Data Sheet'!$F$198:$F$275,MATCH(B75,'Data Sheet'!$G$198:$G$275,0)),"")</f>
        <v/>
      </c>
      <c r="D75" s="44" t="str">
        <f>IF(SUMIFS('Detailed Budget'!$AA$5:$AA$1005,'Detailed Budget'!$L$5:$L$1005,$B75,'Detailed Budget'!$L$5:$L$1005,"&gt;0")&gt;0,SUMIFS('Detailed Budget'!$AA$5:$AA$1005,'Detailed Budget'!$L$5:$L$1005,$B75,'Detailed Budget'!$L$5:$L$1005,"&gt;0"),"")</f>
        <v/>
      </c>
      <c r="E75" s="44" t="str">
        <f>IF(SUMIFS('Detailed Budget'!$AC$5:$AC$1005,'Detailed Budget'!$L$5:$L$1005,$B75,'Detailed Budget'!$L$5:$L$1005,"&gt;0")&gt;0,SUMIFS('Detailed Budget'!$AC$5:$AC$1005,'Detailed Budget'!$L$5:$L$1005,$B75,'Detailed Budget'!$L$5:$L$1005,"&gt;0"),"")</f>
        <v/>
      </c>
      <c r="F75" s="44" t="str">
        <f>IF(SUMIFS('Detailed Budget'!$AE$5:$AE$1005,'Detailed Budget'!$L$5:$L$1005,$B75,'Detailed Budget'!$L$5:$L$1005,"&gt;0")&gt;0,SUMIFS('Detailed Budget'!$AE$5:$AE$1005,'Detailed Budget'!$L$5:$L$1005,$B75,'Detailed Budget'!$L$5:$L$1005,"&gt;0"),"")</f>
        <v/>
      </c>
      <c r="G75" s="44" t="str">
        <f>IF(SUMIFS('Detailed Budget'!$AG$5:$AG$1005,'Detailed Budget'!$L$5:$L$1005,$B75,'Detailed Budget'!$L$5:$L$1005,"&gt;0")&gt;0,SUMIFS('Detailed Budget'!$AG$5:$AG$1005,'Detailed Budget'!$L$5:$L$1005,$B75,'Detailed Budget'!$L$5:$L$1005,"&gt;0"),"")</f>
        <v/>
      </c>
      <c r="H75" s="45" t="str">
        <f>IF(SUMIFS('Detailed Budget'!$AI$5:$AI$1005,'Detailed Budget'!$L$5:$L$1005,$B75,'Detailed Budget'!$L$5:$L$1005,"&gt;0")&gt;0,SUMIFS('Detailed Budget'!$AI$5:$AI$1005,'Detailed Budget'!$L$5:$L$1005,$B75,'Detailed Budget'!$L$5:$L$1005,"&gt;0"),"")</f>
        <v/>
      </c>
      <c r="I75" s="44" t="str">
        <f>IF(SUMIFS('Detailed Budget'!$AN$5:$AN$1005,'Detailed Budget'!$L$5:$L$1005,$B75,'Detailed Budget'!$L$5:$L$1005,"&gt;0")&gt;0,SUMIFS('Detailed Budget'!$AN$5:$AN$1005,'Detailed Budget'!$L$5:$L$1005,$B75,'Detailed Budget'!$L$5:$L$1005,"&gt;0"),"")</f>
        <v/>
      </c>
      <c r="J75" s="44" t="str">
        <f>IF(SUMIFS('Detailed Budget'!$AP$5:$AP$1005,'Detailed Budget'!$L$5:$L$1005,$B75,'Detailed Budget'!$L$5:$L$1005,"&gt;0")&gt;0,SUMIFS('Detailed Budget'!$AP$5:$AP$1005,'Detailed Budget'!$L$5:$L$1005,$B75,'Detailed Budget'!$L$5:$L$1005,"&gt;0"),"")</f>
        <v/>
      </c>
      <c r="K75" s="44" t="str">
        <f>IF(SUMIFS('Detailed Budget'!$AR$5:$AR$1005,'Detailed Budget'!$L$5:$L$1005,$B75,'Detailed Budget'!$L$5:$L$1005,"&gt;0")&gt;0,SUMIFS('Detailed Budget'!$AR$5:$AR$1005,'Detailed Budget'!$L$5:$L$1005,$B75,'Detailed Budget'!$L$5:$L$1005,"&gt;0"),"")</f>
        <v/>
      </c>
      <c r="L75" s="44" t="str">
        <f>IF(SUMIFS('Detailed Budget'!$AT$5:$AT$1005,'Detailed Budget'!$L$5:$L$1005,$B75,'Detailed Budget'!$L$5:$L$1005,"&gt;0")&gt;0,SUMIFS('Detailed Budget'!$AT$5:$AT$1005,'Detailed Budget'!$L$5:$L$1005,$B75,'Detailed Budget'!$L$5:$L$1005,"&gt;0"),"")</f>
        <v/>
      </c>
      <c r="M75" s="45" t="str">
        <f>IF(SUMIFS('Detailed Budget'!$AV$5:$AV$1005,'Detailed Budget'!$L$5:$L$1005,$B75,'Detailed Budget'!$L$5:$L$1005,"&gt;0")&gt;0,SUMIFS('Detailed Budget'!$AV$5:$AV$1005,'Detailed Budget'!$L$5:$L$1005,$B75,'Detailed Budget'!$L$5:$L$1005,"&gt;0"),"")</f>
        <v/>
      </c>
      <c r="N75" s="44" t="str">
        <f>IF(SUMIFS('Detailed Budget'!$BA$5:$BA$1005,'Detailed Budget'!$L$5:$L$1005,$B75,'Detailed Budget'!$L$5:$L$1005,"&gt;0")&gt;0,SUMIFS('Detailed Budget'!$BA$5:$BA$1005,'Detailed Budget'!$L$5:$L$1005,$B75,'Detailed Budget'!$L$5:$L$1005,"&gt;0"),"")</f>
        <v/>
      </c>
      <c r="O75" s="44" t="str">
        <f>IF(SUMIFS('Detailed Budget'!$BC$5:$BC$1005,'Detailed Budget'!$L$5:$L$1005,$B75,'Detailed Budget'!$L$5:$L$1005,"&gt;0")&gt;0,SUMIFS('Detailed Budget'!$BC$5:$BC$1005,'Detailed Budget'!$L$5:$L$1005,$B75,'Detailed Budget'!$L$5:$L$1005,"&gt;0"),"")</f>
        <v/>
      </c>
      <c r="P75" s="44" t="str">
        <f>IF(SUMIFS('Detailed Budget'!$BE$5:$BE$1005,'Detailed Budget'!$L$5:$L$1005,$B75,'Detailed Budget'!$L$5:$L$1005,"&gt;0")&gt;0,SUMIFS('Detailed Budget'!$BE$5:$BE$1005,'Detailed Budget'!$L$5:$L$1005,$B75,'Detailed Budget'!$L$5:$L$1005,"&gt;0"),"")</f>
        <v/>
      </c>
      <c r="Q75" s="44" t="str">
        <f>IF(SUMIFS('Detailed Budget'!$BG$5:$BG$1005,'Detailed Budget'!$L$5:$L$1005,$B75,'Detailed Budget'!$L$5:$L$1005,"&gt;0")&gt;0,SUMIFS('Detailed Budget'!$BG$5:$BG$1005,'Detailed Budget'!$L$5:$L$1005,$B75,'Detailed Budget'!$L$5:$L$1005,"&gt;0"),"")</f>
        <v/>
      </c>
      <c r="R75" s="45" t="str">
        <f>IF(SUMIFS('Detailed Budget'!$BI$5:$BI$1005,'Detailed Budget'!$L$5:$L$1005,$B75,'Detailed Budget'!$L$5:$L$1005,"&gt;0")&gt;0,SUMIFS('Detailed Budget'!$BI$5:$BI$1005,'Detailed Budget'!$L$5:$L$1005,$B75,'Detailed Budget'!$L$5:$L$1005,"&gt;0"),"")</f>
        <v/>
      </c>
      <c r="S75" s="44" t="str">
        <f>IF(SUMIFS('Detailed Budget'!$BN$5:$BN$1005,'Detailed Budget'!$L$5:$L$1005,$B75,'Detailed Budget'!$L$5:$L$1005,"&gt;0")&gt;0,SUMIFS('Detailed Budget'!$BN$5:$BN$1005,'Detailed Budget'!$L$5:$L$1005,$B75,'Detailed Budget'!$L$5:$L$1005,"&gt;0"),"")</f>
        <v/>
      </c>
      <c r="T75" s="44" t="str">
        <f>IF(SUMIFS('Detailed Budget'!$BP$5:$BP$1005,'Detailed Budget'!$L$5:$L$1005,$B75,'Detailed Budget'!$L$5:$L$1005,"&gt;0")&gt;0,SUMIFS('Detailed Budget'!$BP$5:$BP$1005,'Detailed Budget'!$L$5:$L$1005,$B75,'Detailed Budget'!$L$5:$L$1005,"&gt;0"),"")</f>
        <v/>
      </c>
      <c r="U75" s="44" t="str">
        <f>IF(SUMIFS('Detailed Budget'!$BR$5:$BR$1005,'Detailed Budget'!$L$5:$L$1005,$B75,'Detailed Budget'!$L$5:$L$1005,"&gt;0")&gt;0,SUMIFS('Detailed Budget'!$BR$5:$BR$1005,'Detailed Budget'!$L$5:$L$1005,$B75,'Detailed Budget'!$L$5:$L$1005,"&gt;0"),"")</f>
        <v/>
      </c>
      <c r="V75" s="44" t="str">
        <f>IF(SUMIFS('Detailed Budget'!$BT$5:$BT$1005,'Detailed Budget'!$L$5:$L$1005,$B75,'Detailed Budget'!$L$5:$L$1005,"&gt;0")&gt;0,SUMIFS('Detailed Budget'!$BT$5:$BT$1005,'Detailed Budget'!$L$5:$L$1005,$B75,'Detailed Budget'!$L$5:$L$1005,"&gt;0"),"")</f>
        <v/>
      </c>
      <c r="W75" s="45" t="str">
        <f>IF(SUMIFS('Detailed Budget'!$BV$5:$BV$1005,'Detailed Budget'!$L$5:$L$1005,$B75,'Detailed Budget'!$L$5:$L$1005,"&gt;0")&gt;0,SUMIFS('Detailed Budget'!$BV$5:$BV$1005,'Detailed Budget'!$L$5:$L$1005,$B75,'Detailed Budget'!$L$5:$L$1005,"&gt;0"),"")</f>
        <v/>
      </c>
      <c r="X75" s="44" t="str">
        <f t="shared" si="2"/>
        <v/>
      </c>
      <c r="Y75" s="124" t="str">
        <f t="shared" si="3"/>
        <v/>
      </c>
    </row>
    <row r="76" spans="1:25" hidden="1" x14ac:dyDescent="0.25">
      <c r="A76" s="35"/>
      <c r="B76" s="234" t="str">
        <f t="array" ref="B76">IFERROR(INDEX(CostInpNoList,MATCH(0,IF(ISBLANK(CostInpNoList),"",COUNTIF(B$16:B75,CostInpNoList)),0)),"")</f>
        <v/>
      </c>
      <c r="C76" s="372" t="str">
        <f>IFERROR(INDEX('Data Sheet'!$F$198:$F$275,MATCH(B76,'Data Sheet'!$G$198:$G$275,0)),"")</f>
        <v/>
      </c>
      <c r="D76" s="44" t="str">
        <f>IF(SUMIFS('Detailed Budget'!$AA$5:$AA$1005,'Detailed Budget'!$L$5:$L$1005,$B76,'Detailed Budget'!$L$5:$L$1005,"&gt;0")&gt;0,SUMIFS('Detailed Budget'!$AA$5:$AA$1005,'Detailed Budget'!$L$5:$L$1005,$B76,'Detailed Budget'!$L$5:$L$1005,"&gt;0"),"")</f>
        <v/>
      </c>
      <c r="E76" s="44" t="str">
        <f>IF(SUMIFS('Detailed Budget'!$AC$5:$AC$1005,'Detailed Budget'!$L$5:$L$1005,$B76,'Detailed Budget'!$L$5:$L$1005,"&gt;0")&gt;0,SUMIFS('Detailed Budget'!$AC$5:$AC$1005,'Detailed Budget'!$L$5:$L$1005,$B76,'Detailed Budget'!$L$5:$L$1005,"&gt;0"),"")</f>
        <v/>
      </c>
      <c r="F76" s="44" t="str">
        <f>IF(SUMIFS('Detailed Budget'!$AE$5:$AE$1005,'Detailed Budget'!$L$5:$L$1005,$B76,'Detailed Budget'!$L$5:$L$1005,"&gt;0")&gt;0,SUMIFS('Detailed Budget'!$AE$5:$AE$1005,'Detailed Budget'!$L$5:$L$1005,$B76,'Detailed Budget'!$L$5:$L$1005,"&gt;0"),"")</f>
        <v/>
      </c>
      <c r="G76" s="44" t="str">
        <f>IF(SUMIFS('Detailed Budget'!$AG$5:$AG$1005,'Detailed Budget'!$L$5:$L$1005,$B76,'Detailed Budget'!$L$5:$L$1005,"&gt;0")&gt;0,SUMIFS('Detailed Budget'!$AG$5:$AG$1005,'Detailed Budget'!$L$5:$L$1005,$B76,'Detailed Budget'!$L$5:$L$1005,"&gt;0"),"")</f>
        <v/>
      </c>
      <c r="H76" s="45" t="str">
        <f>IF(SUMIFS('Detailed Budget'!$AI$5:$AI$1005,'Detailed Budget'!$L$5:$L$1005,$B76,'Detailed Budget'!$L$5:$L$1005,"&gt;0")&gt;0,SUMIFS('Detailed Budget'!$AI$5:$AI$1005,'Detailed Budget'!$L$5:$L$1005,$B76,'Detailed Budget'!$L$5:$L$1005,"&gt;0"),"")</f>
        <v/>
      </c>
      <c r="I76" s="44" t="str">
        <f>IF(SUMIFS('Detailed Budget'!$AN$5:$AN$1005,'Detailed Budget'!$L$5:$L$1005,$B76,'Detailed Budget'!$L$5:$L$1005,"&gt;0")&gt;0,SUMIFS('Detailed Budget'!$AN$5:$AN$1005,'Detailed Budget'!$L$5:$L$1005,$B76,'Detailed Budget'!$L$5:$L$1005,"&gt;0"),"")</f>
        <v/>
      </c>
      <c r="J76" s="44" t="str">
        <f>IF(SUMIFS('Detailed Budget'!$AP$5:$AP$1005,'Detailed Budget'!$L$5:$L$1005,$B76,'Detailed Budget'!$L$5:$L$1005,"&gt;0")&gt;0,SUMIFS('Detailed Budget'!$AP$5:$AP$1005,'Detailed Budget'!$L$5:$L$1005,$B76,'Detailed Budget'!$L$5:$L$1005,"&gt;0"),"")</f>
        <v/>
      </c>
      <c r="K76" s="44" t="str">
        <f>IF(SUMIFS('Detailed Budget'!$AR$5:$AR$1005,'Detailed Budget'!$L$5:$L$1005,$B76,'Detailed Budget'!$L$5:$L$1005,"&gt;0")&gt;0,SUMIFS('Detailed Budget'!$AR$5:$AR$1005,'Detailed Budget'!$L$5:$L$1005,$B76,'Detailed Budget'!$L$5:$L$1005,"&gt;0"),"")</f>
        <v/>
      </c>
      <c r="L76" s="44" t="str">
        <f>IF(SUMIFS('Detailed Budget'!$AT$5:$AT$1005,'Detailed Budget'!$L$5:$L$1005,$B76,'Detailed Budget'!$L$5:$L$1005,"&gt;0")&gt;0,SUMIFS('Detailed Budget'!$AT$5:$AT$1005,'Detailed Budget'!$L$5:$L$1005,$B76,'Detailed Budget'!$L$5:$L$1005,"&gt;0"),"")</f>
        <v/>
      </c>
      <c r="M76" s="45" t="str">
        <f>IF(SUMIFS('Detailed Budget'!$AV$5:$AV$1005,'Detailed Budget'!$L$5:$L$1005,$B76,'Detailed Budget'!$L$5:$L$1005,"&gt;0")&gt;0,SUMIFS('Detailed Budget'!$AV$5:$AV$1005,'Detailed Budget'!$L$5:$L$1005,$B76,'Detailed Budget'!$L$5:$L$1005,"&gt;0"),"")</f>
        <v/>
      </c>
      <c r="N76" s="44" t="str">
        <f>IF(SUMIFS('Detailed Budget'!$BA$5:$BA$1005,'Detailed Budget'!$L$5:$L$1005,$B76,'Detailed Budget'!$L$5:$L$1005,"&gt;0")&gt;0,SUMIFS('Detailed Budget'!$BA$5:$BA$1005,'Detailed Budget'!$L$5:$L$1005,$B76,'Detailed Budget'!$L$5:$L$1005,"&gt;0"),"")</f>
        <v/>
      </c>
      <c r="O76" s="44" t="str">
        <f>IF(SUMIFS('Detailed Budget'!$BC$5:$BC$1005,'Detailed Budget'!$L$5:$L$1005,$B76,'Detailed Budget'!$L$5:$L$1005,"&gt;0")&gt;0,SUMIFS('Detailed Budget'!$BC$5:$BC$1005,'Detailed Budget'!$L$5:$L$1005,$B76,'Detailed Budget'!$L$5:$L$1005,"&gt;0"),"")</f>
        <v/>
      </c>
      <c r="P76" s="44" t="str">
        <f>IF(SUMIFS('Detailed Budget'!$BE$5:$BE$1005,'Detailed Budget'!$L$5:$L$1005,$B76,'Detailed Budget'!$L$5:$L$1005,"&gt;0")&gt;0,SUMIFS('Detailed Budget'!$BE$5:$BE$1005,'Detailed Budget'!$L$5:$L$1005,$B76,'Detailed Budget'!$L$5:$L$1005,"&gt;0"),"")</f>
        <v/>
      </c>
      <c r="Q76" s="44" t="str">
        <f>IF(SUMIFS('Detailed Budget'!$BG$5:$BG$1005,'Detailed Budget'!$L$5:$L$1005,$B76,'Detailed Budget'!$L$5:$L$1005,"&gt;0")&gt;0,SUMIFS('Detailed Budget'!$BG$5:$BG$1005,'Detailed Budget'!$L$5:$L$1005,$B76,'Detailed Budget'!$L$5:$L$1005,"&gt;0"),"")</f>
        <v/>
      </c>
      <c r="R76" s="45" t="str">
        <f>IF(SUMIFS('Detailed Budget'!$BI$5:$BI$1005,'Detailed Budget'!$L$5:$L$1005,$B76,'Detailed Budget'!$L$5:$L$1005,"&gt;0")&gt;0,SUMIFS('Detailed Budget'!$BI$5:$BI$1005,'Detailed Budget'!$L$5:$L$1005,$B76,'Detailed Budget'!$L$5:$L$1005,"&gt;0"),"")</f>
        <v/>
      </c>
      <c r="S76" s="44" t="str">
        <f>IF(SUMIFS('Detailed Budget'!$BN$5:$BN$1005,'Detailed Budget'!$L$5:$L$1005,$B76,'Detailed Budget'!$L$5:$L$1005,"&gt;0")&gt;0,SUMIFS('Detailed Budget'!$BN$5:$BN$1005,'Detailed Budget'!$L$5:$L$1005,$B76,'Detailed Budget'!$L$5:$L$1005,"&gt;0"),"")</f>
        <v/>
      </c>
      <c r="T76" s="44" t="str">
        <f>IF(SUMIFS('Detailed Budget'!$BP$5:$BP$1005,'Detailed Budget'!$L$5:$L$1005,$B76,'Detailed Budget'!$L$5:$L$1005,"&gt;0")&gt;0,SUMIFS('Detailed Budget'!$BP$5:$BP$1005,'Detailed Budget'!$L$5:$L$1005,$B76,'Detailed Budget'!$L$5:$L$1005,"&gt;0"),"")</f>
        <v/>
      </c>
      <c r="U76" s="44" t="str">
        <f>IF(SUMIFS('Detailed Budget'!$BR$5:$BR$1005,'Detailed Budget'!$L$5:$L$1005,$B76,'Detailed Budget'!$L$5:$L$1005,"&gt;0")&gt;0,SUMIFS('Detailed Budget'!$BR$5:$BR$1005,'Detailed Budget'!$L$5:$L$1005,$B76,'Detailed Budget'!$L$5:$L$1005,"&gt;0"),"")</f>
        <v/>
      </c>
      <c r="V76" s="44" t="str">
        <f>IF(SUMIFS('Detailed Budget'!$BT$5:$BT$1005,'Detailed Budget'!$L$5:$L$1005,$B76,'Detailed Budget'!$L$5:$L$1005,"&gt;0")&gt;0,SUMIFS('Detailed Budget'!$BT$5:$BT$1005,'Detailed Budget'!$L$5:$L$1005,$B76,'Detailed Budget'!$L$5:$L$1005,"&gt;0"),"")</f>
        <v/>
      </c>
      <c r="W76" s="45" t="str">
        <f>IF(SUMIFS('Detailed Budget'!$BV$5:$BV$1005,'Detailed Budget'!$L$5:$L$1005,$B76,'Detailed Budget'!$L$5:$L$1005,"&gt;0")&gt;0,SUMIFS('Detailed Budget'!$BV$5:$BV$1005,'Detailed Budget'!$L$5:$L$1005,$B76,'Detailed Budget'!$L$5:$L$1005,"&gt;0"),"")</f>
        <v/>
      </c>
      <c r="X76" s="44" t="str">
        <f t="shared" si="2"/>
        <v/>
      </c>
      <c r="Y76" s="124" t="str">
        <f t="shared" si="3"/>
        <v/>
      </c>
    </row>
    <row r="77" spans="1:25" hidden="1" x14ac:dyDescent="0.25">
      <c r="A77" s="35"/>
      <c r="B77" s="234" t="str">
        <f t="array" ref="B77">IFERROR(INDEX(CostInpNoList,MATCH(0,IF(ISBLANK(CostInpNoList),"",COUNTIF(B$16:B76,CostInpNoList)),0)),"")</f>
        <v/>
      </c>
      <c r="C77" s="372" t="str">
        <f>IFERROR(INDEX('Data Sheet'!$F$198:$F$275,MATCH(B77,'Data Sheet'!$G$198:$G$275,0)),"")</f>
        <v/>
      </c>
      <c r="D77" s="44" t="str">
        <f>IF(SUMIFS('Detailed Budget'!$AA$5:$AA$1005,'Detailed Budget'!$L$5:$L$1005,$B77,'Detailed Budget'!$L$5:$L$1005,"&gt;0")&gt;0,SUMIFS('Detailed Budget'!$AA$5:$AA$1005,'Detailed Budget'!$L$5:$L$1005,$B77,'Detailed Budget'!$L$5:$L$1005,"&gt;0"),"")</f>
        <v/>
      </c>
      <c r="E77" s="44" t="str">
        <f>IF(SUMIFS('Detailed Budget'!$AC$5:$AC$1005,'Detailed Budget'!$L$5:$L$1005,$B77,'Detailed Budget'!$L$5:$L$1005,"&gt;0")&gt;0,SUMIFS('Detailed Budget'!$AC$5:$AC$1005,'Detailed Budget'!$L$5:$L$1005,$B77,'Detailed Budget'!$L$5:$L$1005,"&gt;0"),"")</f>
        <v/>
      </c>
      <c r="F77" s="44" t="str">
        <f>IF(SUMIFS('Detailed Budget'!$AE$5:$AE$1005,'Detailed Budget'!$L$5:$L$1005,$B77,'Detailed Budget'!$L$5:$L$1005,"&gt;0")&gt;0,SUMIFS('Detailed Budget'!$AE$5:$AE$1005,'Detailed Budget'!$L$5:$L$1005,$B77,'Detailed Budget'!$L$5:$L$1005,"&gt;0"),"")</f>
        <v/>
      </c>
      <c r="G77" s="44" t="str">
        <f>IF(SUMIFS('Detailed Budget'!$AG$5:$AG$1005,'Detailed Budget'!$L$5:$L$1005,$B77,'Detailed Budget'!$L$5:$L$1005,"&gt;0")&gt;0,SUMIFS('Detailed Budget'!$AG$5:$AG$1005,'Detailed Budget'!$L$5:$L$1005,$B77,'Detailed Budget'!$L$5:$L$1005,"&gt;0"),"")</f>
        <v/>
      </c>
      <c r="H77" s="45" t="str">
        <f>IF(SUMIFS('Detailed Budget'!$AI$5:$AI$1005,'Detailed Budget'!$L$5:$L$1005,$B77,'Detailed Budget'!$L$5:$L$1005,"&gt;0")&gt;0,SUMIFS('Detailed Budget'!$AI$5:$AI$1005,'Detailed Budget'!$L$5:$L$1005,$B77,'Detailed Budget'!$L$5:$L$1005,"&gt;0"),"")</f>
        <v/>
      </c>
      <c r="I77" s="44" t="str">
        <f>IF(SUMIFS('Detailed Budget'!$AN$5:$AN$1005,'Detailed Budget'!$L$5:$L$1005,$B77,'Detailed Budget'!$L$5:$L$1005,"&gt;0")&gt;0,SUMIFS('Detailed Budget'!$AN$5:$AN$1005,'Detailed Budget'!$L$5:$L$1005,$B77,'Detailed Budget'!$L$5:$L$1005,"&gt;0"),"")</f>
        <v/>
      </c>
      <c r="J77" s="44" t="str">
        <f>IF(SUMIFS('Detailed Budget'!$AP$5:$AP$1005,'Detailed Budget'!$L$5:$L$1005,$B77,'Detailed Budget'!$L$5:$L$1005,"&gt;0")&gt;0,SUMIFS('Detailed Budget'!$AP$5:$AP$1005,'Detailed Budget'!$L$5:$L$1005,$B77,'Detailed Budget'!$L$5:$L$1005,"&gt;0"),"")</f>
        <v/>
      </c>
      <c r="K77" s="44" t="str">
        <f>IF(SUMIFS('Detailed Budget'!$AR$5:$AR$1005,'Detailed Budget'!$L$5:$L$1005,$B77,'Detailed Budget'!$L$5:$L$1005,"&gt;0")&gt;0,SUMIFS('Detailed Budget'!$AR$5:$AR$1005,'Detailed Budget'!$L$5:$L$1005,$B77,'Detailed Budget'!$L$5:$L$1005,"&gt;0"),"")</f>
        <v/>
      </c>
      <c r="L77" s="44" t="str">
        <f>IF(SUMIFS('Detailed Budget'!$AT$5:$AT$1005,'Detailed Budget'!$L$5:$L$1005,$B77,'Detailed Budget'!$L$5:$L$1005,"&gt;0")&gt;0,SUMIFS('Detailed Budget'!$AT$5:$AT$1005,'Detailed Budget'!$L$5:$L$1005,$B77,'Detailed Budget'!$L$5:$L$1005,"&gt;0"),"")</f>
        <v/>
      </c>
      <c r="M77" s="45" t="str">
        <f>IF(SUMIFS('Detailed Budget'!$AV$5:$AV$1005,'Detailed Budget'!$L$5:$L$1005,$B77,'Detailed Budget'!$L$5:$L$1005,"&gt;0")&gt;0,SUMIFS('Detailed Budget'!$AV$5:$AV$1005,'Detailed Budget'!$L$5:$L$1005,$B77,'Detailed Budget'!$L$5:$L$1005,"&gt;0"),"")</f>
        <v/>
      </c>
      <c r="N77" s="44" t="str">
        <f>IF(SUMIFS('Detailed Budget'!$BA$5:$BA$1005,'Detailed Budget'!$L$5:$L$1005,$B77,'Detailed Budget'!$L$5:$L$1005,"&gt;0")&gt;0,SUMIFS('Detailed Budget'!$BA$5:$BA$1005,'Detailed Budget'!$L$5:$L$1005,$B77,'Detailed Budget'!$L$5:$L$1005,"&gt;0"),"")</f>
        <v/>
      </c>
      <c r="O77" s="44" t="str">
        <f>IF(SUMIFS('Detailed Budget'!$BC$5:$BC$1005,'Detailed Budget'!$L$5:$L$1005,$B77,'Detailed Budget'!$L$5:$L$1005,"&gt;0")&gt;0,SUMIFS('Detailed Budget'!$BC$5:$BC$1005,'Detailed Budget'!$L$5:$L$1005,$B77,'Detailed Budget'!$L$5:$L$1005,"&gt;0"),"")</f>
        <v/>
      </c>
      <c r="P77" s="44" t="str">
        <f>IF(SUMIFS('Detailed Budget'!$BE$5:$BE$1005,'Detailed Budget'!$L$5:$L$1005,$B77,'Detailed Budget'!$L$5:$L$1005,"&gt;0")&gt;0,SUMIFS('Detailed Budget'!$BE$5:$BE$1005,'Detailed Budget'!$L$5:$L$1005,$B77,'Detailed Budget'!$L$5:$L$1005,"&gt;0"),"")</f>
        <v/>
      </c>
      <c r="Q77" s="44" t="str">
        <f>IF(SUMIFS('Detailed Budget'!$BG$5:$BG$1005,'Detailed Budget'!$L$5:$L$1005,$B77,'Detailed Budget'!$L$5:$L$1005,"&gt;0")&gt;0,SUMIFS('Detailed Budget'!$BG$5:$BG$1005,'Detailed Budget'!$L$5:$L$1005,$B77,'Detailed Budget'!$L$5:$L$1005,"&gt;0"),"")</f>
        <v/>
      </c>
      <c r="R77" s="45" t="str">
        <f>IF(SUMIFS('Detailed Budget'!$BI$5:$BI$1005,'Detailed Budget'!$L$5:$L$1005,$B77,'Detailed Budget'!$L$5:$L$1005,"&gt;0")&gt;0,SUMIFS('Detailed Budget'!$BI$5:$BI$1005,'Detailed Budget'!$L$5:$L$1005,$B77,'Detailed Budget'!$L$5:$L$1005,"&gt;0"),"")</f>
        <v/>
      </c>
      <c r="S77" s="44" t="str">
        <f>IF(SUMIFS('Detailed Budget'!$BN$5:$BN$1005,'Detailed Budget'!$L$5:$L$1005,$B77,'Detailed Budget'!$L$5:$L$1005,"&gt;0")&gt;0,SUMIFS('Detailed Budget'!$BN$5:$BN$1005,'Detailed Budget'!$L$5:$L$1005,$B77,'Detailed Budget'!$L$5:$L$1005,"&gt;0"),"")</f>
        <v/>
      </c>
      <c r="T77" s="44" t="str">
        <f>IF(SUMIFS('Detailed Budget'!$BP$5:$BP$1005,'Detailed Budget'!$L$5:$L$1005,$B77,'Detailed Budget'!$L$5:$L$1005,"&gt;0")&gt;0,SUMIFS('Detailed Budget'!$BP$5:$BP$1005,'Detailed Budget'!$L$5:$L$1005,$B77,'Detailed Budget'!$L$5:$L$1005,"&gt;0"),"")</f>
        <v/>
      </c>
      <c r="U77" s="44" t="str">
        <f>IF(SUMIFS('Detailed Budget'!$BR$5:$BR$1005,'Detailed Budget'!$L$5:$L$1005,$B77,'Detailed Budget'!$L$5:$L$1005,"&gt;0")&gt;0,SUMIFS('Detailed Budget'!$BR$5:$BR$1005,'Detailed Budget'!$L$5:$L$1005,$B77,'Detailed Budget'!$L$5:$L$1005,"&gt;0"),"")</f>
        <v/>
      </c>
      <c r="V77" s="44" t="str">
        <f>IF(SUMIFS('Detailed Budget'!$BT$5:$BT$1005,'Detailed Budget'!$L$5:$L$1005,$B77,'Detailed Budget'!$L$5:$L$1005,"&gt;0")&gt;0,SUMIFS('Detailed Budget'!$BT$5:$BT$1005,'Detailed Budget'!$L$5:$L$1005,$B77,'Detailed Budget'!$L$5:$L$1005,"&gt;0"),"")</f>
        <v/>
      </c>
      <c r="W77" s="45" t="str">
        <f>IF(SUMIFS('Detailed Budget'!$BV$5:$BV$1005,'Detailed Budget'!$L$5:$L$1005,$B77,'Detailed Budget'!$L$5:$L$1005,"&gt;0")&gt;0,SUMIFS('Detailed Budget'!$BV$5:$BV$1005,'Detailed Budget'!$L$5:$L$1005,$B77,'Detailed Budget'!$L$5:$L$1005,"&gt;0"),"")</f>
        <v/>
      </c>
      <c r="X77" s="44" t="str">
        <f t="shared" si="2"/>
        <v/>
      </c>
      <c r="Y77" s="124" t="str">
        <f t="shared" si="3"/>
        <v/>
      </c>
    </row>
    <row r="78" spans="1:25" hidden="1" x14ac:dyDescent="0.25">
      <c r="A78" s="35"/>
      <c r="B78" s="234" t="str">
        <f t="array" ref="B78">IFERROR(INDEX(CostInpNoList,MATCH(0,IF(ISBLANK(CostInpNoList),"",COUNTIF(B$16:B77,CostInpNoList)),0)),"")</f>
        <v/>
      </c>
      <c r="C78" s="372" t="str">
        <f>IFERROR(INDEX('Data Sheet'!$F$198:$F$275,MATCH(B78,'Data Sheet'!$G$198:$G$275,0)),"")</f>
        <v/>
      </c>
      <c r="D78" s="44" t="str">
        <f>IF(SUMIFS('Detailed Budget'!$AA$5:$AA$1005,'Detailed Budget'!$L$5:$L$1005,$B78,'Detailed Budget'!$L$5:$L$1005,"&gt;0")&gt;0,SUMIFS('Detailed Budget'!$AA$5:$AA$1005,'Detailed Budget'!$L$5:$L$1005,$B78,'Detailed Budget'!$L$5:$L$1005,"&gt;0"),"")</f>
        <v/>
      </c>
      <c r="E78" s="44" t="str">
        <f>IF(SUMIFS('Detailed Budget'!$AC$5:$AC$1005,'Detailed Budget'!$L$5:$L$1005,$B78,'Detailed Budget'!$L$5:$L$1005,"&gt;0")&gt;0,SUMIFS('Detailed Budget'!$AC$5:$AC$1005,'Detailed Budget'!$L$5:$L$1005,$B78,'Detailed Budget'!$L$5:$L$1005,"&gt;0"),"")</f>
        <v/>
      </c>
      <c r="F78" s="44" t="str">
        <f>IF(SUMIFS('Detailed Budget'!$AE$5:$AE$1005,'Detailed Budget'!$L$5:$L$1005,$B78,'Detailed Budget'!$L$5:$L$1005,"&gt;0")&gt;0,SUMIFS('Detailed Budget'!$AE$5:$AE$1005,'Detailed Budget'!$L$5:$L$1005,$B78,'Detailed Budget'!$L$5:$L$1005,"&gt;0"),"")</f>
        <v/>
      </c>
      <c r="G78" s="44" t="str">
        <f>IF(SUMIFS('Detailed Budget'!$AG$5:$AG$1005,'Detailed Budget'!$L$5:$L$1005,$B78,'Detailed Budget'!$L$5:$L$1005,"&gt;0")&gt;0,SUMIFS('Detailed Budget'!$AG$5:$AG$1005,'Detailed Budget'!$L$5:$L$1005,$B78,'Detailed Budget'!$L$5:$L$1005,"&gt;0"),"")</f>
        <v/>
      </c>
      <c r="H78" s="45" t="str">
        <f>IF(SUMIFS('Detailed Budget'!$AI$5:$AI$1005,'Detailed Budget'!$L$5:$L$1005,$B78,'Detailed Budget'!$L$5:$L$1005,"&gt;0")&gt;0,SUMIFS('Detailed Budget'!$AI$5:$AI$1005,'Detailed Budget'!$L$5:$L$1005,$B78,'Detailed Budget'!$L$5:$L$1005,"&gt;0"),"")</f>
        <v/>
      </c>
      <c r="I78" s="44" t="str">
        <f>IF(SUMIFS('Detailed Budget'!$AN$5:$AN$1005,'Detailed Budget'!$L$5:$L$1005,$B78,'Detailed Budget'!$L$5:$L$1005,"&gt;0")&gt;0,SUMIFS('Detailed Budget'!$AN$5:$AN$1005,'Detailed Budget'!$L$5:$L$1005,$B78,'Detailed Budget'!$L$5:$L$1005,"&gt;0"),"")</f>
        <v/>
      </c>
      <c r="J78" s="44" t="str">
        <f>IF(SUMIFS('Detailed Budget'!$AP$5:$AP$1005,'Detailed Budget'!$L$5:$L$1005,$B78,'Detailed Budget'!$L$5:$L$1005,"&gt;0")&gt;0,SUMIFS('Detailed Budget'!$AP$5:$AP$1005,'Detailed Budget'!$L$5:$L$1005,$B78,'Detailed Budget'!$L$5:$L$1005,"&gt;0"),"")</f>
        <v/>
      </c>
      <c r="K78" s="44" t="str">
        <f>IF(SUMIFS('Detailed Budget'!$AR$5:$AR$1005,'Detailed Budget'!$L$5:$L$1005,$B78,'Detailed Budget'!$L$5:$L$1005,"&gt;0")&gt;0,SUMIFS('Detailed Budget'!$AR$5:$AR$1005,'Detailed Budget'!$L$5:$L$1005,$B78,'Detailed Budget'!$L$5:$L$1005,"&gt;0"),"")</f>
        <v/>
      </c>
      <c r="L78" s="44" t="str">
        <f>IF(SUMIFS('Detailed Budget'!$AT$5:$AT$1005,'Detailed Budget'!$L$5:$L$1005,$B78,'Detailed Budget'!$L$5:$L$1005,"&gt;0")&gt;0,SUMIFS('Detailed Budget'!$AT$5:$AT$1005,'Detailed Budget'!$L$5:$L$1005,$B78,'Detailed Budget'!$L$5:$L$1005,"&gt;0"),"")</f>
        <v/>
      </c>
      <c r="M78" s="45" t="str">
        <f>IF(SUMIFS('Detailed Budget'!$AV$5:$AV$1005,'Detailed Budget'!$L$5:$L$1005,$B78,'Detailed Budget'!$L$5:$L$1005,"&gt;0")&gt;0,SUMIFS('Detailed Budget'!$AV$5:$AV$1005,'Detailed Budget'!$L$5:$L$1005,$B78,'Detailed Budget'!$L$5:$L$1005,"&gt;0"),"")</f>
        <v/>
      </c>
      <c r="N78" s="44" t="str">
        <f>IF(SUMIFS('Detailed Budget'!$BA$5:$BA$1005,'Detailed Budget'!$L$5:$L$1005,$B78,'Detailed Budget'!$L$5:$L$1005,"&gt;0")&gt;0,SUMIFS('Detailed Budget'!$BA$5:$BA$1005,'Detailed Budget'!$L$5:$L$1005,$B78,'Detailed Budget'!$L$5:$L$1005,"&gt;0"),"")</f>
        <v/>
      </c>
      <c r="O78" s="44" t="str">
        <f>IF(SUMIFS('Detailed Budget'!$BC$5:$BC$1005,'Detailed Budget'!$L$5:$L$1005,$B78,'Detailed Budget'!$L$5:$L$1005,"&gt;0")&gt;0,SUMIFS('Detailed Budget'!$BC$5:$BC$1005,'Detailed Budget'!$L$5:$L$1005,$B78,'Detailed Budget'!$L$5:$L$1005,"&gt;0"),"")</f>
        <v/>
      </c>
      <c r="P78" s="44" t="str">
        <f>IF(SUMIFS('Detailed Budget'!$BE$5:$BE$1005,'Detailed Budget'!$L$5:$L$1005,$B78,'Detailed Budget'!$L$5:$L$1005,"&gt;0")&gt;0,SUMIFS('Detailed Budget'!$BE$5:$BE$1005,'Detailed Budget'!$L$5:$L$1005,$B78,'Detailed Budget'!$L$5:$L$1005,"&gt;0"),"")</f>
        <v/>
      </c>
      <c r="Q78" s="44" t="str">
        <f>IF(SUMIFS('Detailed Budget'!$BG$5:$BG$1005,'Detailed Budget'!$L$5:$L$1005,$B78,'Detailed Budget'!$L$5:$L$1005,"&gt;0")&gt;0,SUMIFS('Detailed Budget'!$BG$5:$BG$1005,'Detailed Budget'!$L$5:$L$1005,$B78,'Detailed Budget'!$L$5:$L$1005,"&gt;0"),"")</f>
        <v/>
      </c>
      <c r="R78" s="45" t="str">
        <f>IF(SUMIFS('Detailed Budget'!$BI$5:$BI$1005,'Detailed Budget'!$L$5:$L$1005,$B78,'Detailed Budget'!$L$5:$L$1005,"&gt;0")&gt;0,SUMIFS('Detailed Budget'!$BI$5:$BI$1005,'Detailed Budget'!$L$5:$L$1005,$B78,'Detailed Budget'!$L$5:$L$1005,"&gt;0"),"")</f>
        <v/>
      </c>
      <c r="S78" s="44" t="str">
        <f>IF(SUMIFS('Detailed Budget'!$BN$5:$BN$1005,'Detailed Budget'!$L$5:$L$1005,$B78,'Detailed Budget'!$L$5:$L$1005,"&gt;0")&gt;0,SUMIFS('Detailed Budget'!$BN$5:$BN$1005,'Detailed Budget'!$L$5:$L$1005,$B78,'Detailed Budget'!$L$5:$L$1005,"&gt;0"),"")</f>
        <v/>
      </c>
      <c r="T78" s="44" t="str">
        <f>IF(SUMIFS('Detailed Budget'!$BP$5:$BP$1005,'Detailed Budget'!$L$5:$L$1005,$B78,'Detailed Budget'!$L$5:$L$1005,"&gt;0")&gt;0,SUMIFS('Detailed Budget'!$BP$5:$BP$1005,'Detailed Budget'!$L$5:$L$1005,$B78,'Detailed Budget'!$L$5:$L$1005,"&gt;0"),"")</f>
        <v/>
      </c>
      <c r="U78" s="44" t="str">
        <f>IF(SUMIFS('Detailed Budget'!$BR$5:$BR$1005,'Detailed Budget'!$L$5:$L$1005,$B78,'Detailed Budget'!$L$5:$L$1005,"&gt;0")&gt;0,SUMIFS('Detailed Budget'!$BR$5:$BR$1005,'Detailed Budget'!$L$5:$L$1005,$B78,'Detailed Budget'!$L$5:$L$1005,"&gt;0"),"")</f>
        <v/>
      </c>
      <c r="V78" s="44" t="str">
        <f>IF(SUMIFS('Detailed Budget'!$BT$5:$BT$1005,'Detailed Budget'!$L$5:$L$1005,$B78,'Detailed Budget'!$L$5:$L$1005,"&gt;0")&gt;0,SUMIFS('Detailed Budget'!$BT$5:$BT$1005,'Detailed Budget'!$L$5:$L$1005,$B78,'Detailed Budget'!$L$5:$L$1005,"&gt;0"),"")</f>
        <v/>
      </c>
      <c r="W78" s="45" t="str">
        <f>IF(SUMIFS('Detailed Budget'!$BV$5:$BV$1005,'Detailed Budget'!$L$5:$L$1005,$B78,'Detailed Budget'!$L$5:$L$1005,"&gt;0")&gt;0,SUMIFS('Detailed Budget'!$BV$5:$BV$1005,'Detailed Budget'!$L$5:$L$1005,$B78,'Detailed Budget'!$L$5:$L$1005,"&gt;0"),"")</f>
        <v/>
      </c>
      <c r="X78" s="44" t="str">
        <f t="shared" ref="X78:X106" si="4">IF(SUM(H78,M78,R78,W78)&gt;0,SUM(H78,M78,R78,W78),"")</f>
        <v/>
      </c>
      <c r="Y78" s="124" t="str">
        <f t="shared" ref="Y78:Y106" si="5">IFERROR(X78/$X$107,"")</f>
        <v/>
      </c>
    </row>
    <row r="79" spans="1:25" hidden="1" x14ac:dyDescent="0.25">
      <c r="A79" s="35"/>
      <c r="B79" s="234" t="str">
        <f t="array" ref="B79">IFERROR(INDEX(CostInpNoList,MATCH(0,IF(ISBLANK(CostInpNoList),"",COUNTIF(B$16:B78,CostInpNoList)),0)),"")</f>
        <v/>
      </c>
      <c r="C79" s="372" t="str">
        <f>IFERROR(INDEX('Data Sheet'!$F$198:$F$275,MATCH(B79,'Data Sheet'!$G$198:$G$275,0)),"")</f>
        <v/>
      </c>
      <c r="D79" s="44" t="str">
        <f>IF(SUMIFS('Detailed Budget'!$AA$5:$AA$1005,'Detailed Budget'!$L$5:$L$1005,$B79,'Detailed Budget'!$L$5:$L$1005,"&gt;0")&gt;0,SUMIFS('Detailed Budget'!$AA$5:$AA$1005,'Detailed Budget'!$L$5:$L$1005,$B79,'Detailed Budget'!$L$5:$L$1005,"&gt;0"),"")</f>
        <v/>
      </c>
      <c r="E79" s="44" t="str">
        <f>IF(SUMIFS('Detailed Budget'!$AC$5:$AC$1005,'Detailed Budget'!$L$5:$L$1005,$B79,'Detailed Budget'!$L$5:$L$1005,"&gt;0")&gt;0,SUMIFS('Detailed Budget'!$AC$5:$AC$1005,'Detailed Budget'!$L$5:$L$1005,$B79,'Detailed Budget'!$L$5:$L$1005,"&gt;0"),"")</f>
        <v/>
      </c>
      <c r="F79" s="44" t="str">
        <f>IF(SUMIFS('Detailed Budget'!$AE$5:$AE$1005,'Detailed Budget'!$L$5:$L$1005,$B79,'Detailed Budget'!$L$5:$L$1005,"&gt;0")&gt;0,SUMIFS('Detailed Budget'!$AE$5:$AE$1005,'Detailed Budget'!$L$5:$L$1005,$B79,'Detailed Budget'!$L$5:$L$1005,"&gt;0"),"")</f>
        <v/>
      </c>
      <c r="G79" s="44" t="str">
        <f>IF(SUMIFS('Detailed Budget'!$AG$5:$AG$1005,'Detailed Budget'!$L$5:$L$1005,$B79,'Detailed Budget'!$L$5:$L$1005,"&gt;0")&gt;0,SUMIFS('Detailed Budget'!$AG$5:$AG$1005,'Detailed Budget'!$L$5:$L$1005,$B79,'Detailed Budget'!$L$5:$L$1005,"&gt;0"),"")</f>
        <v/>
      </c>
      <c r="H79" s="45" t="str">
        <f>IF(SUMIFS('Detailed Budget'!$AI$5:$AI$1005,'Detailed Budget'!$L$5:$L$1005,$B79,'Detailed Budget'!$L$5:$L$1005,"&gt;0")&gt;0,SUMIFS('Detailed Budget'!$AI$5:$AI$1005,'Detailed Budget'!$L$5:$L$1005,$B79,'Detailed Budget'!$L$5:$L$1005,"&gt;0"),"")</f>
        <v/>
      </c>
      <c r="I79" s="44" t="str">
        <f>IF(SUMIFS('Detailed Budget'!$AN$5:$AN$1005,'Detailed Budget'!$L$5:$L$1005,$B79,'Detailed Budget'!$L$5:$L$1005,"&gt;0")&gt;0,SUMIFS('Detailed Budget'!$AN$5:$AN$1005,'Detailed Budget'!$L$5:$L$1005,$B79,'Detailed Budget'!$L$5:$L$1005,"&gt;0"),"")</f>
        <v/>
      </c>
      <c r="J79" s="44" t="str">
        <f>IF(SUMIFS('Detailed Budget'!$AP$5:$AP$1005,'Detailed Budget'!$L$5:$L$1005,$B79,'Detailed Budget'!$L$5:$L$1005,"&gt;0")&gt;0,SUMIFS('Detailed Budget'!$AP$5:$AP$1005,'Detailed Budget'!$L$5:$L$1005,$B79,'Detailed Budget'!$L$5:$L$1005,"&gt;0"),"")</f>
        <v/>
      </c>
      <c r="K79" s="44" t="str">
        <f>IF(SUMIFS('Detailed Budget'!$AR$5:$AR$1005,'Detailed Budget'!$L$5:$L$1005,$B79,'Detailed Budget'!$L$5:$L$1005,"&gt;0")&gt;0,SUMIFS('Detailed Budget'!$AR$5:$AR$1005,'Detailed Budget'!$L$5:$L$1005,$B79,'Detailed Budget'!$L$5:$L$1005,"&gt;0"),"")</f>
        <v/>
      </c>
      <c r="L79" s="44" t="str">
        <f>IF(SUMIFS('Detailed Budget'!$AT$5:$AT$1005,'Detailed Budget'!$L$5:$L$1005,$B79,'Detailed Budget'!$L$5:$L$1005,"&gt;0")&gt;0,SUMIFS('Detailed Budget'!$AT$5:$AT$1005,'Detailed Budget'!$L$5:$L$1005,$B79,'Detailed Budget'!$L$5:$L$1005,"&gt;0"),"")</f>
        <v/>
      </c>
      <c r="M79" s="45" t="str">
        <f>IF(SUMIFS('Detailed Budget'!$AV$5:$AV$1005,'Detailed Budget'!$L$5:$L$1005,$B79,'Detailed Budget'!$L$5:$L$1005,"&gt;0")&gt;0,SUMIFS('Detailed Budget'!$AV$5:$AV$1005,'Detailed Budget'!$L$5:$L$1005,$B79,'Detailed Budget'!$L$5:$L$1005,"&gt;0"),"")</f>
        <v/>
      </c>
      <c r="N79" s="44" t="str">
        <f>IF(SUMIFS('Detailed Budget'!$BA$5:$BA$1005,'Detailed Budget'!$L$5:$L$1005,$B79,'Detailed Budget'!$L$5:$L$1005,"&gt;0")&gt;0,SUMIFS('Detailed Budget'!$BA$5:$BA$1005,'Detailed Budget'!$L$5:$L$1005,$B79,'Detailed Budget'!$L$5:$L$1005,"&gt;0"),"")</f>
        <v/>
      </c>
      <c r="O79" s="44" t="str">
        <f>IF(SUMIFS('Detailed Budget'!$BC$5:$BC$1005,'Detailed Budget'!$L$5:$L$1005,$B79,'Detailed Budget'!$L$5:$L$1005,"&gt;0")&gt;0,SUMIFS('Detailed Budget'!$BC$5:$BC$1005,'Detailed Budget'!$L$5:$L$1005,$B79,'Detailed Budget'!$L$5:$L$1005,"&gt;0"),"")</f>
        <v/>
      </c>
      <c r="P79" s="44" t="str">
        <f>IF(SUMIFS('Detailed Budget'!$BE$5:$BE$1005,'Detailed Budget'!$L$5:$L$1005,$B79,'Detailed Budget'!$L$5:$L$1005,"&gt;0")&gt;0,SUMIFS('Detailed Budget'!$BE$5:$BE$1005,'Detailed Budget'!$L$5:$L$1005,$B79,'Detailed Budget'!$L$5:$L$1005,"&gt;0"),"")</f>
        <v/>
      </c>
      <c r="Q79" s="44" t="str">
        <f>IF(SUMIFS('Detailed Budget'!$BG$5:$BG$1005,'Detailed Budget'!$L$5:$L$1005,$B79,'Detailed Budget'!$L$5:$L$1005,"&gt;0")&gt;0,SUMIFS('Detailed Budget'!$BG$5:$BG$1005,'Detailed Budget'!$L$5:$L$1005,$B79,'Detailed Budget'!$L$5:$L$1005,"&gt;0"),"")</f>
        <v/>
      </c>
      <c r="R79" s="45" t="str">
        <f>IF(SUMIFS('Detailed Budget'!$BI$5:$BI$1005,'Detailed Budget'!$L$5:$L$1005,$B79,'Detailed Budget'!$L$5:$L$1005,"&gt;0")&gt;0,SUMIFS('Detailed Budget'!$BI$5:$BI$1005,'Detailed Budget'!$L$5:$L$1005,$B79,'Detailed Budget'!$L$5:$L$1005,"&gt;0"),"")</f>
        <v/>
      </c>
      <c r="S79" s="44" t="str">
        <f>IF(SUMIFS('Detailed Budget'!$BN$5:$BN$1005,'Detailed Budget'!$L$5:$L$1005,$B79,'Detailed Budget'!$L$5:$L$1005,"&gt;0")&gt;0,SUMIFS('Detailed Budget'!$BN$5:$BN$1005,'Detailed Budget'!$L$5:$L$1005,$B79,'Detailed Budget'!$L$5:$L$1005,"&gt;0"),"")</f>
        <v/>
      </c>
      <c r="T79" s="44" t="str">
        <f>IF(SUMIFS('Detailed Budget'!$BP$5:$BP$1005,'Detailed Budget'!$L$5:$L$1005,$B79,'Detailed Budget'!$L$5:$L$1005,"&gt;0")&gt;0,SUMIFS('Detailed Budget'!$BP$5:$BP$1005,'Detailed Budget'!$L$5:$L$1005,$B79,'Detailed Budget'!$L$5:$L$1005,"&gt;0"),"")</f>
        <v/>
      </c>
      <c r="U79" s="44" t="str">
        <f>IF(SUMIFS('Detailed Budget'!$BR$5:$BR$1005,'Detailed Budget'!$L$5:$L$1005,$B79,'Detailed Budget'!$L$5:$L$1005,"&gt;0")&gt;0,SUMIFS('Detailed Budget'!$BR$5:$BR$1005,'Detailed Budget'!$L$5:$L$1005,$B79,'Detailed Budget'!$L$5:$L$1005,"&gt;0"),"")</f>
        <v/>
      </c>
      <c r="V79" s="44" t="str">
        <f>IF(SUMIFS('Detailed Budget'!$BT$5:$BT$1005,'Detailed Budget'!$L$5:$L$1005,$B79,'Detailed Budget'!$L$5:$L$1005,"&gt;0")&gt;0,SUMIFS('Detailed Budget'!$BT$5:$BT$1005,'Detailed Budget'!$L$5:$L$1005,$B79,'Detailed Budget'!$L$5:$L$1005,"&gt;0"),"")</f>
        <v/>
      </c>
      <c r="W79" s="45" t="str">
        <f>IF(SUMIFS('Detailed Budget'!$BV$5:$BV$1005,'Detailed Budget'!$L$5:$L$1005,$B79,'Detailed Budget'!$L$5:$L$1005,"&gt;0")&gt;0,SUMIFS('Detailed Budget'!$BV$5:$BV$1005,'Detailed Budget'!$L$5:$L$1005,$B79,'Detailed Budget'!$L$5:$L$1005,"&gt;0"),"")</f>
        <v/>
      </c>
      <c r="X79" s="44" t="str">
        <f t="shared" si="4"/>
        <v/>
      </c>
      <c r="Y79" s="124" t="str">
        <f t="shared" si="5"/>
        <v/>
      </c>
    </row>
    <row r="80" spans="1:25" hidden="1" x14ac:dyDescent="0.25">
      <c r="A80" s="35"/>
      <c r="B80" s="234" t="str">
        <f t="array" ref="B80">IFERROR(INDEX(CostInpNoList,MATCH(0,IF(ISBLANK(CostInpNoList),"",COUNTIF(B$16:B79,CostInpNoList)),0)),"")</f>
        <v/>
      </c>
      <c r="C80" s="372" t="str">
        <f>IFERROR(INDEX('Data Sheet'!$F$198:$F$275,MATCH(B80,'Data Sheet'!$G$198:$G$275,0)),"")</f>
        <v/>
      </c>
      <c r="D80" s="44" t="str">
        <f>IF(SUMIFS('Detailed Budget'!$AA$5:$AA$1005,'Detailed Budget'!$L$5:$L$1005,$B80,'Detailed Budget'!$L$5:$L$1005,"&gt;0")&gt;0,SUMIFS('Detailed Budget'!$AA$5:$AA$1005,'Detailed Budget'!$L$5:$L$1005,$B80,'Detailed Budget'!$L$5:$L$1005,"&gt;0"),"")</f>
        <v/>
      </c>
      <c r="E80" s="44" t="str">
        <f>IF(SUMIFS('Detailed Budget'!$AC$5:$AC$1005,'Detailed Budget'!$L$5:$L$1005,$B80,'Detailed Budget'!$L$5:$L$1005,"&gt;0")&gt;0,SUMIFS('Detailed Budget'!$AC$5:$AC$1005,'Detailed Budget'!$L$5:$L$1005,$B80,'Detailed Budget'!$L$5:$L$1005,"&gt;0"),"")</f>
        <v/>
      </c>
      <c r="F80" s="44" t="str">
        <f>IF(SUMIFS('Detailed Budget'!$AE$5:$AE$1005,'Detailed Budget'!$L$5:$L$1005,$B80,'Detailed Budget'!$L$5:$L$1005,"&gt;0")&gt;0,SUMIFS('Detailed Budget'!$AE$5:$AE$1005,'Detailed Budget'!$L$5:$L$1005,$B80,'Detailed Budget'!$L$5:$L$1005,"&gt;0"),"")</f>
        <v/>
      </c>
      <c r="G80" s="44" t="str">
        <f>IF(SUMIFS('Detailed Budget'!$AG$5:$AG$1005,'Detailed Budget'!$L$5:$L$1005,$B80,'Detailed Budget'!$L$5:$L$1005,"&gt;0")&gt;0,SUMIFS('Detailed Budget'!$AG$5:$AG$1005,'Detailed Budget'!$L$5:$L$1005,$B80,'Detailed Budget'!$L$5:$L$1005,"&gt;0"),"")</f>
        <v/>
      </c>
      <c r="H80" s="45" t="str">
        <f>IF(SUMIFS('Detailed Budget'!$AI$5:$AI$1005,'Detailed Budget'!$L$5:$L$1005,$B80,'Detailed Budget'!$L$5:$L$1005,"&gt;0")&gt;0,SUMIFS('Detailed Budget'!$AI$5:$AI$1005,'Detailed Budget'!$L$5:$L$1005,$B80,'Detailed Budget'!$L$5:$L$1005,"&gt;0"),"")</f>
        <v/>
      </c>
      <c r="I80" s="44" t="str">
        <f>IF(SUMIFS('Detailed Budget'!$AN$5:$AN$1005,'Detailed Budget'!$L$5:$L$1005,$B80,'Detailed Budget'!$L$5:$L$1005,"&gt;0")&gt;0,SUMIFS('Detailed Budget'!$AN$5:$AN$1005,'Detailed Budget'!$L$5:$L$1005,$B80,'Detailed Budget'!$L$5:$L$1005,"&gt;0"),"")</f>
        <v/>
      </c>
      <c r="J80" s="44" t="str">
        <f>IF(SUMIFS('Detailed Budget'!$AP$5:$AP$1005,'Detailed Budget'!$L$5:$L$1005,$B80,'Detailed Budget'!$L$5:$L$1005,"&gt;0")&gt;0,SUMIFS('Detailed Budget'!$AP$5:$AP$1005,'Detailed Budget'!$L$5:$L$1005,$B80,'Detailed Budget'!$L$5:$L$1005,"&gt;0"),"")</f>
        <v/>
      </c>
      <c r="K80" s="44" t="str">
        <f>IF(SUMIFS('Detailed Budget'!$AR$5:$AR$1005,'Detailed Budget'!$L$5:$L$1005,$B80,'Detailed Budget'!$L$5:$L$1005,"&gt;0")&gt;0,SUMIFS('Detailed Budget'!$AR$5:$AR$1005,'Detailed Budget'!$L$5:$L$1005,$B80,'Detailed Budget'!$L$5:$L$1005,"&gt;0"),"")</f>
        <v/>
      </c>
      <c r="L80" s="44" t="str">
        <f>IF(SUMIFS('Detailed Budget'!$AT$5:$AT$1005,'Detailed Budget'!$L$5:$L$1005,$B80,'Detailed Budget'!$L$5:$L$1005,"&gt;0")&gt;0,SUMIFS('Detailed Budget'!$AT$5:$AT$1005,'Detailed Budget'!$L$5:$L$1005,$B80,'Detailed Budget'!$L$5:$L$1005,"&gt;0"),"")</f>
        <v/>
      </c>
      <c r="M80" s="45" t="str">
        <f>IF(SUMIFS('Detailed Budget'!$AV$5:$AV$1005,'Detailed Budget'!$L$5:$L$1005,$B80,'Detailed Budget'!$L$5:$L$1005,"&gt;0")&gt;0,SUMIFS('Detailed Budget'!$AV$5:$AV$1005,'Detailed Budget'!$L$5:$L$1005,$B80,'Detailed Budget'!$L$5:$L$1005,"&gt;0"),"")</f>
        <v/>
      </c>
      <c r="N80" s="44" t="str">
        <f>IF(SUMIFS('Detailed Budget'!$BA$5:$BA$1005,'Detailed Budget'!$L$5:$L$1005,$B80,'Detailed Budget'!$L$5:$L$1005,"&gt;0")&gt;0,SUMIFS('Detailed Budget'!$BA$5:$BA$1005,'Detailed Budget'!$L$5:$L$1005,$B80,'Detailed Budget'!$L$5:$L$1005,"&gt;0"),"")</f>
        <v/>
      </c>
      <c r="O80" s="44" t="str">
        <f>IF(SUMIFS('Detailed Budget'!$BC$5:$BC$1005,'Detailed Budget'!$L$5:$L$1005,$B80,'Detailed Budget'!$L$5:$L$1005,"&gt;0")&gt;0,SUMIFS('Detailed Budget'!$BC$5:$BC$1005,'Detailed Budget'!$L$5:$L$1005,$B80,'Detailed Budget'!$L$5:$L$1005,"&gt;0"),"")</f>
        <v/>
      </c>
      <c r="P80" s="44" t="str">
        <f>IF(SUMIFS('Detailed Budget'!$BE$5:$BE$1005,'Detailed Budget'!$L$5:$L$1005,$B80,'Detailed Budget'!$L$5:$L$1005,"&gt;0")&gt;0,SUMIFS('Detailed Budget'!$BE$5:$BE$1005,'Detailed Budget'!$L$5:$L$1005,$B80,'Detailed Budget'!$L$5:$L$1005,"&gt;0"),"")</f>
        <v/>
      </c>
      <c r="Q80" s="44" t="str">
        <f>IF(SUMIFS('Detailed Budget'!$BG$5:$BG$1005,'Detailed Budget'!$L$5:$L$1005,$B80,'Detailed Budget'!$L$5:$L$1005,"&gt;0")&gt;0,SUMIFS('Detailed Budget'!$BG$5:$BG$1005,'Detailed Budget'!$L$5:$L$1005,$B80,'Detailed Budget'!$L$5:$L$1005,"&gt;0"),"")</f>
        <v/>
      </c>
      <c r="R80" s="45" t="str">
        <f>IF(SUMIFS('Detailed Budget'!$BI$5:$BI$1005,'Detailed Budget'!$L$5:$L$1005,$B80,'Detailed Budget'!$L$5:$L$1005,"&gt;0")&gt;0,SUMIFS('Detailed Budget'!$BI$5:$BI$1005,'Detailed Budget'!$L$5:$L$1005,$B80,'Detailed Budget'!$L$5:$L$1005,"&gt;0"),"")</f>
        <v/>
      </c>
      <c r="S80" s="44" t="str">
        <f>IF(SUMIFS('Detailed Budget'!$BN$5:$BN$1005,'Detailed Budget'!$L$5:$L$1005,$B80,'Detailed Budget'!$L$5:$L$1005,"&gt;0")&gt;0,SUMIFS('Detailed Budget'!$BN$5:$BN$1005,'Detailed Budget'!$L$5:$L$1005,$B80,'Detailed Budget'!$L$5:$L$1005,"&gt;0"),"")</f>
        <v/>
      </c>
      <c r="T80" s="44" t="str">
        <f>IF(SUMIFS('Detailed Budget'!$BP$5:$BP$1005,'Detailed Budget'!$L$5:$L$1005,$B80,'Detailed Budget'!$L$5:$L$1005,"&gt;0")&gt;0,SUMIFS('Detailed Budget'!$BP$5:$BP$1005,'Detailed Budget'!$L$5:$L$1005,$B80,'Detailed Budget'!$L$5:$L$1005,"&gt;0"),"")</f>
        <v/>
      </c>
      <c r="U80" s="44" t="str">
        <f>IF(SUMIFS('Detailed Budget'!$BR$5:$BR$1005,'Detailed Budget'!$L$5:$L$1005,$B80,'Detailed Budget'!$L$5:$L$1005,"&gt;0")&gt;0,SUMIFS('Detailed Budget'!$BR$5:$BR$1005,'Detailed Budget'!$L$5:$L$1005,$B80,'Detailed Budget'!$L$5:$L$1005,"&gt;0"),"")</f>
        <v/>
      </c>
      <c r="V80" s="44" t="str">
        <f>IF(SUMIFS('Detailed Budget'!$BT$5:$BT$1005,'Detailed Budget'!$L$5:$L$1005,$B80,'Detailed Budget'!$L$5:$L$1005,"&gt;0")&gt;0,SUMIFS('Detailed Budget'!$BT$5:$BT$1005,'Detailed Budget'!$L$5:$L$1005,$B80,'Detailed Budget'!$L$5:$L$1005,"&gt;0"),"")</f>
        <v/>
      </c>
      <c r="W80" s="45" t="str">
        <f>IF(SUMIFS('Detailed Budget'!$BV$5:$BV$1005,'Detailed Budget'!$L$5:$L$1005,$B80,'Detailed Budget'!$L$5:$L$1005,"&gt;0")&gt;0,SUMIFS('Detailed Budget'!$BV$5:$BV$1005,'Detailed Budget'!$L$5:$L$1005,$B80,'Detailed Budget'!$L$5:$L$1005,"&gt;0"),"")</f>
        <v/>
      </c>
      <c r="X80" s="44" t="str">
        <f t="shared" si="4"/>
        <v/>
      </c>
      <c r="Y80" s="124" t="str">
        <f t="shared" si="5"/>
        <v/>
      </c>
    </row>
    <row r="81" spans="1:25" hidden="1" x14ac:dyDescent="0.25">
      <c r="A81" s="35"/>
      <c r="B81" s="234" t="str">
        <f t="array" ref="B81">IFERROR(INDEX(CostInpNoList,MATCH(0,IF(ISBLANK(CostInpNoList),"",COUNTIF(B$16:B80,CostInpNoList)),0)),"")</f>
        <v/>
      </c>
      <c r="C81" s="372" t="str">
        <f>IFERROR(INDEX('Data Sheet'!$F$198:$F$275,MATCH(B81,'Data Sheet'!$G$198:$G$275,0)),"")</f>
        <v/>
      </c>
      <c r="D81" s="44" t="str">
        <f>IF(SUMIFS('Detailed Budget'!$AA$5:$AA$1005,'Detailed Budget'!$L$5:$L$1005,$B81,'Detailed Budget'!$L$5:$L$1005,"&gt;0")&gt;0,SUMIFS('Detailed Budget'!$AA$5:$AA$1005,'Detailed Budget'!$L$5:$L$1005,$B81,'Detailed Budget'!$L$5:$L$1005,"&gt;0"),"")</f>
        <v/>
      </c>
      <c r="E81" s="44" t="str">
        <f>IF(SUMIFS('Detailed Budget'!$AC$5:$AC$1005,'Detailed Budget'!$L$5:$L$1005,$B81,'Detailed Budget'!$L$5:$L$1005,"&gt;0")&gt;0,SUMIFS('Detailed Budget'!$AC$5:$AC$1005,'Detailed Budget'!$L$5:$L$1005,$B81,'Detailed Budget'!$L$5:$L$1005,"&gt;0"),"")</f>
        <v/>
      </c>
      <c r="F81" s="44" t="str">
        <f>IF(SUMIFS('Detailed Budget'!$AE$5:$AE$1005,'Detailed Budget'!$L$5:$L$1005,$B81,'Detailed Budget'!$L$5:$L$1005,"&gt;0")&gt;0,SUMIFS('Detailed Budget'!$AE$5:$AE$1005,'Detailed Budget'!$L$5:$L$1005,$B81,'Detailed Budget'!$L$5:$L$1005,"&gt;0"),"")</f>
        <v/>
      </c>
      <c r="G81" s="44" t="str">
        <f>IF(SUMIFS('Detailed Budget'!$AG$5:$AG$1005,'Detailed Budget'!$L$5:$L$1005,$B81,'Detailed Budget'!$L$5:$L$1005,"&gt;0")&gt;0,SUMIFS('Detailed Budget'!$AG$5:$AG$1005,'Detailed Budget'!$L$5:$L$1005,$B81,'Detailed Budget'!$L$5:$L$1005,"&gt;0"),"")</f>
        <v/>
      </c>
      <c r="H81" s="45" t="str">
        <f>IF(SUMIFS('Detailed Budget'!$AI$5:$AI$1005,'Detailed Budget'!$L$5:$L$1005,$B81,'Detailed Budget'!$L$5:$L$1005,"&gt;0")&gt;0,SUMIFS('Detailed Budget'!$AI$5:$AI$1005,'Detailed Budget'!$L$5:$L$1005,$B81,'Detailed Budget'!$L$5:$L$1005,"&gt;0"),"")</f>
        <v/>
      </c>
      <c r="I81" s="44" t="str">
        <f>IF(SUMIFS('Detailed Budget'!$AN$5:$AN$1005,'Detailed Budget'!$L$5:$L$1005,$B81,'Detailed Budget'!$L$5:$L$1005,"&gt;0")&gt;0,SUMIFS('Detailed Budget'!$AN$5:$AN$1005,'Detailed Budget'!$L$5:$L$1005,$B81,'Detailed Budget'!$L$5:$L$1005,"&gt;0"),"")</f>
        <v/>
      </c>
      <c r="J81" s="44" t="str">
        <f>IF(SUMIFS('Detailed Budget'!$AP$5:$AP$1005,'Detailed Budget'!$L$5:$L$1005,$B81,'Detailed Budget'!$L$5:$L$1005,"&gt;0")&gt;0,SUMIFS('Detailed Budget'!$AP$5:$AP$1005,'Detailed Budget'!$L$5:$L$1005,$B81,'Detailed Budget'!$L$5:$L$1005,"&gt;0"),"")</f>
        <v/>
      </c>
      <c r="K81" s="44" t="str">
        <f>IF(SUMIFS('Detailed Budget'!$AR$5:$AR$1005,'Detailed Budget'!$L$5:$L$1005,$B81,'Detailed Budget'!$L$5:$L$1005,"&gt;0")&gt;0,SUMIFS('Detailed Budget'!$AR$5:$AR$1005,'Detailed Budget'!$L$5:$L$1005,$B81,'Detailed Budget'!$L$5:$L$1005,"&gt;0"),"")</f>
        <v/>
      </c>
      <c r="L81" s="44" t="str">
        <f>IF(SUMIFS('Detailed Budget'!$AT$5:$AT$1005,'Detailed Budget'!$L$5:$L$1005,$B81,'Detailed Budget'!$L$5:$L$1005,"&gt;0")&gt;0,SUMIFS('Detailed Budget'!$AT$5:$AT$1005,'Detailed Budget'!$L$5:$L$1005,$B81,'Detailed Budget'!$L$5:$L$1005,"&gt;0"),"")</f>
        <v/>
      </c>
      <c r="M81" s="45" t="str">
        <f>IF(SUMIFS('Detailed Budget'!$AV$5:$AV$1005,'Detailed Budget'!$L$5:$L$1005,$B81,'Detailed Budget'!$L$5:$L$1005,"&gt;0")&gt;0,SUMIFS('Detailed Budget'!$AV$5:$AV$1005,'Detailed Budget'!$L$5:$L$1005,$B81,'Detailed Budget'!$L$5:$L$1005,"&gt;0"),"")</f>
        <v/>
      </c>
      <c r="N81" s="44" t="str">
        <f>IF(SUMIFS('Detailed Budget'!$BA$5:$BA$1005,'Detailed Budget'!$L$5:$L$1005,$B81,'Detailed Budget'!$L$5:$L$1005,"&gt;0")&gt;0,SUMIFS('Detailed Budget'!$BA$5:$BA$1005,'Detailed Budget'!$L$5:$L$1005,$B81,'Detailed Budget'!$L$5:$L$1005,"&gt;0"),"")</f>
        <v/>
      </c>
      <c r="O81" s="44" t="str">
        <f>IF(SUMIFS('Detailed Budget'!$BC$5:$BC$1005,'Detailed Budget'!$L$5:$L$1005,$B81,'Detailed Budget'!$L$5:$L$1005,"&gt;0")&gt;0,SUMIFS('Detailed Budget'!$BC$5:$BC$1005,'Detailed Budget'!$L$5:$L$1005,$B81,'Detailed Budget'!$L$5:$L$1005,"&gt;0"),"")</f>
        <v/>
      </c>
      <c r="P81" s="44" t="str">
        <f>IF(SUMIFS('Detailed Budget'!$BE$5:$BE$1005,'Detailed Budget'!$L$5:$L$1005,$B81,'Detailed Budget'!$L$5:$L$1005,"&gt;0")&gt;0,SUMIFS('Detailed Budget'!$BE$5:$BE$1005,'Detailed Budget'!$L$5:$L$1005,$B81,'Detailed Budget'!$L$5:$L$1005,"&gt;0"),"")</f>
        <v/>
      </c>
      <c r="Q81" s="44" t="str">
        <f>IF(SUMIFS('Detailed Budget'!$BG$5:$BG$1005,'Detailed Budget'!$L$5:$L$1005,$B81,'Detailed Budget'!$L$5:$L$1005,"&gt;0")&gt;0,SUMIFS('Detailed Budget'!$BG$5:$BG$1005,'Detailed Budget'!$L$5:$L$1005,$B81,'Detailed Budget'!$L$5:$L$1005,"&gt;0"),"")</f>
        <v/>
      </c>
      <c r="R81" s="45" t="str">
        <f>IF(SUMIFS('Detailed Budget'!$BI$5:$BI$1005,'Detailed Budget'!$L$5:$L$1005,$B81,'Detailed Budget'!$L$5:$L$1005,"&gt;0")&gt;0,SUMIFS('Detailed Budget'!$BI$5:$BI$1005,'Detailed Budget'!$L$5:$L$1005,$B81,'Detailed Budget'!$L$5:$L$1005,"&gt;0"),"")</f>
        <v/>
      </c>
      <c r="S81" s="44" t="str">
        <f>IF(SUMIFS('Detailed Budget'!$BN$5:$BN$1005,'Detailed Budget'!$L$5:$L$1005,$B81,'Detailed Budget'!$L$5:$L$1005,"&gt;0")&gt;0,SUMIFS('Detailed Budget'!$BN$5:$BN$1005,'Detailed Budget'!$L$5:$L$1005,$B81,'Detailed Budget'!$L$5:$L$1005,"&gt;0"),"")</f>
        <v/>
      </c>
      <c r="T81" s="44" t="str">
        <f>IF(SUMIFS('Detailed Budget'!$BP$5:$BP$1005,'Detailed Budget'!$L$5:$L$1005,$B81,'Detailed Budget'!$L$5:$L$1005,"&gt;0")&gt;0,SUMIFS('Detailed Budget'!$BP$5:$BP$1005,'Detailed Budget'!$L$5:$L$1005,$B81,'Detailed Budget'!$L$5:$L$1005,"&gt;0"),"")</f>
        <v/>
      </c>
      <c r="U81" s="44" t="str">
        <f>IF(SUMIFS('Detailed Budget'!$BR$5:$BR$1005,'Detailed Budget'!$L$5:$L$1005,$B81,'Detailed Budget'!$L$5:$L$1005,"&gt;0")&gt;0,SUMIFS('Detailed Budget'!$BR$5:$BR$1005,'Detailed Budget'!$L$5:$L$1005,$B81,'Detailed Budget'!$L$5:$L$1005,"&gt;0"),"")</f>
        <v/>
      </c>
      <c r="V81" s="44" t="str">
        <f>IF(SUMIFS('Detailed Budget'!$BT$5:$BT$1005,'Detailed Budget'!$L$5:$L$1005,$B81,'Detailed Budget'!$L$5:$L$1005,"&gt;0")&gt;0,SUMIFS('Detailed Budget'!$BT$5:$BT$1005,'Detailed Budget'!$L$5:$L$1005,$B81,'Detailed Budget'!$L$5:$L$1005,"&gt;0"),"")</f>
        <v/>
      </c>
      <c r="W81" s="45" t="str">
        <f>IF(SUMIFS('Detailed Budget'!$BV$5:$BV$1005,'Detailed Budget'!$L$5:$L$1005,$B81,'Detailed Budget'!$L$5:$L$1005,"&gt;0")&gt;0,SUMIFS('Detailed Budget'!$BV$5:$BV$1005,'Detailed Budget'!$L$5:$L$1005,$B81,'Detailed Budget'!$L$5:$L$1005,"&gt;0"),"")</f>
        <v/>
      </c>
      <c r="X81" s="44" t="str">
        <f t="shared" si="4"/>
        <v/>
      </c>
      <c r="Y81" s="124" t="str">
        <f t="shared" si="5"/>
        <v/>
      </c>
    </row>
    <row r="82" spans="1:25" hidden="1" x14ac:dyDescent="0.25">
      <c r="A82" s="35"/>
      <c r="B82" s="234" t="str">
        <f t="array" ref="B82">IFERROR(INDEX(CostInpNoList,MATCH(0,IF(ISBLANK(CostInpNoList),"",COUNTIF(B$16:B81,CostInpNoList)),0)),"")</f>
        <v/>
      </c>
      <c r="C82" s="372" t="str">
        <f>IFERROR(INDEX('Data Sheet'!$F$198:$F$275,MATCH(B82,'Data Sheet'!$G$198:$G$275,0)),"")</f>
        <v/>
      </c>
      <c r="D82" s="44" t="str">
        <f>IF(SUMIFS('Detailed Budget'!$AA$5:$AA$1005,'Detailed Budget'!$L$5:$L$1005,$B82,'Detailed Budget'!$L$5:$L$1005,"&gt;0")&gt;0,SUMIFS('Detailed Budget'!$AA$5:$AA$1005,'Detailed Budget'!$L$5:$L$1005,$B82,'Detailed Budget'!$L$5:$L$1005,"&gt;0"),"")</f>
        <v/>
      </c>
      <c r="E82" s="44" t="str">
        <f>IF(SUMIFS('Detailed Budget'!$AC$5:$AC$1005,'Detailed Budget'!$L$5:$L$1005,$B82,'Detailed Budget'!$L$5:$L$1005,"&gt;0")&gt;0,SUMIFS('Detailed Budget'!$AC$5:$AC$1005,'Detailed Budget'!$L$5:$L$1005,$B82,'Detailed Budget'!$L$5:$L$1005,"&gt;0"),"")</f>
        <v/>
      </c>
      <c r="F82" s="44" t="str">
        <f>IF(SUMIFS('Detailed Budget'!$AE$5:$AE$1005,'Detailed Budget'!$L$5:$L$1005,$B82,'Detailed Budget'!$L$5:$L$1005,"&gt;0")&gt;0,SUMIFS('Detailed Budget'!$AE$5:$AE$1005,'Detailed Budget'!$L$5:$L$1005,$B82,'Detailed Budget'!$L$5:$L$1005,"&gt;0"),"")</f>
        <v/>
      </c>
      <c r="G82" s="44" t="str">
        <f>IF(SUMIFS('Detailed Budget'!$AG$5:$AG$1005,'Detailed Budget'!$L$5:$L$1005,$B82,'Detailed Budget'!$L$5:$L$1005,"&gt;0")&gt;0,SUMIFS('Detailed Budget'!$AG$5:$AG$1005,'Detailed Budget'!$L$5:$L$1005,$B82,'Detailed Budget'!$L$5:$L$1005,"&gt;0"),"")</f>
        <v/>
      </c>
      <c r="H82" s="45" t="str">
        <f>IF(SUMIFS('Detailed Budget'!$AI$5:$AI$1005,'Detailed Budget'!$L$5:$L$1005,$B82,'Detailed Budget'!$L$5:$L$1005,"&gt;0")&gt;0,SUMIFS('Detailed Budget'!$AI$5:$AI$1005,'Detailed Budget'!$L$5:$L$1005,$B82,'Detailed Budget'!$L$5:$L$1005,"&gt;0"),"")</f>
        <v/>
      </c>
      <c r="I82" s="44" t="str">
        <f>IF(SUMIFS('Detailed Budget'!$AN$5:$AN$1005,'Detailed Budget'!$L$5:$L$1005,$B82,'Detailed Budget'!$L$5:$L$1005,"&gt;0")&gt;0,SUMIFS('Detailed Budget'!$AN$5:$AN$1005,'Detailed Budget'!$L$5:$L$1005,$B82,'Detailed Budget'!$L$5:$L$1005,"&gt;0"),"")</f>
        <v/>
      </c>
      <c r="J82" s="44" t="str">
        <f>IF(SUMIFS('Detailed Budget'!$AP$5:$AP$1005,'Detailed Budget'!$L$5:$L$1005,$B82,'Detailed Budget'!$L$5:$L$1005,"&gt;0")&gt;0,SUMIFS('Detailed Budget'!$AP$5:$AP$1005,'Detailed Budget'!$L$5:$L$1005,$B82,'Detailed Budget'!$L$5:$L$1005,"&gt;0"),"")</f>
        <v/>
      </c>
      <c r="K82" s="44" t="str">
        <f>IF(SUMIFS('Detailed Budget'!$AR$5:$AR$1005,'Detailed Budget'!$L$5:$L$1005,$B82,'Detailed Budget'!$L$5:$L$1005,"&gt;0")&gt;0,SUMIFS('Detailed Budget'!$AR$5:$AR$1005,'Detailed Budget'!$L$5:$L$1005,$B82,'Detailed Budget'!$L$5:$L$1005,"&gt;0"),"")</f>
        <v/>
      </c>
      <c r="L82" s="44" t="str">
        <f>IF(SUMIFS('Detailed Budget'!$AT$5:$AT$1005,'Detailed Budget'!$L$5:$L$1005,$B82,'Detailed Budget'!$L$5:$L$1005,"&gt;0")&gt;0,SUMIFS('Detailed Budget'!$AT$5:$AT$1005,'Detailed Budget'!$L$5:$L$1005,$B82,'Detailed Budget'!$L$5:$L$1005,"&gt;0"),"")</f>
        <v/>
      </c>
      <c r="M82" s="45" t="str">
        <f>IF(SUMIFS('Detailed Budget'!$AV$5:$AV$1005,'Detailed Budget'!$L$5:$L$1005,$B82,'Detailed Budget'!$L$5:$L$1005,"&gt;0")&gt;0,SUMIFS('Detailed Budget'!$AV$5:$AV$1005,'Detailed Budget'!$L$5:$L$1005,$B82,'Detailed Budget'!$L$5:$L$1005,"&gt;0"),"")</f>
        <v/>
      </c>
      <c r="N82" s="44" t="str">
        <f>IF(SUMIFS('Detailed Budget'!$BA$5:$BA$1005,'Detailed Budget'!$L$5:$L$1005,$B82,'Detailed Budget'!$L$5:$L$1005,"&gt;0")&gt;0,SUMIFS('Detailed Budget'!$BA$5:$BA$1005,'Detailed Budget'!$L$5:$L$1005,$B82,'Detailed Budget'!$L$5:$L$1005,"&gt;0"),"")</f>
        <v/>
      </c>
      <c r="O82" s="44" t="str">
        <f>IF(SUMIFS('Detailed Budget'!$BC$5:$BC$1005,'Detailed Budget'!$L$5:$L$1005,$B82,'Detailed Budget'!$L$5:$L$1005,"&gt;0")&gt;0,SUMIFS('Detailed Budget'!$BC$5:$BC$1005,'Detailed Budget'!$L$5:$L$1005,$B82,'Detailed Budget'!$L$5:$L$1005,"&gt;0"),"")</f>
        <v/>
      </c>
      <c r="P82" s="44" t="str">
        <f>IF(SUMIFS('Detailed Budget'!$BE$5:$BE$1005,'Detailed Budget'!$L$5:$L$1005,$B82,'Detailed Budget'!$L$5:$L$1005,"&gt;0")&gt;0,SUMIFS('Detailed Budget'!$BE$5:$BE$1005,'Detailed Budget'!$L$5:$L$1005,$B82,'Detailed Budget'!$L$5:$L$1005,"&gt;0"),"")</f>
        <v/>
      </c>
      <c r="Q82" s="44" t="str">
        <f>IF(SUMIFS('Detailed Budget'!$BG$5:$BG$1005,'Detailed Budget'!$L$5:$L$1005,$B82,'Detailed Budget'!$L$5:$L$1005,"&gt;0")&gt;0,SUMIFS('Detailed Budget'!$BG$5:$BG$1005,'Detailed Budget'!$L$5:$L$1005,$B82,'Detailed Budget'!$L$5:$L$1005,"&gt;0"),"")</f>
        <v/>
      </c>
      <c r="R82" s="45" t="str">
        <f>IF(SUMIFS('Detailed Budget'!$BI$5:$BI$1005,'Detailed Budget'!$L$5:$L$1005,$B82,'Detailed Budget'!$L$5:$L$1005,"&gt;0")&gt;0,SUMIFS('Detailed Budget'!$BI$5:$BI$1005,'Detailed Budget'!$L$5:$L$1005,$B82,'Detailed Budget'!$L$5:$L$1005,"&gt;0"),"")</f>
        <v/>
      </c>
      <c r="S82" s="44" t="str">
        <f>IF(SUMIFS('Detailed Budget'!$BN$5:$BN$1005,'Detailed Budget'!$L$5:$L$1005,$B82,'Detailed Budget'!$L$5:$L$1005,"&gt;0")&gt;0,SUMIFS('Detailed Budget'!$BN$5:$BN$1005,'Detailed Budget'!$L$5:$L$1005,$B82,'Detailed Budget'!$L$5:$L$1005,"&gt;0"),"")</f>
        <v/>
      </c>
      <c r="T82" s="44" t="str">
        <f>IF(SUMIFS('Detailed Budget'!$BP$5:$BP$1005,'Detailed Budget'!$L$5:$L$1005,$B82,'Detailed Budget'!$L$5:$L$1005,"&gt;0")&gt;0,SUMIFS('Detailed Budget'!$BP$5:$BP$1005,'Detailed Budget'!$L$5:$L$1005,$B82,'Detailed Budget'!$L$5:$L$1005,"&gt;0"),"")</f>
        <v/>
      </c>
      <c r="U82" s="44" t="str">
        <f>IF(SUMIFS('Detailed Budget'!$BR$5:$BR$1005,'Detailed Budget'!$L$5:$L$1005,$B82,'Detailed Budget'!$L$5:$L$1005,"&gt;0")&gt;0,SUMIFS('Detailed Budget'!$BR$5:$BR$1005,'Detailed Budget'!$L$5:$L$1005,$B82,'Detailed Budget'!$L$5:$L$1005,"&gt;0"),"")</f>
        <v/>
      </c>
      <c r="V82" s="44" t="str">
        <f>IF(SUMIFS('Detailed Budget'!$BT$5:$BT$1005,'Detailed Budget'!$L$5:$L$1005,$B82,'Detailed Budget'!$L$5:$L$1005,"&gt;0")&gt;0,SUMIFS('Detailed Budget'!$BT$5:$BT$1005,'Detailed Budget'!$L$5:$L$1005,$B82,'Detailed Budget'!$L$5:$L$1005,"&gt;0"),"")</f>
        <v/>
      </c>
      <c r="W82" s="45" t="str">
        <f>IF(SUMIFS('Detailed Budget'!$BV$5:$BV$1005,'Detailed Budget'!$L$5:$L$1005,$B82,'Detailed Budget'!$L$5:$L$1005,"&gt;0")&gt;0,SUMIFS('Detailed Budget'!$BV$5:$BV$1005,'Detailed Budget'!$L$5:$L$1005,$B82,'Detailed Budget'!$L$5:$L$1005,"&gt;0"),"")</f>
        <v/>
      </c>
      <c r="X82" s="44" t="str">
        <f t="shared" si="4"/>
        <v/>
      </c>
      <c r="Y82" s="124" t="str">
        <f t="shared" si="5"/>
        <v/>
      </c>
    </row>
    <row r="83" spans="1:25" hidden="1" x14ac:dyDescent="0.25">
      <c r="A83" s="35"/>
      <c r="B83" s="234" t="str">
        <f t="array" ref="B83">IFERROR(INDEX(CostInpNoList,MATCH(0,IF(ISBLANK(CostInpNoList),"",COUNTIF(B$16:B82,CostInpNoList)),0)),"")</f>
        <v/>
      </c>
      <c r="C83" s="372" t="str">
        <f>IFERROR(INDEX('Data Sheet'!$F$198:$F$275,MATCH(B83,'Data Sheet'!$G$198:$G$275,0)),"")</f>
        <v/>
      </c>
      <c r="D83" s="44" t="str">
        <f>IF(SUMIFS('Detailed Budget'!$AA$5:$AA$1005,'Detailed Budget'!$L$5:$L$1005,$B83,'Detailed Budget'!$L$5:$L$1005,"&gt;0")&gt;0,SUMIFS('Detailed Budget'!$AA$5:$AA$1005,'Detailed Budget'!$L$5:$L$1005,$B83,'Detailed Budget'!$L$5:$L$1005,"&gt;0"),"")</f>
        <v/>
      </c>
      <c r="E83" s="44" t="str">
        <f>IF(SUMIFS('Detailed Budget'!$AC$5:$AC$1005,'Detailed Budget'!$L$5:$L$1005,$B83,'Detailed Budget'!$L$5:$L$1005,"&gt;0")&gt;0,SUMIFS('Detailed Budget'!$AC$5:$AC$1005,'Detailed Budget'!$L$5:$L$1005,$B83,'Detailed Budget'!$L$5:$L$1005,"&gt;0"),"")</f>
        <v/>
      </c>
      <c r="F83" s="44" t="str">
        <f>IF(SUMIFS('Detailed Budget'!$AE$5:$AE$1005,'Detailed Budget'!$L$5:$L$1005,$B83,'Detailed Budget'!$L$5:$L$1005,"&gt;0")&gt;0,SUMIFS('Detailed Budget'!$AE$5:$AE$1005,'Detailed Budget'!$L$5:$L$1005,$B83,'Detailed Budget'!$L$5:$L$1005,"&gt;0"),"")</f>
        <v/>
      </c>
      <c r="G83" s="44" t="str">
        <f>IF(SUMIFS('Detailed Budget'!$AG$5:$AG$1005,'Detailed Budget'!$L$5:$L$1005,$B83,'Detailed Budget'!$L$5:$L$1005,"&gt;0")&gt;0,SUMIFS('Detailed Budget'!$AG$5:$AG$1005,'Detailed Budget'!$L$5:$L$1005,$B83,'Detailed Budget'!$L$5:$L$1005,"&gt;0"),"")</f>
        <v/>
      </c>
      <c r="H83" s="45" t="str">
        <f>IF(SUMIFS('Detailed Budget'!$AI$5:$AI$1005,'Detailed Budget'!$L$5:$L$1005,$B83,'Detailed Budget'!$L$5:$L$1005,"&gt;0")&gt;0,SUMIFS('Detailed Budget'!$AI$5:$AI$1005,'Detailed Budget'!$L$5:$L$1005,$B83,'Detailed Budget'!$L$5:$L$1005,"&gt;0"),"")</f>
        <v/>
      </c>
      <c r="I83" s="44" t="str">
        <f>IF(SUMIFS('Detailed Budget'!$AN$5:$AN$1005,'Detailed Budget'!$L$5:$L$1005,$B83,'Detailed Budget'!$L$5:$L$1005,"&gt;0")&gt;0,SUMIFS('Detailed Budget'!$AN$5:$AN$1005,'Detailed Budget'!$L$5:$L$1005,$B83,'Detailed Budget'!$L$5:$L$1005,"&gt;0"),"")</f>
        <v/>
      </c>
      <c r="J83" s="44" t="str">
        <f>IF(SUMIFS('Detailed Budget'!$AP$5:$AP$1005,'Detailed Budget'!$L$5:$L$1005,$B83,'Detailed Budget'!$L$5:$L$1005,"&gt;0")&gt;0,SUMIFS('Detailed Budget'!$AP$5:$AP$1005,'Detailed Budget'!$L$5:$L$1005,$B83,'Detailed Budget'!$L$5:$L$1005,"&gt;0"),"")</f>
        <v/>
      </c>
      <c r="K83" s="44" t="str">
        <f>IF(SUMIFS('Detailed Budget'!$AR$5:$AR$1005,'Detailed Budget'!$L$5:$L$1005,$B83,'Detailed Budget'!$L$5:$L$1005,"&gt;0")&gt;0,SUMIFS('Detailed Budget'!$AR$5:$AR$1005,'Detailed Budget'!$L$5:$L$1005,$B83,'Detailed Budget'!$L$5:$L$1005,"&gt;0"),"")</f>
        <v/>
      </c>
      <c r="L83" s="44" t="str">
        <f>IF(SUMIFS('Detailed Budget'!$AT$5:$AT$1005,'Detailed Budget'!$L$5:$L$1005,$B83,'Detailed Budget'!$L$5:$L$1005,"&gt;0")&gt;0,SUMIFS('Detailed Budget'!$AT$5:$AT$1005,'Detailed Budget'!$L$5:$L$1005,$B83,'Detailed Budget'!$L$5:$L$1005,"&gt;0"),"")</f>
        <v/>
      </c>
      <c r="M83" s="45" t="str">
        <f>IF(SUMIFS('Detailed Budget'!$AV$5:$AV$1005,'Detailed Budget'!$L$5:$L$1005,$B83,'Detailed Budget'!$L$5:$L$1005,"&gt;0")&gt;0,SUMIFS('Detailed Budget'!$AV$5:$AV$1005,'Detailed Budget'!$L$5:$L$1005,$B83,'Detailed Budget'!$L$5:$L$1005,"&gt;0"),"")</f>
        <v/>
      </c>
      <c r="N83" s="44" t="str">
        <f>IF(SUMIFS('Detailed Budget'!$BA$5:$BA$1005,'Detailed Budget'!$L$5:$L$1005,$B83,'Detailed Budget'!$L$5:$L$1005,"&gt;0")&gt;0,SUMIFS('Detailed Budget'!$BA$5:$BA$1005,'Detailed Budget'!$L$5:$L$1005,$B83,'Detailed Budget'!$L$5:$L$1005,"&gt;0"),"")</f>
        <v/>
      </c>
      <c r="O83" s="44" t="str">
        <f>IF(SUMIFS('Detailed Budget'!$BC$5:$BC$1005,'Detailed Budget'!$L$5:$L$1005,$B83,'Detailed Budget'!$L$5:$L$1005,"&gt;0")&gt;0,SUMIFS('Detailed Budget'!$BC$5:$BC$1005,'Detailed Budget'!$L$5:$L$1005,$B83,'Detailed Budget'!$L$5:$L$1005,"&gt;0"),"")</f>
        <v/>
      </c>
      <c r="P83" s="44" t="str">
        <f>IF(SUMIFS('Detailed Budget'!$BE$5:$BE$1005,'Detailed Budget'!$L$5:$L$1005,$B83,'Detailed Budget'!$L$5:$L$1005,"&gt;0")&gt;0,SUMIFS('Detailed Budget'!$BE$5:$BE$1005,'Detailed Budget'!$L$5:$L$1005,$B83,'Detailed Budget'!$L$5:$L$1005,"&gt;0"),"")</f>
        <v/>
      </c>
      <c r="Q83" s="44" t="str">
        <f>IF(SUMIFS('Detailed Budget'!$BG$5:$BG$1005,'Detailed Budget'!$L$5:$L$1005,$B83,'Detailed Budget'!$L$5:$L$1005,"&gt;0")&gt;0,SUMIFS('Detailed Budget'!$BG$5:$BG$1005,'Detailed Budget'!$L$5:$L$1005,$B83,'Detailed Budget'!$L$5:$L$1005,"&gt;0"),"")</f>
        <v/>
      </c>
      <c r="R83" s="45" t="str">
        <f>IF(SUMIFS('Detailed Budget'!$BI$5:$BI$1005,'Detailed Budget'!$L$5:$L$1005,$B83,'Detailed Budget'!$L$5:$L$1005,"&gt;0")&gt;0,SUMIFS('Detailed Budget'!$BI$5:$BI$1005,'Detailed Budget'!$L$5:$L$1005,$B83,'Detailed Budget'!$L$5:$L$1005,"&gt;0"),"")</f>
        <v/>
      </c>
      <c r="S83" s="44" t="str">
        <f>IF(SUMIFS('Detailed Budget'!$BN$5:$BN$1005,'Detailed Budget'!$L$5:$L$1005,$B83,'Detailed Budget'!$L$5:$L$1005,"&gt;0")&gt;0,SUMIFS('Detailed Budget'!$BN$5:$BN$1005,'Detailed Budget'!$L$5:$L$1005,$B83,'Detailed Budget'!$L$5:$L$1005,"&gt;0"),"")</f>
        <v/>
      </c>
      <c r="T83" s="44" t="str">
        <f>IF(SUMIFS('Detailed Budget'!$BP$5:$BP$1005,'Detailed Budget'!$L$5:$L$1005,$B83,'Detailed Budget'!$L$5:$L$1005,"&gt;0")&gt;0,SUMIFS('Detailed Budget'!$BP$5:$BP$1005,'Detailed Budget'!$L$5:$L$1005,$B83,'Detailed Budget'!$L$5:$L$1005,"&gt;0"),"")</f>
        <v/>
      </c>
      <c r="U83" s="44" t="str">
        <f>IF(SUMIFS('Detailed Budget'!$BR$5:$BR$1005,'Detailed Budget'!$L$5:$L$1005,$B83,'Detailed Budget'!$L$5:$L$1005,"&gt;0")&gt;0,SUMIFS('Detailed Budget'!$BR$5:$BR$1005,'Detailed Budget'!$L$5:$L$1005,$B83,'Detailed Budget'!$L$5:$L$1005,"&gt;0"),"")</f>
        <v/>
      </c>
      <c r="V83" s="44" t="str">
        <f>IF(SUMIFS('Detailed Budget'!$BT$5:$BT$1005,'Detailed Budget'!$L$5:$L$1005,$B83,'Detailed Budget'!$L$5:$L$1005,"&gt;0")&gt;0,SUMIFS('Detailed Budget'!$BT$5:$BT$1005,'Detailed Budget'!$L$5:$L$1005,$B83,'Detailed Budget'!$L$5:$L$1005,"&gt;0"),"")</f>
        <v/>
      </c>
      <c r="W83" s="45" t="str">
        <f>IF(SUMIFS('Detailed Budget'!$BV$5:$BV$1005,'Detailed Budget'!$L$5:$L$1005,$B83,'Detailed Budget'!$L$5:$L$1005,"&gt;0")&gt;0,SUMIFS('Detailed Budget'!$BV$5:$BV$1005,'Detailed Budget'!$L$5:$L$1005,$B83,'Detailed Budget'!$L$5:$L$1005,"&gt;0"),"")</f>
        <v/>
      </c>
      <c r="X83" s="44" t="str">
        <f t="shared" si="4"/>
        <v/>
      </c>
      <c r="Y83" s="124" t="str">
        <f t="shared" si="5"/>
        <v/>
      </c>
    </row>
    <row r="84" spans="1:25" hidden="1" x14ac:dyDescent="0.25">
      <c r="A84" s="35"/>
      <c r="B84" s="234" t="str">
        <f t="array" ref="B84">IFERROR(INDEX(CostInpNoList,MATCH(0,IF(ISBLANK(CostInpNoList),"",COUNTIF(B$16:B83,CostInpNoList)),0)),"")</f>
        <v/>
      </c>
      <c r="C84" s="372" t="str">
        <f>IFERROR(INDEX('Data Sheet'!$F$198:$F$275,MATCH(B84,'Data Sheet'!$G$198:$G$275,0)),"")</f>
        <v/>
      </c>
      <c r="D84" s="44" t="str">
        <f>IF(SUMIFS('Detailed Budget'!$AA$5:$AA$1005,'Detailed Budget'!$L$5:$L$1005,$B84,'Detailed Budget'!$L$5:$L$1005,"&gt;0")&gt;0,SUMIFS('Detailed Budget'!$AA$5:$AA$1005,'Detailed Budget'!$L$5:$L$1005,$B84,'Detailed Budget'!$L$5:$L$1005,"&gt;0"),"")</f>
        <v/>
      </c>
      <c r="E84" s="44" t="str">
        <f>IF(SUMIFS('Detailed Budget'!$AC$5:$AC$1005,'Detailed Budget'!$L$5:$L$1005,$B84,'Detailed Budget'!$L$5:$L$1005,"&gt;0")&gt;0,SUMIFS('Detailed Budget'!$AC$5:$AC$1005,'Detailed Budget'!$L$5:$L$1005,$B84,'Detailed Budget'!$L$5:$L$1005,"&gt;0"),"")</f>
        <v/>
      </c>
      <c r="F84" s="44" t="str">
        <f>IF(SUMIFS('Detailed Budget'!$AE$5:$AE$1005,'Detailed Budget'!$L$5:$L$1005,$B84,'Detailed Budget'!$L$5:$L$1005,"&gt;0")&gt;0,SUMIFS('Detailed Budget'!$AE$5:$AE$1005,'Detailed Budget'!$L$5:$L$1005,$B84,'Detailed Budget'!$L$5:$L$1005,"&gt;0"),"")</f>
        <v/>
      </c>
      <c r="G84" s="44" t="str">
        <f>IF(SUMIFS('Detailed Budget'!$AG$5:$AG$1005,'Detailed Budget'!$L$5:$L$1005,$B84,'Detailed Budget'!$L$5:$L$1005,"&gt;0")&gt;0,SUMIFS('Detailed Budget'!$AG$5:$AG$1005,'Detailed Budget'!$L$5:$L$1005,$B84,'Detailed Budget'!$L$5:$L$1005,"&gt;0"),"")</f>
        <v/>
      </c>
      <c r="H84" s="45" t="str">
        <f>IF(SUMIFS('Detailed Budget'!$AI$5:$AI$1005,'Detailed Budget'!$L$5:$L$1005,$B84,'Detailed Budget'!$L$5:$L$1005,"&gt;0")&gt;0,SUMIFS('Detailed Budget'!$AI$5:$AI$1005,'Detailed Budget'!$L$5:$L$1005,$B84,'Detailed Budget'!$L$5:$L$1005,"&gt;0"),"")</f>
        <v/>
      </c>
      <c r="I84" s="44" t="str">
        <f>IF(SUMIFS('Detailed Budget'!$AN$5:$AN$1005,'Detailed Budget'!$L$5:$L$1005,$B84,'Detailed Budget'!$L$5:$L$1005,"&gt;0")&gt;0,SUMIFS('Detailed Budget'!$AN$5:$AN$1005,'Detailed Budget'!$L$5:$L$1005,$B84,'Detailed Budget'!$L$5:$L$1005,"&gt;0"),"")</f>
        <v/>
      </c>
      <c r="J84" s="44" t="str">
        <f>IF(SUMIFS('Detailed Budget'!$AP$5:$AP$1005,'Detailed Budget'!$L$5:$L$1005,$B84,'Detailed Budget'!$L$5:$L$1005,"&gt;0")&gt;0,SUMIFS('Detailed Budget'!$AP$5:$AP$1005,'Detailed Budget'!$L$5:$L$1005,$B84,'Detailed Budget'!$L$5:$L$1005,"&gt;0"),"")</f>
        <v/>
      </c>
      <c r="K84" s="44" t="str">
        <f>IF(SUMIFS('Detailed Budget'!$AR$5:$AR$1005,'Detailed Budget'!$L$5:$L$1005,$B84,'Detailed Budget'!$L$5:$L$1005,"&gt;0")&gt;0,SUMIFS('Detailed Budget'!$AR$5:$AR$1005,'Detailed Budget'!$L$5:$L$1005,$B84,'Detailed Budget'!$L$5:$L$1005,"&gt;0"),"")</f>
        <v/>
      </c>
      <c r="L84" s="44" t="str">
        <f>IF(SUMIFS('Detailed Budget'!$AT$5:$AT$1005,'Detailed Budget'!$L$5:$L$1005,$B84,'Detailed Budget'!$L$5:$L$1005,"&gt;0")&gt;0,SUMIFS('Detailed Budget'!$AT$5:$AT$1005,'Detailed Budget'!$L$5:$L$1005,$B84,'Detailed Budget'!$L$5:$L$1005,"&gt;0"),"")</f>
        <v/>
      </c>
      <c r="M84" s="45" t="str">
        <f>IF(SUMIFS('Detailed Budget'!$AV$5:$AV$1005,'Detailed Budget'!$L$5:$L$1005,$B84,'Detailed Budget'!$L$5:$L$1005,"&gt;0")&gt;0,SUMIFS('Detailed Budget'!$AV$5:$AV$1005,'Detailed Budget'!$L$5:$L$1005,$B84,'Detailed Budget'!$L$5:$L$1005,"&gt;0"),"")</f>
        <v/>
      </c>
      <c r="N84" s="44" t="str">
        <f>IF(SUMIFS('Detailed Budget'!$BA$5:$BA$1005,'Detailed Budget'!$L$5:$L$1005,$B84,'Detailed Budget'!$L$5:$L$1005,"&gt;0")&gt;0,SUMIFS('Detailed Budget'!$BA$5:$BA$1005,'Detailed Budget'!$L$5:$L$1005,$B84,'Detailed Budget'!$L$5:$L$1005,"&gt;0"),"")</f>
        <v/>
      </c>
      <c r="O84" s="44" t="str">
        <f>IF(SUMIFS('Detailed Budget'!$BC$5:$BC$1005,'Detailed Budget'!$L$5:$L$1005,$B84,'Detailed Budget'!$L$5:$L$1005,"&gt;0")&gt;0,SUMIFS('Detailed Budget'!$BC$5:$BC$1005,'Detailed Budget'!$L$5:$L$1005,$B84,'Detailed Budget'!$L$5:$L$1005,"&gt;0"),"")</f>
        <v/>
      </c>
      <c r="P84" s="44" t="str">
        <f>IF(SUMIFS('Detailed Budget'!$BE$5:$BE$1005,'Detailed Budget'!$L$5:$L$1005,$B84,'Detailed Budget'!$L$5:$L$1005,"&gt;0")&gt;0,SUMIFS('Detailed Budget'!$BE$5:$BE$1005,'Detailed Budget'!$L$5:$L$1005,$B84,'Detailed Budget'!$L$5:$L$1005,"&gt;0"),"")</f>
        <v/>
      </c>
      <c r="Q84" s="44" t="str">
        <f>IF(SUMIFS('Detailed Budget'!$BG$5:$BG$1005,'Detailed Budget'!$L$5:$L$1005,$B84,'Detailed Budget'!$L$5:$L$1005,"&gt;0")&gt;0,SUMIFS('Detailed Budget'!$BG$5:$BG$1005,'Detailed Budget'!$L$5:$L$1005,$B84,'Detailed Budget'!$L$5:$L$1005,"&gt;0"),"")</f>
        <v/>
      </c>
      <c r="R84" s="45" t="str">
        <f>IF(SUMIFS('Detailed Budget'!$BI$5:$BI$1005,'Detailed Budget'!$L$5:$L$1005,$B84,'Detailed Budget'!$L$5:$L$1005,"&gt;0")&gt;0,SUMIFS('Detailed Budget'!$BI$5:$BI$1005,'Detailed Budget'!$L$5:$L$1005,$B84,'Detailed Budget'!$L$5:$L$1005,"&gt;0"),"")</f>
        <v/>
      </c>
      <c r="S84" s="44" t="str">
        <f>IF(SUMIFS('Detailed Budget'!$BN$5:$BN$1005,'Detailed Budget'!$L$5:$L$1005,$B84,'Detailed Budget'!$L$5:$L$1005,"&gt;0")&gt;0,SUMIFS('Detailed Budget'!$BN$5:$BN$1005,'Detailed Budget'!$L$5:$L$1005,$B84,'Detailed Budget'!$L$5:$L$1005,"&gt;0"),"")</f>
        <v/>
      </c>
      <c r="T84" s="44" t="str">
        <f>IF(SUMIFS('Detailed Budget'!$BP$5:$BP$1005,'Detailed Budget'!$L$5:$L$1005,$B84,'Detailed Budget'!$L$5:$L$1005,"&gt;0")&gt;0,SUMIFS('Detailed Budget'!$BP$5:$BP$1005,'Detailed Budget'!$L$5:$L$1005,$B84,'Detailed Budget'!$L$5:$L$1005,"&gt;0"),"")</f>
        <v/>
      </c>
      <c r="U84" s="44" t="str">
        <f>IF(SUMIFS('Detailed Budget'!$BR$5:$BR$1005,'Detailed Budget'!$L$5:$L$1005,$B84,'Detailed Budget'!$L$5:$L$1005,"&gt;0")&gt;0,SUMIFS('Detailed Budget'!$BR$5:$BR$1005,'Detailed Budget'!$L$5:$L$1005,$B84,'Detailed Budget'!$L$5:$L$1005,"&gt;0"),"")</f>
        <v/>
      </c>
      <c r="V84" s="44" t="str">
        <f>IF(SUMIFS('Detailed Budget'!$BT$5:$BT$1005,'Detailed Budget'!$L$5:$L$1005,$B84,'Detailed Budget'!$L$5:$L$1005,"&gt;0")&gt;0,SUMIFS('Detailed Budget'!$BT$5:$BT$1005,'Detailed Budget'!$L$5:$L$1005,$B84,'Detailed Budget'!$L$5:$L$1005,"&gt;0"),"")</f>
        <v/>
      </c>
      <c r="W84" s="45" t="str">
        <f>IF(SUMIFS('Detailed Budget'!$BV$5:$BV$1005,'Detailed Budget'!$L$5:$L$1005,$B84,'Detailed Budget'!$L$5:$L$1005,"&gt;0")&gt;0,SUMIFS('Detailed Budget'!$BV$5:$BV$1005,'Detailed Budget'!$L$5:$L$1005,$B84,'Detailed Budget'!$L$5:$L$1005,"&gt;0"),"")</f>
        <v/>
      </c>
      <c r="X84" s="44" t="str">
        <f t="shared" si="4"/>
        <v/>
      </c>
      <c r="Y84" s="124" t="str">
        <f t="shared" si="5"/>
        <v/>
      </c>
    </row>
    <row r="85" spans="1:25" hidden="1" x14ac:dyDescent="0.25">
      <c r="A85" s="35"/>
      <c r="B85" s="234" t="str">
        <f t="array" ref="B85">IFERROR(INDEX(CostInpNoList,MATCH(0,IF(ISBLANK(CostInpNoList),"",COUNTIF(B$16:B84,CostInpNoList)),0)),"")</f>
        <v/>
      </c>
      <c r="C85" s="372" t="str">
        <f>IFERROR(INDEX('Data Sheet'!$F$198:$F$275,MATCH(B85,'Data Sheet'!$G$198:$G$275,0)),"")</f>
        <v/>
      </c>
      <c r="D85" s="44" t="str">
        <f>IF(SUMIFS('Detailed Budget'!$AA$5:$AA$1005,'Detailed Budget'!$L$5:$L$1005,$B85,'Detailed Budget'!$L$5:$L$1005,"&gt;0")&gt;0,SUMIFS('Detailed Budget'!$AA$5:$AA$1005,'Detailed Budget'!$L$5:$L$1005,$B85,'Detailed Budget'!$L$5:$L$1005,"&gt;0"),"")</f>
        <v/>
      </c>
      <c r="E85" s="44" t="str">
        <f>IF(SUMIFS('Detailed Budget'!$AC$5:$AC$1005,'Detailed Budget'!$L$5:$L$1005,$B85,'Detailed Budget'!$L$5:$L$1005,"&gt;0")&gt;0,SUMIFS('Detailed Budget'!$AC$5:$AC$1005,'Detailed Budget'!$L$5:$L$1005,$B85,'Detailed Budget'!$L$5:$L$1005,"&gt;0"),"")</f>
        <v/>
      </c>
      <c r="F85" s="44" t="str">
        <f>IF(SUMIFS('Detailed Budget'!$AE$5:$AE$1005,'Detailed Budget'!$L$5:$L$1005,$B85,'Detailed Budget'!$L$5:$L$1005,"&gt;0")&gt;0,SUMIFS('Detailed Budget'!$AE$5:$AE$1005,'Detailed Budget'!$L$5:$L$1005,$B85,'Detailed Budget'!$L$5:$L$1005,"&gt;0"),"")</f>
        <v/>
      </c>
      <c r="G85" s="44" t="str">
        <f>IF(SUMIFS('Detailed Budget'!$AG$5:$AG$1005,'Detailed Budget'!$L$5:$L$1005,$B85,'Detailed Budget'!$L$5:$L$1005,"&gt;0")&gt;0,SUMIFS('Detailed Budget'!$AG$5:$AG$1005,'Detailed Budget'!$L$5:$L$1005,$B85,'Detailed Budget'!$L$5:$L$1005,"&gt;0"),"")</f>
        <v/>
      </c>
      <c r="H85" s="45" t="str">
        <f>IF(SUMIFS('Detailed Budget'!$AI$5:$AI$1005,'Detailed Budget'!$L$5:$L$1005,$B85,'Detailed Budget'!$L$5:$L$1005,"&gt;0")&gt;0,SUMIFS('Detailed Budget'!$AI$5:$AI$1005,'Detailed Budget'!$L$5:$L$1005,$B85,'Detailed Budget'!$L$5:$L$1005,"&gt;0"),"")</f>
        <v/>
      </c>
      <c r="I85" s="44" t="str">
        <f>IF(SUMIFS('Detailed Budget'!$AN$5:$AN$1005,'Detailed Budget'!$L$5:$L$1005,$B85,'Detailed Budget'!$L$5:$L$1005,"&gt;0")&gt;0,SUMIFS('Detailed Budget'!$AN$5:$AN$1005,'Detailed Budget'!$L$5:$L$1005,$B85,'Detailed Budget'!$L$5:$L$1005,"&gt;0"),"")</f>
        <v/>
      </c>
      <c r="J85" s="44" t="str">
        <f>IF(SUMIFS('Detailed Budget'!$AP$5:$AP$1005,'Detailed Budget'!$L$5:$L$1005,$B85,'Detailed Budget'!$L$5:$L$1005,"&gt;0")&gt;0,SUMIFS('Detailed Budget'!$AP$5:$AP$1005,'Detailed Budget'!$L$5:$L$1005,$B85,'Detailed Budget'!$L$5:$L$1005,"&gt;0"),"")</f>
        <v/>
      </c>
      <c r="K85" s="44" t="str">
        <f>IF(SUMIFS('Detailed Budget'!$AR$5:$AR$1005,'Detailed Budget'!$L$5:$L$1005,$B85,'Detailed Budget'!$L$5:$L$1005,"&gt;0")&gt;0,SUMIFS('Detailed Budget'!$AR$5:$AR$1005,'Detailed Budget'!$L$5:$L$1005,$B85,'Detailed Budget'!$L$5:$L$1005,"&gt;0"),"")</f>
        <v/>
      </c>
      <c r="L85" s="44" t="str">
        <f>IF(SUMIFS('Detailed Budget'!$AT$5:$AT$1005,'Detailed Budget'!$L$5:$L$1005,$B85,'Detailed Budget'!$L$5:$L$1005,"&gt;0")&gt;0,SUMIFS('Detailed Budget'!$AT$5:$AT$1005,'Detailed Budget'!$L$5:$L$1005,$B85,'Detailed Budget'!$L$5:$L$1005,"&gt;0"),"")</f>
        <v/>
      </c>
      <c r="M85" s="45" t="str">
        <f>IF(SUMIFS('Detailed Budget'!$AV$5:$AV$1005,'Detailed Budget'!$L$5:$L$1005,$B85,'Detailed Budget'!$L$5:$L$1005,"&gt;0")&gt;0,SUMIFS('Detailed Budget'!$AV$5:$AV$1005,'Detailed Budget'!$L$5:$L$1005,$B85,'Detailed Budget'!$L$5:$L$1005,"&gt;0"),"")</f>
        <v/>
      </c>
      <c r="N85" s="44" t="str">
        <f>IF(SUMIFS('Detailed Budget'!$BA$5:$BA$1005,'Detailed Budget'!$L$5:$L$1005,$B85,'Detailed Budget'!$L$5:$L$1005,"&gt;0")&gt;0,SUMIFS('Detailed Budget'!$BA$5:$BA$1005,'Detailed Budget'!$L$5:$L$1005,$B85,'Detailed Budget'!$L$5:$L$1005,"&gt;0"),"")</f>
        <v/>
      </c>
      <c r="O85" s="44" t="str">
        <f>IF(SUMIFS('Detailed Budget'!$BC$5:$BC$1005,'Detailed Budget'!$L$5:$L$1005,$B85,'Detailed Budget'!$L$5:$L$1005,"&gt;0")&gt;0,SUMIFS('Detailed Budget'!$BC$5:$BC$1005,'Detailed Budget'!$L$5:$L$1005,$B85,'Detailed Budget'!$L$5:$L$1005,"&gt;0"),"")</f>
        <v/>
      </c>
      <c r="P85" s="44" t="str">
        <f>IF(SUMIFS('Detailed Budget'!$BE$5:$BE$1005,'Detailed Budget'!$L$5:$L$1005,$B85,'Detailed Budget'!$L$5:$L$1005,"&gt;0")&gt;0,SUMIFS('Detailed Budget'!$BE$5:$BE$1005,'Detailed Budget'!$L$5:$L$1005,$B85,'Detailed Budget'!$L$5:$L$1005,"&gt;0"),"")</f>
        <v/>
      </c>
      <c r="Q85" s="44" t="str">
        <f>IF(SUMIFS('Detailed Budget'!$BG$5:$BG$1005,'Detailed Budget'!$L$5:$L$1005,$B85,'Detailed Budget'!$L$5:$L$1005,"&gt;0")&gt;0,SUMIFS('Detailed Budget'!$BG$5:$BG$1005,'Detailed Budget'!$L$5:$L$1005,$B85,'Detailed Budget'!$L$5:$L$1005,"&gt;0"),"")</f>
        <v/>
      </c>
      <c r="R85" s="45" t="str">
        <f>IF(SUMIFS('Detailed Budget'!$BI$5:$BI$1005,'Detailed Budget'!$L$5:$L$1005,$B85,'Detailed Budget'!$L$5:$L$1005,"&gt;0")&gt;0,SUMIFS('Detailed Budget'!$BI$5:$BI$1005,'Detailed Budget'!$L$5:$L$1005,$B85,'Detailed Budget'!$L$5:$L$1005,"&gt;0"),"")</f>
        <v/>
      </c>
      <c r="S85" s="44" t="str">
        <f>IF(SUMIFS('Detailed Budget'!$BN$5:$BN$1005,'Detailed Budget'!$L$5:$L$1005,$B85,'Detailed Budget'!$L$5:$L$1005,"&gt;0")&gt;0,SUMIFS('Detailed Budget'!$BN$5:$BN$1005,'Detailed Budget'!$L$5:$L$1005,$B85,'Detailed Budget'!$L$5:$L$1005,"&gt;0"),"")</f>
        <v/>
      </c>
      <c r="T85" s="44" t="str">
        <f>IF(SUMIFS('Detailed Budget'!$BP$5:$BP$1005,'Detailed Budget'!$L$5:$L$1005,$B85,'Detailed Budget'!$L$5:$L$1005,"&gt;0")&gt;0,SUMIFS('Detailed Budget'!$BP$5:$BP$1005,'Detailed Budget'!$L$5:$L$1005,$B85,'Detailed Budget'!$L$5:$L$1005,"&gt;0"),"")</f>
        <v/>
      </c>
      <c r="U85" s="44" t="str">
        <f>IF(SUMIFS('Detailed Budget'!$BR$5:$BR$1005,'Detailed Budget'!$L$5:$L$1005,$B85,'Detailed Budget'!$L$5:$L$1005,"&gt;0")&gt;0,SUMIFS('Detailed Budget'!$BR$5:$BR$1005,'Detailed Budget'!$L$5:$L$1005,$B85,'Detailed Budget'!$L$5:$L$1005,"&gt;0"),"")</f>
        <v/>
      </c>
      <c r="V85" s="44" t="str">
        <f>IF(SUMIFS('Detailed Budget'!$BT$5:$BT$1005,'Detailed Budget'!$L$5:$L$1005,$B85,'Detailed Budget'!$L$5:$L$1005,"&gt;0")&gt;0,SUMIFS('Detailed Budget'!$BT$5:$BT$1005,'Detailed Budget'!$L$5:$L$1005,$B85,'Detailed Budget'!$L$5:$L$1005,"&gt;0"),"")</f>
        <v/>
      </c>
      <c r="W85" s="45" t="str">
        <f>IF(SUMIFS('Detailed Budget'!$BV$5:$BV$1005,'Detailed Budget'!$L$5:$L$1005,$B85,'Detailed Budget'!$L$5:$L$1005,"&gt;0")&gt;0,SUMIFS('Detailed Budget'!$BV$5:$BV$1005,'Detailed Budget'!$L$5:$L$1005,$B85,'Detailed Budget'!$L$5:$L$1005,"&gt;0"),"")</f>
        <v/>
      </c>
      <c r="X85" s="44" t="str">
        <f t="shared" si="4"/>
        <v/>
      </c>
      <c r="Y85" s="124" t="str">
        <f t="shared" si="5"/>
        <v/>
      </c>
    </row>
    <row r="86" spans="1:25" hidden="1" x14ac:dyDescent="0.25">
      <c r="A86" s="35"/>
      <c r="B86" s="234" t="str">
        <f t="array" ref="B86">IFERROR(INDEX(CostInpNoList,MATCH(0,IF(ISBLANK(CostInpNoList),"",COUNTIF(B$16:B85,CostInpNoList)),0)),"")</f>
        <v/>
      </c>
      <c r="C86" s="372" t="str">
        <f>IFERROR(INDEX('Data Sheet'!$F$198:$F$275,MATCH(B86,'Data Sheet'!$G$198:$G$275,0)),"")</f>
        <v/>
      </c>
      <c r="D86" s="44" t="str">
        <f>IF(SUMIFS('Detailed Budget'!$AA$5:$AA$1005,'Detailed Budget'!$L$5:$L$1005,$B86,'Detailed Budget'!$L$5:$L$1005,"&gt;0")&gt;0,SUMIFS('Detailed Budget'!$AA$5:$AA$1005,'Detailed Budget'!$L$5:$L$1005,$B86,'Detailed Budget'!$L$5:$L$1005,"&gt;0"),"")</f>
        <v/>
      </c>
      <c r="E86" s="44" t="str">
        <f>IF(SUMIFS('Detailed Budget'!$AC$5:$AC$1005,'Detailed Budget'!$L$5:$L$1005,$B86,'Detailed Budget'!$L$5:$L$1005,"&gt;0")&gt;0,SUMIFS('Detailed Budget'!$AC$5:$AC$1005,'Detailed Budget'!$L$5:$L$1005,$B86,'Detailed Budget'!$L$5:$L$1005,"&gt;0"),"")</f>
        <v/>
      </c>
      <c r="F86" s="44" t="str">
        <f>IF(SUMIFS('Detailed Budget'!$AE$5:$AE$1005,'Detailed Budget'!$L$5:$L$1005,$B86,'Detailed Budget'!$L$5:$L$1005,"&gt;0")&gt;0,SUMIFS('Detailed Budget'!$AE$5:$AE$1005,'Detailed Budget'!$L$5:$L$1005,$B86,'Detailed Budget'!$L$5:$L$1005,"&gt;0"),"")</f>
        <v/>
      </c>
      <c r="G86" s="44" t="str">
        <f>IF(SUMIFS('Detailed Budget'!$AG$5:$AG$1005,'Detailed Budget'!$L$5:$L$1005,$B86,'Detailed Budget'!$L$5:$L$1005,"&gt;0")&gt;0,SUMIFS('Detailed Budget'!$AG$5:$AG$1005,'Detailed Budget'!$L$5:$L$1005,$B86,'Detailed Budget'!$L$5:$L$1005,"&gt;0"),"")</f>
        <v/>
      </c>
      <c r="H86" s="45" t="str">
        <f>IF(SUMIFS('Detailed Budget'!$AI$5:$AI$1005,'Detailed Budget'!$L$5:$L$1005,$B86,'Detailed Budget'!$L$5:$L$1005,"&gt;0")&gt;0,SUMIFS('Detailed Budget'!$AI$5:$AI$1005,'Detailed Budget'!$L$5:$L$1005,$B86,'Detailed Budget'!$L$5:$L$1005,"&gt;0"),"")</f>
        <v/>
      </c>
      <c r="I86" s="44" t="str">
        <f>IF(SUMIFS('Detailed Budget'!$AN$5:$AN$1005,'Detailed Budget'!$L$5:$L$1005,$B86,'Detailed Budget'!$L$5:$L$1005,"&gt;0")&gt;0,SUMIFS('Detailed Budget'!$AN$5:$AN$1005,'Detailed Budget'!$L$5:$L$1005,$B86,'Detailed Budget'!$L$5:$L$1005,"&gt;0"),"")</f>
        <v/>
      </c>
      <c r="J86" s="44" t="str">
        <f>IF(SUMIFS('Detailed Budget'!$AP$5:$AP$1005,'Detailed Budget'!$L$5:$L$1005,$B86,'Detailed Budget'!$L$5:$L$1005,"&gt;0")&gt;0,SUMIFS('Detailed Budget'!$AP$5:$AP$1005,'Detailed Budget'!$L$5:$L$1005,$B86,'Detailed Budget'!$L$5:$L$1005,"&gt;0"),"")</f>
        <v/>
      </c>
      <c r="K86" s="44" t="str">
        <f>IF(SUMIFS('Detailed Budget'!$AR$5:$AR$1005,'Detailed Budget'!$L$5:$L$1005,$B86,'Detailed Budget'!$L$5:$L$1005,"&gt;0")&gt;0,SUMIFS('Detailed Budget'!$AR$5:$AR$1005,'Detailed Budget'!$L$5:$L$1005,$B86,'Detailed Budget'!$L$5:$L$1005,"&gt;0"),"")</f>
        <v/>
      </c>
      <c r="L86" s="44" t="str">
        <f>IF(SUMIFS('Detailed Budget'!$AT$5:$AT$1005,'Detailed Budget'!$L$5:$L$1005,$B86,'Detailed Budget'!$L$5:$L$1005,"&gt;0")&gt;0,SUMIFS('Detailed Budget'!$AT$5:$AT$1005,'Detailed Budget'!$L$5:$L$1005,$B86,'Detailed Budget'!$L$5:$L$1005,"&gt;0"),"")</f>
        <v/>
      </c>
      <c r="M86" s="45" t="str">
        <f>IF(SUMIFS('Detailed Budget'!$AV$5:$AV$1005,'Detailed Budget'!$L$5:$L$1005,$B86,'Detailed Budget'!$L$5:$L$1005,"&gt;0")&gt;0,SUMIFS('Detailed Budget'!$AV$5:$AV$1005,'Detailed Budget'!$L$5:$L$1005,$B86,'Detailed Budget'!$L$5:$L$1005,"&gt;0"),"")</f>
        <v/>
      </c>
      <c r="N86" s="44" t="str">
        <f>IF(SUMIFS('Detailed Budget'!$BA$5:$BA$1005,'Detailed Budget'!$L$5:$L$1005,$B86,'Detailed Budget'!$L$5:$L$1005,"&gt;0")&gt;0,SUMIFS('Detailed Budget'!$BA$5:$BA$1005,'Detailed Budget'!$L$5:$L$1005,$B86,'Detailed Budget'!$L$5:$L$1005,"&gt;0"),"")</f>
        <v/>
      </c>
      <c r="O86" s="44" t="str">
        <f>IF(SUMIFS('Detailed Budget'!$BC$5:$BC$1005,'Detailed Budget'!$L$5:$L$1005,$B86,'Detailed Budget'!$L$5:$L$1005,"&gt;0")&gt;0,SUMIFS('Detailed Budget'!$BC$5:$BC$1005,'Detailed Budget'!$L$5:$L$1005,$B86,'Detailed Budget'!$L$5:$L$1005,"&gt;0"),"")</f>
        <v/>
      </c>
      <c r="P86" s="44" t="str">
        <f>IF(SUMIFS('Detailed Budget'!$BE$5:$BE$1005,'Detailed Budget'!$L$5:$L$1005,$B86,'Detailed Budget'!$L$5:$L$1005,"&gt;0")&gt;0,SUMIFS('Detailed Budget'!$BE$5:$BE$1005,'Detailed Budget'!$L$5:$L$1005,$B86,'Detailed Budget'!$L$5:$L$1005,"&gt;0"),"")</f>
        <v/>
      </c>
      <c r="Q86" s="44" t="str">
        <f>IF(SUMIFS('Detailed Budget'!$BG$5:$BG$1005,'Detailed Budget'!$L$5:$L$1005,$B86,'Detailed Budget'!$L$5:$L$1005,"&gt;0")&gt;0,SUMIFS('Detailed Budget'!$BG$5:$BG$1005,'Detailed Budget'!$L$5:$L$1005,$B86,'Detailed Budget'!$L$5:$L$1005,"&gt;0"),"")</f>
        <v/>
      </c>
      <c r="R86" s="45" t="str">
        <f>IF(SUMIFS('Detailed Budget'!$BI$5:$BI$1005,'Detailed Budget'!$L$5:$L$1005,$B86,'Detailed Budget'!$L$5:$L$1005,"&gt;0")&gt;0,SUMIFS('Detailed Budget'!$BI$5:$BI$1005,'Detailed Budget'!$L$5:$L$1005,$B86,'Detailed Budget'!$L$5:$L$1005,"&gt;0"),"")</f>
        <v/>
      </c>
      <c r="S86" s="44" t="str">
        <f>IF(SUMIFS('Detailed Budget'!$BN$5:$BN$1005,'Detailed Budget'!$L$5:$L$1005,$B86,'Detailed Budget'!$L$5:$L$1005,"&gt;0")&gt;0,SUMIFS('Detailed Budget'!$BN$5:$BN$1005,'Detailed Budget'!$L$5:$L$1005,$B86,'Detailed Budget'!$L$5:$L$1005,"&gt;0"),"")</f>
        <v/>
      </c>
      <c r="T86" s="44" t="str">
        <f>IF(SUMIFS('Detailed Budget'!$BP$5:$BP$1005,'Detailed Budget'!$L$5:$L$1005,$B86,'Detailed Budget'!$L$5:$L$1005,"&gt;0")&gt;0,SUMIFS('Detailed Budget'!$BP$5:$BP$1005,'Detailed Budget'!$L$5:$L$1005,$B86,'Detailed Budget'!$L$5:$L$1005,"&gt;0"),"")</f>
        <v/>
      </c>
      <c r="U86" s="44" t="str">
        <f>IF(SUMIFS('Detailed Budget'!$BR$5:$BR$1005,'Detailed Budget'!$L$5:$L$1005,$B86,'Detailed Budget'!$L$5:$L$1005,"&gt;0")&gt;0,SUMIFS('Detailed Budget'!$BR$5:$BR$1005,'Detailed Budget'!$L$5:$L$1005,$B86,'Detailed Budget'!$L$5:$L$1005,"&gt;0"),"")</f>
        <v/>
      </c>
      <c r="V86" s="44" t="str">
        <f>IF(SUMIFS('Detailed Budget'!$BT$5:$BT$1005,'Detailed Budget'!$L$5:$L$1005,$B86,'Detailed Budget'!$L$5:$L$1005,"&gt;0")&gt;0,SUMIFS('Detailed Budget'!$BT$5:$BT$1005,'Detailed Budget'!$L$5:$L$1005,$B86,'Detailed Budget'!$L$5:$L$1005,"&gt;0"),"")</f>
        <v/>
      </c>
      <c r="W86" s="45" t="str">
        <f>IF(SUMIFS('Detailed Budget'!$BV$5:$BV$1005,'Detailed Budget'!$L$5:$L$1005,$B86,'Detailed Budget'!$L$5:$L$1005,"&gt;0")&gt;0,SUMIFS('Detailed Budget'!$BV$5:$BV$1005,'Detailed Budget'!$L$5:$L$1005,$B86,'Detailed Budget'!$L$5:$L$1005,"&gt;0"),"")</f>
        <v/>
      </c>
      <c r="X86" s="44" t="str">
        <f t="shared" si="4"/>
        <v/>
      </c>
      <c r="Y86" s="124" t="str">
        <f t="shared" si="5"/>
        <v/>
      </c>
    </row>
    <row r="87" spans="1:25" hidden="1" x14ac:dyDescent="0.25">
      <c r="A87" s="35"/>
      <c r="B87" s="234" t="str">
        <f t="array" ref="B87">IFERROR(INDEX(CostInpNoList,MATCH(0,IF(ISBLANK(CostInpNoList),"",COUNTIF(B$16:B86,CostInpNoList)),0)),"")</f>
        <v/>
      </c>
      <c r="C87" s="372" t="str">
        <f>IFERROR(INDEX('Data Sheet'!$F$198:$F$275,MATCH(B87,'Data Sheet'!$G$198:$G$275,0)),"")</f>
        <v/>
      </c>
      <c r="D87" s="44" t="str">
        <f>IF(SUMIFS('Detailed Budget'!$AA$5:$AA$1005,'Detailed Budget'!$L$5:$L$1005,$B87,'Detailed Budget'!$L$5:$L$1005,"&gt;0")&gt;0,SUMIFS('Detailed Budget'!$AA$5:$AA$1005,'Detailed Budget'!$L$5:$L$1005,$B87,'Detailed Budget'!$L$5:$L$1005,"&gt;0"),"")</f>
        <v/>
      </c>
      <c r="E87" s="44" t="str">
        <f>IF(SUMIFS('Detailed Budget'!$AC$5:$AC$1005,'Detailed Budget'!$L$5:$L$1005,$B87,'Detailed Budget'!$L$5:$L$1005,"&gt;0")&gt;0,SUMIFS('Detailed Budget'!$AC$5:$AC$1005,'Detailed Budget'!$L$5:$L$1005,$B87,'Detailed Budget'!$L$5:$L$1005,"&gt;0"),"")</f>
        <v/>
      </c>
      <c r="F87" s="44" t="str">
        <f>IF(SUMIFS('Detailed Budget'!$AE$5:$AE$1005,'Detailed Budget'!$L$5:$L$1005,$B87,'Detailed Budget'!$L$5:$L$1005,"&gt;0")&gt;0,SUMIFS('Detailed Budget'!$AE$5:$AE$1005,'Detailed Budget'!$L$5:$L$1005,$B87,'Detailed Budget'!$L$5:$L$1005,"&gt;0"),"")</f>
        <v/>
      </c>
      <c r="G87" s="44" t="str">
        <f>IF(SUMIFS('Detailed Budget'!$AG$5:$AG$1005,'Detailed Budget'!$L$5:$L$1005,$B87,'Detailed Budget'!$L$5:$L$1005,"&gt;0")&gt;0,SUMIFS('Detailed Budget'!$AG$5:$AG$1005,'Detailed Budget'!$L$5:$L$1005,$B87,'Detailed Budget'!$L$5:$L$1005,"&gt;0"),"")</f>
        <v/>
      </c>
      <c r="H87" s="45" t="str">
        <f>IF(SUMIFS('Detailed Budget'!$AI$5:$AI$1005,'Detailed Budget'!$L$5:$L$1005,$B87,'Detailed Budget'!$L$5:$L$1005,"&gt;0")&gt;0,SUMIFS('Detailed Budget'!$AI$5:$AI$1005,'Detailed Budget'!$L$5:$L$1005,$B87,'Detailed Budget'!$L$5:$L$1005,"&gt;0"),"")</f>
        <v/>
      </c>
      <c r="I87" s="44" t="str">
        <f>IF(SUMIFS('Detailed Budget'!$AN$5:$AN$1005,'Detailed Budget'!$L$5:$L$1005,$B87,'Detailed Budget'!$L$5:$L$1005,"&gt;0")&gt;0,SUMIFS('Detailed Budget'!$AN$5:$AN$1005,'Detailed Budget'!$L$5:$L$1005,$B87,'Detailed Budget'!$L$5:$L$1005,"&gt;0"),"")</f>
        <v/>
      </c>
      <c r="J87" s="44" t="str">
        <f>IF(SUMIFS('Detailed Budget'!$AP$5:$AP$1005,'Detailed Budget'!$L$5:$L$1005,$B87,'Detailed Budget'!$L$5:$L$1005,"&gt;0")&gt;0,SUMIFS('Detailed Budget'!$AP$5:$AP$1005,'Detailed Budget'!$L$5:$L$1005,$B87,'Detailed Budget'!$L$5:$L$1005,"&gt;0"),"")</f>
        <v/>
      </c>
      <c r="K87" s="44" t="str">
        <f>IF(SUMIFS('Detailed Budget'!$AR$5:$AR$1005,'Detailed Budget'!$L$5:$L$1005,$B87,'Detailed Budget'!$L$5:$L$1005,"&gt;0")&gt;0,SUMIFS('Detailed Budget'!$AR$5:$AR$1005,'Detailed Budget'!$L$5:$L$1005,$B87,'Detailed Budget'!$L$5:$L$1005,"&gt;0"),"")</f>
        <v/>
      </c>
      <c r="L87" s="44" t="str">
        <f>IF(SUMIFS('Detailed Budget'!$AT$5:$AT$1005,'Detailed Budget'!$L$5:$L$1005,$B87,'Detailed Budget'!$L$5:$L$1005,"&gt;0")&gt;0,SUMIFS('Detailed Budget'!$AT$5:$AT$1005,'Detailed Budget'!$L$5:$L$1005,$B87,'Detailed Budget'!$L$5:$L$1005,"&gt;0"),"")</f>
        <v/>
      </c>
      <c r="M87" s="45" t="str">
        <f>IF(SUMIFS('Detailed Budget'!$AV$5:$AV$1005,'Detailed Budget'!$L$5:$L$1005,$B87,'Detailed Budget'!$L$5:$L$1005,"&gt;0")&gt;0,SUMIFS('Detailed Budget'!$AV$5:$AV$1005,'Detailed Budget'!$L$5:$L$1005,$B87,'Detailed Budget'!$L$5:$L$1005,"&gt;0"),"")</f>
        <v/>
      </c>
      <c r="N87" s="44" t="str">
        <f>IF(SUMIFS('Detailed Budget'!$BA$5:$BA$1005,'Detailed Budget'!$L$5:$L$1005,$B87,'Detailed Budget'!$L$5:$L$1005,"&gt;0")&gt;0,SUMIFS('Detailed Budget'!$BA$5:$BA$1005,'Detailed Budget'!$L$5:$L$1005,$B87,'Detailed Budget'!$L$5:$L$1005,"&gt;0"),"")</f>
        <v/>
      </c>
      <c r="O87" s="44" t="str">
        <f>IF(SUMIFS('Detailed Budget'!$BC$5:$BC$1005,'Detailed Budget'!$L$5:$L$1005,$B87,'Detailed Budget'!$L$5:$L$1005,"&gt;0")&gt;0,SUMIFS('Detailed Budget'!$BC$5:$BC$1005,'Detailed Budget'!$L$5:$L$1005,$B87,'Detailed Budget'!$L$5:$L$1005,"&gt;0"),"")</f>
        <v/>
      </c>
      <c r="P87" s="44" t="str">
        <f>IF(SUMIFS('Detailed Budget'!$BE$5:$BE$1005,'Detailed Budget'!$L$5:$L$1005,$B87,'Detailed Budget'!$L$5:$L$1005,"&gt;0")&gt;0,SUMIFS('Detailed Budget'!$BE$5:$BE$1005,'Detailed Budget'!$L$5:$L$1005,$B87,'Detailed Budget'!$L$5:$L$1005,"&gt;0"),"")</f>
        <v/>
      </c>
      <c r="Q87" s="44" t="str">
        <f>IF(SUMIFS('Detailed Budget'!$BG$5:$BG$1005,'Detailed Budget'!$L$5:$L$1005,$B87,'Detailed Budget'!$L$5:$L$1005,"&gt;0")&gt;0,SUMIFS('Detailed Budget'!$BG$5:$BG$1005,'Detailed Budget'!$L$5:$L$1005,$B87,'Detailed Budget'!$L$5:$L$1005,"&gt;0"),"")</f>
        <v/>
      </c>
      <c r="R87" s="45" t="str">
        <f>IF(SUMIFS('Detailed Budget'!$BI$5:$BI$1005,'Detailed Budget'!$L$5:$L$1005,$B87,'Detailed Budget'!$L$5:$L$1005,"&gt;0")&gt;0,SUMIFS('Detailed Budget'!$BI$5:$BI$1005,'Detailed Budget'!$L$5:$L$1005,$B87,'Detailed Budget'!$L$5:$L$1005,"&gt;0"),"")</f>
        <v/>
      </c>
      <c r="S87" s="44" t="str">
        <f>IF(SUMIFS('Detailed Budget'!$BN$5:$BN$1005,'Detailed Budget'!$L$5:$L$1005,$B87,'Detailed Budget'!$L$5:$L$1005,"&gt;0")&gt;0,SUMIFS('Detailed Budget'!$BN$5:$BN$1005,'Detailed Budget'!$L$5:$L$1005,$B87,'Detailed Budget'!$L$5:$L$1005,"&gt;0"),"")</f>
        <v/>
      </c>
      <c r="T87" s="44" t="str">
        <f>IF(SUMIFS('Detailed Budget'!$BP$5:$BP$1005,'Detailed Budget'!$L$5:$L$1005,$B87,'Detailed Budget'!$L$5:$L$1005,"&gt;0")&gt;0,SUMIFS('Detailed Budget'!$BP$5:$BP$1005,'Detailed Budget'!$L$5:$L$1005,$B87,'Detailed Budget'!$L$5:$L$1005,"&gt;0"),"")</f>
        <v/>
      </c>
      <c r="U87" s="44" t="str">
        <f>IF(SUMIFS('Detailed Budget'!$BR$5:$BR$1005,'Detailed Budget'!$L$5:$L$1005,$B87,'Detailed Budget'!$L$5:$L$1005,"&gt;0")&gt;0,SUMIFS('Detailed Budget'!$BR$5:$BR$1005,'Detailed Budget'!$L$5:$L$1005,$B87,'Detailed Budget'!$L$5:$L$1005,"&gt;0"),"")</f>
        <v/>
      </c>
      <c r="V87" s="44" t="str">
        <f>IF(SUMIFS('Detailed Budget'!$BT$5:$BT$1005,'Detailed Budget'!$L$5:$L$1005,$B87,'Detailed Budget'!$L$5:$L$1005,"&gt;0")&gt;0,SUMIFS('Detailed Budget'!$BT$5:$BT$1005,'Detailed Budget'!$L$5:$L$1005,$B87,'Detailed Budget'!$L$5:$L$1005,"&gt;0"),"")</f>
        <v/>
      </c>
      <c r="W87" s="45" t="str">
        <f>IF(SUMIFS('Detailed Budget'!$BV$5:$BV$1005,'Detailed Budget'!$L$5:$L$1005,$B87,'Detailed Budget'!$L$5:$L$1005,"&gt;0")&gt;0,SUMIFS('Detailed Budget'!$BV$5:$BV$1005,'Detailed Budget'!$L$5:$L$1005,$B87,'Detailed Budget'!$L$5:$L$1005,"&gt;0"),"")</f>
        <v/>
      </c>
      <c r="X87" s="44" t="str">
        <f t="shared" si="4"/>
        <v/>
      </c>
      <c r="Y87" s="124" t="str">
        <f t="shared" si="5"/>
        <v/>
      </c>
    </row>
    <row r="88" spans="1:25" hidden="1" x14ac:dyDescent="0.25">
      <c r="A88" s="35"/>
      <c r="B88" s="234" t="str">
        <f t="array" ref="B88">IFERROR(INDEX(CostInpNoList,MATCH(0,IF(ISBLANK(CostInpNoList),"",COUNTIF(B$16:B87,CostInpNoList)),0)),"")</f>
        <v/>
      </c>
      <c r="C88" s="372" t="str">
        <f>IFERROR(INDEX('Data Sheet'!$F$198:$F$275,MATCH(B88,'Data Sheet'!$G$198:$G$275,0)),"")</f>
        <v/>
      </c>
      <c r="D88" s="44" t="str">
        <f>IF(SUMIFS('Detailed Budget'!$AA$5:$AA$1005,'Detailed Budget'!$L$5:$L$1005,$B88,'Detailed Budget'!$L$5:$L$1005,"&gt;0")&gt;0,SUMIFS('Detailed Budget'!$AA$5:$AA$1005,'Detailed Budget'!$L$5:$L$1005,$B88,'Detailed Budget'!$L$5:$L$1005,"&gt;0"),"")</f>
        <v/>
      </c>
      <c r="E88" s="44" t="str">
        <f>IF(SUMIFS('Detailed Budget'!$AC$5:$AC$1005,'Detailed Budget'!$L$5:$L$1005,$B88,'Detailed Budget'!$L$5:$L$1005,"&gt;0")&gt;0,SUMIFS('Detailed Budget'!$AC$5:$AC$1005,'Detailed Budget'!$L$5:$L$1005,$B88,'Detailed Budget'!$L$5:$L$1005,"&gt;0"),"")</f>
        <v/>
      </c>
      <c r="F88" s="44" t="str">
        <f>IF(SUMIFS('Detailed Budget'!$AE$5:$AE$1005,'Detailed Budget'!$L$5:$L$1005,$B88,'Detailed Budget'!$L$5:$L$1005,"&gt;0")&gt;0,SUMIFS('Detailed Budget'!$AE$5:$AE$1005,'Detailed Budget'!$L$5:$L$1005,$B88,'Detailed Budget'!$L$5:$L$1005,"&gt;0"),"")</f>
        <v/>
      </c>
      <c r="G88" s="44" t="str">
        <f>IF(SUMIFS('Detailed Budget'!$AG$5:$AG$1005,'Detailed Budget'!$L$5:$L$1005,$B88,'Detailed Budget'!$L$5:$L$1005,"&gt;0")&gt;0,SUMIFS('Detailed Budget'!$AG$5:$AG$1005,'Detailed Budget'!$L$5:$L$1005,$B88,'Detailed Budget'!$L$5:$L$1005,"&gt;0"),"")</f>
        <v/>
      </c>
      <c r="H88" s="45" t="str">
        <f>IF(SUMIFS('Detailed Budget'!$AI$5:$AI$1005,'Detailed Budget'!$L$5:$L$1005,$B88,'Detailed Budget'!$L$5:$L$1005,"&gt;0")&gt;0,SUMIFS('Detailed Budget'!$AI$5:$AI$1005,'Detailed Budget'!$L$5:$L$1005,$B88,'Detailed Budget'!$L$5:$L$1005,"&gt;0"),"")</f>
        <v/>
      </c>
      <c r="I88" s="44" t="str">
        <f>IF(SUMIFS('Detailed Budget'!$AN$5:$AN$1005,'Detailed Budget'!$L$5:$L$1005,$B88,'Detailed Budget'!$L$5:$L$1005,"&gt;0")&gt;0,SUMIFS('Detailed Budget'!$AN$5:$AN$1005,'Detailed Budget'!$L$5:$L$1005,$B88,'Detailed Budget'!$L$5:$L$1005,"&gt;0"),"")</f>
        <v/>
      </c>
      <c r="J88" s="44" t="str">
        <f>IF(SUMIFS('Detailed Budget'!$AP$5:$AP$1005,'Detailed Budget'!$L$5:$L$1005,$B88,'Detailed Budget'!$L$5:$L$1005,"&gt;0")&gt;0,SUMIFS('Detailed Budget'!$AP$5:$AP$1005,'Detailed Budget'!$L$5:$L$1005,$B88,'Detailed Budget'!$L$5:$L$1005,"&gt;0"),"")</f>
        <v/>
      </c>
      <c r="K88" s="44" t="str">
        <f>IF(SUMIFS('Detailed Budget'!$AR$5:$AR$1005,'Detailed Budget'!$L$5:$L$1005,$B88,'Detailed Budget'!$L$5:$L$1005,"&gt;0")&gt;0,SUMIFS('Detailed Budget'!$AR$5:$AR$1005,'Detailed Budget'!$L$5:$L$1005,$B88,'Detailed Budget'!$L$5:$L$1005,"&gt;0"),"")</f>
        <v/>
      </c>
      <c r="L88" s="44" t="str">
        <f>IF(SUMIFS('Detailed Budget'!$AT$5:$AT$1005,'Detailed Budget'!$L$5:$L$1005,$B88,'Detailed Budget'!$L$5:$L$1005,"&gt;0")&gt;0,SUMIFS('Detailed Budget'!$AT$5:$AT$1005,'Detailed Budget'!$L$5:$L$1005,$B88,'Detailed Budget'!$L$5:$L$1005,"&gt;0"),"")</f>
        <v/>
      </c>
      <c r="M88" s="45" t="str">
        <f>IF(SUMIFS('Detailed Budget'!$AV$5:$AV$1005,'Detailed Budget'!$L$5:$L$1005,$B88,'Detailed Budget'!$L$5:$L$1005,"&gt;0")&gt;0,SUMIFS('Detailed Budget'!$AV$5:$AV$1005,'Detailed Budget'!$L$5:$L$1005,$B88,'Detailed Budget'!$L$5:$L$1005,"&gt;0"),"")</f>
        <v/>
      </c>
      <c r="N88" s="44" t="str">
        <f>IF(SUMIFS('Detailed Budget'!$BA$5:$BA$1005,'Detailed Budget'!$L$5:$L$1005,$B88,'Detailed Budget'!$L$5:$L$1005,"&gt;0")&gt;0,SUMIFS('Detailed Budget'!$BA$5:$BA$1005,'Detailed Budget'!$L$5:$L$1005,$B88,'Detailed Budget'!$L$5:$L$1005,"&gt;0"),"")</f>
        <v/>
      </c>
      <c r="O88" s="44" t="str">
        <f>IF(SUMIFS('Detailed Budget'!$BC$5:$BC$1005,'Detailed Budget'!$L$5:$L$1005,$B88,'Detailed Budget'!$L$5:$L$1005,"&gt;0")&gt;0,SUMIFS('Detailed Budget'!$BC$5:$BC$1005,'Detailed Budget'!$L$5:$L$1005,$B88,'Detailed Budget'!$L$5:$L$1005,"&gt;0"),"")</f>
        <v/>
      </c>
      <c r="P88" s="44" t="str">
        <f>IF(SUMIFS('Detailed Budget'!$BE$5:$BE$1005,'Detailed Budget'!$L$5:$L$1005,$B88,'Detailed Budget'!$L$5:$L$1005,"&gt;0")&gt;0,SUMIFS('Detailed Budget'!$BE$5:$BE$1005,'Detailed Budget'!$L$5:$L$1005,$B88,'Detailed Budget'!$L$5:$L$1005,"&gt;0"),"")</f>
        <v/>
      </c>
      <c r="Q88" s="44" t="str">
        <f>IF(SUMIFS('Detailed Budget'!$BG$5:$BG$1005,'Detailed Budget'!$L$5:$L$1005,$B88,'Detailed Budget'!$L$5:$L$1005,"&gt;0")&gt;0,SUMIFS('Detailed Budget'!$BG$5:$BG$1005,'Detailed Budget'!$L$5:$L$1005,$B88,'Detailed Budget'!$L$5:$L$1005,"&gt;0"),"")</f>
        <v/>
      </c>
      <c r="R88" s="45" t="str">
        <f>IF(SUMIFS('Detailed Budget'!$BI$5:$BI$1005,'Detailed Budget'!$L$5:$L$1005,$B88,'Detailed Budget'!$L$5:$L$1005,"&gt;0")&gt;0,SUMIFS('Detailed Budget'!$BI$5:$BI$1005,'Detailed Budget'!$L$5:$L$1005,$B88,'Detailed Budget'!$L$5:$L$1005,"&gt;0"),"")</f>
        <v/>
      </c>
      <c r="S88" s="44" t="str">
        <f>IF(SUMIFS('Detailed Budget'!$BN$5:$BN$1005,'Detailed Budget'!$L$5:$L$1005,$B88,'Detailed Budget'!$L$5:$L$1005,"&gt;0")&gt;0,SUMIFS('Detailed Budget'!$BN$5:$BN$1005,'Detailed Budget'!$L$5:$L$1005,$B88,'Detailed Budget'!$L$5:$L$1005,"&gt;0"),"")</f>
        <v/>
      </c>
      <c r="T88" s="44" t="str">
        <f>IF(SUMIFS('Detailed Budget'!$BP$5:$BP$1005,'Detailed Budget'!$L$5:$L$1005,$B88,'Detailed Budget'!$L$5:$L$1005,"&gt;0")&gt;0,SUMIFS('Detailed Budget'!$BP$5:$BP$1005,'Detailed Budget'!$L$5:$L$1005,$B88,'Detailed Budget'!$L$5:$L$1005,"&gt;0"),"")</f>
        <v/>
      </c>
      <c r="U88" s="44" t="str">
        <f>IF(SUMIFS('Detailed Budget'!$BR$5:$BR$1005,'Detailed Budget'!$L$5:$L$1005,$B88,'Detailed Budget'!$L$5:$L$1005,"&gt;0")&gt;0,SUMIFS('Detailed Budget'!$BR$5:$BR$1005,'Detailed Budget'!$L$5:$L$1005,$B88,'Detailed Budget'!$L$5:$L$1005,"&gt;0"),"")</f>
        <v/>
      </c>
      <c r="V88" s="44" t="str">
        <f>IF(SUMIFS('Detailed Budget'!$BT$5:$BT$1005,'Detailed Budget'!$L$5:$L$1005,$B88,'Detailed Budget'!$L$5:$L$1005,"&gt;0")&gt;0,SUMIFS('Detailed Budget'!$BT$5:$BT$1005,'Detailed Budget'!$L$5:$L$1005,$B88,'Detailed Budget'!$L$5:$L$1005,"&gt;0"),"")</f>
        <v/>
      </c>
      <c r="W88" s="45" t="str">
        <f>IF(SUMIFS('Detailed Budget'!$BV$5:$BV$1005,'Detailed Budget'!$L$5:$L$1005,$B88,'Detailed Budget'!$L$5:$L$1005,"&gt;0")&gt;0,SUMIFS('Detailed Budget'!$BV$5:$BV$1005,'Detailed Budget'!$L$5:$L$1005,$B88,'Detailed Budget'!$L$5:$L$1005,"&gt;0"),"")</f>
        <v/>
      </c>
      <c r="X88" s="44" t="str">
        <f t="shared" si="4"/>
        <v/>
      </c>
      <c r="Y88" s="124" t="str">
        <f t="shared" si="5"/>
        <v/>
      </c>
    </row>
    <row r="89" spans="1:25" hidden="1" x14ac:dyDescent="0.25">
      <c r="A89" s="35"/>
      <c r="B89" s="234" t="str">
        <f t="array" ref="B89">IFERROR(INDEX(CostInpNoList,MATCH(0,IF(ISBLANK(CostInpNoList),"",COUNTIF(B$16:B88,CostInpNoList)),0)),"")</f>
        <v/>
      </c>
      <c r="C89" s="372" t="str">
        <f>IFERROR(INDEX('Data Sheet'!$F$198:$F$275,MATCH(B89,'Data Sheet'!$G$198:$G$275,0)),"")</f>
        <v/>
      </c>
      <c r="D89" s="44" t="str">
        <f>IF(SUMIFS('Detailed Budget'!$AA$5:$AA$1005,'Detailed Budget'!$L$5:$L$1005,$B89,'Detailed Budget'!$L$5:$L$1005,"&gt;0")&gt;0,SUMIFS('Detailed Budget'!$AA$5:$AA$1005,'Detailed Budget'!$L$5:$L$1005,$B89,'Detailed Budget'!$L$5:$L$1005,"&gt;0"),"")</f>
        <v/>
      </c>
      <c r="E89" s="44" t="str">
        <f>IF(SUMIFS('Detailed Budget'!$AC$5:$AC$1005,'Detailed Budget'!$L$5:$L$1005,$B89,'Detailed Budget'!$L$5:$L$1005,"&gt;0")&gt;0,SUMIFS('Detailed Budget'!$AC$5:$AC$1005,'Detailed Budget'!$L$5:$L$1005,$B89,'Detailed Budget'!$L$5:$L$1005,"&gt;0"),"")</f>
        <v/>
      </c>
      <c r="F89" s="44" t="str">
        <f>IF(SUMIFS('Detailed Budget'!$AE$5:$AE$1005,'Detailed Budget'!$L$5:$L$1005,$B89,'Detailed Budget'!$L$5:$L$1005,"&gt;0")&gt;0,SUMIFS('Detailed Budget'!$AE$5:$AE$1005,'Detailed Budget'!$L$5:$L$1005,$B89,'Detailed Budget'!$L$5:$L$1005,"&gt;0"),"")</f>
        <v/>
      </c>
      <c r="G89" s="44" t="str">
        <f>IF(SUMIFS('Detailed Budget'!$AG$5:$AG$1005,'Detailed Budget'!$L$5:$L$1005,$B89,'Detailed Budget'!$L$5:$L$1005,"&gt;0")&gt;0,SUMIFS('Detailed Budget'!$AG$5:$AG$1005,'Detailed Budget'!$L$5:$L$1005,$B89,'Detailed Budget'!$L$5:$L$1005,"&gt;0"),"")</f>
        <v/>
      </c>
      <c r="H89" s="45" t="str">
        <f>IF(SUMIFS('Detailed Budget'!$AI$5:$AI$1005,'Detailed Budget'!$L$5:$L$1005,$B89,'Detailed Budget'!$L$5:$L$1005,"&gt;0")&gt;0,SUMIFS('Detailed Budget'!$AI$5:$AI$1005,'Detailed Budget'!$L$5:$L$1005,$B89,'Detailed Budget'!$L$5:$L$1005,"&gt;0"),"")</f>
        <v/>
      </c>
      <c r="I89" s="44" t="str">
        <f>IF(SUMIFS('Detailed Budget'!$AN$5:$AN$1005,'Detailed Budget'!$L$5:$L$1005,$B89,'Detailed Budget'!$L$5:$L$1005,"&gt;0")&gt;0,SUMIFS('Detailed Budget'!$AN$5:$AN$1005,'Detailed Budget'!$L$5:$L$1005,$B89,'Detailed Budget'!$L$5:$L$1005,"&gt;0"),"")</f>
        <v/>
      </c>
      <c r="J89" s="44" t="str">
        <f>IF(SUMIFS('Detailed Budget'!$AP$5:$AP$1005,'Detailed Budget'!$L$5:$L$1005,$B89,'Detailed Budget'!$L$5:$L$1005,"&gt;0")&gt;0,SUMIFS('Detailed Budget'!$AP$5:$AP$1005,'Detailed Budget'!$L$5:$L$1005,$B89,'Detailed Budget'!$L$5:$L$1005,"&gt;0"),"")</f>
        <v/>
      </c>
      <c r="K89" s="44" t="str">
        <f>IF(SUMIFS('Detailed Budget'!$AR$5:$AR$1005,'Detailed Budget'!$L$5:$L$1005,$B89,'Detailed Budget'!$L$5:$L$1005,"&gt;0")&gt;0,SUMIFS('Detailed Budget'!$AR$5:$AR$1005,'Detailed Budget'!$L$5:$L$1005,$B89,'Detailed Budget'!$L$5:$L$1005,"&gt;0"),"")</f>
        <v/>
      </c>
      <c r="L89" s="44" t="str">
        <f>IF(SUMIFS('Detailed Budget'!$AT$5:$AT$1005,'Detailed Budget'!$L$5:$L$1005,$B89,'Detailed Budget'!$L$5:$L$1005,"&gt;0")&gt;0,SUMIFS('Detailed Budget'!$AT$5:$AT$1005,'Detailed Budget'!$L$5:$L$1005,$B89,'Detailed Budget'!$L$5:$L$1005,"&gt;0"),"")</f>
        <v/>
      </c>
      <c r="M89" s="45" t="str">
        <f>IF(SUMIFS('Detailed Budget'!$AV$5:$AV$1005,'Detailed Budget'!$L$5:$L$1005,$B89,'Detailed Budget'!$L$5:$L$1005,"&gt;0")&gt;0,SUMIFS('Detailed Budget'!$AV$5:$AV$1005,'Detailed Budget'!$L$5:$L$1005,$B89,'Detailed Budget'!$L$5:$L$1005,"&gt;0"),"")</f>
        <v/>
      </c>
      <c r="N89" s="44" t="str">
        <f>IF(SUMIFS('Detailed Budget'!$BA$5:$BA$1005,'Detailed Budget'!$L$5:$L$1005,$B89,'Detailed Budget'!$L$5:$L$1005,"&gt;0")&gt;0,SUMIFS('Detailed Budget'!$BA$5:$BA$1005,'Detailed Budget'!$L$5:$L$1005,$B89,'Detailed Budget'!$L$5:$L$1005,"&gt;0"),"")</f>
        <v/>
      </c>
      <c r="O89" s="44" t="str">
        <f>IF(SUMIFS('Detailed Budget'!$BC$5:$BC$1005,'Detailed Budget'!$L$5:$L$1005,$B89,'Detailed Budget'!$L$5:$L$1005,"&gt;0")&gt;0,SUMIFS('Detailed Budget'!$BC$5:$BC$1005,'Detailed Budget'!$L$5:$L$1005,$B89,'Detailed Budget'!$L$5:$L$1005,"&gt;0"),"")</f>
        <v/>
      </c>
      <c r="P89" s="44" t="str">
        <f>IF(SUMIFS('Detailed Budget'!$BE$5:$BE$1005,'Detailed Budget'!$L$5:$L$1005,$B89,'Detailed Budget'!$L$5:$L$1005,"&gt;0")&gt;0,SUMIFS('Detailed Budget'!$BE$5:$BE$1005,'Detailed Budget'!$L$5:$L$1005,$B89,'Detailed Budget'!$L$5:$L$1005,"&gt;0"),"")</f>
        <v/>
      </c>
      <c r="Q89" s="44" t="str">
        <f>IF(SUMIFS('Detailed Budget'!$BG$5:$BG$1005,'Detailed Budget'!$L$5:$L$1005,$B89,'Detailed Budget'!$L$5:$L$1005,"&gt;0")&gt;0,SUMIFS('Detailed Budget'!$BG$5:$BG$1005,'Detailed Budget'!$L$5:$L$1005,$B89,'Detailed Budget'!$L$5:$L$1005,"&gt;0"),"")</f>
        <v/>
      </c>
      <c r="R89" s="45" t="str">
        <f>IF(SUMIFS('Detailed Budget'!$BI$5:$BI$1005,'Detailed Budget'!$L$5:$L$1005,$B89,'Detailed Budget'!$L$5:$L$1005,"&gt;0")&gt;0,SUMIFS('Detailed Budget'!$BI$5:$BI$1005,'Detailed Budget'!$L$5:$L$1005,$B89,'Detailed Budget'!$L$5:$L$1005,"&gt;0"),"")</f>
        <v/>
      </c>
      <c r="S89" s="44" t="str">
        <f>IF(SUMIFS('Detailed Budget'!$BN$5:$BN$1005,'Detailed Budget'!$L$5:$L$1005,$B89,'Detailed Budget'!$L$5:$L$1005,"&gt;0")&gt;0,SUMIFS('Detailed Budget'!$BN$5:$BN$1005,'Detailed Budget'!$L$5:$L$1005,$B89,'Detailed Budget'!$L$5:$L$1005,"&gt;0"),"")</f>
        <v/>
      </c>
      <c r="T89" s="44" t="str">
        <f>IF(SUMIFS('Detailed Budget'!$BP$5:$BP$1005,'Detailed Budget'!$L$5:$L$1005,$B89,'Detailed Budget'!$L$5:$L$1005,"&gt;0")&gt;0,SUMIFS('Detailed Budget'!$BP$5:$BP$1005,'Detailed Budget'!$L$5:$L$1005,$B89,'Detailed Budget'!$L$5:$L$1005,"&gt;0"),"")</f>
        <v/>
      </c>
      <c r="U89" s="44" t="str">
        <f>IF(SUMIFS('Detailed Budget'!$BR$5:$BR$1005,'Detailed Budget'!$L$5:$L$1005,$B89,'Detailed Budget'!$L$5:$L$1005,"&gt;0")&gt;0,SUMIFS('Detailed Budget'!$BR$5:$BR$1005,'Detailed Budget'!$L$5:$L$1005,$B89,'Detailed Budget'!$L$5:$L$1005,"&gt;0"),"")</f>
        <v/>
      </c>
      <c r="V89" s="44" t="str">
        <f>IF(SUMIFS('Detailed Budget'!$BT$5:$BT$1005,'Detailed Budget'!$L$5:$L$1005,$B89,'Detailed Budget'!$L$5:$L$1005,"&gt;0")&gt;0,SUMIFS('Detailed Budget'!$BT$5:$BT$1005,'Detailed Budget'!$L$5:$L$1005,$B89,'Detailed Budget'!$L$5:$L$1005,"&gt;0"),"")</f>
        <v/>
      </c>
      <c r="W89" s="45" t="str">
        <f>IF(SUMIFS('Detailed Budget'!$BV$5:$BV$1005,'Detailed Budget'!$L$5:$L$1005,$B89,'Detailed Budget'!$L$5:$L$1005,"&gt;0")&gt;0,SUMIFS('Detailed Budget'!$BV$5:$BV$1005,'Detailed Budget'!$L$5:$L$1005,$B89,'Detailed Budget'!$L$5:$L$1005,"&gt;0"),"")</f>
        <v/>
      </c>
      <c r="X89" s="44" t="str">
        <f t="shared" si="4"/>
        <v/>
      </c>
      <c r="Y89" s="124" t="str">
        <f t="shared" si="5"/>
        <v/>
      </c>
    </row>
    <row r="90" spans="1:25" hidden="1" x14ac:dyDescent="0.25">
      <c r="A90" s="35"/>
      <c r="B90" s="234" t="str">
        <f t="array" ref="B90">IFERROR(INDEX(CostInpNoList,MATCH(0,IF(ISBLANK(CostInpNoList),"",COUNTIF(B$16:B89,CostInpNoList)),0)),"")</f>
        <v/>
      </c>
      <c r="C90" s="372" t="str">
        <f>IFERROR(INDEX('Data Sheet'!$F$198:$F$275,MATCH(B90,'Data Sheet'!$G$198:$G$275,0)),"")</f>
        <v/>
      </c>
      <c r="D90" s="44" t="str">
        <f>IF(SUMIFS('Detailed Budget'!$AA$5:$AA$1005,'Detailed Budget'!$L$5:$L$1005,$B90,'Detailed Budget'!$L$5:$L$1005,"&gt;0")&gt;0,SUMIFS('Detailed Budget'!$AA$5:$AA$1005,'Detailed Budget'!$L$5:$L$1005,$B90,'Detailed Budget'!$L$5:$L$1005,"&gt;0"),"")</f>
        <v/>
      </c>
      <c r="E90" s="44" t="str">
        <f>IF(SUMIFS('Detailed Budget'!$AC$5:$AC$1005,'Detailed Budget'!$L$5:$L$1005,$B90,'Detailed Budget'!$L$5:$L$1005,"&gt;0")&gt;0,SUMIFS('Detailed Budget'!$AC$5:$AC$1005,'Detailed Budget'!$L$5:$L$1005,$B90,'Detailed Budget'!$L$5:$L$1005,"&gt;0"),"")</f>
        <v/>
      </c>
      <c r="F90" s="44" t="str">
        <f>IF(SUMIFS('Detailed Budget'!$AE$5:$AE$1005,'Detailed Budget'!$L$5:$L$1005,$B90,'Detailed Budget'!$L$5:$L$1005,"&gt;0")&gt;0,SUMIFS('Detailed Budget'!$AE$5:$AE$1005,'Detailed Budget'!$L$5:$L$1005,$B90,'Detailed Budget'!$L$5:$L$1005,"&gt;0"),"")</f>
        <v/>
      </c>
      <c r="G90" s="44" t="str">
        <f>IF(SUMIFS('Detailed Budget'!$AG$5:$AG$1005,'Detailed Budget'!$L$5:$L$1005,$B90,'Detailed Budget'!$L$5:$L$1005,"&gt;0")&gt;0,SUMIFS('Detailed Budget'!$AG$5:$AG$1005,'Detailed Budget'!$L$5:$L$1005,$B90,'Detailed Budget'!$L$5:$L$1005,"&gt;0"),"")</f>
        <v/>
      </c>
      <c r="H90" s="45" t="str">
        <f>IF(SUMIFS('Detailed Budget'!$AI$5:$AI$1005,'Detailed Budget'!$L$5:$L$1005,$B90,'Detailed Budget'!$L$5:$L$1005,"&gt;0")&gt;0,SUMIFS('Detailed Budget'!$AI$5:$AI$1005,'Detailed Budget'!$L$5:$L$1005,$B90,'Detailed Budget'!$L$5:$L$1005,"&gt;0"),"")</f>
        <v/>
      </c>
      <c r="I90" s="44" t="str">
        <f>IF(SUMIFS('Detailed Budget'!$AN$5:$AN$1005,'Detailed Budget'!$L$5:$L$1005,$B90,'Detailed Budget'!$L$5:$L$1005,"&gt;0")&gt;0,SUMIFS('Detailed Budget'!$AN$5:$AN$1005,'Detailed Budget'!$L$5:$L$1005,$B90,'Detailed Budget'!$L$5:$L$1005,"&gt;0"),"")</f>
        <v/>
      </c>
      <c r="J90" s="44" t="str">
        <f>IF(SUMIFS('Detailed Budget'!$AP$5:$AP$1005,'Detailed Budget'!$L$5:$L$1005,$B90,'Detailed Budget'!$L$5:$L$1005,"&gt;0")&gt;0,SUMIFS('Detailed Budget'!$AP$5:$AP$1005,'Detailed Budget'!$L$5:$L$1005,$B90,'Detailed Budget'!$L$5:$L$1005,"&gt;0"),"")</f>
        <v/>
      </c>
      <c r="K90" s="44" t="str">
        <f>IF(SUMIFS('Detailed Budget'!$AR$5:$AR$1005,'Detailed Budget'!$L$5:$L$1005,$B90,'Detailed Budget'!$L$5:$L$1005,"&gt;0")&gt;0,SUMIFS('Detailed Budget'!$AR$5:$AR$1005,'Detailed Budget'!$L$5:$L$1005,$B90,'Detailed Budget'!$L$5:$L$1005,"&gt;0"),"")</f>
        <v/>
      </c>
      <c r="L90" s="44" t="str">
        <f>IF(SUMIFS('Detailed Budget'!$AT$5:$AT$1005,'Detailed Budget'!$L$5:$L$1005,$B90,'Detailed Budget'!$L$5:$L$1005,"&gt;0")&gt;0,SUMIFS('Detailed Budget'!$AT$5:$AT$1005,'Detailed Budget'!$L$5:$L$1005,$B90,'Detailed Budget'!$L$5:$L$1005,"&gt;0"),"")</f>
        <v/>
      </c>
      <c r="M90" s="45" t="str">
        <f>IF(SUMIFS('Detailed Budget'!$AV$5:$AV$1005,'Detailed Budget'!$L$5:$L$1005,$B90,'Detailed Budget'!$L$5:$L$1005,"&gt;0")&gt;0,SUMIFS('Detailed Budget'!$AV$5:$AV$1005,'Detailed Budget'!$L$5:$L$1005,$B90,'Detailed Budget'!$L$5:$L$1005,"&gt;0"),"")</f>
        <v/>
      </c>
      <c r="N90" s="44" t="str">
        <f>IF(SUMIFS('Detailed Budget'!$BA$5:$BA$1005,'Detailed Budget'!$L$5:$L$1005,$B90,'Detailed Budget'!$L$5:$L$1005,"&gt;0")&gt;0,SUMIFS('Detailed Budget'!$BA$5:$BA$1005,'Detailed Budget'!$L$5:$L$1005,$B90,'Detailed Budget'!$L$5:$L$1005,"&gt;0"),"")</f>
        <v/>
      </c>
      <c r="O90" s="44" t="str">
        <f>IF(SUMIFS('Detailed Budget'!$BC$5:$BC$1005,'Detailed Budget'!$L$5:$L$1005,$B90,'Detailed Budget'!$L$5:$L$1005,"&gt;0")&gt;0,SUMIFS('Detailed Budget'!$BC$5:$BC$1005,'Detailed Budget'!$L$5:$L$1005,$B90,'Detailed Budget'!$L$5:$L$1005,"&gt;0"),"")</f>
        <v/>
      </c>
      <c r="P90" s="44" t="str">
        <f>IF(SUMIFS('Detailed Budget'!$BE$5:$BE$1005,'Detailed Budget'!$L$5:$L$1005,$B90,'Detailed Budget'!$L$5:$L$1005,"&gt;0")&gt;0,SUMIFS('Detailed Budget'!$BE$5:$BE$1005,'Detailed Budget'!$L$5:$L$1005,$B90,'Detailed Budget'!$L$5:$L$1005,"&gt;0"),"")</f>
        <v/>
      </c>
      <c r="Q90" s="44" t="str">
        <f>IF(SUMIFS('Detailed Budget'!$BG$5:$BG$1005,'Detailed Budget'!$L$5:$L$1005,$B90,'Detailed Budget'!$L$5:$L$1005,"&gt;0")&gt;0,SUMIFS('Detailed Budget'!$BG$5:$BG$1005,'Detailed Budget'!$L$5:$L$1005,$B90,'Detailed Budget'!$L$5:$L$1005,"&gt;0"),"")</f>
        <v/>
      </c>
      <c r="R90" s="45" t="str">
        <f>IF(SUMIFS('Detailed Budget'!$BI$5:$BI$1005,'Detailed Budget'!$L$5:$L$1005,$B90,'Detailed Budget'!$L$5:$L$1005,"&gt;0")&gt;0,SUMIFS('Detailed Budget'!$BI$5:$BI$1005,'Detailed Budget'!$L$5:$L$1005,$B90,'Detailed Budget'!$L$5:$L$1005,"&gt;0"),"")</f>
        <v/>
      </c>
      <c r="S90" s="44" t="str">
        <f>IF(SUMIFS('Detailed Budget'!$BN$5:$BN$1005,'Detailed Budget'!$L$5:$L$1005,$B90,'Detailed Budget'!$L$5:$L$1005,"&gt;0")&gt;0,SUMIFS('Detailed Budget'!$BN$5:$BN$1005,'Detailed Budget'!$L$5:$L$1005,$B90,'Detailed Budget'!$L$5:$L$1005,"&gt;0"),"")</f>
        <v/>
      </c>
      <c r="T90" s="44" t="str">
        <f>IF(SUMIFS('Detailed Budget'!$BP$5:$BP$1005,'Detailed Budget'!$L$5:$L$1005,$B90,'Detailed Budget'!$L$5:$L$1005,"&gt;0")&gt;0,SUMIFS('Detailed Budget'!$BP$5:$BP$1005,'Detailed Budget'!$L$5:$L$1005,$B90,'Detailed Budget'!$L$5:$L$1005,"&gt;0"),"")</f>
        <v/>
      </c>
      <c r="U90" s="44" t="str">
        <f>IF(SUMIFS('Detailed Budget'!$BR$5:$BR$1005,'Detailed Budget'!$L$5:$L$1005,$B90,'Detailed Budget'!$L$5:$L$1005,"&gt;0")&gt;0,SUMIFS('Detailed Budget'!$BR$5:$BR$1005,'Detailed Budget'!$L$5:$L$1005,$B90,'Detailed Budget'!$L$5:$L$1005,"&gt;0"),"")</f>
        <v/>
      </c>
      <c r="V90" s="44" t="str">
        <f>IF(SUMIFS('Detailed Budget'!$BT$5:$BT$1005,'Detailed Budget'!$L$5:$L$1005,$B90,'Detailed Budget'!$L$5:$L$1005,"&gt;0")&gt;0,SUMIFS('Detailed Budget'!$BT$5:$BT$1005,'Detailed Budget'!$L$5:$L$1005,$B90,'Detailed Budget'!$L$5:$L$1005,"&gt;0"),"")</f>
        <v/>
      </c>
      <c r="W90" s="45" t="str">
        <f>IF(SUMIFS('Detailed Budget'!$BV$5:$BV$1005,'Detailed Budget'!$L$5:$L$1005,$B90,'Detailed Budget'!$L$5:$L$1005,"&gt;0")&gt;0,SUMIFS('Detailed Budget'!$BV$5:$BV$1005,'Detailed Budget'!$L$5:$L$1005,$B90,'Detailed Budget'!$L$5:$L$1005,"&gt;0"),"")</f>
        <v/>
      </c>
      <c r="X90" s="44" t="str">
        <f t="shared" si="4"/>
        <v/>
      </c>
      <c r="Y90" s="124" t="str">
        <f t="shared" si="5"/>
        <v/>
      </c>
    </row>
    <row r="91" spans="1:25" hidden="1" x14ac:dyDescent="0.25">
      <c r="A91" s="35"/>
      <c r="B91" s="234" t="str">
        <f t="array" ref="B91">IFERROR(INDEX(CostInpNoList,MATCH(0,IF(ISBLANK(CostInpNoList),"",COUNTIF(B$16:B90,CostInpNoList)),0)),"")</f>
        <v/>
      </c>
      <c r="C91" s="372" t="str">
        <f>IFERROR(INDEX('Data Sheet'!$F$198:$F$275,MATCH(B91,'Data Sheet'!$G$198:$G$275,0)),"")</f>
        <v/>
      </c>
      <c r="D91" s="44" t="str">
        <f>IF(SUMIFS('Detailed Budget'!$AA$5:$AA$1005,'Detailed Budget'!$L$5:$L$1005,$B91,'Detailed Budget'!$L$5:$L$1005,"&gt;0")&gt;0,SUMIFS('Detailed Budget'!$AA$5:$AA$1005,'Detailed Budget'!$L$5:$L$1005,$B91,'Detailed Budget'!$L$5:$L$1005,"&gt;0"),"")</f>
        <v/>
      </c>
      <c r="E91" s="44" t="str">
        <f>IF(SUMIFS('Detailed Budget'!$AC$5:$AC$1005,'Detailed Budget'!$L$5:$L$1005,$B91,'Detailed Budget'!$L$5:$L$1005,"&gt;0")&gt;0,SUMIFS('Detailed Budget'!$AC$5:$AC$1005,'Detailed Budget'!$L$5:$L$1005,$B91,'Detailed Budget'!$L$5:$L$1005,"&gt;0"),"")</f>
        <v/>
      </c>
      <c r="F91" s="44" t="str">
        <f>IF(SUMIFS('Detailed Budget'!$AE$5:$AE$1005,'Detailed Budget'!$L$5:$L$1005,$B91,'Detailed Budget'!$L$5:$L$1005,"&gt;0")&gt;0,SUMIFS('Detailed Budget'!$AE$5:$AE$1005,'Detailed Budget'!$L$5:$L$1005,$B91,'Detailed Budget'!$L$5:$L$1005,"&gt;0"),"")</f>
        <v/>
      </c>
      <c r="G91" s="44" t="str">
        <f>IF(SUMIFS('Detailed Budget'!$AG$5:$AG$1005,'Detailed Budget'!$L$5:$L$1005,$B91,'Detailed Budget'!$L$5:$L$1005,"&gt;0")&gt;0,SUMIFS('Detailed Budget'!$AG$5:$AG$1005,'Detailed Budget'!$L$5:$L$1005,$B91,'Detailed Budget'!$L$5:$L$1005,"&gt;0"),"")</f>
        <v/>
      </c>
      <c r="H91" s="45" t="str">
        <f>IF(SUMIFS('Detailed Budget'!$AI$5:$AI$1005,'Detailed Budget'!$L$5:$L$1005,$B91,'Detailed Budget'!$L$5:$L$1005,"&gt;0")&gt;0,SUMIFS('Detailed Budget'!$AI$5:$AI$1005,'Detailed Budget'!$L$5:$L$1005,$B91,'Detailed Budget'!$L$5:$L$1005,"&gt;0"),"")</f>
        <v/>
      </c>
      <c r="I91" s="44" t="str">
        <f>IF(SUMIFS('Detailed Budget'!$AN$5:$AN$1005,'Detailed Budget'!$L$5:$L$1005,$B91,'Detailed Budget'!$L$5:$L$1005,"&gt;0")&gt;0,SUMIFS('Detailed Budget'!$AN$5:$AN$1005,'Detailed Budget'!$L$5:$L$1005,$B91,'Detailed Budget'!$L$5:$L$1005,"&gt;0"),"")</f>
        <v/>
      </c>
      <c r="J91" s="44" t="str">
        <f>IF(SUMIFS('Detailed Budget'!$AP$5:$AP$1005,'Detailed Budget'!$L$5:$L$1005,$B91,'Detailed Budget'!$L$5:$L$1005,"&gt;0")&gt;0,SUMIFS('Detailed Budget'!$AP$5:$AP$1005,'Detailed Budget'!$L$5:$L$1005,$B91,'Detailed Budget'!$L$5:$L$1005,"&gt;0"),"")</f>
        <v/>
      </c>
      <c r="K91" s="44" t="str">
        <f>IF(SUMIFS('Detailed Budget'!$AR$5:$AR$1005,'Detailed Budget'!$L$5:$L$1005,$B91,'Detailed Budget'!$L$5:$L$1005,"&gt;0")&gt;0,SUMIFS('Detailed Budget'!$AR$5:$AR$1005,'Detailed Budget'!$L$5:$L$1005,$B91,'Detailed Budget'!$L$5:$L$1005,"&gt;0"),"")</f>
        <v/>
      </c>
      <c r="L91" s="44" t="str">
        <f>IF(SUMIFS('Detailed Budget'!$AT$5:$AT$1005,'Detailed Budget'!$L$5:$L$1005,$B91,'Detailed Budget'!$L$5:$L$1005,"&gt;0")&gt;0,SUMIFS('Detailed Budget'!$AT$5:$AT$1005,'Detailed Budget'!$L$5:$L$1005,$B91,'Detailed Budget'!$L$5:$L$1005,"&gt;0"),"")</f>
        <v/>
      </c>
      <c r="M91" s="45" t="str">
        <f>IF(SUMIFS('Detailed Budget'!$AV$5:$AV$1005,'Detailed Budget'!$L$5:$L$1005,$B91,'Detailed Budget'!$L$5:$L$1005,"&gt;0")&gt;0,SUMIFS('Detailed Budget'!$AV$5:$AV$1005,'Detailed Budget'!$L$5:$L$1005,$B91,'Detailed Budget'!$L$5:$L$1005,"&gt;0"),"")</f>
        <v/>
      </c>
      <c r="N91" s="44" t="str">
        <f>IF(SUMIFS('Detailed Budget'!$BA$5:$BA$1005,'Detailed Budget'!$L$5:$L$1005,$B91,'Detailed Budget'!$L$5:$L$1005,"&gt;0")&gt;0,SUMIFS('Detailed Budget'!$BA$5:$BA$1005,'Detailed Budget'!$L$5:$L$1005,$B91,'Detailed Budget'!$L$5:$L$1005,"&gt;0"),"")</f>
        <v/>
      </c>
      <c r="O91" s="44" t="str">
        <f>IF(SUMIFS('Detailed Budget'!$BC$5:$BC$1005,'Detailed Budget'!$L$5:$L$1005,$B91,'Detailed Budget'!$L$5:$L$1005,"&gt;0")&gt;0,SUMIFS('Detailed Budget'!$BC$5:$BC$1005,'Detailed Budget'!$L$5:$L$1005,$B91,'Detailed Budget'!$L$5:$L$1005,"&gt;0"),"")</f>
        <v/>
      </c>
      <c r="P91" s="44" t="str">
        <f>IF(SUMIFS('Detailed Budget'!$BE$5:$BE$1005,'Detailed Budget'!$L$5:$L$1005,$B91,'Detailed Budget'!$L$5:$L$1005,"&gt;0")&gt;0,SUMIFS('Detailed Budget'!$BE$5:$BE$1005,'Detailed Budget'!$L$5:$L$1005,$B91,'Detailed Budget'!$L$5:$L$1005,"&gt;0"),"")</f>
        <v/>
      </c>
      <c r="Q91" s="44" t="str">
        <f>IF(SUMIFS('Detailed Budget'!$BG$5:$BG$1005,'Detailed Budget'!$L$5:$L$1005,$B91,'Detailed Budget'!$L$5:$L$1005,"&gt;0")&gt;0,SUMIFS('Detailed Budget'!$BG$5:$BG$1005,'Detailed Budget'!$L$5:$L$1005,$B91,'Detailed Budget'!$L$5:$L$1005,"&gt;0"),"")</f>
        <v/>
      </c>
      <c r="R91" s="45" t="str">
        <f>IF(SUMIFS('Detailed Budget'!$BI$5:$BI$1005,'Detailed Budget'!$L$5:$L$1005,$B91,'Detailed Budget'!$L$5:$L$1005,"&gt;0")&gt;0,SUMIFS('Detailed Budget'!$BI$5:$BI$1005,'Detailed Budget'!$L$5:$L$1005,$B91,'Detailed Budget'!$L$5:$L$1005,"&gt;0"),"")</f>
        <v/>
      </c>
      <c r="S91" s="44" t="str">
        <f>IF(SUMIFS('Detailed Budget'!$BN$5:$BN$1005,'Detailed Budget'!$L$5:$L$1005,$B91,'Detailed Budget'!$L$5:$L$1005,"&gt;0")&gt;0,SUMIFS('Detailed Budget'!$BN$5:$BN$1005,'Detailed Budget'!$L$5:$L$1005,$B91,'Detailed Budget'!$L$5:$L$1005,"&gt;0"),"")</f>
        <v/>
      </c>
      <c r="T91" s="44" t="str">
        <f>IF(SUMIFS('Detailed Budget'!$BP$5:$BP$1005,'Detailed Budget'!$L$5:$L$1005,$B91,'Detailed Budget'!$L$5:$L$1005,"&gt;0")&gt;0,SUMIFS('Detailed Budget'!$BP$5:$BP$1005,'Detailed Budget'!$L$5:$L$1005,$B91,'Detailed Budget'!$L$5:$L$1005,"&gt;0"),"")</f>
        <v/>
      </c>
      <c r="U91" s="44" t="str">
        <f>IF(SUMIFS('Detailed Budget'!$BR$5:$BR$1005,'Detailed Budget'!$L$5:$L$1005,$B91,'Detailed Budget'!$L$5:$L$1005,"&gt;0")&gt;0,SUMIFS('Detailed Budget'!$BR$5:$BR$1005,'Detailed Budget'!$L$5:$L$1005,$B91,'Detailed Budget'!$L$5:$L$1005,"&gt;0"),"")</f>
        <v/>
      </c>
      <c r="V91" s="44" t="str">
        <f>IF(SUMIFS('Detailed Budget'!$BT$5:$BT$1005,'Detailed Budget'!$L$5:$L$1005,$B91,'Detailed Budget'!$L$5:$L$1005,"&gt;0")&gt;0,SUMIFS('Detailed Budget'!$BT$5:$BT$1005,'Detailed Budget'!$L$5:$L$1005,$B91,'Detailed Budget'!$L$5:$L$1005,"&gt;0"),"")</f>
        <v/>
      </c>
      <c r="W91" s="45" t="str">
        <f>IF(SUMIFS('Detailed Budget'!$BV$5:$BV$1005,'Detailed Budget'!$L$5:$L$1005,$B91,'Detailed Budget'!$L$5:$L$1005,"&gt;0")&gt;0,SUMIFS('Detailed Budget'!$BV$5:$BV$1005,'Detailed Budget'!$L$5:$L$1005,$B91,'Detailed Budget'!$L$5:$L$1005,"&gt;0"),"")</f>
        <v/>
      </c>
      <c r="X91" s="44" t="str">
        <f t="shared" si="4"/>
        <v/>
      </c>
      <c r="Y91" s="124" t="str">
        <f t="shared" si="5"/>
        <v/>
      </c>
    </row>
    <row r="92" spans="1:25" hidden="1" x14ac:dyDescent="0.25">
      <c r="A92" s="35"/>
      <c r="B92" s="234" t="str">
        <f t="array" ref="B92">IFERROR(INDEX(CostInpNoList,MATCH(0,IF(ISBLANK(CostInpNoList),"",COUNTIF(B$16:B91,CostInpNoList)),0)),"")</f>
        <v/>
      </c>
      <c r="C92" s="372" t="str">
        <f>IFERROR(INDEX('Data Sheet'!$F$198:$F$275,MATCH(B92,'Data Sheet'!$G$198:$G$275,0)),"")</f>
        <v/>
      </c>
      <c r="D92" s="44" t="str">
        <f>IF(SUMIFS('Detailed Budget'!$AA$5:$AA$1005,'Detailed Budget'!$L$5:$L$1005,$B92,'Detailed Budget'!$L$5:$L$1005,"&gt;0")&gt;0,SUMIFS('Detailed Budget'!$AA$5:$AA$1005,'Detailed Budget'!$L$5:$L$1005,$B92,'Detailed Budget'!$L$5:$L$1005,"&gt;0"),"")</f>
        <v/>
      </c>
      <c r="E92" s="44" t="str">
        <f>IF(SUMIFS('Detailed Budget'!$AC$5:$AC$1005,'Detailed Budget'!$L$5:$L$1005,$B92,'Detailed Budget'!$L$5:$L$1005,"&gt;0")&gt;0,SUMIFS('Detailed Budget'!$AC$5:$AC$1005,'Detailed Budget'!$L$5:$L$1005,$B92,'Detailed Budget'!$L$5:$L$1005,"&gt;0"),"")</f>
        <v/>
      </c>
      <c r="F92" s="44" t="str">
        <f>IF(SUMIFS('Detailed Budget'!$AE$5:$AE$1005,'Detailed Budget'!$L$5:$L$1005,$B92,'Detailed Budget'!$L$5:$L$1005,"&gt;0")&gt;0,SUMIFS('Detailed Budget'!$AE$5:$AE$1005,'Detailed Budget'!$L$5:$L$1005,$B92,'Detailed Budget'!$L$5:$L$1005,"&gt;0"),"")</f>
        <v/>
      </c>
      <c r="G92" s="44" t="str">
        <f>IF(SUMIFS('Detailed Budget'!$AG$5:$AG$1005,'Detailed Budget'!$L$5:$L$1005,$B92,'Detailed Budget'!$L$5:$L$1005,"&gt;0")&gt;0,SUMIFS('Detailed Budget'!$AG$5:$AG$1005,'Detailed Budget'!$L$5:$L$1005,$B92,'Detailed Budget'!$L$5:$L$1005,"&gt;0"),"")</f>
        <v/>
      </c>
      <c r="H92" s="45" t="str">
        <f>IF(SUMIFS('Detailed Budget'!$AI$5:$AI$1005,'Detailed Budget'!$L$5:$L$1005,$B92,'Detailed Budget'!$L$5:$L$1005,"&gt;0")&gt;0,SUMIFS('Detailed Budget'!$AI$5:$AI$1005,'Detailed Budget'!$L$5:$L$1005,$B92,'Detailed Budget'!$L$5:$L$1005,"&gt;0"),"")</f>
        <v/>
      </c>
      <c r="I92" s="44" t="str">
        <f>IF(SUMIFS('Detailed Budget'!$AN$5:$AN$1005,'Detailed Budget'!$L$5:$L$1005,$B92,'Detailed Budget'!$L$5:$L$1005,"&gt;0")&gt;0,SUMIFS('Detailed Budget'!$AN$5:$AN$1005,'Detailed Budget'!$L$5:$L$1005,$B92,'Detailed Budget'!$L$5:$L$1005,"&gt;0"),"")</f>
        <v/>
      </c>
      <c r="J92" s="44" t="str">
        <f>IF(SUMIFS('Detailed Budget'!$AP$5:$AP$1005,'Detailed Budget'!$L$5:$L$1005,$B92,'Detailed Budget'!$L$5:$L$1005,"&gt;0")&gt;0,SUMIFS('Detailed Budget'!$AP$5:$AP$1005,'Detailed Budget'!$L$5:$L$1005,$B92,'Detailed Budget'!$L$5:$L$1005,"&gt;0"),"")</f>
        <v/>
      </c>
      <c r="K92" s="44" t="str">
        <f>IF(SUMIFS('Detailed Budget'!$AR$5:$AR$1005,'Detailed Budget'!$L$5:$L$1005,$B92,'Detailed Budget'!$L$5:$L$1005,"&gt;0")&gt;0,SUMIFS('Detailed Budget'!$AR$5:$AR$1005,'Detailed Budget'!$L$5:$L$1005,$B92,'Detailed Budget'!$L$5:$L$1005,"&gt;0"),"")</f>
        <v/>
      </c>
      <c r="L92" s="44" t="str">
        <f>IF(SUMIFS('Detailed Budget'!$AT$5:$AT$1005,'Detailed Budget'!$L$5:$L$1005,$B92,'Detailed Budget'!$L$5:$L$1005,"&gt;0")&gt;0,SUMIFS('Detailed Budget'!$AT$5:$AT$1005,'Detailed Budget'!$L$5:$L$1005,$B92,'Detailed Budget'!$L$5:$L$1005,"&gt;0"),"")</f>
        <v/>
      </c>
      <c r="M92" s="45" t="str">
        <f>IF(SUMIFS('Detailed Budget'!$AV$5:$AV$1005,'Detailed Budget'!$L$5:$L$1005,$B92,'Detailed Budget'!$L$5:$L$1005,"&gt;0")&gt;0,SUMIFS('Detailed Budget'!$AV$5:$AV$1005,'Detailed Budget'!$L$5:$L$1005,$B92,'Detailed Budget'!$L$5:$L$1005,"&gt;0"),"")</f>
        <v/>
      </c>
      <c r="N92" s="44" t="str">
        <f>IF(SUMIFS('Detailed Budget'!$BA$5:$BA$1005,'Detailed Budget'!$L$5:$L$1005,$B92,'Detailed Budget'!$L$5:$L$1005,"&gt;0")&gt;0,SUMIFS('Detailed Budget'!$BA$5:$BA$1005,'Detailed Budget'!$L$5:$L$1005,$B92,'Detailed Budget'!$L$5:$L$1005,"&gt;0"),"")</f>
        <v/>
      </c>
      <c r="O92" s="44" t="str">
        <f>IF(SUMIFS('Detailed Budget'!$BC$5:$BC$1005,'Detailed Budget'!$L$5:$L$1005,$B92,'Detailed Budget'!$L$5:$L$1005,"&gt;0")&gt;0,SUMIFS('Detailed Budget'!$BC$5:$BC$1005,'Detailed Budget'!$L$5:$L$1005,$B92,'Detailed Budget'!$L$5:$L$1005,"&gt;0"),"")</f>
        <v/>
      </c>
      <c r="P92" s="44" t="str">
        <f>IF(SUMIFS('Detailed Budget'!$BE$5:$BE$1005,'Detailed Budget'!$L$5:$L$1005,$B92,'Detailed Budget'!$L$5:$L$1005,"&gt;0")&gt;0,SUMIFS('Detailed Budget'!$BE$5:$BE$1005,'Detailed Budget'!$L$5:$L$1005,$B92,'Detailed Budget'!$L$5:$L$1005,"&gt;0"),"")</f>
        <v/>
      </c>
      <c r="Q92" s="44" t="str">
        <f>IF(SUMIFS('Detailed Budget'!$BG$5:$BG$1005,'Detailed Budget'!$L$5:$L$1005,$B92,'Detailed Budget'!$L$5:$L$1005,"&gt;0")&gt;0,SUMIFS('Detailed Budget'!$BG$5:$BG$1005,'Detailed Budget'!$L$5:$L$1005,$B92,'Detailed Budget'!$L$5:$L$1005,"&gt;0"),"")</f>
        <v/>
      </c>
      <c r="R92" s="45" t="str">
        <f>IF(SUMIFS('Detailed Budget'!$BI$5:$BI$1005,'Detailed Budget'!$L$5:$L$1005,$B92,'Detailed Budget'!$L$5:$L$1005,"&gt;0")&gt;0,SUMIFS('Detailed Budget'!$BI$5:$BI$1005,'Detailed Budget'!$L$5:$L$1005,$B92,'Detailed Budget'!$L$5:$L$1005,"&gt;0"),"")</f>
        <v/>
      </c>
      <c r="S92" s="44" t="str">
        <f>IF(SUMIFS('Detailed Budget'!$BN$5:$BN$1005,'Detailed Budget'!$L$5:$L$1005,$B92,'Detailed Budget'!$L$5:$L$1005,"&gt;0")&gt;0,SUMIFS('Detailed Budget'!$BN$5:$BN$1005,'Detailed Budget'!$L$5:$L$1005,$B92,'Detailed Budget'!$L$5:$L$1005,"&gt;0"),"")</f>
        <v/>
      </c>
      <c r="T92" s="44" t="str">
        <f>IF(SUMIFS('Detailed Budget'!$BP$5:$BP$1005,'Detailed Budget'!$L$5:$L$1005,$B92,'Detailed Budget'!$L$5:$L$1005,"&gt;0")&gt;0,SUMIFS('Detailed Budget'!$BP$5:$BP$1005,'Detailed Budget'!$L$5:$L$1005,$B92,'Detailed Budget'!$L$5:$L$1005,"&gt;0"),"")</f>
        <v/>
      </c>
      <c r="U92" s="44" t="str">
        <f>IF(SUMIFS('Detailed Budget'!$BR$5:$BR$1005,'Detailed Budget'!$L$5:$L$1005,$B92,'Detailed Budget'!$L$5:$L$1005,"&gt;0")&gt;0,SUMIFS('Detailed Budget'!$BR$5:$BR$1005,'Detailed Budget'!$L$5:$L$1005,$B92,'Detailed Budget'!$L$5:$L$1005,"&gt;0"),"")</f>
        <v/>
      </c>
      <c r="V92" s="44" t="str">
        <f>IF(SUMIFS('Detailed Budget'!$BT$5:$BT$1005,'Detailed Budget'!$L$5:$L$1005,$B92,'Detailed Budget'!$L$5:$L$1005,"&gt;0")&gt;0,SUMIFS('Detailed Budget'!$BT$5:$BT$1005,'Detailed Budget'!$L$5:$L$1005,$B92,'Detailed Budget'!$L$5:$L$1005,"&gt;0"),"")</f>
        <v/>
      </c>
      <c r="W92" s="45" t="str">
        <f>IF(SUMIFS('Detailed Budget'!$BV$5:$BV$1005,'Detailed Budget'!$L$5:$L$1005,$B92,'Detailed Budget'!$L$5:$L$1005,"&gt;0")&gt;0,SUMIFS('Detailed Budget'!$BV$5:$BV$1005,'Detailed Budget'!$L$5:$L$1005,$B92,'Detailed Budget'!$L$5:$L$1005,"&gt;0"),"")</f>
        <v/>
      </c>
      <c r="X92" s="44" t="str">
        <f t="shared" si="4"/>
        <v/>
      </c>
      <c r="Y92" s="124" t="str">
        <f t="shared" si="5"/>
        <v/>
      </c>
    </row>
    <row r="93" spans="1:25" hidden="1" x14ac:dyDescent="0.25">
      <c r="A93" s="35"/>
      <c r="B93" s="234" t="str">
        <f t="array" ref="B93">IFERROR(INDEX(CostInpNoList,MATCH(0,IF(ISBLANK(CostInpNoList),"",COUNTIF(B$16:B92,CostInpNoList)),0)),"")</f>
        <v/>
      </c>
      <c r="C93" s="372" t="str">
        <f>IFERROR(INDEX('Data Sheet'!$F$198:$F$275,MATCH(B93,'Data Sheet'!$G$198:$G$275,0)),"")</f>
        <v/>
      </c>
      <c r="D93" s="44" t="str">
        <f>IF(SUMIFS('Detailed Budget'!$AA$5:$AA$1005,'Detailed Budget'!$L$5:$L$1005,$B93,'Detailed Budget'!$L$5:$L$1005,"&gt;0")&gt;0,SUMIFS('Detailed Budget'!$AA$5:$AA$1005,'Detailed Budget'!$L$5:$L$1005,$B93,'Detailed Budget'!$L$5:$L$1005,"&gt;0"),"")</f>
        <v/>
      </c>
      <c r="E93" s="44" t="str">
        <f>IF(SUMIFS('Detailed Budget'!$AC$5:$AC$1005,'Detailed Budget'!$L$5:$L$1005,$B93,'Detailed Budget'!$L$5:$L$1005,"&gt;0")&gt;0,SUMIFS('Detailed Budget'!$AC$5:$AC$1005,'Detailed Budget'!$L$5:$L$1005,$B93,'Detailed Budget'!$L$5:$L$1005,"&gt;0"),"")</f>
        <v/>
      </c>
      <c r="F93" s="44" t="str">
        <f>IF(SUMIFS('Detailed Budget'!$AE$5:$AE$1005,'Detailed Budget'!$L$5:$L$1005,$B93,'Detailed Budget'!$L$5:$L$1005,"&gt;0")&gt;0,SUMIFS('Detailed Budget'!$AE$5:$AE$1005,'Detailed Budget'!$L$5:$L$1005,$B93,'Detailed Budget'!$L$5:$L$1005,"&gt;0"),"")</f>
        <v/>
      </c>
      <c r="G93" s="44" t="str">
        <f>IF(SUMIFS('Detailed Budget'!$AG$5:$AG$1005,'Detailed Budget'!$L$5:$L$1005,$B93,'Detailed Budget'!$L$5:$L$1005,"&gt;0")&gt;0,SUMIFS('Detailed Budget'!$AG$5:$AG$1005,'Detailed Budget'!$L$5:$L$1005,$B93,'Detailed Budget'!$L$5:$L$1005,"&gt;0"),"")</f>
        <v/>
      </c>
      <c r="H93" s="45" t="str">
        <f>IF(SUMIFS('Detailed Budget'!$AI$5:$AI$1005,'Detailed Budget'!$L$5:$L$1005,$B93,'Detailed Budget'!$L$5:$L$1005,"&gt;0")&gt;0,SUMIFS('Detailed Budget'!$AI$5:$AI$1005,'Detailed Budget'!$L$5:$L$1005,$B93,'Detailed Budget'!$L$5:$L$1005,"&gt;0"),"")</f>
        <v/>
      </c>
      <c r="I93" s="44" t="str">
        <f>IF(SUMIFS('Detailed Budget'!$AN$5:$AN$1005,'Detailed Budget'!$L$5:$L$1005,$B93,'Detailed Budget'!$L$5:$L$1005,"&gt;0")&gt;0,SUMIFS('Detailed Budget'!$AN$5:$AN$1005,'Detailed Budget'!$L$5:$L$1005,$B93,'Detailed Budget'!$L$5:$L$1005,"&gt;0"),"")</f>
        <v/>
      </c>
      <c r="J93" s="44" t="str">
        <f>IF(SUMIFS('Detailed Budget'!$AP$5:$AP$1005,'Detailed Budget'!$L$5:$L$1005,$B93,'Detailed Budget'!$L$5:$L$1005,"&gt;0")&gt;0,SUMIFS('Detailed Budget'!$AP$5:$AP$1005,'Detailed Budget'!$L$5:$L$1005,$B93,'Detailed Budget'!$L$5:$L$1005,"&gt;0"),"")</f>
        <v/>
      </c>
      <c r="K93" s="44" t="str">
        <f>IF(SUMIFS('Detailed Budget'!$AR$5:$AR$1005,'Detailed Budget'!$L$5:$L$1005,$B93,'Detailed Budget'!$L$5:$L$1005,"&gt;0")&gt;0,SUMIFS('Detailed Budget'!$AR$5:$AR$1005,'Detailed Budget'!$L$5:$L$1005,$B93,'Detailed Budget'!$L$5:$L$1005,"&gt;0"),"")</f>
        <v/>
      </c>
      <c r="L93" s="44" t="str">
        <f>IF(SUMIFS('Detailed Budget'!$AT$5:$AT$1005,'Detailed Budget'!$L$5:$L$1005,$B93,'Detailed Budget'!$L$5:$L$1005,"&gt;0")&gt;0,SUMIFS('Detailed Budget'!$AT$5:$AT$1005,'Detailed Budget'!$L$5:$L$1005,$B93,'Detailed Budget'!$L$5:$L$1005,"&gt;0"),"")</f>
        <v/>
      </c>
      <c r="M93" s="45" t="str">
        <f>IF(SUMIFS('Detailed Budget'!$AV$5:$AV$1005,'Detailed Budget'!$L$5:$L$1005,$B93,'Detailed Budget'!$L$5:$L$1005,"&gt;0")&gt;0,SUMIFS('Detailed Budget'!$AV$5:$AV$1005,'Detailed Budget'!$L$5:$L$1005,$B93,'Detailed Budget'!$L$5:$L$1005,"&gt;0"),"")</f>
        <v/>
      </c>
      <c r="N93" s="44" t="str">
        <f>IF(SUMIFS('Detailed Budget'!$BA$5:$BA$1005,'Detailed Budget'!$L$5:$L$1005,$B93,'Detailed Budget'!$L$5:$L$1005,"&gt;0")&gt;0,SUMIFS('Detailed Budget'!$BA$5:$BA$1005,'Detailed Budget'!$L$5:$L$1005,$B93,'Detailed Budget'!$L$5:$L$1005,"&gt;0"),"")</f>
        <v/>
      </c>
      <c r="O93" s="44" t="str">
        <f>IF(SUMIFS('Detailed Budget'!$BC$5:$BC$1005,'Detailed Budget'!$L$5:$L$1005,$B93,'Detailed Budget'!$L$5:$L$1005,"&gt;0")&gt;0,SUMIFS('Detailed Budget'!$BC$5:$BC$1005,'Detailed Budget'!$L$5:$L$1005,$B93,'Detailed Budget'!$L$5:$L$1005,"&gt;0"),"")</f>
        <v/>
      </c>
      <c r="P93" s="44" t="str">
        <f>IF(SUMIFS('Detailed Budget'!$BE$5:$BE$1005,'Detailed Budget'!$L$5:$L$1005,$B93,'Detailed Budget'!$L$5:$L$1005,"&gt;0")&gt;0,SUMIFS('Detailed Budget'!$BE$5:$BE$1005,'Detailed Budget'!$L$5:$L$1005,$B93,'Detailed Budget'!$L$5:$L$1005,"&gt;0"),"")</f>
        <v/>
      </c>
      <c r="Q93" s="44" t="str">
        <f>IF(SUMIFS('Detailed Budget'!$BG$5:$BG$1005,'Detailed Budget'!$L$5:$L$1005,$B93,'Detailed Budget'!$L$5:$L$1005,"&gt;0")&gt;0,SUMIFS('Detailed Budget'!$BG$5:$BG$1005,'Detailed Budget'!$L$5:$L$1005,$B93,'Detailed Budget'!$L$5:$L$1005,"&gt;0"),"")</f>
        <v/>
      </c>
      <c r="R93" s="45" t="str">
        <f>IF(SUMIFS('Detailed Budget'!$BI$5:$BI$1005,'Detailed Budget'!$L$5:$L$1005,$B93,'Detailed Budget'!$L$5:$L$1005,"&gt;0")&gt;0,SUMIFS('Detailed Budget'!$BI$5:$BI$1005,'Detailed Budget'!$L$5:$L$1005,$B93,'Detailed Budget'!$L$5:$L$1005,"&gt;0"),"")</f>
        <v/>
      </c>
      <c r="S93" s="44" t="str">
        <f>IF(SUMIFS('Detailed Budget'!$BN$5:$BN$1005,'Detailed Budget'!$L$5:$L$1005,$B93,'Detailed Budget'!$L$5:$L$1005,"&gt;0")&gt;0,SUMIFS('Detailed Budget'!$BN$5:$BN$1005,'Detailed Budget'!$L$5:$L$1005,$B93,'Detailed Budget'!$L$5:$L$1005,"&gt;0"),"")</f>
        <v/>
      </c>
      <c r="T93" s="44" t="str">
        <f>IF(SUMIFS('Detailed Budget'!$BP$5:$BP$1005,'Detailed Budget'!$L$5:$L$1005,$B93,'Detailed Budget'!$L$5:$L$1005,"&gt;0")&gt;0,SUMIFS('Detailed Budget'!$BP$5:$BP$1005,'Detailed Budget'!$L$5:$L$1005,$B93,'Detailed Budget'!$L$5:$L$1005,"&gt;0"),"")</f>
        <v/>
      </c>
      <c r="U93" s="44" t="str">
        <f>IF(SUMIFS('Detailed Budget'!$BR$5:$BR$1005,'Detailed Budget'!$L$5:$L$1005,$B93,'Detailed Budget'!$L$5:$L$1005,"&gt;0")&gt;0,SUMIFS('Detailed Budget'!$BR$5:$BR$1005,'Detailed Budget'!$L$5:$L$1005,$B93,'Detailed Budget'!$L$5:$L$1005,"&gt;0"),"")</f>
        <v/>
      </c>
      <c r="V93" s="44" t="str">
        <f>IF(SUMIFS('Detailed Budget'!$BT$5:$BT$1005,'Detailed Budget'!$L$5:$L$1005,$B93,'Detailed Budget'!$L$5:$L$1005,"&gt;0")&gt;0,SUMIFS('Detailed Budget'!$BT$5:$BT$1005,'Detailed Budget'!$L$5:$L$1005,$B93,'Detailed Budget'!$L$5:$L$1005,"&gt;0"),"")</f>
        <v/>
      </c>
      <c r="W93" s="45" t="str">
        <f>IF(SUMIFS('Detailed Budget'!$BV$5:$BV$1005,'Detailed Budget'!$L$5:$L$1005,$B93,'Detailed Budget'!$L$5:$L$1005,"&gt;0")&gt;0,SUMIFS('Detailed Budget'!$BV$5:$BV$1005,'Detailed Budget'!$L$5:$L$1005,$B93,'Detailed Budget'!$L$5:$L$1005,"&gt;0"),"")</f>
        <v/>
      </c>
      <c r="X93" s="44" t="str">
        <f t="shared" si="4"/>
        <v/>
      </c>
      <c r="Y93" s="124" t="str">
        <f t="shared" si="5"/>
        <v/>
      </c>
    </row>
    <row r="94" spans="1:25" hidden="1" x14ac:dyDescent="0.25">
      <c r="A94" s="35"/>
      <c r="B94" s="234" t="str">
        <f t="array" ref="B94">IFERROR(INDEX(CostInpNoList,MATCH(0,IF(ISBLANK(CostInpNoList),"",COUNTIF(B$16:B93,CostInpNoList)),0)),"")</f>
        <v/>
      </c>
      <c r="C94" s="372" t="str">
        <f>IFERROR(INDEX('Data Sheet'!$F$198:$F$275,MATCH(B94,'Data Sheet'!$G$198:$G$275,0)),"")</f>
        <v/>
      </c>
      <c r="D94" s="44" t="str">
        <f>IF(SUMIFS('Detailed Budget'!$AA$5:$AA$1005,'Detailed Budget'!$L$5:$L$1005,$B94,'Detailed Budget'!$L$5:$L$1005,"&gt;0")&gt;0,SUMIFS('Detailed Budget'!$AA$5:$AA$1005,'Detailed Budget'!$L$5:$L$1005,$B94,'Detailed Budget'!$L$5:$L$1005,"&gt;0"),"")</f>
        <v/>
      </c>
      <c r="E94" s="44" t="str">
        <f>IF(SUMIFS('Detailed Budget'!$AC$5:$AC$1005,'Detailed Budget'!$L$5:$L$1005,$B94,'Detailed Budget'!$L$5:$L$1005,"&gt;0")&gt;0,SUMIFS('Detailed Budget'!$AC$5:$AC$1005,'Detailed Budget'!$L$5:$L$1005,$B94,'Detailed Budget'!$L$5:$L$1005,"&gt;0"),"")</f>
        <v/>
      </c>
      <c r="F94" s="44" t="str">
        <f>IF(SUMIFS('Detailed Budget'!$AE$5:$AE$1005,'Detailed Budget'!$L$5:$L$1005,$B94,'Detailed Budget'!$L$5:$L$1005,"&gt;0")&gt;0,SUMIFS('Detailed Budget'!$AE$5:$AE$1005,'Detailed Budget'!$L$5:$L$1005,$B94,'Detailed Budget'!$L$5:$L$1005,"&gt;0"),"")</f>
        <v/>
      </c>
      <c r="G94" s="44" t="str">
        <f>IF(SUMIFS('Detailed Budget'!$AG$5:$AG$1005,'Detailed Budget'!$L$5:$L$1005,$B94,'Detailed Budget'!$L$5:$L$1005,"&gt;0")&gt;0,SUMIFS('Detailed Budget'!$AG$5:$AG$1005,'Detailed Budget'!$L$5:$L$1005,$B94,'Detailed Budget'!$L$5:$L$1005,"&gt;0"),"")</f>
        <v/>
      </c>
      <c r="H94" s="45" t="str">
        <f>IF(SUMIFS('Detailed Budget'!$AI$5:$AI$1005,'Detailed Budget'!$L$5:$L$1005,$B94,'Detailed Budget'!$L$5:$L$1005,"&gt;0")&gt;0,SUMIFS('Detailed Budget'!$AI$5:$AI$1005,'Detailed Budget'!$L$5:$L$1005,$B94,'Detailed Budget'!$L$5:$L$1005,"&gt;0"),"")</f>
        <v/>
      </c>
      <c r="I94" s="44" t="str">
        <f>IF(SUMIFS('Detailed Budget'!$AN$5:$AN$1005,'Detailed Budget'!$L$5:$L$1005,$B94,'Detailed Budget'!$L$5:$L$1005,"&gt;0")&gt;0,SUMIFS('Detailed Budget'!$AN$5:$AN$1005,'Detailed Budget'!$L$5:$L$1005,$B94,'Detailed Budget'!$L$5:$L$1005,"&gt;0"),"")</f>
        <v/>
      </c>
      <c r="J94" s="44" t="str">
        <f>IF(SUMIFS('Detailed Budget'!$AP$5:$AP$1005,'Detailed Budget'!$L$5:$L$1005,$B94,'Detailed Budget'!$L$5:$L$1005,"&gt;0")&gt;0,SUMIFS('Detailed Budget'!$AP$5:$AP$1005,'Detailed Budget'!$L$5:$L$1005,$B94,'Detailed Budget'!$L$5:$L$1005,"&gt;0"),"")</f>
        <v/>
      </c>
      <c r="K94" s="44" t="str">
        <f>IF(SUMIFS('Detailed Budget'!$AR$5:$AR$1005,'Detailed Budget'!$L$5:$L$1005,$B94,'Detailed Budget'!$L$5:$L$1005,"&gt;0")&gt;0,SUMIFS('Detailed Budget'!$AR$5:$AR$1005,'Detailed Budget'!$L$5:$L$1005,$B94,'Detailed Budget'!$L$5:$L$1005,"&gt;0"),"")</f>
        <v/>
      </c>
      <c r="L94" s="44" t="str">
        <f>IF(SUMIFS('Detailed Budget'!$AT$5:$AT$1005,'Detailed Budget'!$L$5:$L$1005,$B94,'Detailed Budget'!$L$5:$L$1005,"&gt;0")&gt;0,SUMIFS('Detailed Budget'!$AT$5:$AT$1005,'Detailed Budget'!$L$5:$L$1005,$B94,'Detailed Budget'!$L$5:$L$1005,"&gt;0"),"")</f>
        <v/>
      </c>
      <c r="M94" s="45" t="str">
        <f>IF(SUMIFS('Detailed Budget'!$AV$5:$AV$1005,'Detailed Budget'!$L$5:$L$1005,$B94,'Detailed Budget'!$L$5:$L$1005,"&gt;0")&gt;0,SUMIFS('Detailed Budget'!$AV$5:$AV$1005,'Detailed Budget'!$L$5:$L$1005,$B94,'Detailed Budget'!$L$5:$L$1005,"&gt;0"),"")</f>
        <v/>
      </c>
      <c r="N94" s="44" t="str">
        <f>IF(SUMIFS('Detailed Budget'!$BA$5:$BA$1005,'Detailed Budget'!$L$5:$L$1005,$B94,'Detailed Budget'!$L$5:$L$1005,"&gt;0")&gt;0,SUMIFS('Detailed Budget'!$BA$5:$BA$1005,'Detailed Budget'!$L$5:$L$1005,$B94,'Detailed Budget'!$L$5:$L$1005,"&gt;0"),"")</f>
        <v/>
      </c>
      <c r="O94" s="44" t="str">
        <f>IF(SUMIFS('Detailed Budget'!$BC$5:$BC$1005,'Detailed Budget'!$L$5:$L$1005,$B94,'Detailed Budget'!$L$5:$L$1005,"&gt;0")&gt;0,SUMIFS('Detailed Budget'!$BC$5:$BC$1005,'Detailed Budget'!$L$5:$L$1005,$B94,'Detailed Budget'!$L$5:$L$1005,"&gt;0"),"")</f>
        <v/>
      </c>
      <c r="P94" s="44" t="str">
        <f>IF(SUMIFS('Detailed Budget'!$BE$5:$BE$1005,'Detailed Budget'!$L$5:$L$1005,$B94,'Detailed Budget'!$L$5:$L$1005,"&gt;0")&gt;0,SUMIFS('Detailed Budget'!$BE$5:$BE$1005,'Detailed Budget'!$L$5:$L$1005,$B94,'Detailed Budget'!$L$5:$L$1005,"&gt;0"),"")</f>
        <v/>
      </c>
      <c r="Q94" s="44" t="str">
        <f>IF(SUMIFS('Detailed Budget'!$BG$5:$BG$1005,'Detailed Budget'!$L$5:$L$1005,$B94,'Detailed Budget'!$L$5:$L$1005,"&gt;0")&gt;0,SUMIFS('Detailed Budget'!$BG$5:$BG$1005,'Detailed Budget'!$L$5:$L$1005,$B94,'Detailed Budget'!$L$5:$L$1005,"&gt;0"),"")</f>
        <v/>
      </c>
      <c r="R94" s="45" t="str">
        <f>IF(SUMIFS('Detailed Budget'!$BI$5:$BI$1005,'Detailed Budget'!$L$5:$L$1005,$B94,'Detailed Budget'!$L$5:$L$1005,"&gt;0")&gt;0,SUMIFS('Detailed Budget'!$BI$5:$BI$1005,'Detailed Budget'!$L$5:$L$1005,$B94,'Detailed Budget'!$L$5:$L$1005,"&gt;0"),"")</f>
        <v/>
      </c>
      <c r="S94" s="44" t="str">
        <f>IF(SUMIFS('Detailed Budget'!$BN$5:$BN$1005,'Detailed Budget'!$L$5:$L$1005,$B94,'Detailed Budget'!$L$5:$L$1005,"&gt;0")&gt;0,SUMIFS('Detailed Budget'!$BN$5:$BN$1005,'Detailed Budget'!$L$5:$L$1005,$B94,'Detailed Budget'!$L$5:$L$1005,"&gt;0"),"")</f>
        <v/>
      </c>
      <c r="T94" s="44" t="str">
        <f>IF(SUMIFS('Detailed Budget'!$BP$5:$BP$1005,'Detailed Budget'!$L$5:$L$1005,$B94,'Detailed Budget'!$L$5:$L$1005,"&gt;0")&gt;0,SUMIFS('Detailed Budget'!$BP$5:$BP$1005,'Detailed Budget'!$L$5:$L$1005,$B94,'Detailed Budget'!$L$5:$L$1005,"&gt;0"),"")</f>
        <v/>
      </c>
      <c r="U94" s="44" t="str">
        <f>IF(SUMIFS('Detailed Budget'!$BR$5:$BR$1005,'Detailed Budget'!$L$5:$L$1005,$B94,'Detailed Budget'!$L$5:$L$1005,"&gt;0")&gt;0,SUMIFS('Detailed Budget'!$BR$5:$BR$1005,'Detailed Budget'!$L$5:$L$1005,$B94,'Detailed Budget'!$L$5:$L$1005,"&gt;0"),"")</f>
        <v/>
      </c>
      <c r="V94" s="44" t="str">
        <f>IF(SUMIFS('Detailed Budget'!$BT$5:$BT$1005,'Detailed Budget'!$L$5:$L$1005,$B94,'Detailed Budget'!$L$5:$L$1005,"&gt;0")&gt;0,SUMIFS('Detailed Budget'!$BT$5:$BT$1005,'Detailed Budget'!$L$5:$L$1005,$B94,'Detailed Budget'!$L$5:$L$1005,"&gt;0"),"")</f>
        <v/>
      </c>
      <c r="W94" s="45" t="str">
        <f>IF(SUMIFS('Detailed Budget'!$BV$5:$BV$1005,'Detailed Budget'!$L$5:$L$1005,$B94,'Detailed Budget'!$L$5:$L$1005,"&gt;0")&gt;0,SUMIFS('Detailed Budget'!$BV$5:$BV$1005,'Detailed Budget'!$L$5:$L$1005,$B94,'Detailed Budget'!$L$5:$L$1005,"&gt;0"),"")</f>
        <v/>
      </c>
      <c r="X94" s="44" t="str">
        <f t="shared" si="4"/>
        <v/>
      </c>
      <c r="Y94" s="124" t="str">
        <f t="shared" si="5"/>
        <v/>
      </c>
    </row>
    <row r="95" spans="1:25" hidden="1" x14ac:dyDescent="0.25">
      <c r="A95" s="35"/>
      <c r="B95" s="234" t="str">
        <f t="array" ref="B95">IFERROR(INDEX(CostInpNoList,MATCH(0,IF(ISBLANK(CostInpNoList),"",COUNTIF(B$16:B94,CostInpNoList)),0)),"")</f>
        <v/>
      </c>
      <c r="C95" s="372" t="str">
        <f>IFERROR(INDEX('Data Sheet'!$F$198:$F$275,MATCH(B95,'Data Sheet'!$G$198:$G$275,0)),"")</f>
        <v/>
      </c>
      <c r="D95" s="44" t="str">
        <f>IF(SUMIFS('Detailed Budget'!$AA$5:$AA$1005,'Detailed Budget'!$L$5:$L$1005,$B95,'Detailed Budget'!$L$5:$L$1005,"&gt;0")&gt;0,SUMIFS('Detailed Budget'!$AA$5:$AA$1005,'Detailed Budget'!$L$5:$L$1005,$B95,'Detailed Budget'!$L$5:$L$1005,"&gt;0"),"")</f>
        <v/>
      </c>
      <c r="E95" s="44" t="str">
        <f>IF(SUMIFS('Detailed Budget'!$AC$5:$AC$1005,'Detailed Budget'!$L$5:$L$1005,$B95,'Detailed Budget'!$L$5:$L$1005,"&gt;0")&gt;0,SUMIFS('Detailed Budget'!$AC$5:$AC$1005,'Detailed Budget'!$L$5:$L$1005,$B95,'Detailed Budget'!$L$5:$L$1005,"&gt;0"),"")</f>
        <v/>
      </c>
      <c r="F95" s="44" t="str">
        <f>IF(SUMIFS('Detailed Budget'!$AE$5:$AE$1005,'Detailed Budget'!$L$5:$L$1005,$B95,'Detailed Budget'!$L$5:$L$1005,"&gt;0")&gt;0,SUMIFS('Detailed Budget'!$AE$5:$AE$1005,'Detailed Budget'!$L$5:$L$1005,$B95,'Detailed Budget'!$L$5:$L$1005,"&gt;0"),"")</f>
        <v/>
      </c>
      <c r="G95" s="44" t="str">
        <f>IF(SUMIFS('Detailed Budget'!$AG$5:$AG$1005,'Detailed Budget'!$L$5:$L$1005,$B95,'Detailed Budget'!$L$5:$L$1005,"&gt;0")&gt;0,SUMIFS('Detailed Budget'!$AG$5:$AG$1005,'Detailed Budget'!$L$5:$L$1005,$B95,'Detailed Budget'!$L$5:$L$1005,"&gt;0"),"")</f>
        <v/>
      </c>
      <c r="H95" s="45" t="str">
        <f>IF(SUMIFS('Detailed Budget'!$AI$5:$AI$1005,'Detailed Budget'!$L$5:$L$1005,$B95,'Detailed Budget'!$L$5:$L$1005,"&gt;0")&gt;0,SUMIFS('Detailed Budget'!$AI$5:$AI$1005,'Detailed Budget'!$L$5:$L$1005,$B95,'Detailed Budget'!$L$5:$L$1005,"&gt;0"),"")</f>
        <v/>
      </c>
      <c r="I95" s="44" t="str">
        <f>IF(SUMIFS('Detailed Budget'!$AN$5:$AN$1005,'Detailed Budget'!$L$5:$L$1005,$B95,'Detailed Budget'!$L$5:$L$1005,"&gt;0")&gt;0,SUMIFS('Detailed Budget'!$AN$5:$AN$1005,'Detailed Budget'!$L$5:$L$1005,$B95,'Detailed Budget'!$L$5:$L$1005,"&gt;0"),"")</f>
        <v/>
      </c>
      <c r="J95" s="44" t="str">
        <f>IF(SUMIFS('Detailed Budget'!$AP$5:$AP$1005,'Detailed Budget'!$L$5:$L$1005,$B95,'Detailed Budget'!$L$5:$L$1005,"&gt;0")&gt;0,SUMIFS('Detailed Budget'!$AP$5:$AP$1005,'Detailed Budget'!$L$5:$L$1005,$B95,'Detailed Budget'!$L$5:$L$1005,"&gt;0"),"")</f>
        <v/>
      </c>
      <c r="K95" s="44" t="str">
        <f>IF(SUMIFS('Detailed Budget'!$AR$5:$AR$1005,'Detailed Budget'!$L$5:$L$1005,$B95,'Detailed Budget'!$L$5:$L$1005,"&gt;0")&gt;0,SUMIFS('Detailed Budget'!$AR$5:$AR$1005,'Detailed Budget'!$L$5:$L$1005,$B95,'Detailed Budget'!$L$5:$L$1005,"&gt;0"),"")</f>
        <v/>
      </c>
      <c r="L95" s="44" t="str">
        <f>IF(SUMIFS('Detailed Budget'!$AT$5:$AT$1005,'Detailed Budget'!$L$5:$L$1005,$B95,'Detailed Budget'!$L$5:$L$1005,"&gt;0")&gt;0,SUMIFS('Detailed Budget'!$AT$5:$AT$1005,'Detailed Budget'!$L$5:$L$1005,$B95,'Detailed Budget'!$L$5:$L$1005,"&gt;0"),"")</f>
        <v/>
      </c>
      <c r="M95" s="45" t="str">
        <f>IF(SUMIFS('Detailed Budget'!$AV$5:$AV$1005,'Detailed Budget'!$L$5:$L$1005,$B95,'Detailed Budget'!$L$5:$L$1005,"&gt;0")&gt;0,SUMIFS('Detailed Budget'!$AV$5:$AV$1005,'Detailed Budget'!$L$5:$L$1005,$B95,'Detailed Budget'!$L$5:$L$1005,"&gt;0"),"")</f>
        <v/>
      </c>
      <c r="N95" s="44" t="str">
        <f>IF(SUMIFS('Detailed Budget'!$BA$5:$BA$1005,'Detailed Budget'!$L$5:$L$1005,$B95,'Detailed Budget'!$L$5:$L$1005,"&gt;0")&gt;0,SUMIFS('Detailed Budget'!$BA$5:$BA$1005,'Detailed Budget'!$L$5:$L$1005,$B95,'Detailed Budget'!$L$5:$L$1005,"&gt;0"),"")</f>
        <v/>
      </c>
      <c r="O95" s="44" t="str">
        <f>IF(SUMIFS('Detailed Budget'!$BC$5:$BC$1005,'Detailed Budget'!$L$5:$L$1005,$B95,'Detailed Budget'!$L$5:$L$1005,"&gt;0")&gt;0,SUMIFS('Detailed Budget'!$BC$5:$BC$1005,'Detailed Budget'!$L$5:$L$1005,$B95,'Detailed Budget'!$L$5:$L$1005,"&gt;0"),"")</f>
        <v/>
      </c>
      <c r="P95" s="44" t="str">
        <f>IF(SUMIFS('Detailed Budget'!$BE$5:$BE$1005,'Detailed Budget'!$L$5:$L$1005,$B95,'Detailed Budget'!$L$5:$L$1005,"&gt;0")&gt;0,SUMIFS('Detailed Budget'!$BE$5:$BE$1005,'Detailed Budget'!$L$5:$L$1005,$B95,'Detailed Budget'!$L$5:$L$1005,"&gt;0"),"")</f>
        <v/>
      </c>
      <c r="Q95" s="44" t="str">
        <f>IF(SUMIFS('Detailed Budget'!$BG$5:$BG$1005,'Detailed Budget'!$L$5:$L$1005,$B95,'Detailed Budget'!$L$5:$L$1005,"&gt;0")&gt;0,SUMIFS('Detailed Budget'!$BG$5:$BG$1005,'Detailed Budget'!$L$5:$L$1005,$B95,'Detailed Budget'!$L$5:$L$1005,"&gt;0"),"")</f>
        <v/>
      </c>
      <c r="R95" s="45" t="str">
        <f>IF(SUMIFS('Detailed Budget'!$BI$5:$BI$1005,'Detailed Budget'!$L$5:$L$1005,$B95,'Detailed Budget'!$L$5:$L$1005,"&gt;0")&gt;0,SUMIFS('Detailed Budget'!$BI$5:$BI$1005,'Detailed Budget'!$L$5:$L$1005,$B95,'Detailed Budget'!$L$5:$L$1005,"&gt;0"),"")</f>
        <v/>
      </c>
      <c r="S95" s="44" t="str">
        <f>IF(SUMIFS('Detailed Budget'!$BN$5:$BN$1005,'Detailed Budget'!$L$5:$L$1005,$B95,'Detailed Budget'!$L$5:$L$1005,"&gt;0")&gt;0,SUMIFS('Detailed Budget'!$BN$5:$BN$1005,'Detailed Budget'!$L$5:$L$1005,$B95,'Detailed Budget'!$L$5:$L$1005,"&gt;0"),"")</f>
        <v/>
      </c>
      <c r="T95" s="44" t="str">
        <f>IF(SUMIFS('Detailed Budget'!$BP$5:$BP$1005,'Detailed Budget'!$L$5:$L$1005,$B95,'Detailed Budget'!$L$5:$L$1005,"&gt;0")&gt;0,SUMIFS('Detailed Budget'!$BP$5:$BP$1005,'Detailed Budget'!$L$5:$L$1005,$B95,'Detailed Budget'!$L$5:$L$1005,"&gt;0"),"")</f>
        <v/>
      </c>
      <c r="U95" s="44" t="str">
        <f>IF(SUMIFS('Detailed Budget'!$BR$5:$BR$1005,'Detailed Budget'!$L$5:$L$1005,$B95,'Detailed Budget'!$L$5:$L$1005,"&gt;0")&gt;0,SUMIFS('Detailed Budget'!$BR$5:$BR$1005,'Detailed Budget'!$L$5:$L$1005,$B95,'Detailed Budget'!$L$5:$L$1005,"&gt;0"),"")</f>
        <v/>
      </c>
      <c r="V95" s="44" t="str">
        <f>IF(SUMIFS('Detailed Budget'!$BT$5:$BT$1005,'Detailed Budget'!$L$5:$L$1005,$B95,'Detailed Budget'!$L$5:$L$1005,"&gt;0")&gt;0,SUMIFS('Detailed Budget'!$BT$5:$BT$1005,'Detailed Budget'!$L$5:$L$1005,$B95,'Detailed Budget'!$L$5:$L$1005,"&gt;0"),"")</f>
        <v/>
      </c>
      <c r="W95" s="45" t="str">
        <f>IF(SUMIFS('Detailed Budget'!$BV$5:$BV$1005,'Detailed Budget'!$L$5:$L$1005,$B95,'Detailed Budget'!$L$5:$L$1005,"&gt;0")&gt;0,SUMIFS('Detailed Budget'!$BV$5:$BV$1005,'Detailed Budget'!$L$5:$L$1005,$B95,'Detailed Budget'!$L$5:$L$1005,"&gt;0"),"")</f>
        <v/>
      </c>
      <c r="X95" s="44" t="str">
        <f t="shared" si="4"/>
        <v/>
      </c>
      <c r="Y95" s="124" t="str">
        <f t="shared" si="5"/>
        <v/>
      </c>
    </row>
    <row r="96" spans="1:25" hidden="1" x14ac:dyDescent="0.25">
      <c r="A96" s="35"/>
      <c r="B96" s="234" t="str">
        <f t="array" ref="B96">IFERROR(INDEX(CostInpNoList,MATCH(0,IF(ISBLANK(CostInpNoList),"",COUNTIF(B$16:B95,CostInpNoList)),0)),"")</f>
        <v/>
      </c>
      <c r="C96" s="372" t="str">
        <f>IFERROR(INDEX('Data Sheet'!$F$198:$F$275,MATCH(B96,'Data Sheet'!$G$198:$G$275,0)),"")</f>
        <v/>
      </c>
      <c r="D96" s="44" t="str">
        <f>IF(SUMIFS('Detailed Budget'!$AA$5:$AA$1005,'Detailed Budget'!$L$5:$L$1005,$B96,'Detailed Budget'!$L$5:$L$1005,"&gt;0")&gt;0,SUMIFS('Detailed Budget'!$AA$5:$AA$1005,'Detailed Budget'!$L$5:$L$1005,$B96,'Detailed Budget'!$L$5:$L$1005,"&gt;0"),"")</f>
        <v/>
      </c>
      <c r="E96" s="44" t="str">
        <f>IF(SUMIFS('Detailed Budget'!$AC$5:$AC$1005,'Detailed Budget'!$L$5:$L$1005,$B96,'Detailed Budget'!$L$5:$L$1005,"&gt;0")&gt;0,SUMIFS('Detailed Budget'!$AC$5:$AC$1005,'Detailed Budget'!$L$5:$L$1005,$B96,'Detailed Budget'!$L$5:$L$1005,"&gt;0"),"")</f>
        <v/>
      </c>
      <c r="F96" s="44" t="str">
        <f>IF(SUMIFS('Detailed Budget'!$AE$5:$AE$1005,'Detailed Budget'!$L$5:$L$1005,$B96,'Detailed Budget'!$L$5:$L$1005,"&gt;0")&gt;0,SUMIFS('Detailed Budget'!$AE$5:$AE$1005,'Detailed Budget'!$L$5:$L$1005,$B96,'Detailed Budget'!$L$5:$L$1005,"&gt;0"),"")</f>
        <v/>
      </c>
      <c r="G96" s="44" t="str">
        <f>IF(SUMIFS('Detailed Budget'!$AG$5:$AG$1005,'Detailed Budget'!$L$5:$L$1005,$B96,'Detailed Budget'!$L$5:$L$1005,"&gt;0")&gt;0,SUMIFS('Detailed Budget'!$AG$5:$AG$1005,'Detailed Budget'!$L$5:$L$1005,$B96,'Detailed Budget'!$L$5:$L$1005,"&gt;0"),"")</f>
        <v/>
      </c>
      <c r="H96" s="45" t="str">
        <f>IF(SUMIFS('Detailed Budget'!$AI$5:$AI$1005,'Detailed Budget'!$L$5:$L$1005,$B96,'Detailed Budget'!$L$5:$L$1005,"&gt;0")&gt;0,SUMIFS('Detailed Budget'!$AI$5:$AI$1005,'Detailed Budget'!$L$5:$L$1005,$B96,'Detailed Budget'!$L$5:$L$1005,"&gt;0"),"")</f>
        <v/>
      </c>
      <c r="I96" s="44" t="str">
        <f>IF(SUMIFS('Detailed Budget'!$AN$5:$AN$1005,'Detailed Budget'!$L$5:$L$1005,$B96,'Detailed Budget'!$L$5:$L$1005,"&gt;0")&gt;0,SUMIFS('Detailed Budget'!$AN$5:$AN$1005,'Detailed Budget'!$L$5:$L$1005,$B96,'Detailed Budget'!$L$5:$L$1005,"&gt;0"),"")</f>
        <v/>
      </c>
      <c r="J96" s="44" t="str">
        <f>IF(SUMIFS('Detailed Budget'!$AP$5:$AP$1005,'Detailed Budget'!$L$5:$L$1005,$B96,'Detailed Budget'!$L$5:$L$1005,"&gt;0")&gt;0,SUMIFS('Detailed Budget'!$AP$5:$AP$1005,'Detailed Budget'!$L$5:$L$1005,$B96,'Detailed Budget'!$L$5:$L$1005,"&gt;0"),"")</f>
        <v/>
      </c>
      <c r="K96" s="44" t="str">
        <f>IF(SUMIFS('Detailed Budget'!$AR$5:$AR$1005,'Detailed Budget'!$L$5:$L$1005,$B96,'Detailed Budget'!$L$5:$L$1005,"&gt;0")&gt;0,SUMIFS('Detailed Budget'!$AR$5:$AR$1005,'Detailed Budget'!$L$5:$L$1005,$B96,'Detailed Budget'!$L$5:$L$1005,"&gt;0"),"")</f>
        <v/>
      </c>
      <c r="L96" s="44" t="str">
        <f>IF(SUMIFS('Detailed Budget'!$AT$5:$AT$1005,'Detailed Budget'!$L$5:$L$1005,$B96,'Detailed Budget'!$L$5:$L$1005,"&gt;0")&gt;0,SUMIFS('Detailed Budget'!$AT$5:$AT$1005,'Detailed Budget'!$L$5:$L$1005,$B96,'Detailed Budget'!$L$5:$L$1005,"&gt;0"),"")</f>
        <v/>
      </c>
      <c r="M96" s="45" t="str">
        <f>IF(SUMIFS('Detailed Budget'!$AV$5:$AV$1005,'Detailed Budget'!$L$5:$L$1005,$B96,'Detailed Budget'!$L$5:$L$1005,"&gt;0")&gt;0,SUMIFS('Detailed Budget'!$AV$5:$AV$1005,'Detailed Budget'!$L$5:$L$1005,$B96,'Detailed Budget'!$L$5:$L$1005,"&gt;0"),"")</f>
        <v/>
      </c>
      <c r="N96" s="44" t="str">
        <f>IF(SUMIFS('Detailed Budget'!$BA$5:$BA$1005,'Detailed Budget'!$L$5:$L$1005,$B96,'Detailed Budget'!$L$5:$L$1005,"&gt;0")&gt;0,SUMIFS('Detailed Budget'!$BA$5:$BA$1005,'Detailed Budget'!$L$5:$L$1005,$B96,'Detailed Budget'!$L$5:$L$1005,"&gt;0"),"")</f>
        <v/>
      </c>
      <c r="O96" s="44" t="str">
        <f>IF(SUMIFS('Detailed Budget'!$BC$5:$BC$1005,'Detailed Budget'!$L$5:$L$1005,$B96,'Detailed Budget'!$L$5:$L$1005,"&gt;0")&gt;0,SUMIFS('Detailed Budget'!$BC$5:$BC$1005,'Detailed Budget'!$L$5:$L$1005,$B96,'Detailed Budget'!$L$5:$L$1005,"&gt;0"),"")</f>
        <v/>
      </c>
      <c r="P96" s="44" t="str">
        <f>IF(SUMIFS('Detailed Budget'!$BE$5:$BE$1005,'Detailed Budget'!$L$5:$L$1005,$B96,'Detailed Budget'!$L$5:$L$1005,"&gt;0")&gt;0,SUMIFS('Detailed Budget'!$BE$5:$BE$1005,'Detailed Budget'!$L$5:$L$1005,$B96,'Detailed Budget'!$L$5:$L$1005,"&gt;0"),"")</f>
        <v/>
      </c>
      <c r="Q96" s="44" t="str">
        <f>IF(SUMIFS('Detailed Budget'!$BG$5:$BG$1005,'Detailed Budget'!$L$5:$L$1005,$B96,'Detailed Budget'!$L$5:$L$1005,"&gt;0")&gt;0,SUMIFS('Detailed Budget'!$BG$5:$BG$1005,'Detailed Budget'!$L$5:$L$1005,$B96,'Detailed Budget'!$L$5:$L$1005,"&gt;0"),"")</f>
        <v/>
      </c>
      <c r="R96" s="45" t="str">
        <f>IF(SUMIFS('Detailed Budget'!$BI$5:$BI$1005,'Detailed Budget'!$L$5:$L$1005,$B96,'Detailed Budget'!$L$5:$L$1005,"&gt;0")&gt;0,SUMIFS('Detailed Budget'!$BI$5:$BI$1005,'Detailed Budget'!$L$5:$L$1005,$B96,'Detailed Budget'!$L$5:$L$1005,"&gt;0"),"")</f>
        <v/>
      </c>
      <c r="S96" s="44" t="str">
        <f>IF(SUMIFS('Detailed Budget'!$BN$5:$BN$1005,'Detailed Budget'!$L$5:$L$1005,$B96,'Detailed Budget'!$L$5:$L$1005,"&gt;0")&gt;0,SUMIFS('Detailed Budget'!$BN$5:$BN$1005,'Detailed Budget'!$L$5:$L$1005,$B96,'Detailed Budget'!$L$5:$L$1005,"&gt;0"),"")</f>
        <v/>
      </c>
      <c r="T96" s="44" t="str">
        <f>IF(SUMIFS('Detailed Budget'!$BP$5:$BP$1005,'Detailed Budget'!$L$5:$L$1005,$B96,'Detailed Budget'!$L$5:$L$1005,"&gt;0")&gt;0,SUMIFS('Detailed Budget'!$BP$5:$BP$1005,'Detailed Budget'!$L$5:$L$1005,$B96,'Detailed Budget'!$L$5:$L$1005,"&gt;0"),"")</f>
        <v/>
      </c>
      <c r="U96" s="44" t="str">
        <f>IF(SUMIFS('Detailed Budget'!$BR$5:$BR$1005,'Detailed Budget'!$L$5:$L$1005,$B96,'Detailed Budget'!$L$5:$L$1005,"&gt;0")&gt;0,SUMIFS('Detailed Budget'!$BR$5:$BR$1005,'Detailed Budget'!$L$5:$L$1005,$B96,'Detailed Budget'!$L$5:$L$1005,"&gt;0"),"")</f>
        <v/>
      </c>
      <c r="V96" s="44" t="str">
        <f>IF(SUMIFS('Detailed Budget'!$BT$5:$BT$1005,'Detailed Budget'!$L$5:$L$1005,$B96,'Detailed Budget'!$L$5:$L$1005,"&gt;0")&gt;0,SUMIFS('Detailed Budget'!$BT$5:$BT$1005,'Detailed Budget'!$L$5:$L$1005,$B96,'Detailed Budget'!$L$5:$L$1005,"&gt;0"),"")</f>
        <v/>
      </c>
      <c r="W96" s="45" t="str">
        <f>IF(SUMIFS('Detailed Budget'!$BV$5:$BV$1005,'Detailed Budget'!$L$5:$L$1005,$B96,'Detailed Budget'!$L$5:$L$1005,"&gt;0")&gt;0,SUMIFS('Detailed Budget'!$BV$5:$BV$1005,'Detailed Budget'!$L$5:$L$1005,$B96,'Detailed Budget'!$L$5:$L$1005,"&gt;0"),"")</f>
        <v/>
      </c>
      <c r="X96" s="44" t="str">
        <f t="shared" si="4"/>
        <v/>
      </c>
      <c r="Y96" s="124" t="str">
        <f t="shared" si="5"/>
        <v/>
      </c>
    </row>
    <row r="97" spans="1:25" hidden="1" x14ac:dyDescent="0.25">
      <c r="A97" s="35"/>
      <c r="B97" s="234" t="str">
        <f t="array" ref="B97">IFERROR(INDEX(CostInpNoList,MATCH(0,IF(ISBLANK(CostInpNoList),"",COUNTIF(B$16:B96,CostInpNoList)),0)),"")</f>
        <v/>
      </c>
      <c r="C97" s="372" t="str">
        <f>IFERROR(INDEX('Data Sheet'!$F$198:$F$275,MATCH(B97,'Data Sheet'!$G$198:$G$275,0)),"")</f>
        <v/>
      </c>
      <c r="D97" s="44" t="str">
        <f>IF(SUMIFS('Detailed Budget'!$AA$5:$AA$1005,'Detailed Budget'!$L$5:$L$1005,$B97,'Detailed Budget'!$L$5:$L$1005,"&gt;0")&gt;0,SUMIFS('Detailed Budget'!$AA$5:$AA$1005,'Detailed Budget'!$L$5:$L$1005,$B97,'Detailed Budget'!$L$5:$L$1005,"&gt;0"),"")</f>
        <v/>
      </c>
      <c r="E97" s="44" t="str">
        <f>IF(SUMIFS('Detailed Budget'!$AC$5:$AC$1005,'Detailed Budget'!$L$5:$L$1005,$B97,'Detailed Budget'!$L$5:$L$1005,"&gt;0")&gt;0,SUMIFS('Detailed Budget'!$AC$5:$AC$1005,'Detailed Budget'!$L$5:$L$1005,$B97,'Detailed Budget'!$L$5:$L$1005,"&gt;0"),"")</f>
        <v/>
      </c>
      <c r="F97" s="44" t="str">
        <f>IF(SUMIFS('Detailed Budget'!$AE$5:$AE$1005,'Detailed Budget'!$L$5:$L$1005,$B97,'Detailed Budget'!$L$5:$L$1005,"&gt;0")&gt;0,SUMIFS('Detailed Budget'!$AE$5:$AE$1005,'Detailed Budget'!$L$5:$L$1005,$B97,'Detailed Budget'!$L$5:$L$1005,"&gt;0"),"")</f>
        <v/>
      </c>
      <c r="G97" s="44" t="str">
        <f>IF(SUMIFS('Detailed Budget'!$AG$5:$AG$1005,'Detailed Budget'!$L$5:$L$1005,$B97,'Detailed Budget'!$L$5:$L$1005,"&gt;0")&gt;0,SUMIFS('Detailed Budget'!$AG$5:$AG$1005,'Detailed Budget'!$L$5:$L$1005,$B97,'Detailed Budget'!$L$5:$L$1005,"&gt;0"),"")</f>
        <v/>
      </c>
      <c r="H97" s="45" t="str">
        <f>IF(SUMIFS('Detailed Budget'!$AI$5:$AI$1005,'Detailed Budget'!$L$5:$L$1005,$B97,'Detailed Budget'!$L$5:$L$1005,"&gt;0")&gt;0,SUMIFS('Detailed Budget'!$AI$5:$AI$1005,'Detailed Budget'!$L$5:$L$1005,$B97,'Detailed Budget'!$L$5:$L$1005,"&gt;0"),"")</f>
        <v/>
      </c>
      <c r="I97" s="44" t="str">
        <f>IF(SUMIFS('Detailed Budget'!$AN$5:$AN$1005,'Detailed Budget'!$L$5:$L$1005,$B97,'Detailed Budget'!$L$5:$L$1005,"&gt;0")&gt;0,SUMIFS('Detailed Budget'!$AN$5:$AN$1005,'Detailed Budget'!$L$5:$L$1005,$B97,'Detailed Budget'!$L$5:$L$1005,"&gt;0"),"")</f>
        <v/>
      </c>
      <c r="J97" s="44" t="str">
        <f>IF(SUMIFS('Detailed Budget'!$AP$5:$AP$1005,'Detailed Budget'!$L$5:$L$1005,$B97,'Detailed Budget'!$L$5:$L$1005,"&gt;0")&gt;0,SUMIFS('Detailed Budget'!$AP$5:$AP$1005,'Detailed Budget'!$L$5:$L$1005,$B97,'Detailed Budget'!$L$5:$L$1005,"&gt;0"),"")</f>
        <v/>
      </c>
      <c r="K97" s="44" t="str">
        <f>IF(SUMIFS('Detailed Budget'!$AR$5:$AR$1005,'Detailed Budget'!$L$5:$L$1005,$B97,'Detailed Budget'!$L$5:$L$1005,"&gt;0")&gt;0,SUMIFS('Detailed Budget'!$AR$5:$AR$1005,'Detailed Budget'!$L$5:$L$1005,$B97,'Detailed Budget'!$L$5:$L$1005,"&gt;0"),"")</f>
        <v/>
      </c>
      <c r="L97" s="44" t="str">
        <f>IF(SUMIFS('Detailed Budget'!$AT$5:$AT$1005,'Detailed Budget'!$L$5:$L$1005,$B97,'Detailed Budget'!$L$5:$L$1005,"&gt;0")&gt;0,SUMIFS('Detailed Budget'!$AT$5:$AT$1005,'Detailed Budget'!$L$5:$L$1005,$B97,'Detailed Budget'!$L$5:$L$1005,"&gt;0"),"")</f>
        <v/>
      </c>
      <c r="M97" s="45" t="str">
        <f>IF(SUMIFS('Detailed Budget'!$AV$5:$AV$1005,'Detailed Budget'!$L$5:$L$1005,$B97,'Detailed Budget'!$L$5:$L$1005,"&gt;0")&gt;0,SUMIFS('Detailed Budget'!$AV$5:$AV$1005,'Detailed Budget'!$L$5:$L$1005,$B97,'Detailed Budget'!$L$5:$L$1005,"&gt;0"),"")</f>
        <v/>
      </c>
      <c r="N97" s="44" t="str">
        <f>IF(SUMIFS('Detailed Budget'!$BA$5:$BA$1005,'Detailed Budget'!$L$5:$L$1005,$B97,'Detailed Budget'!$L$5:$L$1005,"&gt;0")&gt;0,SUMIFS('Detailed Budget'!$BA$5:$BA$1005,'Detailed Budget'!$L$5:$L$1005,$B97,'Detailed Budget'!$L$5:$L$1005,"&gt;0"),"")</f>
        <v/>
      </c>
      <c r="O97" s="44" t="str">
        <f>IF(SUMIFS('Detailed Budget'!$BC$5:$BC$1005,'Detailed Budget'!$L$5:$L$1005,$B97,'Detailed Budget'!$L$5:$L$1005,"&gt;0")&gt;0,SUMIFS('Detailed Budget'!$BC$5:$BC$1005,'Detailed Budget'!$L$5:$L$1005,$B97,'Detailed Budget'!$L$5:$L$1005,"&gt;0"),"")</f>
        <v/>
      </c>
      <c r="P97" s="44" t="str">
        <f>IF(SUMIFS('Detailed Budget'!$BE$5:$BE$1005,'Detailed Budget'!$L$5:$L$1005,$B97,'Detailed Budget'!$L$5:$L$1005,"&gt;0")&gt;0,SUMIFS('Detailed Budget'!$BE$5:$BE$1005,'Detailed Budget'!$L$5:$L$1005,$B97,'Detailed Budget'!$L$5:$L$1005,"&gt;0"),"")</f>
        <v/>
      </c>
      <c r="Q97" s="44" t="str">
        <f>IF(SUMIFS('Detailed Budget'!$BG$5:$BG$1005,'Detailed Budget'!$L$5:$L$1005,$B97,'Detailed Budget'!$L$5:$L$1005,"&gt;0")&gt;0,SUMIFS('Detailed Budget'!$BG$5:$BG$1005,'Detailed Budget'!$L$5:$L$1005,$B97,'Detailed Budget'!$L$5:$L$1005,"&gt;0"),"")</f>
        <v/>
      </c>
      <c r="R97" s="45" t="str">
        <f>IF(SUMIFS('Detailed Budget'!$BI$5:$BI$1005,'Detailed Budget'!$L$5:$L$1005,$B97,'Detailed Budget'!$L$5:$L$1005,"&gt;0")&gt;0,SUMIFS('Detailed Budget'!$BI$5:$BI$1005,'Detailed Budget'!$L$5:$L$1005,$B97,'Detailed Budget'!$L$5:$L$1005,"&gt;0"),"")</f>
        <v/>
      </c>
      <c r="S97" s="44" t="str">
        <f>IF(SUMIFS('Detailed Budget'!$BN$5:$BN$1005,'Detailed Budget'!$L$5:$L$1005,$B97,'Detailed Budget'!$L$5:$L$1005,"&gt;0")&gt;0,SUMIFS('Detailed Budget'!$BN$5:$BN$1005,'Detailed Budget'!$L$5:$L$1005,$B97,'Detailed Budget'!$L$5:$L$1005,"&gt;0"),"")</f>
        <v/>
      </c>
      <c r="T97" s="44" t="str">
        <f>IF(SUMIFS('Detailed Budget'!$BP$5:$BP$1005,'Detailed Budget'!$L$5:$L$1005,$B97,'Detailed Budget'!$L$5:$L$1005,"&gt;0")&gt;0,SUMIFS('Detailed Budget'!$BP$5:$BP$1005,'Detailed Budget'!$L$5:$L$1005,$B97,'Detailed Budget'!$L$5:$L$1005,"&gt;0"),"")</f>
        <v/>
      </c>
      <c r="U97" s="44" t="str">
        <f>IF(SUMIFS('Detailed Budget'!$BR$5:$BR$1005,'Detailed Budget'!$L$5:$L$1005,$B97,'Detailed Budget'!$L$5:$L$1005,"&gt;0")&gt;0,SUMIFS('Detailed Budget'!$BR$5:$BR$1005,'Detailed Budget'!$L$5:$L$1005,$B97,'Detailed Budget'!$L$5:$L$1005,"&gt;0"),"")</f>
        <v/>
      </c>
      <c r="V97" s="44" t="str">
        <f>IF(SUMIFS('Detailed Budget'!$BT$5:$BT$1005,'Detailed Budget'!$L$5:$L$1005,$B97,'Detailed Budget'!$L$5:$L$1005,"&gt;0")&gt;0,SUMIFS('Detailed Budget'!$BT$5:$BT$1005,'Detailed Budget'!$L$5:$L$1005,$B97,'Detailed Budget'!$L$5:$L$1005,"&gt;0"),"")</f>
        <v/>
      </c>
      <c r="W97" s="45" t="str">
        <f>IF(SUMIFS('Detailed Budget'!$BV$5:$BV$1005,'Detailed Budget'!$L$5:$L$1005,$B97,'Detailed Budget'!$L$5:$L$1005,"&gt;0")&gt;0,SUMIFS('Detailed Budget'!$BV$5:$BV$1005,'Detailed Budget'!$L$5:$L$1005,$B97,'Detailed Budget'!$L$5:$L$1005,"&gt;0"),"")</f>
        <v/>
      </c>
      <c r="X97" s="44" t="str">
        <f t="shared" si="4"/>
        <v/>
      </c>
      <c r="Y97" s="124" t="str">
        <f t="shared" si="5"/>
        <v/>
      </c>
    </row>
    <row r="98" spans="1:25" hidden="1" x14ac:dyDescent="0.25">
      <c r="A98" s="35"/>
      <c r="B98" s="234" t="str">
        <f t="array" ref="B98">IFERROR(INDEX(CostInpNoList,MATCH(0,IF(ISBLANK(CostInpNoList),"",COUNTIF(B$16:B97,CostInpNoList)),0)),"")</f>
        <v/>
      </c>
      <c r="C98" s="372" t="str">
        <f>IFERROR(INDEX('Data Sheet'!$F$198:$F$275,MATCH(B98,'Data Sheet'!$G$198:$G$275,0)),"")</f>
        <v/>
      </c>
      <c r="D98" s="44" t="str">
        <f>IF(SUMIFS('Detailed Budget'!$AA$5:$AA$1005,'Detailed Budget'!$L$5:$L$1005,$B98,'Detailed Budget'!$L$5:$L$1005,"&gt;0")&gt;0,SUMIFS('Detailed Budget'!$AA$5:$AA$1005,'Detailed Budget'!$L$5:$L$1005,$B98,'Detailed Budget'!$L$5:$L$1005,"&gt;0"),"")</f>
        <v/>
      </c>
      <c r="E98" s="44" t="str">
        <f>IF(SUMIFS('Detailed Budget'!$AC$5:$AC$1005,'Detailed Budget'!$L$5:$L$1005,$B98,'Detailed Budget'!$L$5:$L$1005,"&gt;0")&gt;0,SUMIFS('Detailed Budget'!$AC$5:$AC$1005,'Detailed Budget'!$L$5:$L$1005,$B98,'Detailed Budget'!$L$5:$L$1005,"&gt;0"),"")</f>
        <v/>
      </c>
      <c r="F98" s="44" t="str">
        <f>IF(SUMIFS('Detailed Budget'!$AE$5:$AE$1005,'Detailed Budget'!$L$5:$L$1005,$B98,'Detailed Budget'!$L$5:$L$1005,"&gt;0")&gt;0,SUMIFS('Detailed Budget'!$AE$5:$AE$1005,'Detailed Budget'!$L$5:$L$1005,$B98,'Detailed Budget'!$L$5:$L$1005,"&gt;0"),"")</f>
        <v/>
      </c>
      <c r="G98" s="44" t="str">
        <f>IF(SUMIFS('Detailed Budget'!$AG$5:$AG$1005,'Detailed Budget'!$L$5:$L$1005,$B98,'Detailed Budget'!$L$5:$L$1005,"&gt;0")&gt;0,SUMIFS('Detailed Budget'!$AG$5:$AG$1005,'Detailed Budget'!$L$5:$L$1005,$B98,'Detailed Budget'!$L$5:$L$1005,"&gt;0"),"")</f>
        <v/>
      </c>
      <c r="H98" s="45" t="str">
        <f>IF(SUMIFS('Detailed Budget'!$AI$5:$AI$1005,'Detailed Budget'!$L$5:$L$1005,$B98,'Detailed Budget'!$L$5:$L$1005,"&gt;0")&gt;0,SUMIFS('Detailed Budget'!$AI$5:$AI$1005,'Detailed Budget'!$L$5:$L$1005,$B98,'Detailed Budget'!$L$5:$L$1005,"&gt;0"),"")</f>
        <v/>
      </c>
      <c r="I98" s="44" t="str">
        <f>IF(SUMIFS('Detailed Budget'!$AN$5:$AN$1005,'Detailed Budget'!$L$5:$L$1005,$B98,'Detailed Budget'!$L$5:$L$1005,"&gt;0")&gt;0,SUMIFS('Detailed Budget'!$AN$5:$AN$1005,'Detailed Budget'!$L$5:$L$1005,$B98,'Detailed Budget'!$L$5:$L$1005,"&gt;0"),"")</f>
        <v/>
      </c>
      <c r="J98" s="44" t="str">
        <f>IF(SUMIFS('Detailed Budget'!$AP$5:$AP$1005,'Detailed Budget'!$L$5:$L$1005,$B98,'Detailed Budget'!$L$5:$L$1005,"&gt;0")&gt;0,SUMIFS('Detailed Budget'!$AP$5:$AP$1005,'Detailed Budget'!$L$5:$L$1005,$B98,'Detailed Budget'!$L$5:$L$1005,"&gt;0"),"")</f>
        <v/>
      </c>
      <c r="K98" s="44" t="str">
        <f>IF(SUMIFS('Detailed Budget'!$AR$5:$AR$1005,'Detailed Budget'!$L$5:$L$1005,$B98,'Detailed Budget'!$L$5:$L$1005,"&gt;0")&gt;0,SUMIFS('Detailed Budget'!$AR$5:$AR$1005,'Detailed Budget'!$L$5:$L$1005,$B98,'Detailed Budget'!$L$5:$L$1005,"&gt;0"),"")</f>
        <v/>
      </c>
      <c r="L98" s="44" t="str">
        <f>IF(SUMIFS('Detailed Budget'!$AT$5:$AT$1005,'Detailed Budget'!$L$5:$L$1005,$B98,'Detailed Budget'!$L$5:$L$1005,"&gt;0")&gt;0,SUMIFS('Detailed Budget'!$AT$5:$AT$1005,'Detailed Budget'!$L$5:$L$1005,$B98,'Detailed Budget'!$L$5:$L$1005,"&gt;0"),"")</f>
        <v/>
      </c>
      <c r="M98" s="45" t="str">
        <f>IF(SUMIFS('Detailed Budget'!$AV$5:$AV$1005,'Detailed Budget'!$L$5:$L$1005,$B98,'Detailed Budget'!$L$5:$L$1005,"&gt;0")&gt;0,SUMIFS('Detailed Budget'!$AV$5:$AV$1005,'Detailed Budget'!$L$5:$L$1005,$B98,'Detailed Budget'!$L$5:$L$1005,"&gt;0"),"")</f>
        <v/>
      </c>
      <c r="N98" s="44" t="str">
        <f>IF(SUMIFS('Detailed Budget'!$BA$5:$BA$1005,'Detailed Budget'!$L$5:$L$1005,$B98,'Detailed Budget'!$L$5:$L$1005,"&gt;0")&gt;0,SUMIFS('Detailed Budget'!$BA$5:$BA$1005,'Detailed Budget'!$L$5:$L$1005,$B98,'Detailed Budget'!$L$5:$L$1005,"&gt;0"),"")</f>
        <v/>
      </c>
      <c r="O98" s="44" t="str">
        <f>IF(SUMIFS('Detailed Budget'!$BC$5:$BC$1005,'Detailed Budget'!$L$5:$L$1005,$B98,'Detailed Budget'!$L$5:$L$1005,"&gt;0")&gt;0,SUMIFS('Detailed Budget'!$BC$5:$BC$1005,'Detailed Budget'!$L$5:$L$1005,$B98,'Detailed Budget'!$L$5:$L$1005,"&gt;0"),"")</f>
        <v/>
      </c>
      <c r="P98" s="44" t="str">
        <f>IF(SUMIFS('Detailed Budget'!$BE$5:$BE$1005,'Detailed Budget'!$L$5:$L$1005,$B98,'Detailed Budget'!$L$5:$L$1005,"&gt;0")&gt;0,SUMIFS('Detailed Budget'!$BE$5:$BE$1005,'Detailed Budget'!$L$5:$L$1005,$B98,'Detailed Budget'!$L$5:$L$1005,"&gt;0"),"")</f>
        <v/>
      </c>
      <c r="Q98" s="44" t="str">
        <f>IF(SUMIFS('Detailed Budget'!$BG$5:$BG$1005,'Detailed Budget'!$L$5:$L$1005,$B98,'Detailed Budget'!$L$5:$L$1005,"&gt;0")&gt;0,SUMIFS('Detailed Budget'!$BG$5:$BG$1005,'Detailed Budget'!$L$5:$L$1005,$B98,'Detailed Budget'!$L$5:$L$1005,"&gt;0"),"")</f>
        <v/>
      </c>
      <c r="R98" s="45" t="str">
        <f>IF(SUMIFS('Detailed Budget'!$BI$5:$BI$1005,'Detailed Budget'!$L$5:$L$1005,$B98,'Detailed Budget'!$L$5:$L$1005,"&gt;0")&gt;0,SUMIFS('Detailed Budget'!$BI$5:$BI$1005,'Detailed Budget'!$L$5:$L$1005,$B98,'Detailed Budget'!$L$5:$L$1005,"&gt;0"),"")</f>
        <v/>
      </c>
      <c r="S98" s="44" t="str">
        <f>IF(SUMIFS('Detailed Budget'!$BN$5:$BN$1005,'Detailed Budget'!$L$5:$L$1005,$B98,'Detailed Budget'!$L$5:$L$1005,"&gt;0")&gt;0,SUMIFS('Detailed Budget'!$BN$5:$BN$1005,'Detailed Budget'!$L$5:$L$1005,$B98,'Detailed Budget'!$L$5:$L$1005,"&gt;0"),"")</f>
        <v/>
      </c>
      <c r="T98" s="44" t="str">
        <f>IF(SUMIFS('Detailed Budget'!$BP$5:$BP$1005,'Detailed Budget'!$L$5:$L$1005,$B98,'Detailed Budget'!$L$5:$L$1005,"&gt;0")&gt;0,SUMIFS('Detailed Budget'!$BP$5:$BP$1005,'Detailed Budget'!$L$5:$L$1005,$B98,'Detailed Budget'!$L$5:$L$1005,"&gt;0"),"")</f>
        <v/>
      </c>
      <c r="U98" s="44" t="str">
        <f>IF(SUMIFS('Detailed Budget'!$BR$5:$BR$1005,'Detailed Budget'!$L$5:$L$1005,$B98,'Detailed Budget'!$L$5:$L$1005,"&gt;0")&gt;0,SUMIFS('Detailed Budget'!$BR$5:$BR$1005,'Detailed Budget'!$L$5:$L$1005,$B98,'Detailed Budget'!$L$5:$L$1005,"&gt;0"),"")</f>
        <v/>
      </c>
      <c r="V98" s="44" t="str">
        <f>IF(SUMIFS('Detailed Budget'!$BT$5:$BT$1005,'Detailed Budget'!$L$5:$L$1005,$B98,'Detailed Budget'!$L$5:$L$1005,"&gt;0")&gt;0,SUMIFS('Detailed Budget'!$BT$5:$BT$1005,'Detailed Budget'!$L$5:$L$1005,$B98,'Detailed Budget'!$L$5:$L$1005,"&gt;0"),"")</f>
        <v/>
      </c>
      <c r="W98" s="45" t="str">
        <f>IF(SUMIFS('Detailed Budget'!$BV$5:$BV$1005,'Detailed Budget'!$L$5:$L$1005,$B98,'Detailed Budget'!$L$5:$L$1005,"&gt;0")&gt;0,SUMIFS('Detailed Budget'!$BV$5:$BV$1005,'Detailed Budget'!$L$5:$L$1005,$B98,'Detailed Budget'!$L$5:$L$1005,"&gt;0"),"")</f>
        <v/>
      </c>
      <c r="X98" s="44" t="str">
        <f t="shared" si="4"/>
        <v/>
      </c>
      <c r="Y98" s="124" t="str">
        <f t="shared" si="5"/>
        <v/>
      </c>
    </row>
    <row r="99" spans="1:25" hidden="1" x14ac:dyDescent="0.25">
      <c r="A99" s="35"/>
      <c r="B99" s="234" t="str">
        <f t="array" ref="B99">IFERROR(INDEX(CostInpNoList,MATCH(0,IF(ISBLANK(CostInpNoList),"",COUNTIF(B$16:B98,CostInpNoList)),0)),"")</f>
        <v/>
      </c>
      <c r="C99" s="372" t="str">
        <f>IFERROR(INDEX('Data Sheet'!$F$198:$F$275,MATCH(B99,'Data Sheet'!$G$198:$G$275,0)),"")</f>
        <v/>
      </c>
      <c r="D99" s="44" t="str">
        <f>IF(SUMIFS('Detailed Budget'!$AA$5:$AA$1005,'Detailed Budget'!$L$5:$L$1005,$B99,'Detailed Budget'!$L$5:$L$1005,"&gt;0")&gt;0,SUMIFS('Detailed Budget'!$AA$5:$AA$1005,'Detailed Budget'!$L$5:$L$1005,$B99,'Detailed Budget'!$L$5:$L$1005,"&gt;0"),"")</f>
        <v/>
      </c>
      <c r="E99" s="44" t="str">
        <f>IF(SUMIFS('Detailed Budget'!$AC$5:$AC$1005,'Detailed Budget'!$L$5:$L$1005,$B99,'Detailed Budget'!$L$5:$L$1005,"&gt;0")&gt;0,SUMIFS('Detailed Budget'!$AC$5:$AC$1005,'Detailed Budget'!$L$5:$L$1005,$B99,'Detailed Budget'!$L$5:$L$1005,"&gt;0"),"")</f>
        <v/>
      </c>
      <c r="F99" s="44" t="str">
        <f>IF(SUMIFS('Detailed Budget'!$AE$5:$AE$1005,'Detailed Budget'!$L$5:$L$1005,$B99,'Detailed Budget'!$L$5:$L$1005,"&gt;0")&gt;0,SUMIFS('Detailed Budget'!$AE$5:$AE$1005,'Detailed Budget'!$L$5:$L$1005,$B99,'Detailed Budget'!$L$5:$L$1005,"&gt;0"),"")</f>
        <v/>
      </c>
      <c r="G99" s="44" t="str">
        <f>IF(SUMIFS('Detailed Budget'!$AG$5:$AG$1005,'Detailed Budget'!$L$5:$L$1005,$B99,'Detailed Budget'!$L$5:$L$1005,"&gt;0")&gt;0,SUMIFS('Detailed Budget'!$AG$5:$AG$1005,'Detailed Budget'!$L$5:$L$1005,$B99,'Detailed Budget'!$L$5:$L$1005,"&gt;0"),"")</f>
        <v/>
      </c>
      <c r="H99" s="45" t="str">
        <f>IF(SUMIFS('Detailed Budget'!$AI$5:$AI$1005,'Detailed Budget'!$L$5:$L$1005,$B99,'Detailed Budget'!$L$5:$L$1005,"&gt;0")&gt;0,SUMIFS('Detailed Budget'!$AI$5:$AI$1005,'Detailed Budget'!$L$5:$L$1005,$B99,'Detailed Budget'!$L$5:$L$1005,"&gt;0"),"")</f>
        <v/>
      </c>
      <c r="I99" s="44" t="str">
        <f>IF(SUMIFS('Detailed Budget'!$AN$5:$AN$1005,'Detailed Budget'!$L$5:$L$1005,$B99,'Detailed Budget'!$L$5:$L$1005,"&gt;0")&gt;0,SUMIFS('Detailed Budget'!$AN$5:$AN$1005,'Detailed Budget'!$L$5:$L$1005,$B99,'Detailed Budget'!$L$5:$L$1005,"&gt;0"),"")</f>
        <v/>
      </c>
      <c r="J99" s="44" t="str">
        <f>IF(SUMIFS('Detailed Budget'!$AP$5:$AP$1005,'Detailed Budget'!$L$5:$L$1005,$B99,'Detailed Budget'!$L$5:$L$1005,"&gt;0")&gt;0,SUMIFS('Detailed Budget'!$AP$5:$AP$1005,'Detailed Budget'!$L$5:$L$1005,$B99,'Detailed Budget'!$L$5:$L$1005,"&gt;0"),"")</f>
        <v/>
      </c>
      <c r="K99" s="44" t="str">
        <f>IF(SUMIFS('Detailed Budget'!$AR$5:$AR$1005,'Detailed Budget'!$L$5:$L$1005,$B99,'Detailed Budget'!$L$5:$L$1005,"&gt;0")&gt;0,SUMIFS('Detailed Budget'!$AR$5:$AR$1005,'Detailed Budget'!$L$5:$L$1005,$B99,'Detailed Budget'!$L$5:$L$1005,"&gt;0"),"")</f>
        <v/>
      </c>
      <c r="L99" s="44" t="str">
        <f>IF(SUMIFS('Detailed Budget'!$AT$5:$AT$1005,'Detailed Budget'!$L$5:$L$1005,$B99,'Detailed Budget'!$L$5:$L$1005,"&gt;0")&gt;0,SUMIFS('Detailed Budget'!$AT$5:$AT$1005,'Detailed Budget'!$L$5:$L$1005,$B99,'Detailed Budget'!$L$5:$L$1005,"&gt;0"),"")</f>
        <v/>
      </c>
      <c r="M99" s="45" t="str">
        <f>IF(SUMIFS('Detailed Budget'!$AV$5:$AV$1005,'Detailed Budget'!$L$5:$L$1005,$B99,'Detailed Budget'!$L$5:$L$1005,"&gt;0")&gt;0,SUMIFS('Detailed Budget'!$AV$5:$AV$1005,'Detailed Budget'!$L$5:$L$1005,$B99,'Detailed Budget'!$L$5:$L$1005,"&gt;0"),"")</f>
        <v/>
      </c>
      <c r="N99" s="44" t="str">
        <f>IF(SUMIFS('Detailed Budget'!$BA$5:$BA$1005,'Detailed Budget'!$L$5:$L$1005,$B99,'Detailed Budget'!$L$5:$L$1005,"&gt;0")&gt;0,SUMIFS('Detailed Budget'!$BA$5:$BA$1005,'Detailed Budget'!$L$5:$L$1005,$B99,'Detailed Budget'!$L$5:$L$1005,"&gt;0"),"")</f>
        <v/>
      </c>
      <c r="O99" s="44" t="str">
        <f>IF(SUMIFS('Detailed Budget'!$BC$5:$BC$1005,'Detailed Budget'!$L$5:$L$1005,$B99,'Detailed Budget'!$L$5:$L$1005,"&gt;0")&gt;0,SUMIFS('Detailed Budget'!$BC$5:$BC$1005,'Detailed Budget'!$L$5:$L$1005,$B99,'Detailed Budget'!$L$5:$L$1005,"&gt;0"),"")</f>
        <v/>
      </c>
      <c r="P99" s="44" t="str">
        <f>IF(SUMIFS('Detailed Budget'!$BE$5:$BE$1005,'Detailed Budget'!$L$5:$L$1005,$B99,'Detailed Budget'!$L$5:$L$1005,"&gt;0")&gt;0,SUMIFS('Detailed Budget'!$BE$5:$BE$1005,'Detailed Budget'!$L$5:$L$1005,$B99,'Detailed Budget'!$L$5:$L$1005,"&gt;0"),"")</f>
        <v/>
      </c>
      <c r="Q99" s="44" t="str">
        <f>IF(SUMIFS('Detailed Budget'!$BG$5:$BG$1005,'Detailed Budget'!$L$5:$L$1005,$B99,'Detailed Budget'!$L$5:$L$1005,"&gt;0")&gt;0,SUMIFS('Detailed Budget'!$BG$5:$BG$1005,'Detailed Budget'!$L$5:$L$1005,$B99,'Detailed Budget'!$L$5:$L$1005,"&gt;0"),"")</f>
        <v/>
      </c>
      <c r="R99" s="45" t="str">
        <f>IF(SUMIFS('Detailed Budget'!$BI$5:$BI$1005,'Detailed Budget'!$L$5:$L$1005,$B99,'Detailed Budget'!$L$5:$L$1005,"&gt;0")&gt;0,SUMIFS('Detailed Budget'!$BI$5:$BI$1005,'Detailed Budget'!$L$5:$L$1005,$B99,'Detailed Budget'!$L$5:$L$1005,"&gt;0"),"")</f>
        <v/>
      </c>
      <c r="S99" s="44" t="str">
        <f>IF(SUMIFS('Detailed Budget'!$BN$5:$BN$1005,'Detailed Budget'!$L$5:$L$1005,$B99,'Detailed Budget'!$L$5:$L$1005,"&gt;0")&gt;0,SUMIFS('Detailed Budget'!$BN$5:$BN$1005,'Detailed Budget'!$L$5:$L$1005,$B99,'Detailed Budget'!$L$5:$L$1005,"&gt;0"),"")</f>
        <v/>
      </c>
      <c r="T99" s="44" t="str">
        <f>IF(SUMIFS('Detailed Budget'!$BP$5:$BP$1005,'Detailed Budget'!$L$5:$L$1005,$B99,'Detailed Budget'!$L$5:$L$1005,"&gt;0")&gt;0,SUMIFS('Detailed Budget'!$BP$5:$BP$1005,'Detailed Budget'!$L$5:$L$1005,$B99,'Detailed Budget'!$L$5:$L$1005,"&gt;0"),"")</f>
        <v/>
      </c>
      <c r="U99" s="44" t="str">
        <f>IF(SUMIFS('Detailed Budget'!$BR$5:$BR$1005,'Detailed Budget'!$L$5:$L$1005,$B99,'Detailed Budget'!$L$5:$L$1005,"&gt;0")&gt;0,SUMIFS('Detailed Budget'!$BR$5:$BR$1005,'Detailed Budget'!$L$5:$L$1005,$B99,'Detailed Budget'!$L$5:$L$1005,"&gt;0"),"")</f>
        <v/>
      </c>
      <c r="V99" s="44" t="str">
        <f>IF(SUMIFS('Detailed Budget'!$BT$5:$BT$1005,'Detailed Budget'!$L$5:$L$1005,$B99,'Detailed Budget'!$L$5:$L$1005,"&gt;0")&gt;0,SUMIFS('Detailed Budget'!$BT$5:$BT$1005,'Detailed Budget'!$L$5:$L$1005,$B99,'Detailed Budget'!$L$5:$L$1005,"&gt;0"),"")</f>
        <v/>
      </c>
      <c r="W99" s="45" t="str">
        <f>IF(SUMIFS('Detailed Budget'!$BV$5:$BV$1005,'Detailed Budget'!$L$5:$L$1005,$B99,'Detailed Budget'!$L$5:$L$1005,"&gt;0")&gt;0,SUMIFS('Detailed Budget'!$BV$5:$BV$1005,'Detailed Budget'!$L$5:$L$1005,$B99,'Detailed Budget'!$L$5:$L$1005,"&gt;0"),"")</f>
        <v/>
      </c>
      <c r="X99" s="44" t="str">
        <f t="shared" si="4"/>
        <v/>
      </c>
      <c r="Y99" s="124" t="str">
        <f t="shared" si="5"/>
        <v/>
      </c>
    </row>
    <row r="100" spans="1:25" hidden="1" x14ac:dyDescent="0.25">
      <c r="A100" s="35"/>
      <c r="B100" s="234" t="str">
        <f t="array" ref="B100">IFERROR(INDEX(CostInpNoList,MATCH(0,IF(ISBLANK(CostInpNoList),"",COUNTIF(B$16:B99,CostInpNoList)),0)),"")</f>
        <v/>
      </c>
      <c r="C100" s="372" t="str">
        <f>IFERROR(INDEX('Data Sheet'!$F$198:$F$275,MATCH(B100,'Data Sheet'!$G$198:$G$275,0)),"")</f>
        <v/>
      </c>
      <c r="D100" s="44" t="str">
        <f>IF(SUMIFS('Detailed Budget'!$AA$5:$AA$1005,'Detailed Budget'!$L$5:$L$1005,$B100,'Detailed Budget'!$L$5:$L$1005,"&gt;0")&gt;0,SUMIFS('Detailed Budget'!$AA$5:$AA$1005,'Detailed Budget'!$L$5:$L$1005,$B100,'Detailed Budget'!$L$5:$L$1005,"&gt;0"),"")</f>
        <v/>
      </c>
      <c r="E100" s="44" t="str">
        <f>IF(SUMIFS('Detailed Budget'!$AC$5:$AC$1005,'Detailed Budget'!$L$5:$L$1005,$B100,'Detailed Budget'!$L$5:$L$1005,"&gt;0")&gt;0,SUMIFS('Detailed Budget'!$AC$5:$AC$1005,'Detailed Budget'!$L$5:$L$1005,$B100,'Detailed Budget'!$L$5:$L$1005,"&gt;0"),"")</f>
        <v/>
      </c>
      <c r="F100" s="44" t="str">
        <f>IF(SUMIFS('Detailed Budget'!$AE$5:$AE$1005,'Detailed Budget'!$L$5:$L$1005,$B100,'Detailed Budget'!$L$5:$L$1005,"&gt;0")&gt;0,SUMIFS('Detailed Budget'!$AE$5:$AE$1005,'Detailed Budget'!$L$5:$L$1005,$B100,'Detailed Budget'!$L$5:$L$1005,"&gt;0"),"")</f>
        <v/>
      </c>
      <c r="G100" s="44" t="str">
        <f>IF(SUMIFS('Detailed Budget'!$AG$5:$AG$1005,'Detailed Budget'!$L$5:$L$1005,$B100,'Detailed Budget'!$L$5:$L$1005,"&gt;0")&gt;0,SUMIFS('Detailed Budget'!$AG$5:$AG$1005,'Detailed Budget'!$L$5:$L$1005,$B100,'Detailed Budget'!$L$5:$L$1005,"&gt;0"),"")</f>
        <v/>
      </c>
      <c r="H100" s="45" t="str">
        <f>IF(SUMIFS('Detailed Budget'!$AI$5:$AI$1005,'Detailed Budget'!$L$5:$L$1005,$B100,'Detailed Budget'!$L$5:$L$1005,"&gt;0")&gt;0,SUMIFS('Detailed Budget'!$AI$5:$AI$1005,'Detailed Budget'!$L$5:$L$1005,$B100,'Detailed Budget'!$L$5:$L$1005,"&gt;0"),"")</f>
        <v/>
      </c>
      <c r="I100" s="44" t="str">
        <f>IF(SUMIFS('Detailed Budget'!$AN$5:$AN$1005,'Detailed Budget'!$L$5:$L$1005,$B100,'Detailed Budget'!$L$5:$L$1005,"&gt;0")&gt;0,SUMIFS('Detailed Budget'!$AN$5:$AN$1005,'Detailed Budget'!$L$5:$L$1005,$B100,'Detailed Budget'!$L$5:$L$1005,"&gt;0"),"")</f>
        <v/>
      </c>
      <c r="J100" s="44" t="str">
        <f>IF(SUMIFS('Detailed Budget'!$AP$5:$AP$1005,'Detailed Budget'!$L$5:$L$1005,$B100,'Detailed Budget'!$L$5:$L$1005,"&gt;0")&gt;0,SUMIFS('Detailed Budget'!$AP$5:$AP$1005,'Detailed Budget'!$L$5:$L$1005,$B100,'Detailed Budget'!$L$5:$L$1005,"&gt;0"),"")</f>
        <v/>
      </c>
      <c r="K100" s="44" t="str">
        <f>IF(SUMIFS('Detailed Budget'!$AR$5:$AR$1005,'Detailed Budget'!$L$5:$L$1005,$B100,'Detailed Budget'!$L$5:$L$1005,"&gt;0")&gt;0,SUMIFS('Detailed Budget'!$AR$5:$AR$1005,'Detailed Budget'!$L$5:$L$1005,$B100,'Detailed Budget'!$L$5:$L$1005,"&gt;0"),"")</f>
        <v/>
      </c>
      <c r="L100" s="44" t="str">
        <f>IF(SUMIFS('Detailed Budget'!$AT$5:$AT$1005,'Detailed Budget'!$L$5:$L$1005,$B100,'Detailed Budget'!$L$5:$L$1005,"&gt;0")&gt;0,SUMIFS('Detailed Budget'!$AT$5:$AT$1005,'Detailed Budget'!$L$5:$L$1005,$B100,'Detailed Budget'!$L$5:$L$1005,"&gt;0"),"")</f>
        <v/>
      </c>
      <c r="M100" s="45" t="str">
        <f>IF(SUMIFS('Detailed Budget'!$AV$5:$AV$1005,'Detailed Budget'!$L$5:$L$1005,$B100,'Detailed Budget'!$L$5:$L$1005,"&gt;0")&gt;0,SUMIFS('Detailed Budget'!$AV$5:$AV$1005,'Detailed Budget'!$L$5:$L$1005,$B100,'Detailed Budget'!$L$5:$L$1005,"&gt;0"),"")</f>
        <v/>
      </c>
      <c r="N100" s="44" t="str">
        <f>IF(SUMIFS('Detailed Budget'!$BA$5:$BA$1005,'Detailed Budget'!$L$5:$L$1005,$B100,'Detailed Budget'!$L$5:$L$1005,"&gt;0")&gt;0,SUMIFS('Detailed Budget'!$BA$5:$BA$1005,'Detailed Budget'!$L$5:$L$1005,$B100,'Detailed Budget'!$L$5:$L$1005,"&gt;0"),"")</f>
        <v/>
      </c>
      <c r="O100" s="44" t="str">
        <f>IF(SUMIFS('Detailed Budget'!$BC$5:$BC$1005,'Detailed Budget'!$L$5:$L$1005,$B100,'Detailed Budget'!$L$5:$L$1005,"&gt;0")&gt;0,SUMIFS('Detailed Budget'!$BC$5:$BC$1005,'Detailed Budget'!$L$5:$L$1005,$B100,'Detailed Budget'!$L$5:$L$1005,"&gt;0"),"")</f>
        <v/>
      </c>
      <c r="P100" s="44" t="str">
        <f>IF(SUMIFS('Detailed Budget'!$BE$5:$BE$1005,'Detailed Budget'!$L$5:$L$1005,$B100,'Detailed Budget'!$L$5:$L$1005,"&gt;0")&gt;0,SUMIFS('Detailed Budget'!$BE$5:$BE$1005,'Detailed Budget'!$L$5:$L$1005,$B100,'Detailed Budget'!$L$5:$L$1005,"&gt;0"),"")</f>
        <v/>
      </c>
      <c r="Q100" s="44" t="str">
        <f>IF(SUMIFS('Detailed Budget'!$BG$5:$BG$1005,'Detailed Budget'!$L$5:$L$1005,$B100,'Detailed Budget'!$L$5:$L$1005,"&gt;0")&gt;0,SUMIFS('Detailed Budget'!$BG$5:$BG$1005,'Detailed Budget'!$L$5:$L$1005,$B100,'Detailed Budget'!$L$5:$L$1005,"&gt;0"),"")</f>
        <v/>
      </c>
      <c r="R100" s="45" t="str">
        <f>IF(SUMIFS('Detailed Budget'!$BI$5:$BI$1005,'Detailed Budget'!$L$5:$L$1005,$B100,'Detailed Budget'!$L$5:$L$1005,"&gt;0")&gt;0,SUMIFS('Detailed Budget'!$BI$5:$BI$1005,'Detailed Budget'!$L$5:$L$1005,$B100,'Detailed Budget'!$L$5:$L$1005,"&gt;0"),"")</f>
        <v/>
      </c>
      <c r="S100" s="44" t="str">
        <f>IF(SUMIFS('Detailed Budget'!$BN$5:$BN$1005,'Detailed Budget'!$L$5:$L$1005,$B100,'Detailed Budget'!$L$5:$L$1005,"&gt;0")&gt;0,SUMIFS('Detailed Budget'!$BN$5:$BN$1005,'Detailed Budget'!$L$5:$L$1005,$B100,'Detailed Budget'!$L$5:$L$1005,"&gt;0"),"")</f>
        <v/>
      </c>
      <c r="T100" s="44" t="str">
        <f>IF(SUMIFS('Detailed Budget'!$BP$5:$BP$1005,'Detailed Budget'!$L$5:$L$1005,$B100,'Detailed Budget'!$L$5:$L$1005,"&gt;0")&gt;0,SUMIFS('Detailed Budget'!$BP$5:$BP$1005,'Detailed Budget'!$L$5:$L$1005,$B100,'Detailed Budget'!$L$5:$L$1005,"&gt;0"),"")</f>
        <v/>
      </c>
      <c r="U100" s="44" t="str">
        <f>IF(SUMIFS('Detailed Budget'!$BR$5:$BR$1005,'Detailed Budget'!$L$5:$L$1005,$B100,'Detailed Budget'!$L$5:$L$1005,"&gt;0")&gt;0,SUMIFS('Detailed Budget'!$BR$5:$BR$1005,'Detailed Budget'!$L$5:$L$1005,$B100,'Detailed Budget'!$L$5:$L$1005,"&gt;0"),"")</f>
        <v/>
      </c>
      <c r="V100" s="44" t="str">
        <f>IF(SUMIFS('Detailed Budget'!$BT$5:$BT$1005,'Detailed Budget'!$L$5:$L$1005,$B100,'Detailed Budget'!$L$5:$L$1005,"&gt;0")&gt;0,SUMIFS('Detailed Budget'!$BT$5:$BT$1005,'Detailed Budget'!$L$5:$L$1005,$B100,'Detailed Budget'!$L$5:$L$1005,"&gt;0"),"")</f>
        <v/>
      </c>
      <c r="W100" s="45" t="str">
        <f>IF(SUMIFS('Detailed Budget'!$BV$5:$BV$1005,'Detailed Budget'!$L$5:$L$1005,$B100,'Detailed Budget'!$L$5:$L$1005,"&gt;0")&gt;0,SUMIFS('Detailed Budget'!$BV$5:$BV$1005,'Detailed Budget'!$L$5:$L$1005,$B100,'Detailed Budget'!$L$5:$L$1005,"&gt;0"),"")</f>
        <v/>
      </c>
      <c r="X100" s="44" t="str">
        <f t="shared" si="4"/>
        <v/>
      </c>
      <c r="Y100" s="124" t="str">
        <f t="shared" si="5"/>
        <v/>
      </c>
    </row>
    <row r="101" spans="1:25" hidden="1" x14ac:dyDescent="0.25">
      <c r="A101" s="35"/>
      <c r="B101" s="234" t="str">
        <f t="array" ref="B101">IFERROR(INDEX(CostInpNoList,MATCH(0,IF(ISBLANK(CostInpNoList),"",COUNTIF(B$16:B100,CostInpNoList)),0)),"")</f>
        <v/>
      </c>
      <c r="C101" s="372" t="str">
        <f>IFERROR(INDEX('Data Sheet'!$F$198:$F$275,MATCH(B101,'Data Sheet'!$G$198:$G$275,0)),"")</f>
        <v/>
      </c>
      <c r="D101" s="44" t="str">
        <f>IF(SUMIFS('Detailed Budget'!$AA$5:$AA$1005,'Detailed Budget'!$L$5:$L$1005,$B101,'Detailed Budget'!$L$5:$L$1005,"&gt;0")&gt;0,SUMIFS('Detailed Budget'!$AA$5:$AA$1005,'Detailed Budget'!$L$5:$L$1005,$B101,'Detailed Budget'!$L$5:$L$1005,"&gt;0"),"")</f>
        <v/>
      </c>
      <c r="E101" s="44" t="str">
        <f>IF(SUMIFS('Detailed Budget'!$AC$5:$AC$1005,'Detailed Budget'!$L$5:$L$1005,$B101,'Detailed Budget'!$L$5:$L$1005,"&gt;0")&gt;0,SUMIFS('Detailed Budget'!$AC$5:$AC$1005,'Detailed Budget'!$L$5:$L$1005,$B101,'Detailed Budget'!$L$5:$L$1005,"&gt;0"),"")</f>
        <v/>
      </c>
      <c r="F101" s="44" t="str">
        <f>IF(SUMIFS('Detailed Budget'!$AE$5:$AE$1005,'Detailed Budget'!$L$5:$L$1005,$B101,'Detailed Budget'!$L$5:$L$1005,"&gt;0")&gt;0,SUMIFS('Detailed Budget'!$AE$5:$AE$1005,'Detailed Budget'!$L$5:$L$1005,$B101,'Detailed Budget'!$L$5:$L$1005,"&gt;0"),"")</f>
        <v/>
      </c>
      <c r="G101" s="44" t="str">
        <f>IF(SUMIFS('Detailed Budget'!$AG$5:$AG$1005,'Detailed Budget'!$L$5:$L$1005,$B101,'Detailed Budget'!$L$5:$L$1005,"&gt;0")&gt;0,SUMIFS('Detailed Budget'!$AG$5:$AG$1005,'Detailed Budget'!$L$5:$L$1005,$B101,'Detailed Budget'!$L$5:$L$1005,"&gt;0"),"")</f>
        <v/>
      </c>
      <c r="H101" s="45" t="str">
        <f>IF(SUMIFS('Detailed Budget'!$AI$5:$AI$1005,'Detailed Budget'!$L$5:$L$1005,$B101,'Detailed Budget'!$L$5:$L$1005,"&gt;0")&gt;0,SUMIFS('Detailed Budget'!$AI$5:$AI$1005,'Detailed Budget'!$L$5:$L$1005,$B101,'Detailed Budget'!$L$5:$L$1005,"&gt;0"),"")</f>
        <v/>
      </c>
      <c r="I101" s="44" t="str">
        <f>IF(SUMIFS('Detailed Budget'!$AN$5:$AN$1005,'Detailed Budget'!$L$5:$L$1005,$B101,'Detailed Budget'!$L$5:$L$1005,"&gt;0")&gt;0,SUMIFS('Detailed Budget'!$AN$5:$AN$1005,'Detailed Budget'!$L$5:$L$1005,$B101,'Detailed Budget'!$L$5:$L$1005,"&gt;0"),"")</f>
        <v/>
      </c>
      <c r="J101" s="44" t="str">
        <f>IF(SUMIFS('Detailed Budget'!$AP$5:$AP$1005,'Detailed Budget'!$L$5:$L$1005,$B101,'Detailed Budget'!$L$5:$L$1005,"&gt;0")&gt;0,SUMIFS('Detailed Budget'!$AP$5:$AP$1005,'Detailed Budget'!$L$5:$L$1005,$B101,'Detailed Budget'!$L$5:$L$1005,"&gt;0"),"")</f>
        <v/>
      </c>
      <c r="K101" s="44" t="str">
        <f>IF(SUMIFS('Detailed Budget'!$AR$5:$AR$1005,'Detailed Budget'!$L$5:$L$1005,$B101,'Detailed Budget'!$L$5:$L$1005,"&gt;0")&gt;0,SUMIFS('Detailed Budget'!$AR$5:$AR$1005,'Detailed Budget'!$L$5:$L$1005,$B101,'Detailed Budget'!$L$5:$L$1005,"&gt;0"),"")</f>
        <v/>
      </c>
      <c r="L101" s="44" t="str">
        <f>IF(SUMIFS('Detailed Budget'!$AT$5:$AT$1005,'Detailed Budget'!$L$5:$L$1005,$B101,'Detailed Budget'!$L$5:$L$1005,"&gt;0")&gt;0,SUMIFS('Detailed Budget'!$AT$5:$AT$1005,'Detailed Budget'!$L$5:$L$1005,$B101,'Detailed Budget'!$L$5:$L$1005,"&gt;0"),"")</f>
        <v/>
      </c>
      <c r="M101" s="45" t="str">
        <f>IF(SUMIFS('Detailed Budget'!$AV$5:$AV$1005,'Detailed Budget'!$L$5:$L$1005,$B101,'Detailed Budget'!$L$5:$L$1005,"&gt;0")&gt;0,SUMIFS('Detailed Budget'!$AV$5:$AV$1005,'Detailed Budget'!$L$5:$L$1005,$B101,'Detailed Budget'!$L$5:$L$1005,"&gt;0"),"")</f>
        <v/>
      </c>
      <c r="N101" s="44" t="str">
        <f>IF(SUMIFS('Detailed Budget'!$BA$5:$BA$1005,'Detailed Budget'!$L$5:$L$1005,$B101,'Detailed Budget'!$L$5:$L$1005,"&gt;0")&gt;0,SUMIFS('Detailed Budget'!$BA$5:$BA$1005,'Detailed Budget'!$L$5:$L$1005,$B101,'Detailed Budget'!$L$5:$L$1005,"&gt;0"),"")</f>
        <v/>
      </c>
      <c r="O101" s="44" t="str">
        <f>IF(SUMIFS('Detailed Budget'!$BC$5:$BC$1005,'Detailed Budget'!$L$5:$L$1005,$B101,'Detailed Budget'!$L$5:$L$1005,"&gt;0")&gt;0,SUMIFS('Detailed Budget'!$BC$5:$BC$1005,'Detailed Budget'!$L$5:$L$1005,$B101,'Detailed Budget'!$L$5:$L$1005,"&gt;0"),"")</f>
        <v/>
      </c>
      <c r="P101" s="44" t="str">
        <f>IF(SUMIFS('Detailed Budget'!$BE$5:$BE$1005,'Detailed Budget'!$L$5:$L$1005,$B101,'Detailed Budget'!$L$5:$L$1005,"&gt;0")&gt;0,SUMIFS('Detailed Budget'!$BE$5:$BE$1005,'Detailed Budget'!$L$5:$L$1005,$B101,'Detailed Budget'!$L$5:$L$1005,"&gt;0"),"")</f>
        <v/>
      </c>
      <c r="Q101" s="44" t="str">
        <f>IF(SUMIFS('Detailed Budget'!$BG$5:$BG$1005,'Detailed Budget'!$L$5:$L$1005,$B101,'Detailed Budget'!$L$5:$L$1005,"&gt;0")&gt;0,SUMIFS('Detailed Budget'!$BG$5:$BG$1005,'Detailed Budget'!$L$5:$L$1005,$B101,'Detailed Budget'!$L$5:$L$1005,"&gt;0"),"")</f>
        <v/>
      </c>
      <c r="R101" s="45" t="str">
        <f>IF(SUMIFS('Detailed Budget'!$BI$5:$BI$1005,'Detailed Budget'!$L$5:$L$1005,$B101,'Detailed Budget'!$L$5:$L$1005,"&gt;0")&gt;0,SUMIFS('Detailed Budget'!$BI$5:$BI$1005,'Detailed Budget'!$L$5:$L$1005,$B101,'Detailed Budget'!$L$5:$L$1005,"&gt;0"),"")</f>
        <v/>
      </c>
      <c r="S101" s="44" t="str">
        <f>IF(SUMIFS('Detailed Budget'!$BN$5:$BN$1005,'Detailed Budget'!$L$5:$L$1005,$B101,'Detailed Budget'!$L$5:$L$1005,"&gt;0")&gt;0,SUMIFS('Detailed Budget'!$BN$5:$BN$1005,'Detailed Budget'!$L$5:$L$1005,$B101,'Detailed Budget'!$L$5:$L$1005,"&gt;0"),"")</f>
        <v/>
      </c>
      <c r="T101" s="44" t="str">
        <f>IF(SUMIFS('Detailed Budget'!$BP$5:$BP$1005,'Detailed Budget'!$L$5:$L$1005,$B101,'Detailed Budget'!$L$5:$L$1005,"&gt;0")&gt;0,SUMIFS('Detailed Budget'!$BP$5:$BP$1005,'Detailed Budget'!$L$5:$L$1005,$B101,'Detailed Budget'!$L$5:$L$1005,"&gt;0"),"")</f>
        <v/>
      </c>
      <c r="U101" s="44" t="str">
        <f>IF(SUMIFS('Detailed Budget'!$BR$5:$BR$1005,'Detailed Budget'!$L$5:$L$1005,$B101,'Detailed Budget'!$L$5:$L$1005,"&gt;0")&gt;0,SUMIFS('Detailed Budget'!$BR$5:$BR$1005,'Detailed Budget'!$L$5:$L$1005,$B101,'Detailed Budget'!$L$5:$L$1005,"&gt;0"),"")</f>
        <v/>
      </c>
      <c r="V101" s="44" t="str">
        <f>IF(SUMIFS('Detailed Budget'!$BT$5:$BT$1005,'Detailed Budget'!$L$5:$L$1005,$B101,'Detailed Budget'!$L$5:$L$1005,"&gt;0")&gt;0,SUMIFS('Detailed Budget'!$BT$5:$BT$1005,'Detailed Budget'!$L$5:$L$1005,$B101,'Detailed Budget'!$L$5:$L$1005,"&gt;0"),"")</f>
        <v/>
      </c>
      <c r="W101" s="45" t="str">
        <f>IF(SUMIFS('Detailed Budget'!$BV$5:$BV$1005,'Detailed Budget'!$L$5:$L$1005,$B101,'Detailed Budget'!$L$5:$L$1005,"&gt;0")&gt;0,SUMIFS('Detailed Budget'!$BV$5:$BV$1005,'Detailed Budget'!$L$5:$L$1005,$B101,'Detailed Budget'!$L$5:$L$1005,"&gt;0"),"")</f>
        <v/>
      </c>
      <c r="X101" s="44" t="str">
        <f t="shared" si="4"/>
        <v/>
      </c>
      <c r="Y101" s="124" t="str">
        <f t="shared" si="5"/>
        <v/>
      </c>
    </row>
    <row r="102" spans="1:25" hidden="1" x14ac:dyDescent="0.25">
      <c r="A102" s="35"/>
      <c r="B102" s="234" t="str">
        <f t="array" ref="B102">IFERROR(INDEX(CostInpNoList,MATCH(0,IF(ISBLANK(CostInpNoList),"",COUNTIF(B$16:B101,CostInpNoList)),0)),"")</f>
        <v/>
      </c>
      <c r="C102" s="372" t="str">
        <f>IFERROR(INDEX('Data Sheet'!$F$198:$F$275,MATCH(B102,'Data Sheet'!$G$198:$G$275,0)),"")</f>
        <v/>
      </c>
      <c r="D102" s="44" t="str">
        <f>IF(SUMIFS('Detailed Budget'!$AA$5:$AA$1005,'Detailed Budget'!$L$5:$L$1005,$B102,'Detailed Budget'!$L$5:$L$1005,"&gt;0")&gt;0,SUMIFS('Detailed Budget'!$AA$5:$AA$1005,'Detailed Budget'!$L$5:$L$1005,$B102,'Detailed Budget'!$L$5:$L$1005,"&gt;0"),"")</f>
        <v/>
      </c>
      <c r="E102" s="44" t="str">
        <f>IF(SUMIFS('Detailed Budget'!$AC$5:$AC$1005,'Detailed Budget'!$L$5:$L$1005,$B102,'Detailed Budget'!$L$5:$L$1005,"&gt;0")&gt;0,SUMIFS('Detailed Budget'!$AC$5:$AC$1005,'Detailed Budget'!$L$5:$L$1005,$B102,'Detailed Budget'!$L$5:$L$1005,"&gt;0"),"")</f>
        <v/>
      </c>
      <c r="F102" s="44" t="str">
        <f>IF(SUMIFS('Detailed Budget'!$AE$5:$AE$1005,'Detailed Budget'!$L$5:$L$1005,$B102,'Detailed Budget'!$L$5:$L$1005,"&gt;0")&gt;0,SUMIFS('Detailed Budget'!$AE$5:$AE$1005,'Detailed Budget'!$L$5:$L$1005,$B102,'Detailed Budget'!$L$5:$L$1005,"&gt;0"),"")</f>
        <v/>
      </c>
      <c r="G102" s="44" t="str">
        <f>IF(SUMIFS('Detailed Budget'!$AG$5:$AG$1005,'Detailed Budget'!$L$5:$L$1005,$B102,'Detailed Budget'!$L$5:$L$1005,"&gt;0")&gt;0,SUMIFS('Detailed Budget'!$AG$5:$AG$1005,'Detailed Budget'!$L$5:$L$1005,$B102,'Detailed Budget'!$L$5:$L$1005,"&gt;0"),"")</f>
        <v/>
      </c>
      <c r="H102" s="45" t="str">
        <f>IF(SUMIFS('Detailed Budget'!$AI$5:$AI$1005,'Detailed Budget'!$L$5:$L$1005,$B102,'Detailed Budget'!$L$5:$L$1005,"&gt;0")&gt;0,SUMIFS('Detailed Budget'!$AI$5:$AI$1005,'Detailed Budget'!$L$5:$L$1005,$B102,'Detailed Budget'!$L$5:$L$1005,"&gt;0"),"")</f>
        <v/>
      </c>
      <c r="I102" s="44" t="str">
        <f>IF(SUMIFS('Detailed Budget'!$AN$5:$AN$1005,'Detailed Budget'!$L$5:$L$1005,$B102,'Detailed Budget'!$L$5:$L$1005,"&gt;0")&gt;0,SUMIFS('Detailed Budget'!$AN$5:$AN$1005,'Detailed Budget'!$L$5:$L$1005,$B102,'Detailed Budget'!$L$5:$L$1005,"&gt;0"),"")</f>
        <v/>
      </c>
      <c r="J102" s="44" t="str">
        <f>IF(SUMIFS('Detailed Budget'!$AP$5:$AP$1005,'Detailed Budget'!$L$5:$L$1005,$B102,'Detailed Budget'!$L$5:$L$1005,"&gt;0")&gt;0,SUMIFS('Detailed Budget'!$AP$5:$AP$1005,'Detailed Budget'!$L$5:$L$1005,$B102,'Detailed Budget'!$L$5:$L$1005,"&gt;0"),"")</f>
        <v/>
      </c>
      <c r="K102" s="44" t="str">
        <f>IF(SUMIFS('Detailed Budget'!$AR$5:$AR$1005,'Detailed Budget'!$L$5:$L$1005,$B102,'Detailed Budget'!$L$5:$L$1005,"&gt;0")&gt;0,SUMIFS('Detailed Budget'!$AR$5:$AR$1005,'Detailed Budget'!$L$5:$L$1005,$B102,'Detailed Budget'!$L$5:$L$1005,"&gt;0"),"")</f>
        <v/>
      </c>
      <c r="L102" s="44" t="str">
        <f>IF(SUMIFS('Detailed Budget'!$AT$5:$AT$1005,'Detailed Budget'!$L$5:$L$1005,$B102,'Detailed Budget'!$L$5:$L$1005,"&gt;0")&gt;0,SUMIFS('Detailed Budget'!$AT$5:$AT$1005,'Detailed Budget'!$L$5:$L$1005,$B102,'Detailed Budget'!$L$5:$L$1005,"&gt;0"),"")</f>
        <v/>
      </c>
      <c r="M102" s="45" t="str">
        <f>IF(SUMIFS('Detailed Budget'!$AV$5:$AV$1005,'Detailed Budget'!$L$5:$L$1005,$B102,'Detailed Budget'!$L$5:$L$1005,"&gt;0")&gt;0,SUMIFS('Detailed Budget'!$AV$5:$AV$1005,'Detailed Budget'!$L$5:$L$1005,$B102,'Detailed Budget'!$L$5:$L$1005,"&gt;0"),"")</f>
        <v/>
      </c>
      <c r="N102" s="44" t="str">
        <f>IF(SUMIFS('Detailed Budget'!$BA$5:$BA$1005,'Detailed Budget'!$L$5:$L$1005,$B102,'Detailed Budget'!$L$5:$L$1005,"&gt;0")&gt;0,SUMIFS('Detailed Budget'!$BA$5:$BA$1005,'Detailed Budget'!$L$5:$L$1005,$B102,'Detailed Budget'!$L$5:$L$1005,"&gt;0"),"")</f>
        <v/>
      </c>
      <c r="O102" s="44" t="str">
        <f>IF(SUMIFS('Detailed Budget'!$BC$5:$BC$1005,'Detailed Budget'!$L$5:$L$1005,$B102,'Detailed Budget'!$L$5:$L$1005,"&gt;0")&gt;0,SUMIFS('Detailed Budget'!$BC$5:$BC$1005,'Detailed Budget'!$L$5:$L$1005,$B102,'Detailed Budget'!$L$5:$L$1005,"&gt;0"),"")</f>
        <v/>
      </c>
      <c r="P102" s="44" t="str">
        <f>IF(SUMIFS('Detailed Budget'!$BE$5:$BE$1005,'Detailed Budget'!$L$5:$L$1005,$B102,'Detailed Budget'!$L$5:$L$1005,"&gt;0")&gt;0,SUMIFS('Detailed Budget'!$BE$5:$BE$1005,'Detailed Budget'!$L$5:$L$1005,$B102,'Detailed Budget'!$L$5:$L$1005,"&gt;0"),"")</f>
        <v/>
      </c>
      <c r="Q102" s="44" t="str">
        <f>IF(SUMIFS('Detailed Budget'!$BG$5:$BG$1005,'Detailed Budget'!$L$5:$L$1005,$B102,'Detailed Budget'!$L$5:$L$1005,"&gt;0")&gt;0,SUMIFS('Detailed Budget'!$BG$5:$BG$1005,'Detailed Budget'!$L$5:$L$1005,$B102,'Detailed Budget'!$L$5:$L$1005,"&gt;0"),"")</f>
        <v/>
      </c>
      <c r="R102" s="45" t="str">
        <f>IF(SUMIFS('Detailed Budget'!$BI$5:$BI$1005,'Detailed Budget'!$L$5:$L$1005,$B102,'Detailed Budget'!$L$5:$L$1005,"&gt;0")&gt;0,SUMIFS('Detailed Budget'!$BI$5:$BI$1005,'Detailed Budget'!$L$5:$L$1005,$B102,'Detailed Budget'!$L$5:$L$1005,"&gt;0"),"")</f>
        <v/>
      </c>
      <c r="S102" s="44" t="str">
        <f>IF(SUMIFS('Detailed Budget'!$BN$5:$BN$1005,'Detailed Budget'!$L$5:$L$1005,$B102,'Detailed Budget'!$L$5:$L$1005,"&gt;0")&gt;0,SUMIFS('Detailed Budget'!$BN$5:$BN$1005,'Detailed Budget'!$L$5:$L$1005,$B102,'Detailed Budget'!$L$5:$L$1005,"&gt;0"),"")</f>
        <v/>
      </c>
      <c r="T102" s="44" t="str">
        <f>IF(SUMIFS('Detailed Budget'!$BP$5:$BP$1005,'Detailed Budget'!$L$5:$L$1005,$B102,'Detailed Budget'!$L$5:$L$1005,"&gt;0")&gt;0,SUMIFS('Detailed Budget'!$BP$5:$BP$1005,'Detailed Budget'!$L$5:$L$1005,$B102,'Detailed Budget'!$L$5:$L$1005,"&gt;0"),"")</f>
        <v/>
      </c>
      <c r="U102" s="44" t="str">
        <f>IF(SUMIFS('Detailed Budget'!$BR$5:$BR$1005,'Detailed Budget'!$L$5:$L$1005,$B102,'Detailed Budget'!$L$5:$L$1005,"&gt;0")&gt;0,SUMIFS('Detailed Budget'!$BR$5:$BR$1005,'Detailed Budget'!$L$5:$L$1005,$B102,'Detailed Budget'!$L$5:$L$1005,"&gt;0"),"")</f>
        <v/>
      </c>
      <c r="V102" s="44" t="str">
        <f>IF(SUMIFS('Detailed Budget'!$BT$5:$BT$1005,'Detailed Budget'!$L$5:$L$1005,$B102,'Detailed Budget'!$L$5:$L$1005,"&gt;0")&gt;0,SUMIFS('Detailed Budget'!$BT$5:$BT$1005,'Detailed Budget'!$L$5:$L$1005,$B102,'Detailed Budget'!$L$5:$L$1005,"&gt;0"),"")</f>
        <v/>
      </c>
      <c r="W102" s="45" t="str">
        <f>IF(SUMIFS('Detailed Budget'!$BV$5:$BV$1005,'Detailed Budget'!$L$5:$L$1005,$B102,'Detailed Budget'!$L$5:$L$1005,"&gt;0")&gt;0,SUMIFS('Detailed Budget'!$BV$5:$BV$1005,'Detailed Budget'!$L$5:$L$1005,$B102,'Detailed Budget'!$L$5:$L$1005,"&gt;0"),"")</f>
        <v/>
      </c>
      <c r="X102" s="44" t="str">
        <f t="shared" si="4"/>
        <v/>
      </c>
      <c r="Y102" s="124" t="str">
        <f t="shared" si="5"/>
        <v/>
      </c>
    </row>
    <row r="103" spans="1:25" hidden="1" x14ac:dyDescent="0.25">
      <c r="A103" s="35"/>
      <c r="B103" s="234" t="str">
        <f t="array" ref="B103">IFERROR(INDEX(CostInpNoList,MATCH(0,IF(ISBLANK(CostInpNoList),"",COUNTIF(B$16:B102,CostInpNoList)),0)),"")</f>
        <v/>
      </c>
      <c r="C103" s="372" t="str">
        <f>IFERROR(INDEX('Data Sheet'!$F$198:$F$275,MATCH(B103,'Data Sheet'!$G$198:$G$275,0)),"")</f>
        <v/>
      </c>
      <c r="D103" s="44" t="str">
        <f>IF(SUMIFS('Detailed Budget'!$AA$5:$AA$1005,'Detailed Budget'!$L$5:$L$1005,$B103,'Detailed Budget'!$L$5:$L$1005,"&gt;0")&gt;0,SUMIFS('Detailed Budget'!$AA$5:$AA$1005,'Detailed Budget'!$L$5:$L$1005,$B103,'Detailed Budget'!$L$5:$L$1005,"&gt;0"),"")</f>
        <v/>
      </c>
      <c r="E103" s="44" t="str">
        <f>IF(SUMIFS('Detailed Budget'!$AC$5:$AC$1005,'Detailed Budget'!$L$5:$L$1005,$B103,'Detailed Budget'!$L$5:$L$1005,"&gt;0")&gt;0,SUMIFS('Detailed Budget'!$AC$5:$AC$1005,'Detailed Budget'!$L$5:$L$1005,$B103,'Detailed Budget'!$L$5:$L$1005,"&gt;0"),"")</f>
        <v/>
      </c>
      <c r="F103" s="44" t="str">
        <f>IF(SUMIFS('Detailed Budget'!$AE$5:$AE$1005,'Detailed Budget'!$L$5:$L$1005,$B103,'Detailed Budget'!$L$5:$L$1005,"&gt;0")&gt;0,SUMIFS('Detailed Budget'!$AE$5:$AE$1005,'Detailed Budget'!$L$5:$L$1005,$B103,'Detailed Budget'!$L$5:$L$1005,"&gt;0"),"")</f>
        <v/>
      </c>
      <c r="G103" s="44" t="str">
        <f>IF(SUMIFS('Detailed Budget'!$AG$5:$AG$1005,'Detailed Budget'!$L$5:$L$1005,$B103,'Detailed Budget'!$L$5:$L$1005,"&gt;0")&gt;0,SUMIFS('Detailed Budget'!$AG$5:$AG$1005,'Detailed Budget'!$L$5:$L$1005,$B103,'Detailed Budget'!$L$5:$L$1005,"&gt;0"),"")</f>
        <v/>
      </c>
      <c r="H103" s="45" t="str">
        <f>IF(SUMIFS('Detailed Budget'!$AI$5:$AI$1005,'Detailed Budget'!$L$5:$L$1005,$B103,'Detailed Budget'!$L$5:$L$1005,"&gt;0")&gt;0,SUMIFS('Detailed Budget'!$AI$5:$AI$1005,'Detailed Budget'!$L$5:$L$1005,$B103,'Detailed Budget'!$L$5:$L$1005,"&gt;0"),"")</f>
        <v/>
      </c>
      <c r="I103" s="44" t="str">
        <f>IF(SUMIFS('Detailed Budget'!$AN$5:$AN$1005,'Detailed Budget'!$L$5:$L$1005,$B103,'Detailed Budget'!$L$5:$L$1005,"&gt;0")&gt;0,SUMIFS('Detailed Budget'!$AN$5:$AN$1005,'Detailed Budget'!$L$5:$L$1005,$B103,'Detailed Budget'!$L$5:$L$1005,"&gt;0"),"")</f>
        <v/>
      </c>
      <c r="J103" s="44" t="str">
        <f>IF(SUMIFS('Detailed Budget'!$AP$5:$AP$1005,'Detailed Budget'!$L$5:$L$1005,$B103,'Detailed Budget'!$L$5:$L$1005,"&gt;0")&gt;0,SUMIFS('Detailed Budget'!$AP$5:$AP$1005,'Detailed Budget'!$L$5:$L$1005,$B103,'Detailed Budget'!$L$5:$L$1005,"&gt;0"),"")</f>
        <v/>
      </c>
      <c r="K103" s="44" t="str">
        <f>IF(SUMIFS('Detailed Budget'!$AR$5:$AR$1005,'Detailed Budget'!$L$5:$L$1005,$B103,'Detailed Budget'!$L$5:$L$1005,"&gt;0")&gt;0,SUMIFS('Detailed Budget'!$AR$5:$AR$1005,'Detailed Budget'!$L$5:$L$1005,$B103,'Detailed Budget'!$L$5:$L$1005,"&gt;0"),"")</f>
        <v/>
      </c>
      <c r="L103" s="44" t="str">
        <f>IF(SUMIFS('Detailed Budget'!$AT$5:$AT$1005,'Detailed Budget'!$L$5:$L$1005,$B103,'Detailed Budget'!$L$5:$L$1005,"&gt;0")&gt;0,SUMIFS('Detailed Budget'!$AT$5:$AT$1005,'Detailed Budget'!$L$5:$L$1005,$B103,'Detailed Budget'!$L$5:$L$1005,"&gt;0"),"")</f>
        <v/>
      </c>
      <c r="M103" s="45" t="str">
        <f>IF(SUMIFS('Detailed Budget'!$AV$5:$AV$1005,'Detailed Budget'!$L$5:$L$1005,$B103,'Detailed Budget'!$L$5:$L$1005,"&gt;0")&gt;0,SUMIFS('Detailed Budget'!$AV$5:$AV$1005,'Detailed Budget'!$L$5:$L$1005,$B103,'Detailed Budget'!$L$5:$L$1005,"&gt;0"),"")</f>
        <v/>
      </c>
      <c r="N103" s="44" t="str">
        <f>IF(SUMIFS('Detailed Budget'!$BA$5:$BA$1005,'Detailed Budget'!$L$5:$L$1005,$B103,'Detailed Budget'!$L$5:$L$1005,"&gt;0")&gt;0,SUMIFS('Detailed Budget'!$BA$5:$BA$1005,'Detailed Budget'!$L$5:$L$1005,$B103,'Detailed Budget'!$L$5:$L$1005,"&gt;0"),"")</f>
        <v/>
      </c>
      <c r="O103" s="44" t="str">
        <f>IF(SUMIFS('Detailed Budget'!$BC$5:$BC$1005,'Detailed Budget'!$L$5:$L$1005,$B103,'Detailed Budget'!$L$5:$L$1005,"&gt;0")&gt;0,SUMIFS('Detailed Budget'!$BC$5:$BC$1005,'Detailed Budget'!$L$5:$L$1005,$B103,'Detailed Budget'!$L$5:$L$1005,"&gt;0"),"")</f>
        <v/>
      </c>
      <c r="P103" s="44" t="str">
        <f>IF(SUMIFS('Detailed Budget'!$BE$5:$BE$1005,'Detailed Budget'!$L$5:$L$1005,$B103,'Detailed Budget'!$L$5:$L$1005,"&gt;0")&gt;0,SUMIFS('Detailed Budget'!$BE$5:$BE$1005,'Detailed Budget'!$L$5:$L$1005,$B103,'Detailed Budget'!$L$5:$L$1005,"&gt;0"),"")</f>
        <v/>
      </c>
      <c r="Q103" s="44" t="str">
        <f>IF(SUMIFS('Detailed Budget'!$BG$5:$BG$1005,'Detailed Budget'!$L$5:$L$1005,$B103,'Detailed Budget'!$L$5:$L$1005,"&gt;0")&gt;0,SUMIFS('Detailed Budget'!$BG$5:$BG$1005,'Detailed Budget'!$L$5:$L$1005,$B103,'Detailed Budget'!$L$5:$L$1005,"&gt;0"),"")</f>
        <v/>
      </c>
      <c r="R103" s="45" t="str">
        <f>IF(SUMIFS('Detailed Budget'!$BI$5:$BI$1005,'Detailed Budget'!$L$5:$L$1005,$B103,'Detailed Budget'!$L$5:$L$1005,"&gt;0")&gt;0,SUMIFS('Detailed Budget'!$BI$5:$BI$1005,'Detailed Budget'!$L$5:$L$1005,$B103,'Detailed Budget'!$L$5:$L$1005,"&gt;0"),"")</f>
        <v/>
      </c>
      <c r="S103" s="44" t="str">
        <f>IF(SUMIFS('Detailed Budget'!$BN$5:$BN$1005,'Detailed Budget'!$L$5:$L$1005,$B103,'Detailed Budget'!$L$5:$L$1005,"&gt;0")&gt;0,SUMIFS('Detailed Budget'!$BN$5:$BN$1005,'Detailed Budget'!$L$5:$L$1005,$B103,'Detailed Budget'!$L$5:$L$1005,"&gt;0"),"")</f>
        <v/>
      </c>
      <c r="T103" s="44" t="str">
        <f>IF(SUMIFS('Detailed Budget'!$BP$5:$BP$1005,'Detailed Budget'!$L$5:$L$1005,$B103,'Detailed Budget'!$L$5:$L$1005,"&gt;0")&gt;0,SUMIFS('Detailed Budget'!$BP$5:$BP$1005,'Detailed Budget'!$L$5:$L$1005,$B103,'Detailed Budget'!$L$5:$L$1005,"&gt;0"),"")</f>
        <v/>
      </c>
      <c r="U103" s="44" t="str">
        <f>IF(SUMIFS('Detailed Budget'!$BR$5:$BR$1005,'Detailed Budget'!$L$5:$L$1005,$B103,'Detailed Budget'!$L$5:$L$1005,"&gt;0")&gt;0,SUMIFS('Detailed Budget'!$BR$5:$BR$1005,'Detailed Budget'!$L$5:$L$1005,$B103,'Detailed Budget'!$L$5:$L$1005,"&gt;0"),"")</f>
        <v/>
      </c>
      <c r="V103" s="44" t="str">
        <f>IF(SUMIFS('Detailed Budget'!$BT$5:$BT$1005,'Detailed Budget'!$L$5:$L$1005,$B103,'Detailed Budget'!$L$5:$L$1005,"&gt;0")&gt;0,SUMIFS('Detailed Budget'!$BT$5:$BT$1005,'Detailed Budget'!$L$5:$L$1005,$B103,'Detailed Budget'!$L$5:$L$1005,"&gt;0"),"")</f>
        <v/>
      </c>
      <c r="W103" s="45" t="str">
        <f>IF(SUMIFS('Detailed Budget'!$BV$5:$BV$1005,'Detailed Budget'!$L$5:$L$1005,$B103,'Detailed Budget'!$L$5:$L$1005,"&gt;0")&gt;0,SUMIFS('Detailed Budget'!$BV$5:$BV$1005,'Detailed Budget'!$L$5:$L$1005,$B103,'Detailed Budget'!$L$5:$L$1005,"&gt;0"),"")</f>
        <v/>
      </c>
      <c r="X103" s="44" t="str">
        <f t="shared" si="4"/>
        <v/>
      </c>
      <c r="Y103" s="124" t="str">
        <f t="shared" si="5"/>
        <v/>
      </c>
    </row>
    <row r="104" spans="1:25" hidden="1" x14ac:dyDescent="0.25">
      <c r="A104" s="35"/>
      <c r="B104" s="234" t="str">
        <f t="array" ref="B104">IFERROR(INDEX(CostInpNoList,MATCH(0,IF(ISBLANK(CostInpNoList),"",COUNTIF(B$16:B103,CostInpNoList)),0)),"")</f>
        <v/>
      </c>
      <c r="C104" s="372" t="str">
        <f>IFERROR(INDEX('Data Sheet'!$F$198:$F$275,MATCH(B104,'Data Sheet'!$G$198:$G$275,0)),"")</f>
        <v/>
      </c>
      <c r="D104" s="44" t="str">
        <f>IF(SUMIFS('Detailed Budget'!$AA$5:$AA$1005,'Detailed Budget'!$L$5:$L$1005,$B104,'Detailed Budget'!$L$5:$L$1005,"&gt;0")&gt;0,SUMIFS('Detailed Budget'!$AA$5:$AA$1005,'Detailed Budget'!$L$5:$L$1005,$B104,'Detailed Budget'!$L$5:$L$1005,"&gt;0"),"")</f>
        <v/>
      </c>
      <c r="E104" s="44" t="str">
        <f>IF(SUMIFS('Detailed Budget'!$AC$5:$AC$1005,'Detailed Budget'!$L$5:$L$1005,$B104,'Detailed Budget'!$L$5:$L$1005,"&gt;0")&gt;0,SUMIFS('Detailed Budget'!$AC$5:$AC$1005,'Detailed Budget'!$L$5:$L$1005,$B104,'Detailed Budget'!$L$5:$L$1005,"&gt;0"),"")</f>
        <v/>
      </c>
      <c r="F104" s="44" t="str">
        <f>IF(SUMIFS('Detailed Budget'!$AE$5:$AE$1005,'Detailed Budget'!$L$5:$L$1005,$B104,'Detailed Budget'!$L$5:$L$1005,"&gt;0")&gt;0,SUMIFS('Detailed Budget'!$AE$5:$AE$1005,'Detailed Budget'!$L$5:$L$1005,$B104,'Detailed Budget'!$L$5:$L$1005,"&gt;0"),"")</f>
        <v/>
      </c>
      <c r="G104" s="44" t="str">
        <f>IF(SUMIFS('Detailed Budget'!$AG$5:$AG$1005,'Detailed Budget'!$L$5:$L$1005,$B104,'Detailed Budget'!$L$5:$L$1005,"&gt;0")&gt;0,SUMIFS('Detailed Budget'!$AG$5:$AG$1005,'Detailed Budget'!$L$5:$L$1005,$B104,'Detailed Budget'!$L$5:$L$1005,"&gt;0"),"")</f>
        <v/>
      </c>
      <c r="H104" s="45" t="str">
        <f>IF(SUMIFS('Detailed Budget'!$AI$5:$AI$1005,'Detailed Budget'!$L$5:$L$1005,$B104,'Detailed Budget'!$L$5:$L$1005,"&gt;0")&gt;0,SUMIFS('Detailed Budget'!$AI$5:$AI$1005,'Detailed Budget'!$L$5:$L$1005,$B104,'Detailed Budget'!$L$5:$L$1005,"&gt;0"),"")</f>
        <v/>
      </c>
      <c r="I104" s="44" t="str">
        <f>IF(SUMIFS('Detailed Budget'!$AN$5:$AN$1005,'Detailed Budget'!$L$5:$L$1005,$B104,'Detailed Budget'!$L$5:$L$1005,"&gt;0")&gt;0,SUMIFS('Detailed Budget'!$AN$5:$AN$1005,'Detailed Budget'!$L$5:$L$1005,$B104,'Detailed Budget'!$L$5:$L$1005,"&gt;0"),"")</f>
        <v/>
      </c>
      <c r="J104" s="44" t="str">
        <f>IF(SUMIFS('Detailed Budget'!$AP$5:$AP$1005,'Detailed Budget'!$L$5:$L$1005,$B104,'Detailed Budget'!$L$5:$L$1005,"&gt;0")&gt;0,SUMIFS('Detailed Budget'!$AP$5:$AP$1005,'Detailed Budget'!$L$5:$L$1005,$B104,'Detailed Budget'!$L$5:$L$1005,"&gt;0"),"")</f>
        <v/>
      </c>
      <c r="K104" s="44" t="str">
        <f>IF(SUMIFS('Detailed Budget'!$AR$5:$AR$1005,'Detailed Budget'!$L$5:$L$1005,$B104,'Detailed Budget'!$L$5:$L$1005,"&gt;0")&gt;0,SUMIFS('Detailed Budget'!$AR$5:$AR$1005,'Detailed Budget'!$L$5:$L$1005,$B104,'Detailed Budget'!$L$5:$L$1005,"&gt;0"),"")</f>
        <v/>
      </c>
      <c r="L104" s="44" t="str">
        <f>IF(SUMIFS('Detailed Budget'!$AT$5:$AT$1005,'Detailed Budget'!$L$5:$L$1005,$B104,'Detailed Budget'!$L$5:$L$1005,"&gt;0")&gt;0,SUMIFS('Detailed Budget'!$AT$5:$AT$1005,'Detailed Budget'!$L$5:$L$1005,$B104,'Detailed Budget'!$L$5:$L$1005,"&gt;0"),"")</f>
        <v/>
      </c>
      <c r="M104" s="45" t="str">
        <f>IF(SUMIFS('Detailed Budget'!$AV$5:$AV$1005,'Detailed Budget'!$L$5:$L$1005,$B104,'Detailed Budget'!$L$5:$L$1005,"&gt;0")&gt;0,SUMIFS('Detailed Budget'!$AV$5:$AV$1005,'Detailed Budget'!$L$5:$L$1005,$B104,'Detailed Budget'!$L$5:$L$1005,"&gt;0"),"")</f>
        <v/>
      </c>
      <c r="N104" s="44" t="str">
        <f>IF(SUMIFS('Detailed Budget'!$BA$5:$BA$1005,'Detailed Budget'!$L$5:$L$1005,$B104,'Detailed Budget'!$L$5:$L$1005,"&gt;0")&gt;0,SUMIFS('Detailed Budget'!$BA$5:$BA$1005,'Detailed Budget'!$L$5:$L$1005,$B104,'Detailed Budget'!$L$5:$L$1005,"&gt;0"),"")</f>
        <v/>
      </c>
      <c r="O104" s="44" t="str">
        <f>IF(SUMIFS('Detailed Budget'!$BC$5:$BC$1005,'Detailed Budget'!$L$5:$L$1005,$B104,'Detailed Budget'!$L$5:$L$1005,"&gt;0")&gt;0,SUMIFS('Detailed Budget'!$BC$5:$BC$1005,'Detailed Budget'!$L$5:$L$1005,$B104,'Detailed Budget'!$L$5:$L$1005,"&gt;0"),"")</f>
        <v/>
      </c>
      <c r="P104" s="44" t="str">
        <f>IF(SUMIFS('Detailed Budget'!$BE$5:$BE$1005,'Detailed Budget'!$L$5:$L$1005,$B104,'Detailed Budget'!$L$5:$L$1005,"&gt;0")&gt;0,SUMIFS('Detailed Budget'!$BE$5:$BE$1005,'Detailed Budget'!$L$5:$L$1005,$B104,'Detailed Budget'!$L$5:$L$1005,"&gt;0"),"")</f>
        <v/>
      </c>
      <c r="Q104" s="44" t="str">
        <f>IF(SUMIFS('Detailed Budget'!$BG$5:$BG$1005,'Detailed Budget'!$L$5:$L$1005,$B104,'Detailed Budget'!$L$5:$L$1005,"&gt;0")&gt;0,SUMIFS('Detailed Budget'!$BG$5:$BG$1005,'Detailed Budget'!$L$5:$L$1005,$B104,'Detailed Budget'!$L$5:$L$1005,"&gt;0"),"")</f>
        <v/>
      </c>
      <c r="R104" s="45" t="str">
        <f>IF(SUMIFS('Detailed Budget'!$BI$5:$BI$1005,'Detailed Budget'!$L$5:$L$1005,$B104,'Detailed Budget'!$L$5:$L$1005,"&gt;0")&gt;0,SUMIFS('Detailed Budget'!$BI$5:$BI$1005,'Detailed Budget'!$L$5:$L$1005,$B104,'Detailed Budget'!$L$5:$L$1005,"&gt;0"),"")</f>
        <v/>
      </c>
      <c r="S104" s="44" t="str">
        <f>IF(SUMIFS('Detailed Budget'!$BN$5:$BN$1005,'Detailed Budget'!$L$5:$L$1005,$B104,'Detailed Budget'!$L$5:$L$1005,"&gt;0")&gt;0,SUMIFS('Detailed Budget'!$BN$5:$BN$1005,'Detailed Budget'!$L$5:$L$1005,$B104,'Detailed Budget'!$L$5:$L$1005,"&gt;0"),"")</f>
        <v/>
      </c>
      <c r="T104" s="44" t="str">
        <f>IF(SUMIFS('Detailed Budget'!$BP$5:$BP$1005,'Detailed Budget'!$L$5:$L$1005,$B104,'Detailed Budget'!$L$5:$L$1005,"&gt;0")&gt;0,SUMIFS('Detailed Budget'!$BP$5:$BP$1005,'Detailed Budget'!$L$5:$L$1005,$B104,'Detailed Budget'!$L$5:$L$1005,"&gt;0"),"")</f>
        <v/>
      </c>
      <c r="U104" s="44" t="str">
        <f>IF(SUMIFS('Detailed Budget'!$BR$5:$BR$1005,'Detailed Budget'!$L$5:$L$1005,$B104,'Detailed Budget'!$L$5:$L$1005,"&gt;0")&gt;0,SUMIFS('Detailed Budget'!$BR$5:$BR$1005,'Detailed Budget'!$L$5:$L$1005,$B104,'Detailed Budget'!$L$5:$L$1005,"&gt;0"),"")</f>
        <v/>
      </c>
      <c r="V104" s="44" t="str">
        <f>IF(SUMIFS('Detailed Budget'!$BT$5:$BT$1005,'Detailed Budget'!$L$5:$L$1005,$B104,'Detailed Budget'!$L$5:$L$1005,"&gt;0")&gt;0,SUMIFS('Detailed Budget'!$BT$5:$BT$1005,'Detailed Budget'!$L$5:$L$1005,$B104,'Detailed Budget'!$L$5:$L$1005,"&gt;0"),"")</f>
        <v/>
      </c>
      <c r="W104" s="45" t="str">
        <f>IF(SUMIFS('Detailed Budget'!$BV$5:$BV$1005,'Detailed Budget'!$L$5:$L$1005,$B104,'Detailed Budget'!$L$5:$L$1005,"&gt;0")&gt;0,SUMIFS('Detailed Budget'!$BV$5:$BV$1005,'Detailed Budget'!$L$5:$L$1005,$B104,'Detailed Budget'!$L$5:$L$1005,"&gt;0"),"")</f>
        <v/>
      </c>
      <c r="X104" s="44" t="str">
        <f t="shared" si="4"/>
        <v/>
      </c>
      <c r="Y104" s="124" t="str">
        <f t="shared" si="5"/>
        <v/>
      </c>
    </row>
    <row r="105" spans="1:25" hidden="1" x14ac:dyDescent="0.25">
      <c r="A105" s="35"/>
      <c r="B105" s="234" t="str">
        <f t="array" ref="B105">IFERROR(INDEX(CostInpNoList,MATCH(0,IF(ISBLANK(CostInpNoList),"",COUNTIF(B$16:B104,CostInpNoList)),0)),"")</f>
        <v/>
      </c>
      <c r="C105" s="372" t="str">
        <f>IFERROR(INDEX('Data Sheet'!$F$198:$F$275,MATCH(B105,'Data Sheet'!$G$198:$G$275,0)),"")</f>
        <v/>
      </c>
      <c r="D105" s="44" t="str">
        <f>IF(SUMIFS('Detailed Budget'!$AA$5:$AA$1005,'Detailed Budget'!$L$5:$L$1005,$B105,'Detailed Budget'!$L$5:$L$1005,"&gt;0")&gt;0,SUMIFS('Detailed Budget'!$AA$5:$AA$1005,'Detailed Budget'!$L$5:$L$1005,$B105,'Detailed Budget'!$L$5:$L$1005,"&gt;0"),"")</f>
        <v/>
      </c>
      <c r="E105" s="44" t="str">
        <f>IF(SUMIFS('Detailed Budget'!$AC$5:$AC$1005,'Detailed Budget'!$L$5:$L$1005,$B105,'Detailed Budget'!$L$5:$L$1005,"&gt;0")&gt;0,SUMIFS('Detailed Budget'!$AC$5:$AC$1005,'Detailed Budget'!$L$5:$L$1005,$B105,'Detailed Budget'!$L$5:$L$1005,"&gt;0"),"")</f>
        <v/>
      </c>
      <c r="F105" s="44" t="str">
        <f>IF(SUMIFS('Detailed Budget'!$AE$5:$AE$1005,'Detailed Budget'!$L$5:$L$1005,$B105,'Detailed Budget'!$L$5:$L$1005,"&gt;0")&gt;0,SUMIFS('Detailed Budget'!$AE$5:$AE$1005,'Detailed Budget'!$L$5:$L$1005,$B105,'Detailed Budget'!$L$5:$L$1005,"&gt;0"),"")</f>
        <v/>
      </c>
      <c r="G105" s="44" t="str">
        <f>IF(SUMIFS('Detailed Budget'!$AG$5:$AG$1005,'Detailed Budget'!$L$5:$L$1005,$B105,'Detailed Budget'!$L$5:$L$1005,"&gt;0")&gt;0,SUMIFS('Detailed Budget'!$AG$5:$AG$1005,'Detailed Budget'!$L$5:$L$1005,$B105,'Detailed Budget'!$L$5:$L$1005,"&gt;0"),"")</f>
        <v/>
      </c>
      <c r="H105" s="45" t="str">
        <f>IF(SUMIFS('Detailed Budget'!$AI$5:$AI$1005,'Detailed Budget'!$L$5:$L$1005,$B105,'Detailed Budget'!$L$5:$L$1005,"&gt;0")&gt;0,SUMIFS('Detailed Budget'!$AI$5:$AI$1005,'Detailed Budget'!$L$5:$L$1005,$B105,'Detailed Budget'!$L$5:$L$1005,"&gt;0"),"")</f>
        <v/>
      </c>
      <c r="I105" s="44" t="str">
        <f>IF(SUMIFS('Detailed Budget'!$AN$5:$AN$1005,'Detailed Budget'!$L$5:$L$1005,$B105,'Detailed Budget'!$L$5:$L$1005,"&gt;0")&gt;0,SUMIFS('Detailed Budget'!$AN$5:$AN$1005,'Detailed Budget'!$L$5:$L$1005,$B105,'Detailed Budget'!$L$5:$L$1005,"&gt;0"),"")</f>
        <v/>
      </c>
      <c r="J105" s="44" t="str">
        <f>IF(SUMIFS('Detailed Budget'!$AP$5:$AP$1005,'Detailed Budget'!$L$5:$L$1005,$B105,'Detailed Budget'!$L$5:$L$1005,"&gt;0")&gt;0,SUMIFS('Detailed Budget'!$AP$5:$AP$1005,'Detailed Budget'!$L$5:$L$1005,$B105,'Detailed Budget'!$L$5:$L$1005,"&gt;0"),"")</f>
        <v/>
      </c>
      <c r="K105" s="44" t="str">
        <f>IF(SUMIFS('Detailed Budget'!$AR$5:$AR$1005,'Detailed Budget'!$L$5:$L$1005,$B105,'Detailed Budget'!$L$5:$L$1005,"&gt;0")&gt;0,SUMIFS('Detailed Budget'!$AR$5:$AR$1005,'Detailed Budget'!$L$5:$L$1005,$B105,'Detailed Budget'!$L$5:$L$1005,"&gt;0"),"")</f>
        <v/>
      </c>
      <c r="L105" s="44" t="str">
        <f>IF(SUMIFS('Detailed Budget'!$AT$5:$AT$1005,'Detailed Budget'!$L$5:$L$1005,$B105,'Detailed Budget'!$L$5:$L$1005,"&gt;0")&gt;0,SUMIFS('Detailed Budget'!$AT$5:$AT$1005,'Detailed Budget'!$L$5:$L$1005,$B105,'Detailed Budget'!$L$5:$L$1005,"&gt;0"),"")</f>
        <v/>
      </c>
      <c r="M105" s="45" t="str">
        <f>IF(SUMIFS('Detailed Budget'!$AV$5:$AV$1005,'Detailed Budget'!$L$5:$L$1005,$B105,'Detailed Budget'!$L$5:$L$1005,"&gt;0")&gt;0,SUMIFS('Detailed Budget'!$AV$5:$AV$1005,'Detailed Budget'!$L$5:$L$1005,$B105,'Detailed Budget'!$L$5:$L$1005,"&gt;0"),"")</f>
        <v/>
      </c>
      <c r="N105" s="44" t="str">
        <f>IF(SUMIFS('Detailed Budget'!$BA$5:$BA$1005,'Detailed Budget'!$L$5:$L$1005,$B105,'Detailed Budget'!$L$5:$L$1005,"&gt;0")&gt;0,SUMIFS('Detailed Budget'!$BA$5:$BA$1005,'Detailed Budget'!$L$5:$L$1005,$B105,'Detailed Budget'!$L$5:$L$1005,"&gt;0"),"")</f>
        <v/>
      </c>
      <c r="O105" s="44" t="str">
        <f>IF(SUMIFS('Detailed Budget'!$BC$5:$BC$1005,'Detailed Budget'!$L$5:$L$1005,$B105,'Detailed Budget'!$L$5:$L$1005,"&gt;0")&gt;0,SUMIFS('Detailed Budget'!$BC$5:$BC$1005,'Detailed Budget'!$L$5:$L$1005,$B105,'Detailed Budget'!$L$5:$L$1005,"&gt;0"),"")</f>
        <v/>
      </c>
      <c r="P105" s="44" t="str">
        <f>IF(SUMIFS('Detailed Budget'!$BE$5:$BE$1005,'Detailed Budget'!$L$5:$L$1005,$B105,'Detailed Budget'!$L$5:$L$1005,"&gt;0")&gt;0,SUMIFS('Detailed Budget'!$BE$5:$BE$1005,'Detailed Budget'!$L$5:$L$1005,$B105,'Detailed Budget'!$L$5:$L$1005,"&gt;0"),"")</f>
        <v/>
      </c>
      <c r="Q105" s="44" t="str">
        <f>IF(SUMIFS('Detailed Budget'!$BG$5:$BG$1005,'Detailed Budget'!$L$5:$L$1005,$B105,'Detailed Budget'!$L$5:$L$1005,"&gt;0")&gt;0,SUMIFS('Detailed Budget'!$BG$5:$BG$1005,'Detailed Budget'!$L$5:$L$1005,$B105,'Detailed Budget'!$L$5:$L$1005,"&gt;0"),"")</f>
        <v/>
      </c>
      <c r="R105" s="45" t="str">
        <f>IF(SUMIFS('Detailed Budget'!$BI$5:$BI$1005,'Detailed Budget'!$L$5:$L$1005,$B105,'Detailed Budget'!$L$5:$L$1005,"&gt;0")&gt;0,SUMIFS('Detailed Budget'!$BI$5:$BI$1005,'Detailed Budget'!$L$5:$L$1005,$B105,'Detailed Budget'!$L$5:$L$1005,"&gt;0"),"")</f>
        <v/>
      </c>
      <c r="S105" s="44" t="str">
        <f>IF(SUMIFS('Detailed Budget'!$BN$5:$BN$1005,'Detailed Budget'!$L$5:$L$1005,$B105,'Detailed Budget'!$L$5:$L$1005,"&gt;0")&gt;0,SUMIFS('Detailed Budget'!$BN$5:$BN$1005,'Detailed Budget'!$L$5:$L$1005,$B105,'Detailed Budget'!$L$5:$L$1005,"&gt;0"),"")</f>
        <v/>
      </c>
      <c r="T105" s="44" t="str">
        <f>IF(SUMIFS('Detailed Budget'!$BP$5:$BP$1005,'Detailed Budget'!$L$5:$L$1005,$B105,'Detailed Budget'!$L$5:$L$1005,"&gt;0")&gt;0,SUMIFS('Detailed Budget'!$BP$5:$BP$1005,'Detailed Budget'!$L$5:$L$1005,$B105,'Detailed Budget'!$L$5:$L$1005,"&gt;0"),"")</f>
        <v/>
      </c>
      <c r="U105" s="44" t="str">
        <f>IF(SUMIFS('Detailed Budget'!$BR$5:$BR$1005,'Detailed Budget'!$L$5:$L$1005,$B105,'Detailed Budget'!$L$5:$L$1005,"&gt;0")&gt;0,SUMIFS('Detailed Budget'!$BR$5:$BR$1005,'Detailed Budget'!$L$5:$L$1005,$B105,'Detailed Budget'!$L$5:$L$1005,"&gt;0"),"")</f>
        <v/>
      </c>
      <c r="V105" s="44" t="str">
        <f>IF(SUMIFS('Detailed Budget'!$BT$5:$BT$1005,'Detailed Budget'!$L$5:$L$1005,$B105,'Detailed Budget'!$L$5:$L$1005,"&gt;0")&gt;0,SUMIFS('Detailed Budget'!$BT$5:$BT$1005,'Detailed Budget'!$L$5:$L$1005,$B105,'Detailed Budget'!$L$5:$L$1005,"&gt;0"),"")</f>
        <v/>
      </c>
      <c r="W105" s="45" t="str">
        <f>IF(SUMIFS('Detailed Budget'!$BV$5:$BV$1005,'Detailed Budget'!$L$5:$L$1005,$B105,'Detailed Budget'!$L$5:$L$1005,"&gt;0")&gt;0,SUMIFS('Detailed Budget'!$BV$5:$BV$1005,'Detailed Budget'!$L$5:$L$1005,$B105,'Detailed Budget'!$L$5:$L$1005,"&gt;0"),"")</f>
        <v/>
      </c>
      <c r="X105" s="44" t="str">
        <f t="shared" si="4"/>
        <v/>
      </c>
      <c r="Y105" s="124" t="str">
        <f t="shared" si="5"/>
        <v/>
      </c>
    </row>
    <row r="106" spans="1:25" hidden="1" x14ac:dyDescent="0.25">
      <c r="A106" s="35"/>
      <c r="B106" s="234" t="str">
        <f t="array" ref="B106">IFERROR(INDEX(CostInpNoList,MATCH(0,IF(ISBLANK(CostInpNoList),"",COUNTIF(B$16:B105,CostInpNoList)),0)),"")</f>
        <v/>
      </c>
      <c r="C106" s="372" t="str">
        <f>IFERROR(INDEX('Data Sheet'!$F$198:$F$275,MATCH(B106,'Data Sheet'!$G$198:$G$275,0)),"")</f>
        <v/>
      </c>
      <c r="D106" s="44" t="str">
        <f>IF(SUMIFS('Detailed Budget'!$AA$5:$AA$1005,'Detailed Budget'!$L$5:$L$1005,$B106,'Detailed Budget'!$L$5:$L$1005,"&gt;0")&gt;0,SUMIFS('Detailed Budget'!$AA$5:$AA$1005,'Detailed Budget'!$L$5:$L$1005,$B106,'Detailed Budget'!$L$5:$L$1005,"&gt;0"),"")</f>
        <v/>
      </c>
      <c r="E106" s="44" t="str">
        <f>IF(SUMIFS('Detailed Budget'!$AC$5:$AC$1005,'Detailed Budget'!$L$5:$L$1005,$B106,'Detailed Budget'!$L$5:$L$1005,"&gt;0")&gt;0,SUMIFS('Detailed Budget'!$AC$5:$AC$1005,'Detailed Budget'!$L$5:$L$1005,$B106,'Detailed Budget'!$L$5:$L$1005,"&gt;0"),"")</f>
        <v/>
      </c>
      <c r="F106" s="44" t="str">
        <f>IF(SUMIFS('Detailed Budget'!$AE$5:$AE$1005,'Detailed Budget'!$L$5:$L$1005,$B106,'Detailed Budget'!$L$5:$L$1005,"&gt;0")&gt;0,SUMIFS('Detailed Budget'!$AE$5:$AE$1005,'Detailed Budget'!$L$5:$L$1005,$B106,'Detailed Budget'!$L$5:$L$1005,"&gt;0"),"")</f>
        <v/>
      </c>
      <c r="G106" s="44" t="str">
        <f>IF(SUMIFS('Detailed Budget'!$AG$5:$AG$1005,'Detailed Budget'!$L$5:$L$1005,$B106,'Detailed Budget'!$L$5:$L$1005,"&gt;0")&gt;0,SUMIFS('Detailed Budget'!$AG$5:$AG$1005,'Detailed Budget'!$L$5:$L$1005,$B106,'Detailed Budget'!$L$5:$L$1005,"&gt;0"),"")</f>
        <v/>
      </c>
      <c r="H106" s="45" t="str">
        <f>IF(SUMIFS('Detailed Budget'!$AI$5:$AI$1005,'Detailed Budget'!$L$5:$L$1005,$B106,'Detailed Budget'!$L$5:$L$1005,"&gt;0")&gt;0,SUMIFS('Detailed Budget'!$AI$5:$AI$1005,'Detailed Budget'!$L$5:$L$1005,$B106,'Detailed Budget'!$L$5:$L$1005,"&gt;0"),"")</f>
        <v/>
      </c>
      <c r="I106" s="44" t="str">
        <f>IF(SUMIFS('Detailed Budget'!$AN$5:$AN$1005,'Detailed Budget'!$L$5:$L$1005,$B106,'Detailed Budget'!$L$5:$L$1005,"&gt;0")&gt;0,SUMIFS('Detailed Budget'!$AN$5:$AN$1005,'Detailed Budget'!$L$5:$L$1005,$B106,'Detailed Budget'!$L$5:$L$1005,"&gt;0"),"")</f>
        <v/>
      </c>
      <c r="J106" s="44" t="str">
        <f>IF(SUMIFS('Detailed Budget'!$AP$5:$AP$1005,'Detailed Budget'!$L$5:$L$1005,$B106,'Detailed Budget'!$L$5:$L$1005,"&gt;0")&gt;0,SUMIFS('Detailed Budget'!$AP$5:$AP$1005,'Detailed Budget'!$L$5:$L$1005,$B106,'Detailed Budget'!$L$5:$L$1005,"&gt;0"),"")</f>
        <v/>
      </c>
      <c r="K106" s="44" t="str">
        <f>IF(SUMIFS('Detailed Budget'!$AR$5:$AR$1005,'Detailed Budget'!$L$5:$L$1005,$B106,'Detailed Budget'!$L$5:$L$1005,"&gt;0")&gt;0,SUMIFS('Detailed Budget'!$AR$5:$AR$1005,'Detailed Budget'!$L$5:$L$1005,$B106,'Detailed Budget'!$L$5:$L$1005,"&gt;0"),"")</f>
        <v/>
      </c>
      <c r="L106" s="44" t="str">
        <f>IF(SUMIFS('Detailed Budget'!$AT$5:$AT$1005,'Detailed Budget'!$L$5:$L$1005,$B106,'Detailed Budget'!$L$5:$L$1005,"&gt;0")&gt;0,SUMIFS('Detailed Budget'!$AT$5:$AT$1005,'Detailed Budget'!$L$5:$L$1005,$B106,'Detailed Budget'!$L$5:$L$1005,"&gt;0"),"")</f>
        <v/>
      </c>
      <c r="M106" s="45" t="str">
        <f>IF(SUMIFS('Detailed Budget'!$AV$5:$AV$1005,'Detailed Budget'!$L$5:$L$1005,$B106,'Detailed Budget'!$L$5:$L$1005,"&gt;0")&gt;0,SUMIFS('Detailed Budget'!$AV$5:$AV$1005,'Detailed Budget'!$L$5:$L$1005,$B106,'Detailed Budget'!$L$5:$L$1005,"&gt;0"),"")</f>
        <v/>
      </c>
      <c r="N106" s="44" t="str">
        <f>IF(SUMIFS('Detailed Budget'!$BA$5:$BA$1005,'Detailed Budget'!$L$5:$L$1005,$B106,'Detailed Budget'!$L$5:$L$1005,"&gt;0")&gt;0,SUMIFS('Detailed Budget'!$BA$5:$BA$1005,'Detailed Budget'!$L$5:$L$1005,$B106,'Detailed Budget'!$L$5:$L$1005,"&gt;0"),"")</f>
        <v/>
      </c>
      <c r="O106" s="44" t="str">
        <f>IF(SUMIFS('Detailed Budget'!$BC$5:$BC$1005,'Detailed Budget'!$L$5:$L$1005,$B106,'Detailed Budget'!$L$5:$L$1005,"&gt;0")&gt;0,SUMIFS('Detailed Budget'!$BC$5:$BC$1005,'Detailed Budget'!$L$5:$L$1005,$B106,'Detailed Budget'!$L$5:$L$1005,"&gt;0"),"")</f>
        <v/>
      </c>
      <c r="P106" s="44" t="str">
        <f>IF(SUMIFS('Detailed Budget'!$BE$5:$BE$1005,'Detailed Budget'!$L$5:$L$1005,$B106,'Detailed Budget'!$L$5:$L$1005,"&gt;0")&gt;0,SUMIFS('Detailed Budget'!$BE$5:$BE$1005,'Detailed Budget'!$L$5:$L$1005,$B106,'Detailed Budget'!$L$5:$L$1005,"&gt;0"),"")</f>
        <v/>
      </c>
      <c r="Q106" s="44" t="str">
        <f>IF(SUMIFS('Detailed Budget'!$BG$5:$BG$1005,'Detailed Budget'!$L$5:$L$1005,$B106,'Detailed Budget'!$L$5:$L$1005,"&gt;0")&gt;0,SUMIFS('Detailed Budget'!$BG$5:$BG$1005,'Detailed Budget'!$L$5:$L$1005,$B106,'Detailed Budget'!$L$5:$L$1005,"&gt;0"),"")</f>
        <v/>
      </c>
      <c r="R106" s="45" t="str">
        <f>IF(SUMIFS('Detailed Budget'!$BI$5:$BI$1005,'Detailed Budget'!$L$5:$L$1005,$B106,'Detailed Budget'!$L$5:$L$1005,"&gt;0")&gt;0,SUMIFS('Detailed Budget'!$BI$5:$BI$1005,'Detailed Budget'!$L$5:$L$1005,$B106,'Detailed Budget'!$L$5:$L$1005,"&gt;0"),"")</f>
        <v/>
      </c>
      <c r="S106" s="44" t="str">
        <f>IF(SUMIFS('Detailed Budget'!$BN$5:$BN$1005,'Detailed Budget'!$L$5:$L$1005,$B106,'Detailed Budget'!$L$5:$L$1005,"&gt;0")&gt;0,SUMIFS('Detailed Budget'!$BN$5:$BN$1005,'Detailed Budget'!$L$5:$L$1005,$B106,'Detailed Budget'!$L$5:$L$1005,"&gt;0"),"")</f>
        <v/>
      </c>
      <c r="T106" s="44" t="str">
        <f>IF(SUMIFS('Detailed Budget'!$BP$5:$BP$1005,'Detailed Budget'!$L$5:$L$1005,$B106,'Detailed Budget'!$L$5:$L$1005,"&gt;0")&gt;0,SUMIFS('Detailed Budget'!$BP$5:$BP$1005,'Detailed Budget'!$L$5:$L$1005,$B106,'Detailed Budget'!$L$5:$L$1005,"&gt;0"),"")</f>
        <v/>
      </c>
      <c r="U106" s="44" t="str">
        <f>IF(SUMIFS('Detailed Budget'!$BR$5:$BR$1005,'Detailed Budget'!$L$5:$L$1005,$B106,'Detailed Budget'!$L$5:$L$1005,"&gt;0")&gt;0,SUMIFS('Detailed Budget'!$BR$5:$BR$1005,'Detailed Budget'!$L$5:$L$1005,$B106,'Detailed Budget'!$L$5:$L$1005,"&gt;0"),"")</f>
        <v/>
      </c>
      <c r="V106" s="44" t="str">
        <f>IF(SUMIFS('Detailed Budget'!$BT$5:$BT$1005,'Detailed Budget'!$L$5:$L$1005,$B106,'Detailed Budget'!$L$5:$L$1005,"&gt;0")&gt;0,SUMIFS('Detailed Budget'!$BT$5:$BT$1005,'Detailed Budget'!$L$5:$L$1005,$B106,'Detailed Budget'!$L$5:$L$1005,"&gt;0"),"")</f>
        <v/>
      </c>
      <c r="W106" s="45" t="str">
        <f>IF(SUMIFS('Detailed Budget'!$BV$5:$BV$1005,'Detailed Budget'!$L$5:$L$1005,$B106,'Detailed Budget'!$L$5:$L$1005,"&gt;0")&gt;0,SUMIFS('Detailed Budget'!$BV$5:$BV$1005,'Detailed Budget'!$L$5:$L$1005,$B106,'Detailed Budget'!$L$5:$L$1005,"&gt;0"),"")</f>
        <v/>
      </c>
      <c r="X106" s="44" t="str">
        <f t="shared" si="4"/>
        <v/>
      </c>
      <c r="Y106" s="124" t="str">
        <f t="shared" si="5"/>
        <v/>
      </c>
    </row>
    <row r="107" spans="1:25" ht="20.25" customHeight="1" x14ac:dyDescent="0.25">
      <c r="A107" s="35"/>
      <c r="B107" s="35"/>
      <c r="C107" s="46" t="str">
        <f ca="1">Translations!A$174</f>
        <v>Total</v>
      </c>
      <c r="D107" s="84">
        <f>SUM(D17:D106)</f>
        <v>1451516.5496134602</v>
      </c>
      <c r="E107" s="84">
        <f t="shared" ref="E107:X107" si="6">SUM(E17:E106)</f>
        <v>294720.31315088744</v>
      </c>
      <c r="F107" s="84">
        <f t="shared" si="6"/>
        <v>217075.38567376207</v>
      </c>
      <c r="G107" s="84">
        <f t="shared" si="6"/>
        <v>283621.58501355274</v>
      </c>
      <c r="H107" s="84">
        <f t="shared" si="6"/>
        <v>2246933.8334516617</v>
      </c>
      <c r="I107" s="84">
        <f t="shared" si="6"/>
        <v>1460333.3750126862</v>
      </c>
      <c r="J107" s="84">
        <f t="shared" si="6"/>
        <v>276858.99165088747</v>
      </c>
      <c r="K107" s="84">
        <f t="shared" si="6"/>
        <v>208593.54817376207</v>
      </c>
      <c r="L107" s="84">
        <f t="shared" si="6"/>
        <v>284139.74751355278</v>
      </c>
      <c r="M107" s="84">
        <f t="shared" si="6"/>
        <v>2229925.6623508884</v>
      </c>
      <c r="N107" s="84">
        <f t="shared" si="6"/>
        <v>1486191.8176191491</v>
      </c>
      <c r="O107" s="84">
        <f t="shared" si="6"/>
        <v>500118.16648696357</v>
      </c>
      <c r="P107" s="84">
        <f t="shared" si="6"/>
        <v>218121.76317376204</v>
      </c>
      <c r="Q107" s="84">
        <f t="shared" si="6"/>
        <v>250358.46326418838</v>
      </c>
      <c r="R107" s="84">
        <f t="shared" si="6"/>
        <v>2454790.2105440632</v>
      </c>
      <c r="S107" s="84">
        <f t="shared" si="6"/>
        <v>0</v>
      </c>
      <c r="T107" s="84">
        <f t="shared" si="6"/>
        <v>0</v>
      </c>
      <c r="U107" s="84">
        <f t="shared" si="6"/>
        <v>0</v>
      </c>
      <c r="V107" s="84">
        <f t="shared" si="6"/>
        <v>0</v>
      </c>
      <c r="W107" s="84">
        <f t="shared" si="6"/>
        <v>0</v>
      </c>
      <c r="X107" s="84">
        <f t="shared" si="6"/>
        <v>6931649.7063466134</v>
      </c>
      <c r="Y107" s="124">
        <f>IFERROR(X107/$X$107,"")</f>
        <v>1</v>
      </c>
    </row>
    <row r="108" spans="1:25" x14ac:dyDescent="0.25">
      <c r="A108" s="35"/>
      <c r="B108" s="35"/>
      <c r="P108" s="36"/>
      <c r="Q108" s="36"/>
      <c r="T108" s="36"/>
      <c r="U108" s="36"/>
      <c r="V108" s="36"/>
    </row>
    <row r="109" spans="1:25" x14ac:dyDescent="0.25">
      <c r="A109" s="35"/>
      <c r="B109" s="35"/>
      <c r="P109" s="36"/>
      <c r="Q109" s="36"/>
      <c r="T109" s="36"/>
      <c r="U109" s="36"/>
      <c r="V109" s="36"/>
    </row>
    <row r="110" spans="1:25" x14ac:dyDescent="0.25">
      <c r="A110" s="35"/>
      <c r="B110" s="35"/>
      <c r="P110" s="36"/>
      <c r="Q110" s="36"/>
      <c r="T110" s="36"/>
      <c r="U110" s="36"/>
      <c r="V110" s="36"/>
    </row>
    <row r="111" spans="1:25" x14ac:dyDescent="0.25">
      <c r="B111" s="35"/>
      <c r="P111" s="36"/>
      <c r="Q111" s="36"/>
      <c r="T111" s="36"/>
      <c r="U111" s="36"/>
      <c r="V111" s="36"/>
    </row>
    <row r="112" spans="1:25" x14ac:dyDescent="0.25">
      <c r="B112" s="35"/>
      <c r="P112" s="36"/>
      <c r="Q112" s="36"/>
      <c r="T112" s="36"/>
      <c r="U112" s="36"/>
      <c r="V112" s="36"/>
    </row>
    <row r="113" spans="2:22" x14ac:dyDescent="0.25">
      <c r="B113" s="35"/>
      <c r="P113" s="36"/>
      <c r="Q113" s="36"/>
      <c r="T113" s="36"/>
      <c r="U113" s="36"/>
      <c r="V113" s="36"/>
    </row>
    <row r="114" spans="2:22" x14ac:dyDescent="0.25">
      <c r="B114" s="35"/>
      <c r="P114" s="36"/>
      <c r="Q114" s="36"/>
      <c r="T114" s="36"/>
      <c r="U114" s="36"/>
      <c r="V114" s="36"/>
    </row>
    <row r="115" spans="2:22" x14ac:dyDescent="0.25">
      <c r="B115" s="35"/>
      <c r="P115" s="36"/>
      <c r="Q115" s="36"/>
      <c r="T115" s="36"/>
      <c r="U115" s="36"/>
      <c r="V115" s="36"/>
    </row>
    <row r="116" spans="2:22" x14ac:dyDescent="0.25">
      <c r="B116" s="35"/>
      <c r="P116" s="36"/>
      <c r="Q116" s="36"/>
      <c r="T116" s="36"/>
      <c r="U116" s="36"/>
      <c r="V116" s="36"/>
    </row>
    <row r="117" spans="2:22" x14ac:dyDescent="0.25">
      <c r="B117" s="35"/>
      <c r="Q117" s="36"/>
      <c r="T117" s="36"/>
      <c r="U117" s="36"/>
      <c r="V117" s="36"/>
    </row>
    <row r="118" spans="2:22" x14ac:dyDescent="0.25">
      <c r="B118" s="35"/>
      <c r="Q118" s="36"/>
      <c r="T118" s="36"/>
      <c r="U118" s="36"/>
      <c r="V118" s="36"/>
    </row>
    <row r="119" spans="2:22" x14ac:dyDescent="0.25">
      <c r="B119" s="35"/>
      <c r="Q119" s="36"/>
      <c r="T119" s="36"/>
      <c r="U119" s="36"/>
      <c r="V119" s="36"/>
    </row>
    <row r="120" spans="2:22" x14ac:dyDescent="0.25">
      <c r="B120" s="35"/>
      <c r="Q120" s="36"/>
      <c r="T120" s="36"/>
      <c r="U120" s="36"/>
      <c r="V120" s="36"/>
    </row>
    <row r="121" spans="2:22" x14ac:dyDescent="0.25">
      <c r="B121" s="35"/>
      <c r="Q121" s="36"/>
      <c r="T121" s="36"/>
      <c r="U121" s="36"/>
      <c r="V121" s="36"/>
    </row>
    <row r="122" spans="2:22" x14ac:dyDescent="0.25">
      <c r="B122" s="35"/>
      <c r="Q122" s="36"/>
      <c r="T122" s="36"/>
      <c r="U122" s="36"/>
      <c r="V122" s="36"/>
    </row>
    <row r="123" spans="2:22" x14ac:dyDescent="0.25">
      <c r="B123" s="35"/>
      <c r="Q123" s="36"/>
      <c r="T123" s="36"/>
      <c r="U123" s="36"/>
      <c r="V123" s="36"/>
    </row>
    <row r="124" spans="2:22" x14ac:dyDescent="0.25">
      <c r="B124" s="35"/>
      <c r="Q124" s="36"/>
      <c r="T124" s="36"/>
      <c r="U124" s="36"/>
      <c r="V124" s="36"/>
    </row>
    <row r="125" spans="2:22" x14ac:dyDescent="0.25">
      <c r="B125" s="35"/>
      <c r="Q125" s="36"/>
      <c r="T125" s="36"/>
      <c r="U125" s="36"/>
      <c r="V125" s="36"/>
    </row>
    <row r="126" spans="2:22" x14ac:dyDescent="0.25">
      <c r="B126" s="35"/>
      <c r="Q126" s="36"/>
      <c r="T126" s="36"/>
      <c r="U126" s="36"/>
      <c r="V126" s="36"/>
    </row>
    <row r="127" spans="2:22" x14ac:dyDescent="0.25">
      <c r="B127" s="35"/>
      <c r="Q127" s="36"/>
      <c r="T127" s="36"/>
      <c r="U127" s="36"/>
      <c r="V127" s="36"/>
    </row>
    <row r="128" spans="2:22" x14ac:dyDescent="0.25">
      <c r="B128" s="35"/>
      <c r="Q128" s="36"/>
      <c r="T128" s="36"/>
      <c r="U128" s="36"/>
      <c r="V128" s="36"/>
    </row>
    <row r="129" spans="2:22" x14ac:dyDescent="0.25">
      <c r="B129" s="35"/>
      <c r="Q129" s="36"/>
      <c r="T129" s="36"/>
      <c r="U129" s="36"/>
      <c r="V129" s="36"/>
    </row>
    <row r="130" spans="2:22" x14ac:dyDescent="0.25">
      <c r="B130" s="35"/>
      <c r="Q130" s="36"/>
      <c r="T130" s="36"/>
      <c r="U130" s="36"/>
      <c r="V130" s="36"/>
    </row>
    <row r="131" spans="2:22" x14ac:dyDescent="0.25">
      <c r="B131" s="35"/>
      <c r="Q131" s="36"/>
      <c r="T131" s="36"/>
      <c r="U131" s="36"/>
      <c r="V131" s="36"/>
    </row>
    <row r="132" spans="2:22" x14ac:dyDescent="0.25">
      <c r="B132" s="35"/>
      <c r="Q132" s="36"/>
      <c r="T132" s="36"/>
      <c r="U132" s="36"/>
      <c r="V132" s="36"/>
    </row>
    <row r="133" spans="2:22" x14ac:dyDescent="0.25">
      <c r="B133" s="35"/>
      <c r="Q133" s="36"/>
      <c r="T133" s="36"/>
      <c r="U133" s="36"/>
      <c r="V133" s="36"/>
    </row>
    <row r="134" spans="2:22" x14ac:dyDescent="0.25">
      <c r="B134" s="35"/>
      <c r="Q134" s="36"/>
      <c r="T134" s="36"/>
      <c r="U134" s="36"/>
      <c r="V134" s="36"/>
    </row>
    <row r="135" spans="2:22" x14ac:dyDescent="0.25">
      <c r="B135" s="35"/>
      <c r="Q135" s="36"/>
      <c r="T135" s="36"/>
      <c r="U135" s="36"/>
      <c r="V135" s="36"/>
    </row>
    <row r="136" spans="2:22" x14ac:dyDescent="0.25">
      <c r="B136" s="35"/>
      <c r="Q136" s="36"/>
      <c r="T136" s="36"/>
      <c r="U136" s="36"/>
      <c r="V136" s="36"/>
    </row>
    <row r="137" spans="2:22" x14ac:dyDescent="0.25">
      <c r="B137" s="35"/>
      <c r="Q137" s="36"/>
      <c r="T137" s="36"/>
      <c r="U137" s="36"/>
      <c r="V137" s="36"/>
    </row>
    <row r="138" spans="2:22" x14ac:dyDescent="0.25">
      <c r="B138" s="35"/>
      <c r="Q138" s="36"/>
      <c r="T138" s="36"/>
      <c r="U138" s="36"/>
      <c r="V138" s="36"/>
    </row>
    <row r="139" spans="2:22" x14ac:dyDescent="0.25">
      <c r="B139" s="35"/>
      <c r="Q139" s="36"/>
      <c r="T139" s="36"/>
      <c r="U139" s="36"/>
      <c r="V139" s="36"/>
    </row>
    <row r="140" spans="2:22" x14ac:dyDescent="0.25">
      <c r="B140" s="35"/>
      <c r="Q140" s="36"/>
      <c r="T140" s="36"/>
      <c r="U140" s="36"/>
      <c r="V140" s="36"/>
    </row>
    <row r="141" spans="2:22" x14ac:dyDescent="0.25">
      <c r="B141" s="35"/>
      <c r="Q141" s="36"/>
      <c r="T141" s="36"/>
      <c r="U141" s="36"/>
      <c r="V141" s="36"/>
    </row>
    <row r="142" spans="2:22" x14ac:dyDescent="0.25">
      <c r="B142" s="35"/>
      <c r="Q142" s="36"/>
      <c r="T142" s="36"/>
      <c r="U142" s="36"/>
      <c r="V142" s="36"/>
    </row>
    <row r="143" spans="2:22" x14ac:dyDescent="0.25">
      <c r="B143" s="35"/>
      <c r="Q143" s="36"/>
      <c r="T143" s="36"/>
      <c r="U143" s="36"/>
      <c r="V143" s="36"/>
    </row>
    <row r="144" spans="2:22" x14ac:dyDescent="0.25">
      <c r="B144" s="35"/>
      <c r="Q144" s="36"/>
      <c r="T144" s="36"/>
      <c r="U144" s="36"/>
      <c r="V144" s="36"/>
    </row>
    <row r="145" spans="2:22" x14ac:dyDescent="0.25">
      <c r="B145" s="35"/>
      <c r="Q145" s="36"/>
      <c r="T145" s="36"/>
      <c r="U145" s="36"/>
      <c r="V145" s="36"/>
    </row>
    <row r="146" spans="2:22" x14ac:dyDescent="0.25">
      <c r="B146" s="35"/>
      <c r="Q146" s="36"/>
      <c r="T146" s="36"/>
      <c r="U146" s="36"/>
      <c r="V146" s="36"/>
    </row>
    <row r="147" spans="2:22" x14ac:dyDescent="0.25">
      <c r="B147" s="35"/>
      <c r="Q147" s="36"/>
      <c r="T147" s="36"/>
      <c r="U147" s="36"/>
      <c r="V147" s="36"/>
    </row>
    <row r="148" spans="2:22" x14ac:dyDescent="0.25">
      <c r="B148" s="35"/>
      <c r="Q148" s="36"/>
      <c r="T148" s="36"/>
      <c r="U148" s="36"/>
      <c r="V148" s="36"/>
    </row>
    <row r="149" spans="2:22" x14ac:dyDescent="0.25">
      <c r="B149" s="35"/>
      <c r="Q149" s="36"/>
      <c r="T149" s="36"/>
      <c r="U149" s="36"/>
      <c r="V149" s="36"/>
    </row>
    <row r="150" spans="2:22" x14ac:dyDescent="0.25">
      <c r="B150" s="35"/>
      <c r="Q150" s="36"/>
      <c r="T150" s="36"/>
      <c r="U150" s="36"/>
      <c r="V150" s="36"/>
    </row>
    <row r="151" spans="2:22" x14ac:dyDescent="0.25">
      <c r="B151" s="35"/>
      <c r="Q151" s="36"/>
      <c r="T151" s="36"/>
      <c r="U151" s="36"/>
      <c r="V151" s="36"/>
    </row>
    <row r="152" spans="2:22" x14ac:dyDescent="0.25">
      <c r="B152" s="35"/>
      <c r="Q152" s="36"/>
      <c r="T152" s="36"/>
      <c r="U152" s="36"/>
      <c r="V152" s="36"/>
    </row>
    <row r="153" spans="2:22" x14ac:dyDescent="0.25">
      <c r="B153" s="35"/>
      <c r="Q153" s="36"/>
      <c r="T153" s="36"/>
      <c r="U153" s="36"/>
      <c r="V153" s="36"/>
    </row>
    <row r="154" spans="2:22" x14ac:dyDescent="0.25">
      <c r="B154" s="35"/>
      <c r="Q154" s="36"/>
      <c r="T154" s="36"/>
      <c r="U154" s="36"/>
      <c r="V154" s="36"/>
    </row>
    <row r="155" spans="2:22" x14ac:dyDescent="0.25">
      <c r="B155" s="35"/>
      <c r="Q155" s="36"/>
      <c r="T155" s="36"/>
      <c r="U155" s="36"/>
      <c r="V155" s="36"/>
    </row>
    <row r="156" spans="2:22" x14ac:dyDescent="0.25">
      <c r="B156" s="35"/>
      <c r="Q156" s="36"/>
      <c r="T156" s="36"/>
      <c r="U156" s="36"/>
      <c r="V156" s="36"/>
    </row>
    <row r="157" spans="2:22" x14ac:dyDescent="0.25">
      <c r="B157" s="35"/>
      <c r="Q157" s="36"/>
      <c r="T157" s="36"/>
      <c r="U157" s="36"/>
      <c r="V157" s="36"/>
    </row>
    <row r="158" spans="2:22" x14ac:dyDescent="0.25">
      <c r="B158" s="35"/>
      <c r="Q158" s="36"/>
      <c r="T158" s="36"/>
      <c r="U158" s="36"/>
      <c r="V158" s="36"/>
    </row>
    <row r="159" spans="2:22" x14ac:dyDescent="0.25">
      <c r="B159" s="35"/>
      <c r="Q159" s="36"/>
      <c r="T159" s="36"/>
      <c r="U159" s="36"/>
      <c r="V159" s="36"/>
    </row>
    <row r="160" spans="2:22" x14ac:dyDescent="0.25">
      <c r="B160" s="35"/>
      <c r="Q160" s="36"/>
      <c r="T160" s="36"/>
      <c r="U160" s="36"/>
      <c r="V160" s="36"/>
    </row>
    <row r="161" spans="2:22" x14ac:dyDescent="0.25">
      <c r="B161" s="35"/>
      <c r="T161" s="36"/>
      <c r="U161" s="36"/>
      <c r="V161" s="36"/>
    </row>
    <row r="162" spans="2:22" x14ac:dyDescent="0.25">
      <c r="B162" s="35"/>
      <c r="T162" s="36"/>
      <c r="U162" s="36"/>
      <c r="V162" s="36"/>
    </row>
    <row r="163" spans="2:22" x14ac:dyDescent="0.25">
      <c r="B163" s="35"/>
      <c r="T163" s="36"/>
      <c r="U163" s="36"/>
      <c r="V163" s="36"/>
    </row>
    <row r="164" spans="2:22" x14ac:dyDescent="0.25">
      <c r="B164" s="35"/>
      <c r="T164" s="36"/>
      <c r="U164" s="36"/>
      <c r="V164" s="36"/>
    </row>
    <row r="165" spans="2:22" x14ac:dyDescent="0.25">
      <c r="B165" s="35"/>
      <c r="T165" s="36"/>
      <c r="U165" s="36"/>
      <c r="V165" s="36"/>
    </row>
    <row r="166" spans="2:22" x14ac:dyDescent="0.25">
      <c r="B166" s="35"/>
      <c r="T166" s="36"/>
      <c r="U166" s="36"/>
      <c r="V166" s="36"/>
    </row>
    <row r="167" spans="2:22" x14ac:dyDescent="0.25">
      <c r="B167" s="35"/>
      <c r="T167" s="36"/>
      <c r="U167" s="36"/>
      <c r="V167" s="36"/>
    </row>
    <row r="168" spans="2:22" x14ac:dyDescent="0.25">
      <c r="B168" s="35"/>
      <c r="T168" s="36"/>
      <c r="U168" s="36"/>
      <c r="V168" s="36"/>
    </row>
    <row r="169" spans="2:22" x14ac:dyDescent="0.25">
      <c r="B169" s="35"/>
      <c r="V169" s="36"/>
    </row>
    <row r="170" spans="2:22" x14ac:dyDescent="0.25">
      <c r="B170" s="35"/>
      <c r="V170" s="36"/>
    </row>
    <row r="171" spans="2:22" x14ac:dyDescent="0.25">
      <c r="B171" s="35"/>
      <c r="V171" s="36"/>
    </row>
    <row r="172" spans="2:22" x14ac:dyDescent="0.25">
      <c r="B172" s="35"/>
      <c r="V172" s="36"/>
    </row>
    <row r="173" spans="2:22" x14ac:dyDescent="0.25">
      <c r="B173" s="35"/>
      <c r="V173" s="36"/>
    </row>
    <row r="174" spans="2:22" x14ac:dyDescent="0.25">
      <c r="B174" s="35"/>
      <c r="V174" s="36"/>
    </row>
    <row r="175" spans="2:22" x14ac:dyDescent="0.25">
      <c r="B175" s="35"/>
    </row>
    <row r="176" spans="2:22" x14ac:dyDescent="0.25">
      <c r="B176" s="35"/>
    </row>
    <row r="177" spans="2:2" x14ac:dyDescent="0.25">
      <c r="B177" s="35"/>
    </row>
    <row r="178" spans="2:2" x14ac:dyDescent="0.25">
      <c r="B178" s="35"/>
    </row>
  </sheetData>
  <sheetProtection algorithmName="SHA-512" hashValue="aD93ipFi8IrpF9lxe6C/GjueYNXZT17GG7hvOXNSs1j2cj6BJnurKUUS5cLTgsRC6xuD8p9HfOcDJBAyrIQ0Xg==" saltValue="s/z4chy32cBm+kHTlDBp5g==" spinCount="100000" sheet="1" objects="1" scenarios="1" formatCells="0" formatColumns="0" formatRows="0" sort="0" autoFilter="0"/>
  <autoFilter ref="A16:X16"/>
  <mergeCells count="7">
    <mergeCell ref="D7:F7"/>
    <mergeCell ref="D1:F1"/>
    <mergeCell ref="D2:F2"/>
    <mergeCell ref="D3:F3"/>
    <mergeCell ref="D4:F4"/>
    <mergeCell ref="D5:F5"/>
    <mergeCell ref="D6:F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sheetPr>
  <dimension ref="A2:D94"/>
  <sheetViews>
    <sheetView workbookViewId="0">
      <selection activeCell="H31" sqref="H31"/>
    </sheetView>
  </sheetViews>
  <sheetFormatPr defaultColWidth="9" defaultRowHeight="15" x14ac:dyDescent="0.25"/>
  <cols>
    <col min="1" max="1" width="36.75" style="235" customWidth="1"/>
    <col min="2" max="2" width="34.25" style="235" customWidth="1"/>
    <col min="3" max="3" width="50.25" style="235" customWidth="1"/>
    <col min="4" max="4" width="13.125" style="235" customWidth="1"/>
    <col min="5" max="16384" width="9" style="235"/>
  </cols>
  <sheetData>
    <row r="2" spans="1:4" ht="30" x14ac:dyDescent="0.25">
      <c r="A2" s="239" t="s">
        <v>2048</v>
      </c>
    </row>
    <row r="3" spans="1:4" ht="108" customHeight="1" thickBot="1" x14ac:dyDescent="0.3">
      <c r="A3" s="240"/>
      <c r="B3" s="240" t="s">
        <v>2049</v>
      </c>
      <c r="C3" s="240" t="s">
        <v>2050</v>
      </c>
    </row>
    <row r="4" spans="1:4" s="237" customFormat="1" x14ac:dyDescent="0.25">
      <c r="A4" s="328" t="s">
        <v>2047</v>
      </c>
      <c r="B4" s="329" t="s">
        <v>2046</v>
      </c>
      <c r="C4" s="330" t="s">
        <v>2045</v>
      </c>
      <c r="D4" s="238"/>
    </row>
    <row r="5" spans="1:4" s="236" customFormat="1" ht="45" x14ac:dyDescent="0.25">
      <c r="A5" s="331" t="str">
        <f>'Summary by Intervention'!C17</f>
        <v>Comprehensive prevention programs for sex workers and their clients - HIV testing services for sex workers</v>
      </c>
      <c r="B5" s="333" t="s">
        <v>2044</v>
      </c>
      <c r="C5" s="334" t="s">
        <v>2044</v>
      </c>
    </row>
    <row r="6" spans="1:4" ht="60" x14ac:dyDescent="0.25">
      <c r="A6" s="331" t="str">
        <f>'Summary by Intervention'!C18</f>
        <v>Comprehensive prevention programs for sex workers and their clients - Other intervention(s) for sex workers and their clients</v>
      </c>
      <c r="B6" s="335"/>
      <c r="C6" s="336"/>
    </row>
    <row r="7" spans="1:4" ht="45" x14ac:dyDescent="0.25">
      <c r="A7" s="331" t="str">
        <f>'Summary by Intervention'!C19</f>
        <v>Comprehensive prevention programs for sex workers and their clients - Behavioral interventions for sex workers</v>
      </c>
      <c r="B7" s="335"/>
      <c r="C7" s="336"/>
    </row>
    <row r="8" spans="1:4" x14ac:dyDescent="0.25">
      <c r="A8" s="331" t="str">
        <f>'Summary by Intervention'!C20</f>
        <v>Treatment, care and support - HIV care</v>
      </c>
      <c r="B8" s="335"/>
      <c r="C8" s="336"/>
    </row>
    <row r="9" spans="1:4" ht="30" x14ac:dyDescent="0.25">
      <c r="A9" s="331" t="str">
        <f>'Summary by Intervention'!C21</f>
        <v>Treatment, care and support - Differentiated ART service delivery</v>
      </c>
      <c r="B9" s="335"/>
      <c r="C9" s="336"/>
    </row>
    <row r="10" spans="1:4" ht="45" x14ac:dyDescent="0.25">
      <c r="A10" s="331" t="str">
        <f>'Summary by Intervention'!C22</f>
        <v>Treatment, care and support - Prevention, diagnosis and treatment of opportunistic infections</v>
      </c>
      <c r="B10" s="335"/>
      <c r="C10" s="336"/>
    </row>
    <row r="11" spans="1:4" ht="30" x14ac:dyDescent="0.25">
      <c r="A11" s="331" t="str">
        <f>'Summary by Intervention'!C23</f>
        <v>Treatment, care and support - Counseling and psycho-social support</v>
      </c>
      <c r="B11" s="335"/>
      <c r="C11" s="336"/>
    </row>
    <row r="12" spans="1:4" ht="30" x14ac:dyDescent="0.25">
      <c r="A12" s="331" t="str">
        <f>'Summary by Intervention'!C24</f>
        <v>Treatment, care and support - Other intervention(s) for treatment</v>
      </c>
      <c r="B12" s="335"/>
      <c r="C12" s="336"/>
    </row>
    <row r="13" spans="1:4" x14ac:dyDescent="0.25">
      <c r="A13" s="331" t="str">
        <f>'Summary by Intervention'!C25</f>
        <v>TB/HIV - Key populations (TB/HIV) - Others</v>
      </c>
      <c r="B13" s="335"/>
      <c r="C13" s="336"/>
    </row>
    <row r="14" spans="1:4" ht="45" x14ac:dyDescent="0.25">
      <c r="A14" s="331" t="str">
        <f>'Summary by Intervention'!C26</f>
        <v>Program management - Policy, planning, coordination and management of national disease control programs</v>
      </c>
      <c r="B14" s="335"/>
      <c r="C14" s="336"/>
    </row>
    <row r="15" spans="1:4" x14ac:dyDescent="0.25">
      <c r="A15" s="331" t="str">
        <f>'Summary by Intervention'!C27</f>
        <v>Program management - Grant management</v>
      </c>
      <c r="B15" s="335"/>
      <c r="C15" s="336"/>
    </row>
    <row r="16" spans="1:4" ht="30" x14ac:dyDescent="0.25">
      <c r="A16" s="331" t="str">
        <f>'Summary by Intervention'!C28</f>
        <v>Program management - Other program management intervention(s)</v>
      </c>
      <c r="B16" s="335"/>
      <c r="C16" s="336"/>
    </row>
    <row r="17" spans="1:3" ht="60" x14ac:dyDescent="0.25">
      <c r="A17" s="331" t="str">
        <f>'Summary by Intervention'!C29</f>
        <v>Comprehensive prevention programs for sex workers and their clients - Addressing stigma, discrimination and violence against sex workers</v>
      </c>
      <c r="B17" s="335"/>
      <c r="C17" s="336"/>
    </row>
    <row r="18" spans="1:3" ht="60" x14ac:dyDescent="0.25">
      <c r="A18" s="331" t="str">
        <f>'Summary by Intervention'!C30</f>
        <v>Comprehensive prevention programs for sex workers and their clients - Prevention and management of coinfections and co-morbidities for sex workers</v>
      </c>
      <c r="B18" s="335"/>
      <c r="C18" s="336"/>
    </row>
    <row r="19" spans="1:3" ht="30" x14ac:dyDescent="0.25">
      <c r="A19" s="331" t="str">
        <f>'Summary by Intervention'!C31</f>
        <v>HIV Testing Services - Differentiated HIV testing services</v>
      </c>
      <c r="B19" s="335"/>
      <c r="C19" s="336"/>
    </row>
    <row r="20" spans="1:3" ht="30" x14ac:dyDescent="0.25">
      <c r="A20" s="331" t="str">
        <f>'Summary by Intervention'!C32</f>
        <v>Treatment, care and support - Treatment monitoring - Viral load</v>
      </c>
      <c r="B20" s="335"/>
      <c r="C20" s="336"/>
    </row>
    <row r="21" spans="1:3" ht="30" x14ac:dyDescent="0.25">
      <c r="A21" s="331" t="str">
        <f>'Summary by Intervention'!C33</f>
        <v>Comprehensive prevention programs for MSM - Behavioral interventions for MSM</v>
      </c>
      <c r="B21" s="335"/>
      <c r="C21" s="336"/>
    </row>
    <row r="22" spans="1:3" ht="30" x14ac:dyDescent="0.25">
      <c r="A22" s="331" t="str">
        <f>'Summary by Intervention'!C34</f>
        <v>Comprehensive prevention programs for MSM - HIV testing services for MSM</v>
      </c>
      <c r="B22" s="335"/>
      <c r="C22" s="336"/>
    </row>
    <row r="23" spans="1:3" ht="45" x14ac:dyDescent="0.25">
      <c r="A23" s="331" t="str">
        <f>'Summary by Intervention'!C35</f>
        <v>Comprehensive prevention programs for MSM - Diagnosis and treatment of STIs and other sexual health services for MSM</v>
      </c>
      <c r="B23" s="335"/>
      <c r="C23" s="336"/>
    </row>
    <row r="24" spans="1:3" ht="30" x14ac:dyDescent="0.25">
      <c r="A24" s="331" t="str">
        <f>'Summary by Intervention'!C36</f>
        <v>Comprehensive prevention programs for MSM - Other intervention(s) for MSM</v>
      </c>
      <c r="B24" s="335"/>
      <c r="C24" s="336"/>
    </row>
    <row r="25" spans="1:3" x14ac:dyDescent="0.25">
      <c r="A25" s="331" t="str">
        <f>'Summary by Intervention'!C37</f>
        <v/>
      </c>
      <c r="B25" s="335"/>
      <c r="C25" s="336"/>
    </row>
    <row r="26" spans="1:3" x14ac:dyDescent="0.25">
      <c r="A26" s="331" t="str">
        <f>'Summary by Intervention'!C38</f>
        <v/>
      </c>
      <c r="B26" s="335"/>
      <c r="C26" s="336"/>
    </row>
    <row r="27" spans="1:3" x14ac:dyDescent="0.25">
      <c r="A27" s="331" t="str">
        <f>'Summary by Intervention'!C39</f>
        <v/>
      </c>
      <c r="B27" s="335"/>
      <c r="C27" s="336"/>
    </row>
    <row r="28" spans="1:3" x14ac:dyDescent="0.25">
      <c r="A28" s="331" t="str">
        <f>'Summary by Intervention'!C40</f>
        <v/>
      </c>
      <c r="B28" s="335"/>
      <c r="C28" s="336"/>
    </row>
    <row r="29" spans="1:3" x14ac:dyDescent="0.25">
      <c r="A29" s="331" t="str">
        <f>'Summary by Intervention'!C41</f>
        <v/>
      </c>
      <c r="B29" s="335"/>
      <c r="C29" s="336"/>
    </row>
    <row r="30" spans="1:3" x14ac:dyDescent="0.25">
      <c r="A30" s="331" t="str">
        <f>'Summary by Intervention'!C42</f>
        <v/>
      </c>
      <c r="B30" s="335"/>
      <c r="C30" s="336"/>
    </row>
    <row r="31" spans="1:3" x14ac:dyDescent="0.25">
      <c r="A31" s="331" t="str">
        <f>'Summary by Intervention'!C43</f>
        <v/>
      </c>
      <c r="B31" s="335"/>
      <c r="C31" s="336"/>
    </row>
    <row r="32" spans="1:3" x14ac:dyDescent="0.25">
      <c r="A32" s="331" t="str">
        <f>'Summary by Intervention'!C44</f>
        <v/>
      </c>
      <c r="B32" s="335"/>
      <c r="C32" s="336"/>
    </row>
    <row r="33" spans="1:3" x14ac:dyDescent="0.25">
      <c r="A33" s="331" t="str">
        <f>'Summary by Intervention'!C45</f>
        <v/>
      </c>
      <c r="B33" s="335"/>
      <c r="C33" s="336"/>
    </row>
    <row r="34" spans="1:3" x14ac:dyDescent="0.25">
      <c r="A34" s="331" t="str">
        <f>'Summary by Intervention'!C46</f>
        <v/>
      </c>
      <c r="B34" s="335"/>
      <c r="C34" s="336"/>
    </row>
    <row r="35" spans="1:3" x14ac:dyDescent="0.25">
      <c r="A35" s="331" t="str">
        <f>'Summary by Intervention'!C47</f>
        <v/>
      </c>
      <c r="B35" s="335"/>
      <c r="C35" s="336"/>
    </row>
    <row r="36" spans="1:3" x14ac:dyDescent="0.25">
      <c r="A36" s="331" t="str">
        <f>'Summary by Intervention'!C48</f>
        <v/>
      </c>
      <c r="B36" s="335"/>
      <c r="C36" s="336"/>
    </row>
    <row r="37" spans="1:3" x14ac:dyDescent="0.25">
      <c r="A37" s="331" t="str">
        <f>'Summary by Intervention'!C49</f>
        <v/>
      </c>
      <c r="B37" s="335"/>
      <c r="C37" s="336"/>
    </row>
    <row r="38" spans="1:3" x14ac:dyDescent="0.25">
      <c r="A38" s="331" t="str">
        <f>'Summary by Intervention'!C50</f>
        <v/>
      </c>
      <c r="B38" s="335"/>
      <c r="C38" s="336"/>
    </row>
    <row r="39" spans="1:3" x14ac:dyDescent="0.25">
      <c r="A39" s="331" t="str">
        <f>'Summary by Intervention'!C51</f>
        <v/>
      </c>
      <c r="B39" s="335"/>
      <c r="C39" s="336"/>
    </row>
    <row r="40" spans="1:3" x14ac:dyDescent="0.25">
      <c r="A40" s="331" t="str">
        <f>'Summary by Intervention'!C52</f>
        <v/>
      </c>
      <c r="B40" s="335"/>
      <c r="C40" s="336"/>
    </row>
    <row r="41" spans="1:3" x14ac:dyDescent="0.25">
      <c r="A41" s="331" t="str">
        <f>'Summary by Intervention'!C53</f>
        <v/>
      </c>
      <c r="B41" s="335"/>
      <c r="C41" s="336"/>
    </row>
    <row r="42" spans="1:3" x14ac:dyDescent="0.25">
      <c r="A42" s="331" t="str">
        <f>'Summary by Intervention'!C54</f>
        <v/>
      </c>
      <c r="B42" s="335"/>
      <c r="C42" s="336"/>
    </row>
    <row r="43" spans="1:3" x14ac:dyDescent="0.25">
      <c r="A43" s="331" t="str">
        <f>'Summary by Intervention'!C55</f>
        <v/>
      </c>
      <c r="B43" s="335"/>
      <c r="C43" s="336"/>
    </row>
    <row r="44" spans="1:3" x14ac:dyDescent="0.25">
      <c r="A44" s="331" t="str">
        <f>'Summary by Intervention'!C56</f>
        <v/>
      </c>
      <c r="B44" s="335"/>
      <c r="C44" s="336"/>
    </row>
    <row r="45" spans="1:3" x14ac:dyDescent="0.25">
      <c r="A45" s="331" t="str">
        <f>'Summary by Intervention'!C57</f>
        <v/>
      </c>
      <c r="B45" s="335"/>
      <c r="C45" s="336"/>
    </row>
    <row r="46" spans="1:3" x14ac:dyDescent="0.25">
      <c r="A46" s="331" t="str">
        <f>'Summary by Intervention'!C58</f>
        <v/>
      </c>
      <c r="B46" s="335"/>
      <c r="C46" s="336"/>
    </row>
    <row r="47" spans="1:3" x14ac:dyDescent="0.25">
      <c r="A47" s="331" t="str">
        <f>'Summary by Intervention'!C59</f>
        <v/>
      </c>
      <c r="B47" s="335"/>
      <c r="C47" s="336"/>
    </row>
    <row r="48" spans="1:3" x14ac:dyDescent="0.25">
      <c r="A48" s="331" t="str">
        <f>'Summary by Intervention'!C60</f>
        <v/>
      </c>
      <c r="B48" s="335"/>
      <c r="C48" s="336"/>
    </row>
    <row r="49" spans="1:3" x14ac:dyDescent="0.25">
      <c r="A49" s="331" t="str">
        <f>'Summary by Intervention'!C61</f>
        <v/>
      </c>
      <c r="B49" s="335"/>
      <c r="C49" s="336"/>
    </row>
    <row r="50" spans="1:3" x14ac:dyDescent="0.25">
      <c r="A50" s="331" t="str">
        <f>'Summary by Intervention'!C62</f>
        <v/>
      </c>
      <c r="B50" s="335"/>
      <c r="C50" s="336"/>
    </row>
    <row r="51" spans="1:3" x14ac:dyDescent="0.25">
      <c r="A51" s="331" t="str">
        <f>'Summary by Intervention'!C63</f>
        <v/>
      </c>
      <c r="B51" s="335"/>
      <c r="C51" s="336"/>
    </row>
    <row r="52" spans="1:3" x14ac:dyDescent="0.25">
      <c r="A52" s="331" t="str">
        <f>'Summary by Intervention'!C64</f>
        <v/>
      </c>
      <c r="B52" s="335"/>
      <c r="C52" s="336"/>
    </row>
    <row r="53" spans="1:3" x14ac:dyDescent="0.25">
      <c r="A53" s="331" t="str">
        <f>'Summary by Intervention'!C65</f>
        <v/>
      </c>
      <c r="B53" s="335"/>
      <c r="C53" s="336"/>
    </row>
    <row r="54" spans="1:3" x14ac:dyDescent="0.25">
      <c r="A54" s="331" t="str">
        <f>'Summary by Intervention'!C66</f>
        <v/>
      </c>
      <c r="B54" s="335"/>
      <c r="C54" s="336"/>
    </row>
    <row r="55" spans="1:3" x14ac:dyDescent="0.25">
      <c r="A55" s="331" t="str">
        <f>'Summary by Intervention'!C67</f>
        <v/>
      </c>
      <c r="B55" s="335"/>
      <c r="C55" s="336"/>
    </row>
    <row r="56" spans="1:3" x14ac:dyDescent="0.25">
      <c r="A56" s="331" t="str">
        <f>'Summary by Intervention'!C68</f>
        <v/>
      </c>
      <c r="B56" s="335"/>
      <c r="C56" s="336"/>
    </row>
    <row r="57" spans="1:3" x14ac:dyDescent="0.25">
      <c r="A57" s="331" t="str">
        <f>'Summary by Intervention'!C69</f>
        <v/>
      </c>
      <c r="B57" s="335"/>
      <c r="C57" s="336"/>
    </row>
    <row r="58" spans="1:3" x14ac:dyDescent="0.25">
      <c r="A58" s="331" t="str">
        <f>'Summary by Intervention'!C70</f>
        <v/>
      </c>
      <c r="B58" s="335"/>
      <c r="C58" s="336"/>
    </row>
    <row r="59" spans="1:3" x14ac:dyDescent="0.25">
      <c r="A59" s="331" t="str">
        <f>'Summary by Intervention'!C71</f>
        <v/>
      </c>
      <c r="B59" s="335"/>
      <c r="C59" s="336"/>
    </row>
    <row r="60" spans="1:3" x14ac:dyDescent="0.25">
      <c r="A60" s="331" t="str">
        <f>'Summary by Intervention'!C72</f>
        <v/>
      </c>
      <c r="B60" s="335"/>
      <c r="C60" s="336"/>
    </row>
    <row r="61" spans="1:3" x14ac:dyDescent="0.25">
      <c r="A61" s="331" t="str">
        <f>'Summary by Intervention'!C73</f>
        <v/>
      </c>
      <c r="B61" s="335"/>
      <c r="C61" s="336"/>
    </row>
    <row r="62" spans="1:3" x14ac:dyDescent="0.25">
      <c r="A62" s="331" t="str">
        <f>'Summary by Intervention'!C74</f>
        <v/>
      </c>
      <c r="B62" s="335"/>
      <c r="C62" s="336"/>
    </row>
    <row r="63" spans="1:3" x14ac:dyDescent="0.25">
      <c r="A63" s="331" t="str">
        <f>'Summary by Intervention'!C75</f>
        <v/>
      </c>
      <c r="B63" s="335"/>
      <c r="C63" s="336"/>
    </row>
    <row r="64" spans="1:3" x14ac:dyDescent="0.25">
      <c r="A64" s="331" t="str">
        <f>'Summary by Intervention'!C76</f>
        <v/>
      </c>
      <c r="B64" s="335"/>
      <c r="C64" s="336"/>
    </row>
    <row r="65" spans="1:3" x14ac:dyDescent="0.25">
      <c r="A65" s="331" t="str">
        <f>'Summary by Intervention'!C77</f>
        <v/>
      </c>
      <c r="B65" s="335"/>
      <c r="C65" s="336"/>
    </row>
    <row r="66" spans="1:3" x14ac:dyDescent="0.25">
      <c r="A66" s="331" t="str">
        <f>'Summary by Intervention'!C78</f>
        <v/>
      </c>
      <c r="B66" s="335"/>
      <c r="C66" s="336"/>
    </row>
    <row r="67" spans="1:3" x14ac:dyDescent="0.25">
      <c r="A67" s="331" t="str">
        <f>'Summary by Intervention'!C79</f>
        <v/>
      </c>
      <c r="B67" s="335"/>
      <c r="C67" s="336"/>
    </row>
    <row r="68" spans="1:3" x14ac:dyDescent="0.25">
      <c r="A68" s="331" t="str">
        <f>'Summary by Intervention'!C80</f>
        <v/>
      </c>
      <c r="B68" s="335"/>
      <c r="C68" s="336"/>
    </row>
    <row r="69" spans="1:3" x14ac:dyDescent="0.25">
      <c r="A69" s="331" t="str">
        <f>'Summary by Intervention'!C81</f>
        <v/>
      </c>
      <c r="B69" s="335"/>
      <c r="C69" s="336"/>
    </row>
    <row r="70" spans="1:3" x14ac:dyDescent="0.25">
      <c r="A70" s="331" t="str">
        <f>'Summary by Intervention'!C82</f>
        <v/>
      </c>
      <c r="B70" s="335"/>
      <c r="C70" s="336"/>
    </row>
    <row r="71" spans="1:3" x14ac:dyDescent="0.25">
      <c r="A71" s="331" t="str">
        <f>'Summary by Intervention'!C83</f>
        <v/>
      </c>
      <c r="B71" s="335"/>
      <c r="C71" s="336"/>
    </row>
    <row r="72" spans="1:3" x14ac:dyDescent="0.25">
      <c r="A72" s="331" t="str">
        <f>'Summary by Intervention'!C84</f>
        <v/>
      </c>
      <c r="B72" s="335"/>
      <c r="C72" s="336"/>
    </row>
    <row r="73" spans="1:3" x14ac:dyDescent="0.25">
      <c r="A73" s="331" t="str">
        <f>'Summary by Intervention'!C85</f>
        <v/>
      </c>
      <c r="B73" s="335"/>
      <c r="C73" s="336"/>
    </row>
    <row r="74" spans="1:3" x14ac:dyDescent="0.25">
      <c r="A74" s="331" t="str">
        <f>'Summary by Intervention'!C86</f>
        <v/>
      </c>
      <c r="B74" s="335"/>
      <c r="C74" s="336"/>
    </row>
    <row r="75" spans="1:3" x14ac:dyDescent="0.25">
      <c r="A75" s="331" t="str">
        <f>'Summary by Intervention'!C87</f>
        <v/>
      </c>
      <c r="B75" s="335"/>
      <c r="C75" s="336"/>
    </row>
    <row r="76" spans="1:3" x14ac:dyDescent="0.25">
      <c r="A76" s="331" t="str">
        <f>'Summary by Intervention'!C88</f>
        <v/>
      </c>
      <c r="B76" s="335"/>
      <c r="C76" s="336"/>
    </row>
    <row r="77" spans="1:3" x14ac:dyDescent="0.25">
      <c r="A77" s="331" t="str">
        <f>'Summary by Intervention'!C89</f>
        <v/>
      </c>
      <c r="B77" s="335"/>
      <c r="C77" s="336"/>
    </row>
    <row r="78" spans="1:3" x14ac:dyDescent="0.25">
      <c r="A78" s="331" t="str">
        <f>'Summary by Intervention'!C90</f>
        <v/>
      </c>
      <c r="B78" s="335"/>
      <c r="C78" s="336"/>
    </row>
    <row r="79" spans="1:3" x14ac:dyDescent="0.25">
      <c r="A79" s="331" t="str">
        <f>'Summary by Intervention'!C91</f>
        <v/>
      </c>
      <c r="B79" s="335"/>
      <c r="C79" s="336"/>
    </row>
    <row r="80" spans="1:3" x14ac:dyDescent="0.25">
      <c r="A80" s="331" t="str">
        <f>'Summary by Intervention'!C92</f>
        <v/>
      </c>
      <c r="B80" s="335"/>
      <c r="C80" s="336"/>
    </row>
    <row r="81" spans="1:3" x14ac:dyDescent="0.25">
      <c r="A81" s="331" t="str">
        <f>'Summary by Intervention'!C93</f>
        <v/>
      </c>
      <c r="B81" s="335"/>
      <c r="C81" s="336"/>
    </row>
    <row r="82" spans="1:3" x14ac:dyDescent="0.25">
      <c r="A82" s="331" t="str">
        <f>'Summary by Intervention'!C94</f>
        <v/>
      </c>
      <c r="B82" s="335"/>
      <c r="C82" s="336"/>
    </row>
    <row r="83" spans="1:3" x14ac:dyDescent="0.25">
      <c r="A83" s="331" t="str">
        <f>'Summary by Intervention'!C95</f>
        <v/>
      </c>
      <c r="B83" s="335"/>
      <c r="C83" s="336"/>
    </row>
    <row r="84" spans="1:3" x14ac:dyDescent="0.25">
      <c r="A84" s="331" t="str">
        <f>'Summary by Intervention'!C96</f>
        <v/>
      </c>
      <c r="B84" s="335"/>
      <c r="C84" s="336"/>
    </row>
    <row r="85" spans="1:3" x14ac:dyDescent="0.25">
      <c r="A85" s="331" t="str">
        <f>'Summary by Intervention'!C97</f>
        <v/>
      </c>
      <c r="B85" s="335"/>
      <c r="C85" s="336"/>
    </row>
    <row r="86" spans="1:3" x14ac:dyDescent="0.25">
      <c r="A86" s="331" t="str">
        <f>'Summary by Intervention'!C98</f>
        <v/>
      </c>
      <c r="B86" s="335"/>
      <c r="C86" s="336"/>
    </row>
    <row r="87" spans="1:3" x14ac:dyDescent="0.25">
      <c r="A87" s="331" t="str">
        <f>'Summary by Intervention'!C99</f>
        <v/>
      </c>
      <c r="B87" s="335"/>
      <c r="C87" s="336"/>
    </row>
    <row r="88" spans="1:3" x14ac:dyDescent="0.25">
      <c r="A88" s="331" t="str">
        <f>'Summary by Intervention'!C100</f>
        <v/>
      </c>
      <c r="B88" s="335"/>
      <c r="C88" s="336"/>
    </row>
    <row r="89" spans="1:3" x14ac:dyDescent="0.25">
      <c r="A89" s="331" t="str">
        <f>'Summary by Intervention'!C101</f>
        <v/>
      </c>
      <c r="B89" s="335"/>
      <c r="C89" s="336"/>
    </row>
    <row r="90" spans="1:3" x14ac:dyDescent="0.25">
      <c r="A90" s="331" t="str">
        <f>'Summary by Intervention'!C102</f>
        <v/>
      </c>
      <c r="B90" s="335"/>
      <c r="C90" s="336"/>
    </row>
    <row r="91" spans="1:3" x14ac:dyDescent="0.25">
      <c r="A91" s="331" t="str">
        <f>'Summary by Intervention'!C103</f>
        <v/>
      </c>
      <c r="B91" s="337"/>
      <c r="C91" s="338"/>
    </row>
    <row r="92" spans="1:3" x14ac:dyDescent="0.25">
      <c r="A92" s="331" t="str">
        <f>'Summary by Intervention'!C104</f>
        <v/>
      </c>
      <c r="B92" s="337"/>
      <c r="C92" s="338"/>
    </row>
    <row r="93" spans="1:3" x14ac:dyDescent="0.25">
      <c r="A93" s="331" t="str">
        <f>'Summary by Intervention'!C105</f>
        <v/>
      </c>
      <c r="B93" s="337"/>
      <c r="C93" s="338"/>
    </row>
    <row r="94" spans="1:3" ht="15.75" thickBot="1" x14ac:dyDescent="0.3">
      <c r="A94" s="332" t="str">
        <f>'Summary by Intervention'!C106</f>
        <v/>
      </c>
      <c r="B94" s="339"/>
      <c r="C94" s="340"/>
    </row>
  </sheetData>
  <sheetProtection password="FB8C" sheet="1" objects="1" scenarios="1" formatCells="0" formatColumns="0" formatRows="0" autoFilter="0"/>
  <autoFilter ref="A4:C4"/>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sheetPr>
  <dimension ref="A1:I129"/>
  <sheetViews>
    <sheetView workbookViewId="0">
      <selection activeCell="D7" sqref="D7"/>
    </sheetView>
  </sheetViews>
  <sheetFormatPr defaultColWidth="8.75" defaultRowHeight="15.75" x14ac:dyDescent="0.25"/>
  <cols>
    <col min="1" max="1" width="7.875" style="720" customWidth="1"/>
    <col min="2" max="2" width="24.625" style="720" customWidth="1"/>
    <col min="3" max="3" width="18" style="720" customWidth="1"/>
    <col min="4" max="4" width="10.75" style="720" customWidth="1"/>
    <col min="5" max="5" width="9.875" style="720" customWidth="1"/>
    <col min="6" max="6" width="7.5" style="720" customWidth="1"/>
    <col min="7" max="7" width="9.75" style="720" customWidth="1"/>
    <col min="8" max="8" width="16.125" style="720" customWidth="1"/>
    <col min="9" max="10" width="15.5" style="720" customWidth="1"/>
    <col min="11" max="16384" width="8.75" style="720"/>
  </cols>
  <sheetData>
    <row r="1" spans="1:9" ht="16.5" thickBot="1" x14ac:dyDescent="0.3">
      <c r="C1" s="721"/>
    </row>
    <row r="2" spans="1:9" ht="36.75" thickBot="1" x14ac:dyDescent="0.3">
      <c r="A2" s="416" t="s">
        <v>13</v>
      </c>
      <c r="B2" s="417" t="s">
        <v>16</v>
      </c>
      <c r="C2" s="417" t="s">
        <v>1</v>
      </c>
      <c r="D2" s="417" t="s">
        <v>2764</v>
      </c>
      <c r="E2" s="417" t="s">
        <v>2765</v>
      </c>
      <c r="F2" s="417" t="s">
        <v>2766</v>
      </c>
      <c r="G2" s="417" t="s">
        <v>2767</v>
      </c>
      <c r="H2" s="418" t="s">
        <v>2768</v>
      </c>
    </row>
    <row r="3" spans="1:9" ht="28.9" customHeight="1" x14ac:dyDescent="0.25">
      <c r="A3" s="419">
        <v>6</v>
      </c>
      <c r="B3" s="420" t="s">
        <v>2769</v>
      </c>
      <c r="C3" s="421" t="s">
        <v>2770</v>
      </c>
      <c r="D3" s="422">
        <v>14598000</v>
      </c>
      <c r="E3" s="422">
        <f>D3*3</f>
        <v>43794000</v>
      </c>
      <c r="F3" s="423">
        <v>1</v>
      </c>
      <c r="G3" s="424">
        <v>1</v>
      </c>
      <c r="H3" s="425">
        <f>E3*F3*G3</f>
        <v>43794000</v>
      </c>
      <c r="I3" s="588"/>
    </row>
    <row r="4" spans="1:9" x14ac:dyDescent="0.25">
      <c r="A4" s="426"/>
      <c r="B4" s="427"/>
      <c r="C4" s="428" t="s">
        <v>2771</v>
      </c>
      <c r="D4" s="429">
        <v>11354000</v>
      </c>
      <c r="E4" s="429">
        <f>D4*3</f>
        <v>34062000</v>
      </c>
      <c r="F4" s="430">
        <v>1</v>
      </c>
      <c r="G4" s="431">
        <v>1</v>
      </c>
      <c r="H4" s="432">
        <f>E4*F4*G4</f>
        <v>34062000</v>
      </c>
      <c r="I4" s="588"/>
    </row>
    <row r="5" spans="1:9" x14ac:dyDescent="0.25">
      <c r="A5" s="426"/>
      <c r="B5" s="427"/>
      <c r="C5" s="428" t="s">
        <v>2772</v>
      </c>
      <c r="D5" s="429">
        <v>6488000</v>
      </c>
      <c r="E5" s="429">
        <f>D5*3</f>
        <v>19464000</v>
      </c>
      <c r="F5" s="430">
        <v>1</v>
      </c>
      <c r="G5" s="431">
        <v>1</v>
      </c>
      <c r="H5" s="432">
        <f>E5*F5*G5</f>
        <v>19464000</v>
      </c>
      <c r="I5" s="588"/>
    </row>
    <row r="6" spans="1:9" x14ac:dyDescent="0.25">
      <c r="A6" s="426"/>
      <c r="B6" s="427"/>
      <c r="C6" s="428" t="s">
        <v>2773</v>
      </c>
      <c r="D6" s="429">
        <v>2595000</v>
      </c>
      <c r="E6" s="429">
        <f>D6*3</f>
        <v>7785000</v>
      </c>
      <c r="F6" s="430">
        <v>1</v>
      </c>
      <c r="G6" s="431">
        <v>2</v>
      </c>
      <c r="H6" s="432">
        <f>E6*F6*G6</f>
        <v>15570000</v>
      </c>
      <c r="I6" s="588"/>
    </row>
    <row r="7" spans="1:9" x14ac:dyDescent="0.25">
      <c r="A7" s="426"/>
      <c r="B7" s="427"/>
      <c r="C7" s="428" t="s">
        <v>2774</v>
      </c>
      <c r="D7" s="429">
        <v>2595000</v>
      </c>
      <c r="E7" s="429">
        <f>D7*3</f>
        <v>7785000</v>
      </c>
      <c r="F7" s="430">
        <v>1</v>
      </c>
      <c r="G7" s="431">
        <v>1</v>
      </c>
      <c r="H7" s="432">
        <f>E7*F7*G7</f>
        <v>7785000</v>
      </c>
      <c r="I7" s="588"/>
    </row>
    <row r="8" spans="1:9" x14ac:dyDescent="0.25">
      <c r="A8" s="433"/>
      <c r="B8" s="434"/>
      <c r="C8" s="434"/>
      <c r="D8" s="434"/>
      <c r="E8" s="434"/>
      <c r="F8" s="434"/>
      <c r="G8" s="434"/>
      <c r="H8" s="435"/>
    </row>
    <row r="9" spans="1:9" x14ac:dyDescent="0.25">
      <c r="A9" s="436"/>
      <c r="B9" s="437"/>
      <c r="C9" s="438" t="s">
        <v>2775</v>
      </c>
      <c r="D9" s="439"/>
      <c r="E9" s="439"/>
      <c r="F9" s="430"/>
      <c r="G9" s="440">
        <f>SUM(G3:G8)</f>
        <v>6</v>
      </c>
      <c r="H9" s="441">
        <f>SUM(H3:H8)</f>
        <v>120675000</v>
      </c>
    </row>
    <row r="10" spans="1:9" x14ac:dyDescent="0.25">
      <c r="A10" s="436"/>
      <c r="B10" s="437"/>
      <c r="C10" s="438"/>
      <c r="D10" s="439"/>
      <c r="E10" s="439"/>
      <c r="F10" s="430"/>
      <c r="G10" s="440"/>
      <c r="H10" s="432"/>
    </row>
    <row r="11" spans="1:9" x14ac:dyDescent="0.25">
      <c r="A11" s="436"/>
      <c r="B11" s="437"/>
      <c r="C11" s="713" t="s">
        <v>2776</v>
      </c>
      <c r="D11" s="714"/>
      <c r="E11" s="714"/>
      <c r="F11" s="715"/>
      <c r="G11" s="716"/>
      <c r="H11" s="717">
        <f>H9/G9</f>
        <v>20112500</v>
      </c>
    </row>
    <row r="12" spans="1:9" ht="16.5" thickBot="1" x14ac:dyDescent="0.3">
      <c r="A12" s="442"/>
      <c r="B12" s="443"/>
      <c r="C12" s="444"/>
      <c r="D12" s="445"/>
      <c r="E12" s="445"/>
      <c r="F12" s="446"/>
      <c r="G12" s="447"/>
      <c r="H12" s="448"/>
    </row>
    <row r="13" spans="1:9" ht="16.5" thickBot="1" x14ac:dyDescent="0.3">
      <c r="A13" s="449"/>
      <c r="B13" s="449"/>
      <c r="C13" s="449"/>
      <c r="D13" s="449"/>
      <c r="E13" s="449"/>
      <c r="F13" s="449"/>
      <c r="G13" s="449"/>
      <c r="H13" s="449"/>
    </row>
    <row r="14" spans="1:9" ht="26.45" customHeight="1" x14ac:dyDescent="0.25">
      <c r="A14" s="450">
        <v>7</v>
      </c>
      <c r="B14" s="451" t="s">
        <v>2777</v>
      </c>
      <c r="C14" s="421" t="s">
        <v>2778</v>
      </c>
      <c r="D14" s="422">
        <v>1288300</v>
      </c>
      <c r="E14" s="422">
        <f>D14*3</f>
        <v>3864900</v>
      </c>
      <c r="F14" s="423">
        <v>1</v>
      </c>
      <c r="G14" s="424">
        <v>8</v>
      </c>
      <c r="H14" s="425">
        <f>E14*F14*G14</f>
        <v>30919200</v>
      </c>
    </row>
    <row r="15" spans="1:9" x14ac:dyDescent="0.25">
      <c r="A15" s="433"/>
      <c r="B15" s="434"/>
      <c r="C15" s="434"/>
      <c r="D15" s="434"/>
      <c r="E15" s="434"/>
      <c r="F15" s="434"/>
      <c r="G15" s="434"/>
      <c r="H15" s="435"/>
    </row>
    <row r="16" spans="1:9" x14ac:dyDescent="0.25">
      <c r="A16" s="436"/>
      <c r="B16" s="437"/>
      <c r="C16" s="438" t="s">
        <v>2775</v>
      </c>
      <c r="D16" s="439"/>
      <c r="E16" s="439"/>
      <c r="F16" s="430"/>
      <c r="G16" s="440">
        <v>8</v>
      </c>
      <c r="H16" s="441">
        <f>SUM(H14:H15)</f>
        <v>30919200</v>
      </c>
    </row>
    <row r="17" spans="1:9" x14ac:dyDescent="0.25">
      <c r="A17" s="436"/>
      <c r="B17" s="437"/>
      <c r="C17" s="438"/>
      <c r="D17" s="439"/>
      <c r="E17" s="439"/>
      <c r="F17" s="430"/>
      <c r="G17" s="440"/>
      <c r="H17" s="432"/>
    </row>
    <row r="18" spans="1:9" x14ac:dyDescent="0.25">
      <c r="A18" s="436"/>
      <c r="B18" s="437"/>
      <c r="C18" s="713" t="s">
        <v>2776</v>
      </c>
      <c r="D18" s="714"/>
      <c r="E18" s="714"/>
      <c r="F18" s="715"/>
      <c r="G18" s="716"/>
      <c r="H18" s="717">
        <f>H16/G16</f>
        <v>3864900</v>
      </c>
    </row>
    <row r="19" spans="1:9" ht="16.5" thickBot="1" x14ac:dyDescent="0.3">
      <c r="A19" s="452"/>
      <c r="B19" s="453"/>
      <c r="C19" s="453"/>
      <c r="D19" s="453"/>
      <c r="E19" s="453"/>
      <c r="F19" s="453"/>
      <c r="G19" s="453"/>
      <c r="H19" s="454"/>
    </row>
    <row r="20" spans="1:9" ht="16.5" thickBot="1" x14ac:dyDescent="0.3">
      <c r="A20" s="449"/>
      <c r="B20" s="449"/>
      <c r="C20" s="449"/>
      <c r="D20" s="449"/>
      <c r="E20" s="449"/>
      <c r="F20" s="449"/>
      <c r="G20" s="449"/>
      <c r="H20" s="449"/>
    </row>
    <row r="21" spans="1:9" x14ac:dyDescent="0.25">
      <c r="A21" s="419">
        <v>8</v>
      </c>
      <c r="B21" s="455" t="s">
        <v>2779</v>
      </c>
      <c r="C21" s="456" t="s">
        <v>2780</v>
      </c>
      <c r="D21" s="422">
        <v>649000</v>
      </c>
      <c r="E21" s="422">
        <f>D21*3</f>
        <v>1947000</v>
      </c>
      <c r="F21" s="423">
        <v>1</v>
      </c>
      <c r="G21" s="424">
        <v>15</v>
      </c>
      <c r="H21" s="425">
        <f>E21*F21*G21</f>
        <v>29205000</v>
      </c>
    </row>
    <row r="22" spans="1:9" x14ac:dyDescent="0.25">
      <c r="A22" s="433"/>
      <c r="B22" s="434"/>
      <c r="C22" s="434"/>
      <c r="D22" s="434"/>
      <c r="E22" s="434"/>
      <c r="F22" s="434"/>
      <c r="G22" s="434"/>
      <c r="H22" s="435"/>
    </row>
    <row r="23" spans="1:9" x14ac:dyDescent="0.25">
      <c r="A23" s="436"/>
      <c r="B23" s="437"/>
      <c r="C23" s="438" t="s">
        <v>2775</v>
      </c>
      <c r="D23" s="439"/>
      <c r="E23" s="439"/>
      <c r="F23" s="430"/>
      <c r="G23" s="440">
        <f>SUM(G18:G22)</f>
        <v>15</v>
      </c>
      <c r="H23" s="441">
        <f>SUM(H21:H22)</f>
        <v>29205000</v>
      </c>
    </row>
    <row r="24" spans="1:9" x14ac:dyDescent="0.25">
      <c r="A24" s="436"/>
      <c r="B24" s="437"/>
      <c r="C24" s="438"/>
      <c r="D24" s="439"/>
      <c r="E24" s="439"/>
      <c r="F24" s="430"/>
      <c r="G24" s="440"/>
      <c r="H24" s="432"/>
    </row>
    <row r="25" spans="1:9" x14ac:dyDescent="0.25">
      <c r="A25" s="436"/>
      <c r="B25" s="437"/>
      <c r="C25" s="713" t="s">
        <v>2776</v>
      </c>
      <c r="D25" s="714"/>
      <c r="E25" s="714"/>
      <c r="F25" s="715"/>
      <c r="G25" s="716"/>
      <c r="H25" s="717">
        <f>H23/G23</f>
        <v>1947000</v>
      </c>
    </row>
    <row r="26" spans="1:9" ht="16.5" thickBot="1" x14ac:dyDescent="0.3">
      <c r="A26" s="452"/>
      <c r="B26" s="453"/>
      <c r="C26" s="453"/>
      <c r="D26" s="453"/>
      <c r="E26" s="453"/>
      <c r="F26" s="453"/>
      <c r="G26" s="453"/>
      <c r="H26" s="454"/>
    </row>
    <row r="27" spans="1:9" x14ac:dyDescent="0.25">
      <c r="A27" s="434"/>
      <c r="B27" s="434"/>
      <c r="C27" s="434"/>
      <c r="D27" s="434"/>
      <c r="E27" s="434"/>
      <c r="F27" s="434"/>
      <c r="G27" s="434"/>
      <c r="H27" s="434"/>
    </row>
    <row r="28" spans="1:9" ht="16.5" thickBot="1" x14ac:dyDescent="0.3">
      <c r="A28" s="587"/>
      <c r="B28" s="588"/>
      <c r="C28" s="589"/>
      <c r="D28" s="588"/>
      <c r="E28" s="588"/>
      <c r="F28" s="722"/>
      <c r="G28" s="434"/>
      <c r="H28" s="434"/>
      <c r="I28" s="434"/>
    </row>
    <row r="29" spans="1:9" ht="16.5" hidden="1" thickBot="1" x14ac:dyDescent="0.3">
      <c r="A29" s="723"/>
      <c r="B29" s="724"/>
      <c r="C29" s="587"/>
      <c r="D29" s="429">
        <v>8181.4654</v>
      </c>
      <c r="E29" s="589"/>
      <c r="F29" s="588"/>
      <c r="G29" s="588"/>
      <c r="H29" s="722"/>
    </row>
    <row r="30" spans="1:9" ht="36.75" thickBot="1" x14ac:dyDescent="0.3">
      <c r="A30" s="709" t="s">
        <v>13</v>
      </c>
      <c r="B30" s="710" t="s">
        <v>16</v>
      </c>
      <c r="C30" s="710" t="s">
        <v>1</v>
      </c>
      <c r="D30" s="710" t="s">
        <v>2765</v>
      </c>
      <c r="E30" s="710" t="s">
        <v>3125</v>
      </c>
      <c r="F30" s="710" t="s">
        <v>2767</v>
      </c>
      <c r="G30" s="710"/>
      <c r="H30" s="711" t="s">
        <v>3126</v>
      </c>
    </row>
    <row r="31" spans="1:9" x14ac:dyDescent="0.25">
      <c r="A31" s="725">
        <v>110</v>
      </c>
      <c r="B31" s="451" t="s">
        <v>2675</v>
      </c>
      <c r="C31" s="719" t="s">
        <v>3127</v>
      </c>
      <c r="D31" s="585">
        <f>4000*D29*3</f>
        <v>98177584.800000012</v>
      </c>
      <c r="E31" s="712">
        <v>0.3</v>
      </c>
      <c r="F31" s="585">
        <v>1</v>
      </c>
      <c r="G31" s="585">
        <f>E31*F31</f>
        <v>0.3</v>
      </c>
      <c r="H31" s="586">
        <f t="shared" ref="H31:H39" si="0">D31*E31*F31</f>
        <v>29453275.440000001</v>
      </c>
    </row>
    <row r="32" spans="1:9" x14ac:dyDescent="0.25">
      <c r="A32" s="726"/>
      <c r="B32" s="724"/>
      <c r="C32" s="827" t="s">
        <v>3128</v>
      </c>
      <c r="D32" s="828">
        <f>3750*D29*3</f>
        <v>92041485.75</v>
      </c>
      <c r="E32" s="829">
        <v>0.3</v>
      </c>
      <c r="F32" s="828">
        <v>1</v>
      </c>
      <c r="G32" s="828">
        <f t="shared" ref="G32:G38" si="1">E32*F32</f>
        <v>0.3</v>
      </c>
      <c r="H32" s="830">
        <f t="shared" si="0"/>
        <v>27612445.724999998</v>
      </c>
    </row>
    <row r="33" spans="1:9" x14ac:dyDescent="0.25">
      <c r="A33" s="726"/>
      <c r="B33" s="724"/>
      <c r="C33" s="827" t="s">
        <v>3129</v>
      </c>
      <c r="D33" s="828">
        <f>2000*D29*3</f>
        <v>49088792.400000006</v>
      </c>
      <c r="E33" s="829">
        <v>0.3</v>
      </c>
      <c r="F33" s="828">
        <v>2</v>
      </c>
      <c r="G33" s="828">
        <f t="shared" si="1"/>
        <v>0.6</v>
      </c>
      <c r="H33" s="830">
        <f t="shared" si="0"/>
        <v>29453275.440000001</v>
      </c>
    </row>
    <row r="34" spans="1:9" x14ac:dyDescent="0.25">
      <c r="A34" s="726"/>
      <c r="B34" s="724"/>
      <c r="C34" s="827" t="s">
        <v>3130</v>
      </c>
      <c r="D34" s="828">
        <f>1200*D29*3</f>
        <v>29453275.440000001</v>
      </c>
      <c r="E34" s="829">
        <v>0.3</v>
      </c>
      <c r="F34" s="828">
        <v>1</v>
      </c>
      <c r="G34" s="828">
        <f t="shared" si="1"/>
        <v>0.3</v>
      </c>
      <c r="H34" s="830">
        <f t="shared" si="0"/>
        <v>8835982.6319999993</v>
      </c>
    </row>
    <row r="35" spans="1:9" ht="24" x14ac:dyDescent="0.25">
      <c r="A35" s="726"/>
      <c r="B35" s="724"/>
      <c r="C35" s="827" t="s">
        <v>3131</v>
      </c>
      <c r="D35" s="828">
        <f>2000*D29*3</f>
        <v>49088792.400000006</v>
      </c>
      <c r="E35" s="829">
        <v>0.3</v>
      </c>
      <c r="F35" s="828">
        <v>1</v>
      </c>
      <c r="G35" s="828">
        <f t="shared" si="1"/>
        <v>0.3</v>
      </c>
      <c r="H35" s="830">
        <f t="shared" si="0"/>
        <v>14726637.720000001</v>
      </c>
    </row>
    <row r="36" spans="1:9" ht="24" x14ac:dyDescent="0.25">
      <c r="A36" s="726"/>
      <c r="B36" s="724"/>
      <c r="C36" s="827" t="s">
        <v>3132</v>
      </c>
      <c r="D36" s="828">
        <f>1500*D29*3</f>
        <v>36816594.299999997</v>
      </c>
      <c r="E36" s="829">
        <v>0.3</v>
      </c>
      <c r="F36" s="828">
        <v>1</v>
      </c>
      <c r="G36" s="828">
        <f t="shared" si="1"/>
        <v>0.3</v>
      </c>
      <c r="H36" s="830">
        <f t="shared" si="0"/>
        <v>11044978.289999999</v>
      </c>
    </row>
    <row r="37" spans="1:9" ht="36" x14ac:dyDescent="0.25">
      <c r="A37" s="726"/>
      <c r="B37" s="724"/>
      <c r="C37" s="827" t="s">
        <v>3133</v>
      </c>
      <c r="D37" s="828">
        <f>1500*D29*3</f>
        <v>36816594.299999997</v>
      </c>
      <c r="E37" s="829">
        <v>0.5</v>
      </c>
      <c r="F37" s="828">
        <v>2</v>
      </c>
      <c r="G37" s="828">
        <f t="shared" si="1"/>
        <v>1</v>
      </c>
      <c r="H37" s="830">
        <f t="shared" si="0"/>
        <v>36816594.299999997</v>
      </c>
    </row>
    <row r="38" spans="1:9" x14ac:dyDescent="0.25">
      <c r="A38" s="726"/>
      <c r="B38" s="724"/>
      <c r="C38" s="827" t="s">
        <v>3134</v>
      </c>
      <c r="D38" s="828">
        <f>300*D29*3</f>
        <v>7363318.8600000003</v>
      </c>
      <c r="E38" s="829">
        <v>0.3</v>
      </c>
      <c r="F38" s="828">
        <v>1</v>
      </c>
      <c r="G38" s="828">
        <f t="shared" si="1"/>
        <v>0.3</v>
      </c>
      <c r="H38" s="830">
        <f t="shared" si="0"/>
        <v>2208995.6579999998</v>
      </c>
    </row>
    <row r="39" spans="1:9" ht="24" x14ac:dyDescent="0.25">
      <c r="A39" s="726"/>
      <c r="B39" s="724"/>
      <c r="C39" s="827" t="s">
        <v>3135</v>
      </c>
      <c r="D39" s="828">
        <f>1000*D29*3</f>
        <v>24544396.200000003</v>
      </c>
      <c r="E39" s="829">
        <v>0.3</v>
      </c>
      <c r="F39" s="828">
        <v>1</v>
      </c>
      <c r="G39" s="828">
        <f>E39*F39</f>
        <v>0.3</v>
      </c>
      <c r="H39" s="830">
        <f t="shared" si="0"/>
        <v>7363318.8600000003</v>
      </c>
    </row>
    <row r="40" spans="1:9" x14ac:dyDescent="0.25">
      <c r="A40" s="726"/>
      <c r="B40" s="724"/>
      <c r="C40" s="587"/>
      <c r="D40" s="588"/>
      <c r="E40" s="589"/>
      <c r="F40" s="588"/>
      <c r="G40" s="588"/>
      <c r="H40" s="831"/>
    </row>
    <row r="41" spans="1:9" ht="24" x14ac:dyDescent="0.25">
      <c r="A41" s="426"/>
      <c r="B41" s="832"/>
      <c r="C41" s="718" t="s">
        <v>3136</v>
      </c>
      <c r="D41" s="718"/>
      <c r="E41" s="439"/>
      <c r="F41" s="439">
        <f>SUM(F31:F40)</f>
        <v>11</v>
      </c>
      <c r="G41" s="439">
        <f>SUM(G31:G40)</f>
        <v>3.6999999999999997</v>
      </c>
      <c r="H41" s="833">
        <f>SUM(H31:H40)</f>
        <v>167515504.065</v>
      </c>
    </row>
    <row r="42" spans="1:9" x14ac:dyDescent="0.25">
      <c r="A42" s="726"/>
      <c r="B42" s="724"/>
      <c r="C42" s="587"/>
      <c r="D42" s="588"/>
      <c r="E42" s="589"/>
      <c r="F42" s="588"/>
      <c r="G42" s="588"/>
      <c r="H42" s="590"/>
    </row>
    <row r="43" spans="1:9" x14ac:dyDescent="0.25">
      <c r="A43" s="726"/>
      <c r="B43" s="724"/>
      <c r="C43" s="713"/>
      <c r="D43" s="714"/>
      <c r="E43" s="714"/>
      <c r="F43" s="715"/>
      <c r="G43" s="716" t="s">
        <v>3087</v>
      </c>
      <c r="H43" s="717">
        <f>H41/G41</f>
        <v>45274460.558108114</v>
      </c>
    </row>
    <row r="44" spans="1:9" ht="16.5" thickBot="1" x14ac:dyDescent="0.3">
      <c r="A44" s="727"/>
      <c r="B44" s="728"/>
      <c r="C44" s="592"/>
      <c r="D44" s="593"/>
      <c r="E44" s="594"/>
      <c r="F44" s="593"/>
      <c r="G44" s="593"/>
      <c r="H44" s="595"/>
      <c r="I44" s="449"/>
    </row>
    <row r="45" spans="1:9" x14ac:dyDescent="0.25">
      <c r="A45" s="723"/>
      <c r="B45" s="724"/>
      <c r="C45" s="587"/>
      <c r="D45" s="588"/>
      <c r="E45" s="589"/>
      <c r="F45" s="588"/>
      <c r="G45" s="588"/>
      <c r="H45" s="588"/>
      <c r="I45" s="449"/>
    </row>
    <row r="46" spans="1:9" ht="16.5" thickBot="1" x14ac:dyDescent="0.3">
      <c r="A46" s="729" t="s">
        <v>2658</v>
      </c>
    </row>
    <row r="47" spans="1:9" ht="16.5" thickBot="1" x14ac:dyDescent="0.3">
      <c r="A47" s="730" t="s">
        <v>2781</v>
      </c>
      <c r="B47" s="731" t="s">
        <v>16</v>
      </c>
      <c r="C47" s="731" t="s">
        <v>1</v>
      </c>
      <c r="D47" s="731" t="s">
        <v>3086</v>
      </c>
      <c r="E47" s="732" t="s">
        <v>2782</v>
      </c>
      <c r="F47" s="732" t="s">
        <v>2782</v>
      </c>
      <c r="G47" s="732"/>
      <c r="H47" s="733" t="s">
        <v>2784</v>
      </c>
    </row>
    <row r="48" spans="1:9" ht="24" x14ac:dyDescent="0.25">
      <c r="A48" s="734"/>
      <c r="B48" s="451" t="s">
        <v>2696</v>
      </c>
      <c r="C48" s="841" t="s">
        <v>2785</v>
      </c>
      <c r="D48" s="842">
        <f>21786000*3</f>
        <v>65358000</v>
      </c>
      <c r="E48" s="843">
        <v>0.2</v>
      </c>
      <c r="F48" s="828">
        <v>1</v>
      </c>
      <c r="G48" s="842">
        <f>E48*F48</f>
        <v>0.2</v>
      </c>
      <c r="H48" s="844">
        <f t="shared" ref="H48:H53" si="2">D48*E48*F48</f>
        <v>13071600</v>
      </c>
    </row>
    <row r="49" spans="1:8" ht="24" x14ac:dyDescent="0.25">
      <c r="A49" s="734"/>
      <c r="B49" s="834"/>
      <c r="C49" s="827" t="s">
        <v>3082</v>
      </c>
      <c r="D49" s="828">
        <f>6500000*3</f>
        <v>19500000</v>
      </c>
      <c r="E49" s="840">
        <v>1</v>
      </c>
      <c r="F49" s="828">
        <v>1</v>
      </c>
      <c r="G49" s="828">
        <f t="shared" ref="G49:G53" si="3">E49*F49</f>
        <v>1</v>
      </c>
      <c r="H49" s="830">
        <f t="shared" si="2"/>
        <v>19500000</v>
      </c>
    </row>
    <row r="50" spans="1:8" ht="36" x14ac:dyDescent="0.25">
      <c r="A50" s="734"/>
      <c r="B50" s="834"/>
      <c r="C50" s="827" t="s">
        <v>3083</v>
      </c>
      <c r="D50" s="828">
        <f>4000000*3</f>
        <v>12000000</v>
      </c>
      <c r="E50" s="840">
        <v>1</v>
      </c>
      <c r="F50" s="828">
        <v>1</v>
      </c>
      <c r="G50" s="828">
        <f t="shared" si="3"/>
        <v>1</v>
      </c>
      <c r="H50" s="830">
        <f t="shared" si="2"/>
        <v>12000000</v>
      </c>
    </row>
    <row r="51" spans="1:8" ht="24" x14ac:dyDescent="0.25">
      <c r="A51" s="734"/>
      <c r="B51" s="834"/>
      <c r="C51" s="827" t="s">
        <v>3084</v>
      </c>
      <c r="D51" s="828">
        <f>12210000*3</f>
        <v>36630000</v>
      </c>
      <c r="E51" s="840">
        <v>0.35</v>
      </c>
      <c r="F51" s="828">
        <v>1</v>
      </c>
      <c r="G51" s="828">
        <f t="shared" si="3"/>
        <v>0.35</v>
      </c>
      <c r="H51" s="830">
        <f t="shared" si="2"/>
        <v>12820500</v>
      </c>
    </row>
    <row r="52" spans="1:8" ht="24" x14ac:dyDescent="0.25">
      <c r="A52" s="734"/>
      <c r="B52" s="834"/>
      <c r="C52" s="827" t="s">
        <v>3088</v>
      </c>
      <c r="D52" s="828">
        <f>3000000*3</f>
        <v>9000000</v>
      </c>
      <c r="E52" s="840">
        <v>1</v>
      </c>
      <c r="F52" s="828">
        <v>1</v>
      </c>
      <c r="G52" s="828">
        <f t="shared" si="3"/>
        <v>1</v>
      </c>
      <c r="H52" s="830">
        <f t="shared" si="2"/>
        <v>9000000</v>
      </c>
    </row>
    <row r="53" spans="1:8" x14ac:dyDescent="0.25">
      <c r="A53" s="734"/>
      <c r="B53" s="834"/>
      <c r="C53" s="827" t="s">
        <v>2786</v>
      </c>
      <c r="D53" s="828">
        <f>9200000*3</f>
        <v>27600000</v>
      </c>
      <c r="E53" s="840">
        <v>0.45</v>
      </c>
      <c r="F53" s="845">
        <v>1</v>
      </c>
      <c r="G53" s="828">
        <f t="shared" si="3"/>
        <v>0.45</v>
      </c>
      <c r="H53" s="830">
        <f t="shared" si="2"/>
        <v>12420000</v>
      </c>
    </row>
    <row r="54" spans="1:8" x14ac:dyDescent="0.25">
      <c r="A54" s="734"/>
      <c r="B54" s="834"/>
      <c r="C54" s="835" t="s">
        <v>2788</v>
      </c>
      <c r="D54" s="836"/>
      <c r="E54" s="837"/>
      <c r="F54" s="840"/>
      <c r="G54" s="838">
        <f>SUM(G48:G53)</f>
        <v>4</v>
      </c>
      <c r="H54" s="839">
        <f>SUM(H48:H53)</f>
        <v>78812100</v>
      </c>
    </row>
    <row r="55" spans="1:8" x14ac:dyDescent="0.25">
      <c r="A55" s="734"/>
      <c r="B55" s="738"/>
      <c r="C55" s="739"/>
      <c r="D55" s="740"/>
      <c r="E55" s="741"/>
      <c r="F55" s="742"/>
      <c r="G55" s="743"/>
      <c r="H55" s="744"/>
    </row>
    <row r="56" spans="1:8" ht="16.5" thickBot="1" x14ac:dyDescent="0.3">
      <c r="A56" s="745"/>
      <c r="B56" s="746"/>
      <c r="C56" s="713"/>
      <c r="D56" s="714"/>
      <c r="E56" s="714"/>
      <c r="F56" s="715"/>
      <c r="G56" s="716" t="s">
        <v>3087</v>
      </c>
      <c r="H56" s="717">
        <f>H54/G54</f>
        <v>19703025</v>
      </c>
    </row>
    <row r="57" spans="1:8" x14ac:dyDescent="0.25">
      <c r="A57" s="747"/>
      <c r="B57" s="739"/>
      <c r="C57" s="739"/>
      <c r="D57" s="740"/>
      <c r="E57" s="741"/>
      <c r="F57" s="748"/>
      <c r="G57" s="591"/>
      <c r="H57" s="749"/>
    </row>
    <row r="58" spans="1:8" x14ac:dyDescent="0.25">
      <c r="A58" s="750"/>
      <c r="B58" s="739"/>
      <c r="C58" s="740"/>
      <c r="D58" s="741"/>
      <c r="E58" s="742"/>
      <c r="F58" s="742"/>
      <c r="G58" s="749"/>
    </row>
    <row r="59" spans="1:8" x14ac:dyDescent="0.25">
      <c r="A59" s="750"/>
      <c r="B59" s="751"/>
      <c r="C59" s="751"/>
      <c r="D59" s="751"/>
      <c r="E59" s="751"/>
      <c r="F59" s="751"/>
      <c r="G59" s="751"/>
    </row>
    <row r="60" spans="1:8" ht="24" x14ac:dyDescent="0.25">
      <c r="A60" s="752"/>
      <c r="B60" s="753" t="s">
        <v>2789</v>
      </c>
      <c r="C60" s="754" t="s">
        <v>3086</v>
      </c>
      <c r="D60" s="755" t="s">
        <v>2782</v>
      </c>
      <c r="E60" s="755" t="s">
        <v>3085</v>
      </c>
      <c r="F60" s="755"/>
      <c r="G60" s="756" t="s">
        <v>2784</v>
      </c>
    </row>
    <row r="61" spans="1:8" ht="48" x14ac:dyDescent="0.25">
      <c r="A61" s="752" t="s">
        <v>2790</v>
      </c>
      <c r="B61" s="757" t="s">
        <v>3090</v>
      </c>
      <c r="C61" s="758">
        <f>3082000*3</f>
        <v>9246000</v>
      </c>
      <c r="D61" s="759">
        <v>4</v>
      </c>
      <c r="E61" s="736">
        <v>1</v>
      </c>
      <c r="F61" s="735">
        <f>D61*E61</f>
        <v>4</v>
      </c>
      <c r="G61" s="760">
        <f>C61*D61*E61</f>
        <v>36984000</v>
      </c>
    </row>
    <row r="62" spans="1:8" x14ac:dyDescent="0.25">
      <c r="A62" s="747" t="s">
        <v>2790</v>
      </c>
      <c r="B62" s="761" t="s">
        <v>2791</v>
      </c>
      <c r="C62" s="758"/>
      <c r="D62" s="759"/>
      <c r="E62" s="736"/>
      <c r="F62" s="735"/>
      <c r="G62" s="760">
        <f t="shared" ref="G62:G77" si="4">C62*D62*E62</f>
        <v>0</v>
      </c>
    </row>
    <row r="63" spans="1:8" ht="72" x14ac:dyDescent="0.25">
      <c r="A63" s="752" t="s">
        <v>2790</v>
      </c>
      <c r="B63" s="757" t="s">
        <v>3089</v>
      </c>
      <c r="C63" s="758">
        <f>4055000*3</f>
        <v>12165000</v>
      </c>
      <c r="D63" s="758">
        <v>2</v>
      </c>
      <c r="E63" s="736">
        <v>1</v>
      </c>
      <c r="F63" s="735">
        <f t="shared" ref="F63:F64" si="5">D63*E63</f>
        <v>2</v>
      </c>
      <c r="G63" s="760">
        <f t="shared" si="4"/>
        <v>24330000</v>
      </c>
    </row>
    <row r="64" spans="1:8" ht="60" x14ac:dyDescent="0.25">
      <c r="A64" s="747" t="s">
        <v>2790</v>
      </c>
      <c r="B64" s="762" t="s">
        <v>2792</v>
      </c>
      <c r="C64" s="758"/>
      <c r="D64" s="758"/>
      <c r="E64" s="736"/>
      <c r="F64" s="735">
        <f t="shared" si="5"/>
        <v>0</v>
      </c>
      <c r="G64" s="760">
        <f t="shared" si="4"/>
        <v>0</v>
      </c>
    </row>
    <row r="65" spans="1:8" x14ac:dyDescent="0.25">
      <c r="A65" s="747"/>
      <c r="B65" s="762"/>
      <c r="C65" s="758"/>
      <c r="D65" s="758"/>
      <c r="E65" s="736"/>
      <c r="F65" s="737">
        <f>SUM(F61:F64)</f>
        <v>6</v>
      </c>
      <c r="G65" s="763">
        <f>SUM(G61:G64)</f>
        <v>61314000</v>
      </c>
    </row>
    <row r="66" spans="1:8" x14ac:dyDescent="0.25">
      <c r="A66" s="747"/>
      <c r="F66" s="591" t="s">
        <v>3087</v>
      </c>
      <c r="G66" s="749">
        <f>G65/F65</f>
        <v>10219000</v>
      </c>
    </row>
    <row r="67" spans="1:8" x14ac:dyDescent="0.25">
      <c r="A67" s="747"/>
      <c r="F67" s="591"/>
      <c r="G67" s="749"/>
    </row>
    <row r="68" spans="1:8" x14ac:dyDescent="0.25">
      <c r="A68" s="747"/>
      <c r="F68" s="591"/>
      <c r="G68" s="749"/>
    </row>
    <row r="69" spans="1:8" ht="48" x14ac:dyDescent="0.25">
      <c r="A69" s="752" t="s">
        <v>2793</v>
      </c>
      <c r="B69" s="764" t="s">
        <v>3091</v>
      </c>
      <c r="C69" s="758">
        <f>1470000*3</f>
        <v>4410000</v>
      </c>
      <c r="D69" s="758">
        <v>8</v>
      </c>
      <c r="E69" s="736">
        <v>1</v>
      </c>
      <c r="F69" s="735">
        <f t="shared" ref="F69" si="6">D69*E69</f>
        <v>8</v>
      </c>
      <c r="G69" s="760">
        <f>C69*D69*E69</f>
        <v>35280000</v>
      </c>
    </row>
    <row r="70" spans="1:8" x14ac:dyDescent="0.25">
      <c r="A70" s="747" t="s">
        <v>2793</v>
      </c>
      <c r="B70" s="761" t="s">
        <v>2794</v>
      </c>
      <c r="C70" s="758"/>
      <c r="D70" s="758"/>
      <c r="E70" s="758"/>
      <c r="F70" s="758"/>
      <c r="G70" s="760">
        <f t="shared" si="4"/>
        <v>0</v>
      </c>
    </row>
    <row r="71" spans="1:8" x14ac:dyDescent="0.25">
      <c r="A71" s="747" t="s">
        <v>2793</v>
      </c>
      <c r="B71" s="761" t="s">
        <v>2795</v>
      </c>
      <c r="C71" s="758"/>
      <c r="D71" s="758"/>
      <c r="E71" s="758"/>
      <c r="F71" s="758"/>
      <c r="G71" s="760">
        <f t="shared" si="4"/>
        <v>0</v>
      </c>
      <c r="H71" s="765"/>
    </row>
    <row r="72" spans="1:8" x14ac:dyDescent="0.25">
      <c r="A72" s="747"/>
      <c r="B72" s="761"/>
      <c r="C72" s="758"/>
      <c r="D72" s="758"/>
      <c r="E72" s="758"/>
      <c r="F72" s="737">
        <f>SUM(F68:F71)</f>
        <v>8</v>
      </c>
      <c r="G72" s="763">
        <f>SUM(G69:G71)</f>
        <v>35280000</v>
      </c>
      <c r="H72" s="765"/>
    </row>
    <row r="73" spans="1:8" x14ac:dyDescent="0.25">
      <c r="A73" s="747"/>
      <c r="B73" s="761"/>
      <c r="C73" s="758"/>
      <c r="D73" s="758"/>
      <c r="E73" s="758"/>
      <c r="F73" s="591" t="s">
        <v>3087</v>
      </c>
      <c r="G73" s="749">
        <f>G72/F72</f>
        <v>4410000</v>
      </c>
      <c r="H73" s="765"/>
    </row>
    <row r="74" spans="1:8" x14ac:dyDescent="0.25">
      <c r="A74" s="747"/>
      <c r="B74" s="761"/>
      <c r="C74" s="758"/>
      <c r="D74" s="758"/>
      <c r="E74" s="758"/>
      <c r="F74" s="758"/>
      <c r="G74" s="760"/>
      <c r="H74" s="765"/>
    </row>
    <row r="75" spans="1:8" ht="36" x14ac:dyDescent="0.25">
      <c r="A75" s="747" t="s">
        <v>2796</v>
      </c>
      <c r="B75" s="757" t="s">
        <v>3092</v>
      </c>
      <c r="C75" s="758">
        <f>1470000*3</f>
        <v>4410000</v>
      </c>
      <c r="D75" s="758">
        <v>19</v>
      </c>
      <c r="E75" s="736">
        <v>1</v>
      </c>
      <c r="F75" s="735">
        <f t="shared" ref="F75" si="7">D75*E75</f>
        <v>19</v>
      </c>
      <c r="G75" s="760">
        <f t="shared" si="4"/>
        <v>83790000</v>
      </c>
      <c r="H75" s="765"/>
    </row>
    <row r="76" spans="1:8" ht="60" x14ac:dyDescent="0.25">
      <c r="A76" s="747" t="s">
        <v>2796</v>
      </c>
      <c r="B76" s="762" t="s">
        <v>2797</v>
      </c>
      <c r="C76" s="758"/>
      <c r="D76" s="758"/>
      <c r="E76" s="759"/>
      <c r="F76" s="759"/>
      <c r="G76" s="760">
        <f t="shared" si="4"/>
        <v>0</v>
      </c>
    </row>
    <row r="77" spans="1:8" ht="60" x14ac:dyDescent="0.25">
      <c r="A77" s="747" t="s">
        <v>2796</v>
      </c>
      <c r="B77" s="762" t="s">
        <v>2798</v>
      </c>
      <c r="C77" s="758"/>
      <c r="D77" s="758"/>
      <c r="E77" s="759"/>
      <c r="F77" s="759"/>
      <c r="G77" s="760">
        <f t="shared" si="4"/>
        <v>0</v>
      </c>
    </row>
    <row r="78" spans="1:8" x14ac:dyDescent="0.25">
      <c r="F78" s="737">
        <f>SUM(F74:F77)</f>
        <v>19</v>
      </c>
      <c r="G78" s="763">
        <f>SUM(G75:G77)</f>
        <v>83790000</v>
      </c>
    </row>
    <row r="79" spans="1:8" x14ac:dyDescent="0.25">
      <c r="F79" s="591" t="s">
        <v>3087</v>
      </c>
      <c r="G79" s="749">
        <f>G78/F78</f>
        <v>4410000</v>
      </c>
    </row>
    <row r="80" spans="1:8" x14ac:dyDescent="0.25">
      <c r="A80" s="729" t="s">
        <v>2660</v>
      </c>
    </row>
    <row r="81" spans="1:7" ht="24" x14ac:dyDescent="0.25">
      <c r="A81" s="766"/>
      <c r="B81" s="767" t="s">
        <v>16</v>
      </c>
      <c r="C81" s="768" t="s">
        <v>2799</v>
      </c>
      <c r="D81" s="768" t="s">
        <v>2767</v>
      </c>
      <c r="E81" s="769" t="s">
        <v>2783</v>
      </c>
      <c r="F81" s="769"/>
      <c r="G81" s="769" t="s">
        <v>1235</v>
      </c>
    </row>
    <row r="82" spans="1:7" x14ac:dyDescent="0.25">
      <c r="A82" s="770"/>
      <c r="B82" s="771"/>
      <c r="C82" s="771"/>
      <c r="D82" s="771"/>
      <c r="E82" s="771"/>
      <c r="F82" s="771"/>
      <c r="G82" s="771"/>
    </row>
    <row r="83" spans="1:7" x14ac:dyDescent="0.25">
      <c r="A83" s="772" t="s">
        <v>2800</v>
      </c>
      <c r="B83" s="773" t="s">
        <v>2711</v>
      </c>
      <c r="C83" s="774" t="s">
        <v>2801</v>
      </c>
      <c r="D83" s="775"/>
      <c r="E83" s="775"/>
      <c r="F83" s="775"/>
      <c r="G83" s="776"/>
    </row>
    <row r="84" spans="1:7" x14ac:dyDescent="0.25">
      <c r="A84" s="777"/>
      <c r="B84" s="778" t="s">
        <v>2802</v>
      </c>
      <c r="C84" s="779">
        <f>600*8181.4654</f>
        <v>4908879.24</v>
      </c>
      <c r="D84" s="780">
        <v>1</v>
      </c>
      <c r="E84" s="780">
        <v>1</v>
      </c>
      <c r="F84" s="780"/>
      <c r="G84" s="781">
        <f t="shared" ref="G84:G89" si="8">C84*D84*E84</f>
        <v>4908879.24</v>
      </c>
    </row>
    <row r="85" spans="1:7" x14ac:dyDescent="0.25">
      <c r="A85" s="777"/>
      <c r="B85" s="778" t="s">
        <v>2803</v>
      </c>
      <c r="C85" s="779">
        <f>650*8181.4654</f>
        <v>5317952.51</v>
      </c>
      <c r="D85" s="780">
        <v>1</v>
      </c>
      <c r="E85" s="780">
        <v>1</v>
      </c>
      <c r="F85" s="780"/>
      <c r="G85" s="781">
        <f t="shared" si="8"/>
        <v>5317952.51</v>
      </c>
    </row>
    <row r="86" spans="1:7" x14ac:dyDescent="0.25">
      <c r="A86" s="777"/>
      <c r="B86" s="778" t="s">
        <v>2804</v>
      </c>
      <c r="C86" s="779">
        <f>900*8181.4654</f>
        <v>7363318.8600000003</v>
      </c>
      <c r="D86" s="780">
        <v>1</v>
      </c>
      <c r="E86" s="780">
        <v>1</v>
      </c>
      <c r="F86" s="780"/>
      <c r="G86" s="781">
        <f t="shared" si="8"/>
        <v>7363318.8600000003</v>
      </c>
    </row>
    <row r="87" spans="1:7" x14ac:dyDescent="0.25">
      <c r="A87" s="777"/>
      <c r="B87" s="778" t="s">
        <v>2805</v>
      </c>
      <c r="C87" s="779">
        <f>300*8181.4654</f>
        <v>2454439.62</v>
      </c>
      <c r="D87" s="780">
        <v>1</v>
      </c>
      <c r="E87" s="780">
        <v>1</v>
      </c>
      <c r="F87" s="780"/>
      <c r="G87" s="781">
        <f t="shared" si="8"/>
        <v>2454439.62</v>
      </c>
    </row>
    <row r="88" spans="1:7" x14ac:dyDescent="0.25">
      <c r="A88" s="777"/>
      <c r="B88" s="778" t="s">
        <v>2806</v>
      </c>
      <c r="C88" s="779">
        <f>240*8181.4654</f>
        <v>1963551.696</v>
      </c>
      <c r="D88" s="780">
        <v>1</v>
      </c>
      <c r="E88" s="780">
        <v>1</v>
      </c>
      <c r="F88" s="780"/>
      <c r="G88" s="781">
        <f t="shared" si="8"/>
        <v>1963551.696</v>
      </c>
    </row>
    <row r="89" spans="1:7" x14ac:dyDescent="0.25">
      <c r="A89" s="777"/>
      <c r="B89" s="778" t="s">
        <v>2807</v>
      </c>
      <c r="C89" s="779">
        <f>120*8181.4654</f>
        <v>981775.848</v>
      </c>
      <c r="D89" s="780">
        <v>1</v>
      </c>
      <c r="E89" s="780">
        <v>1</v>
      </c>
      <c r="F89" s="780"/>
      <c r="G89" s="781">
        <f t="shared" si="8"/>
        <v>981775.848</v>
      </c>
    </row>
    <row r="90" spans="1:7" x14ac:dyDescent="0.25">
      <c r="A90" s="777"/>
      <c r="B90" s="782" t="s">
        <v>2788</v>
      </c>
      <c r="C90" s="783"/>
      <c r="D90" s="783"/>
      <c r="E90" s="784"/>
      <c r="F90" s="784"/>
      <c r="G90" s="785">
        <f>SUM(G84:G89)</f>
        <v>22989917.774</v>
      </c>
    </row>
    <row r="91" spans="1:7" x14ac:dyDescent="0.25">
      <c r="A91" s="786"/>
      <c r="B91" s="786"/>
      <c r="C91" s="786"/>
      <c r="D91" s="786"/>
      <c r="E91" s="786"/>
      <c r="F91" s="786"/>
      <c r="G91" s="786"/>
    </row>
    <row r="92" spans="1:7" x14ac:dyDescent="0.25">
      <c r="A92" s="787"/>
      <c r="B92" s="753" t="s">
        <v>2808</v>
      </c>
      <c r="C92" s="756"/>
      <c r="D92" s="756"/>
      <c r="E92" s="756"/>
      <c r="F92" s="756"/>
      <c r="G92" s="756"/>
    </row>
    <row r="93" spans="1:7" x14ac:dyDescent="0.25">
      <c r="A93" s="788"/>
      <c r="B93" s="788"/>
      <c r="C93" s="788"/>
      <c r="D93" s="788"/>
      <c r="E93" s="788"/>
      <c r="F93" s="788"/>
      <c r="G93" s="788"/>
    </row>
    <row r="94" spans="1:7" ht="24" x14ac:dyDescent="0.25">
      <c r="A94" s="789" t="s">
        <v>2809</v>
      </c>
      <c r="B94" s="790" t="s">
        <v>2810</v>
      </c>
      <c r="C94" s="791">
        <f>300*8181.4654</f>
        <v>2454439.62</v>
      </c>
      <c r="D94" s="791">
        <v>1</v>
      </c>
      <c r="E94" s="791">
        <v>2</v>
      </c>
      <c r="F94" s="791"/>
      <c r="G94" s="792">
        <f>C94*D94*E94</f>
        <v>4908879.24</v>
      </c>
    </row>
    <row r="95" spans="1:7" x14ac:dyDescent="0.25">
      <c r="A95" s="788"/>
      <c r="B95" s="788"/>
      <c r="C95" s="788"/>
      <c r="D95" s="788"/>
      <c r="E95" s="788"/>
      <c r="F95" s="788"/>
      <c r="G95" s="788"/>
    </row>
    <row r="96" spans="1:7" ht="24" x14ac:dyDescent="0.25">
      <c r="A96" s="793" t="s">
        <v>2809</v>
      </c>
      <c r="B96" s="794" t="s">
        <v>2811</v>
      </c>
      <c r="C96" s="758">
        <f>80*8181.4654</f>
        <v>654517.23199999996</v>
      </c>
      <c r="D96" s="758">
        <v>1</v>
      </c>
      <c r="E96" s="795">
        <v>2</v>
      </c>
      <c r="F96" s="795"/>
      <c r="G96" s="796">
        <f>C96*D96*E96</f>
        <v>1309034.4639999999</v>
      </c>
    </row>
    <row r="97" spans="1:7" x14ac:dyDescent="0.25">
      <c r="A97" s="788"/>
      <c r="B97" s="788"/>
      <c r="C97" s="788"/>
      <c r="D97" s="788"/>
      <c r="E97" s="788"/>
      <c r="F97" s="788"/>
      <c r="G97" s="788"/>
    </row>
    <row r="98" spans="1:7" ht="24" x14ac:dyDescent="0.25">
      <c r="A98" s="789" t="s">
        <v>2812</v>
      </c>
      <c r="B98" s="790" t="s">
        <v>2813</v>
      </c>
      <c r="C98" s="791">
        <f>100*8181.4654</f>
        <v>818146.54</v>
      </c>
      <c r="D98" s="791">
        <v>1</v>
      </c>
      <c r="E98" s="791">
        <v>10</v>
      </c>
      <c r="F98" s="791"/>
      <c r="G98" s="792">
        <f>C98*D98*E98</f>
        <v>8181465.4000000004</v>
      </c>
    </row>
    <row r="99" spans="1:7" x14ac:dyDescent="0.25">
      <c r="A99" s="788"/>
      <c r="B99" s="788"/>
      <c r="C99" s="788"/>
      <c r="D99" s="788"/>
      <c r="E99" s="788"/>
      <c r="F99" s="788"/>
      <c r="G99" s="788"/>
    </row>
    <row r="100" spans="1:7" ht="24" x14ac:dyDescent="0.25">
      <c r="A100" s="793" t="s">
        <v>2812</v>
      </c>
      <c r="B100" s="794" t="s">
        <v>2814</v>
      </c>
      <c r="C100" s="758">
        <f>60*8181.4654</f>
        <v>490887.924</v>
      </c>
      <c r="D100" s="758">
        <v>1</v>
      </c>
      <c r="E100" s="795">
        <v>10</v>
      </c>
      <c r="F100" s="795"/>
      <c r="G100" s="796">
        <f>C100*D100*E100</f>
        <v>4908879.24</v>
      </c>
    </row>
    <row r="101" spans="1:7" ht="24" x14ac:dyDescent="0.25">
      <c r="A101" s="797" t="s">
        <v>2812</v>
      </c>
      <c r="B101" s="794" t="s">
        <v>2815</v>
      </c>
      <c r="C101" s="758">
        <f>20*8181.4654</f>
        <v>163629.30799999999</v>
      </c>
      <c r="D101" s="758">
        <v>1</v>
      </c>
      <c r="E101" s="795">
        <v>10</v>
      </c>
      <c r="F101" s="795"/>
      <c r="G101" s="796">
        <f>C101*D101*E101</f>
        <v>1636293.0799999998</v>
      </c>
    </row>
    <row r="102" spans="1:7" x14ac:dyDescent="0.25">
      <c r="A102" s="798"/>
      <c r="B102" s="799" t="s">
        <v>2788</v>
      </c>
      <c r="C102" s="800"/>
      <c r="D102" s="800"/>
      <c r="E102" s="801"/>
      <c r="F102" s="801"/>
      <c r="G102" s="802">
        <f>SUM(G93:G101)</f>
        <v>20944551.423999999</v>
      </c>
    </row>
    <row r="104" spans="1:7" x14ac:dyDescent="0.25">
      <c r="A104" s="729" t="s">
        <v>2659</v>
      </c>
    </row>
    <row r="105" spans="1:7" ht="24" x14ac:dyDescent="0.25">
      <c r="A105" s="766"/>
      <c r="B105" s="767" t="s">
        <v>16</v>
      </c>
      <c r="C105" s="768" t="s">
        <v>3106</v>
      </c>
      <c r="D105" s="768" t="s">
        <v>2767</v>
      </c>
      <c r="E105" s="769" t="s">
        <v>3085</v>
      </c>
      <c r="F105" s="769"/>
      <c r="G105" s="769" t="s">
        <v>1235</v>
      </c>
    </row>
    <row r="106" spans="1:7" x14ac:dyDescent="0.25">
      <c r="A106" s="803"/>
      <c r="B106" s="771"/>
      <c r="C106" s="771"/>
      <c r="D106" s="771"/>
      <c r="E106" s="771"/>
      <c r="F106" s="771"/>
      <c r="G106" s="771"/>
    </row>
    <row r="107" spans="1:7" x14ac:dyDescent="0.25">
      <c r="A107" s="772" t="s">
        <v>2816</v>
      </c>
      <c r="B107" s="804" t="s">
        <v>2727</v>
      </c>
      <c r="C107" s="774"/>
      <c r="D107" s="775"/>
      <c r="E107" s="775"/>
      <c r="F107" s="775"/>
      <c r="G107" s="776"/>
    </row>
    <row r="108" spans="1:7" x14ac:dyDescent="0.25">
      <c r="A108" s="777"/>
      <c r="B108" s="778" t="s">
        <v>3101</v>
      </c>
      <c r="C108" s="735">
        <f>24550000*3</f>
        <v>73650000</v>
      </c>
      <c r="D108" s="780">
        <v>1</v>
      </c>
      <c r="E108" s="805">
        <v>0.2</v>
      </c>
      <c r="F108" s="780">
        <f>D108*E108</f>
        <v>0.2</v>
      </c>
      <c r="G108" s="781">
        <f t="shared" ref="G108:G113" si="9">C108*D108*E108</f>
        <v>14730000</v>
      </c>
    </row>
    <row r="109" spans="1:7" x14ac:dyDescent="0.25">
      <c r="A109" s="777"/>
      <c r="B109" s="778" t="s">
        <v>3102</v>
      </c>
      <c r="C109" s="735">
        <f>16360000*3</f>
        <v>49080000</v>
      </c>
      <c r="D109" s="780">
        <v>1</v>
      </c>
      <c r="E109" s="805">
        <v>0.33</v>
      </c>
      <c r="F109" s="780">
        <f t="shared" ref="F109:F113" si="10">D109*E109</f>
        <v>0.33</v>
      </c>
      <c r="G109" s="781">
        <f t="shared" si="9"/>
        <v>16196400</v>
      </c>
    </row>
    <row r="110" spans="1:7" x14ac:dyDescent="0.25">
      <c r="A110" s="777"/>
      <c r="B110" s="778" t="s">
        <v>2804</v>
      </c>
      <c r="C110" s="806">
        <f>7360000*3</f>
        <v>22080000</v>
      </c>
      <c r="D110" s="780">
        <v>1</v>
      </c>
      <c r="E110" s="805">
        <v>1</v>
      </c>
      <c r="F110" s="780">
        <f t="shared" si="10"/>
        <v>1</v>
      </c>
      <c r="G110" s="781">
        <f t="shared" si="9"/>
        <v>22080000</v>
      </c>
    </row>
    <row r="111" spans="1:7" x14ac:dyDescent="0.25">
      <c r="A111" s="777"/>
      <c r="B111" s="778" t="s">
        <v>3103</v>
      </c>
      <c r="C111" s="806">
        <f>7360000*3</f>
        <v>22080000</v>
      </c>
      <c r="D111" s="780">
        <v>1</v>
      </c>
      <c r="E111" s="805">
        <v>0.33</v>
      </c>
      <c r="F111" s="780">
        <f t="shared" si="10"/>
        <v>0.33</v>
      </c>
      <c r="G111" s="781">
        <f t="shared" si="9"/>
        <v>7286400</v>
      </c>
    </row>
    <row r="112" spans="1:7" x14ac:dyDescent="0.25">
      <c r="A112" s="777"/>
      <c r="B112" s="778" t="s">
        <v>3104</v>
      </c>
      <c r="C112" s="806">
        <f>4500000*3</f>
        <v>13500000</v>
      </c>
      <c r="D112" s="780">
        <v>1</v>
      </c>
      <c r="E112" s="805">
        <v>0.44</v>
      </c>
      <c r="F112" s="780">
        <f t="shared" si="10"/>
        <v>0.44</v>
      </c>
      <c r="G112" s="781">
        <f t="shared" si="9"/>
        <v>5940000</v>
      </c>
    </row>
    <row r="113" spans="1:7" x14ac:dyDescent="0.25">
      <c r="A113" s="777"/>
      <c r="B113" s="778" t="s">
        <v>2787</v>
      </c>
      <c r="C113" s="806">
        <f>3270000*3</f>
        <v>9810000</v>
      </c>
      <c r="D113" s="780">
        <v>1</v>
      </c>
      <c r="E113" s="805">
        <v>0.3</v>
      </c>
      <c r="F113" s="780">
        <f t="shared" si="10"/>
        <v>0.3</v>
      </c>
      <c r="G113" s="781">
        <f t="shared" si="9"/>
        <v>2943000</v>
      </c>
    </row>
    <row r="114" spans="1:7" x14ac:dyDescent="0.25">
      <c r="A114" s="777"/>
      <c r="B114" s="782" t="s">
        <v>2788</v>
      </c>
      <c r="C114" s="783"/>
      <c r="D114" s="783"/>
      <c r="E114" s="784"/>
      <c r="F114" s="807">
        <f>SUM(F108:F113)</f>
        <v>2.6</v>
      </c>
      <c r="G114" s="785">
        <f>SUM(G108:G113)</f>
        <v>69175800</v>
      </c>
    </row>
    <row r="115" spans="1:7" ht="24" x14ac:dyDescent="0.25">
      <c r="A115" s="777"/>
      <c r="B115" s="808"/>
      <c r="C115" s="809"/>
      <c r="D115" s="809"/>
      <c r="E115" s="810"/>
      <c r="F115" s="811" t="s">
        <v>3105</v>
      </c>
      <c r="G115" s="812">
        <f>G114/F114</f>
        <v>26606076.923076924</v>
      </c>
    </row>
    <row r="116" spans="1:7" x14ac:dyDescent="0.25">
      <c r="A116" s="786"/>
      <c r="B116" s="786"/>
      <c r="C116" s="786"/>
      <c r="D116" s="786"/>
      <c r="E116" s="786"/>
      <c r="F116" s="786"/>
      <c r="G116" s="786"/>
    </row>
    <row r="117" spans="1:7" x14ac:dyDescent="0.25">
      <c r="A117" s="787"/>
      <c r="B117" s="753" t="s">
        <v>2817</v>
      </c>
      <c r="C117" s="756"/>
      <c r="D117" s="756"/>
      <c r="E117" s="756"/>
      <c r="F117" s="756"/>
      <c r="G117" s="756"/>
    </row>
    <row r="118" spans="1:7" x14ac:dyDescent="0.25">
      <c r="A118" s="786"/>
      <c r="B118" s="786"/>
      <c r="C118" s="786"/>
      <c r="D118" s="786"/>
      <c r="E118" s="786"/>
      <c r="F118" s="786"/>
      <c r="G118" s="786"/>
    </row>
    <row r="119" spans="1:7" x14ac:dyDescent="0.25">
      <c r="A119" s="813" t="s">
        <v>2818</v>
      </c>
      <c r="B119" s="814" t="s">
        <v>2819</v>
      </c>
      <c r="C119" s="791">
        <v>2450000</v>
      </c>
      <c r="D119" s="791">
        <v>1</v>
      </c>
      <c r="E119" s="791">
        <v>3</v>
      </c>
      <c r="F119" s="791"/>
      <c r="G119" s="792">
        <f>C119*D119*E119</f>
        <v>7350000</v>
      </c>
    </row>
    <row r="120" spans="1:7" x14ac:dyDescent="0.25">
      <c r="A120" s="786"/>
      <c r="B120" s="815"/>
      <c r="C120" s="815"/>
      <c r="D120" s="815"/>
      <c r="E120" s="815"/>
      <c r="F120" s="815"/>
      <c r="G120" s="815"/>
    </row>
    <row r="121" spans="1:7" ht="24" x14ac:dyDescent="0.25">
      <c r="A121" s="816" t="s">
        <v>2818</v>
      </c>
      <c r="B121" s="817" t="s">
        <v>2820</v>
      </c>
      <c r="C121" s="818">
        <v>650000</v>
      </c>
      <c r="D121" s="818">
        <v>1</v>
      </c>
      <c r="E121" s="819">
        <v>3</v>
      </c>
      <c r="F121" s="819"/>
      <c r="G121" s="820">
        <f>C121*D121*E121</f>
        <v>1950000</v>
      </c>
    </row>
    <row r="122" spans="1:7" x14ac:dyDescent="0.25">
      <c r="A122" s="786"/>
      <c r="B122" s="815" t="s">
        <v>1235</v>
      </c>
      <c r="C122" s="815"/>
      <c r="D122" s="815"/>
      <c r="E122" s="815"/>
      <c r="F122" s="815"/>
      <c r="G122" s="821">
        <f>G119+G121</f>
        <v>9300000</v>
      </c>
    </row>
    <row r="123" spans="1:7" x14ac:dyDescent="0.25">
      <c r="A123" s="786"/>
      <c r="B123" s="786"/>
      <c r="C123" s="786"/>
      <c r="D123" s="786"/>
      <c r="E123" s="786"/>
      <c r="F123" s="786"/>
      <c r="G123" s="786"/>
    </row>
    <row r="124" spans="1:7" ht="24" x14ac:dyDescent="0.25">
      <c r="A124" s="813" t="s">
        <v>2821</v>
      </c>
      <c r="B124" s="822" t="s">
        <v>2729</v>
      </c>
      <c r="C124" s="791">
        <v>820000</v>
      </c>
      <c r="D124" s="791">
        <v>1</v>
      </c>
      <c r="E124" s="791">
        <v>8</v>
      </c>
      <c r="F124" s="791"/>
      <c r="G124" s="792">
        <f>C124*D124*E124</f>
        <v>6560000</v>
      </c>
    </row>
    <row r="125" spans="1:7" x14ac:dyDescent="0.25">
      <c r="A125" s="786"/>
      <c r="B125" s="786"/>
      <c r="C125" s="786"/>
      <c r="D125" s="786"/>
      <c r="E125" s="786"/>
      <c r="F125" s="786"/>
      <c r="G125" s="786"/>
    </row>
    <row r="126" spans="1:7" ht="24" x14ac:dyDescent="0.25">
      <c r="A126" s="823" t="s">
        <v>2821</v>
      </c>
      <c r="B126" s="817" t="s">
        <v>2822</v>
      </c>
      <c r="C126" s="818">
        <v>490000</v>
      </c>
      <c r="D126" s="818">
        <v>1</v>
      </c>
      <c r="E126" s="819">
        <v>8</v>
      </c>
      <c r="F126" s="819"/>
      <c r="G126" s="820">
        <f>C126*D126*E126</f>
        <v>3920000</v>
      </c>
    </row>
    <row r="127" spans="1:7" ht="24" x14ac:dyDescent="0.25">
      <c r="A127" s="747" t="s">
        <v>2821</v>
      </c>
      <c r="B127" s="817" t="s">
        <v>2823</v>
      </c>
      <c r="C127" s="818">
        <v>160000</v>
      </c>
      <c r="D127" s="818">
        <v>1</v>
      </c>
      <c r="E127" s="819">
        <v>8</v>
      </c>
      <c r="F127" s="819"/>
      <c r="G127" s="820">
        <f>C127*D127*E127</f>
        <v>1280000</v>
      </c>
    </row>
    <row r="128" spans="1:7" x14ac:dyDescent="0.25">
      <c r="A128" s="798"/>
      <c r="B128" s="799" t="s">
        <v>2788</v>
      </c>
      <c r="C128" s="800"/>
      <c r="D128" s="800"/>
      <c r="E128" s="801"/>
      <c r="F128" s="801"/>
      <c r="G128" s="802">
        <f>G124+G126+G127</f>
        <v>11760000</v>
      </c>
    </row>
    <row r="129" spans="1:7" x14ac:dyDescent="0.25">
      <c r="A129" s="798"/>
      <c r="B129" s="824"/>
      <c r="C129" s="800"/>
      <c r="D129" s="800"/>
      <c r="E129" s="825"/>
      <c r="F129" s="825"/>
      <c r="G129" s="826"/>
    </row>
  </sheetData>
  <conditionalFormatting sqref="D21:E21 D14:E14 H14 H21 D3:H7 E42 D44:H45">
    <cfRule type="containsErrors" dxfId="31" priority="61">
      <formula>ISERROR(D3)</formula>
    </cfRule>
  </conditionalFormatting>
  <conditionalFormatting sqref="F14 F21">
    <cfRule type="containsErrors" dxfId="30" priority="60">
      <formula>ISERROR(F14)</formula>
    </cfRule>
  </conditionalFormatting>
  <conditionalFormatting sqref="G14 G21">
    <cfRule type="containsErrors" dxfId="29" priority="59">
      <formula>ISERROR(G14)</formula>
    </cfRule>
  </conditionalFormatting>
  <conditionalFormatting sqref="D9:E12 H9:H12">
    <cfRule type="containsErrors" dxfId="28" priority="58">
      <formula>ISERROR(D9)</formula>
    </cfRule>
  </conditionalFormatting>
  <conditionalFormatting sqref="F9:F12">
    <cfRule type="containsErrors" dxfId="27" priority="57">
      <formula>ISERROR(F9)</formula>
    </cfRule>
  </conditionalFormatting>
  <conditionalFormatting sqref="G9:G12">
    <cfRule type="containsErrors" dxfId="26" priority="56">
      <formula>ISERROR(G9)</formula>
    </cfRule>
  </conditionalFormatting>
  <conditionalFormatting sqref="D16:E17 H16:H17">
    <cfRule type="containsErrors" dxfId="25" priority="55">
      <formula>ISERROR(D16)</formula>
    </cfRule>
  </conditionalFormatting>
  <conditionalFormatting sqref="F16:F17">
    <cfRule type="containsErrors" dxfId="24" priority="54">
      <formula>ISERROR(F16)</formula>
    </cfRule>
  </conditionalFormatting>
  <conditionalFormatting sqref="G16:G17">
    <cfRule type="containsErrors" dxfId="23" priority="53">
      <formula>ISERROR(G16)</formula>
    </cfRule>
  </conditionalFormatting>
  <conditionalFormatting sqref="D23:E24 H23:H24">
    <cfRule type="containsErrors" dxfId="22" priority="52">
      <formula>ISERROR(D23)</formula>
    </cfRule>
  </conditionalFormatting>
  <conditionalFormatting sqref="F23:F24">
    <cfRule type="containsErrors" dxfId="21" priority="51">
      <formula>ISERROR(F23)</formula>
    </cfRule>
  </conditionalFormatting>
  <conditionalFormatting sqref="G23:G24">
    <cfRule type="containsErrors" dxfId="20" priority="50">
      <formula>ISERROR(G23)</formula>
    </cfRule>
  </conditionalFormatting>
  <conditionalFormatting sqref="I3:I7">
    <cfRule type="containsErrors" dxfId="19" priority="49">
      <formula>ISERROR(I3)</formula>
    </cfRule>
  </conditionalFormatting>
  <conditionalFormatting sqref="F41:G41">
    <cfRule type="containsErrors" dxfId="18" priority="14">
      <formula>ISERROR(F41)</formula>
    </cfRule>
  </conditionalFormatting>
  <conditionalFormatting sqref="E41">
    <cfRule type="containsErrors" dxfId="17" priority="13">
      <formula>ISERROR(E41)</formula>
    </cfRule>
  </conditionalFormatting>
  <conditionalFormatting sqref="B28:E28">
    <cfRule type="containsErrors" dxfId="16" priority="36">
      <formula>ISERROR(B28)</formula>
    </cfRule>
  </conditionalFormatting>
  <conditionalFormatting sqref="F40:G40 F42:G42">
    <cfRule type="containsErrors" dxfId="15" priority="17">
      <formula>ISERROR(F40)</formula>
    </cfRule>
  </conditionalFormatting>
  <conditionalFormatting sqref="D29:G29">
    <cfRule type="containsErrors" dxfId="14" priority="21">
      <formula>ISERROR(D29)</formula>
    </cfRule>
  </conditionalFormatting>
  <conditionalFormatting sqref="E40">
    <cfRule type="containsErrors" dxfId="13" priority="20">
      <formula>ISERROR(E40)</formula>
    </cfRule>
  </conditionalFormatting>
  <conditionalFormatting sqref="D40:G40 D42:G42">
    <cfRule type="containsErrors" dxfId="12" priority="19">
      <formula>ISERROR(D40)</formula>
    </cfRule>
  </conditionalFormatting>
  <conditionalFormatting sqref="D18:E18 H18">
    <cfRule type="containsErrors" dxfId="11" priority="12">
      <formula>ISERROR(D18)</formula>
    </cfRule>
  </conditionalFormatting>
  <conditionalFormatting sqref="F18">
    <cfRule type="containsErrors" dxfId="10" priority="11">
      <formula>ISERROR(F18)</formula>
    </cfRule>
  </conditionalFormatting>
  <conditionalFormatting sqref="G18">
    <cfRule type="containsErrors" dxfId="9" priority="10">
      <formula>ISERROR(G18)</formula>
    </cfRule>
  </conditionalFormatting>
  <conditionalFormatting sqref="D25:E25 H25">
    <cfRule type="containsErrors" dxfId="8" priority="9">
      <formula>ISERROR(D25)</formula>
    </cfRule>
  </conditionalFormatting>
  <conditionalFormatting sqref="F25">
    <cfRule type="containsErrors" dxfId="7" priority="8">
      <formula>ISERROR(F25)</formula>
    </cfRule>
  </conditionalFormatting>
  <conditionalFormatting sqref="G25">
    <cfRule type="containsErrors" dxfId="6" priority="7">
      <formula>ISERROR(G25)</formula>
    </cfRule>
  </conditionalFormatting>
  <conditionalFormatting sqref="D43:E43 H43">
    <cfRule type="containsErrors" dxfId="5" priority="6">
      <formula>ISERROR(D43)</formula>
    </cfRule>
  </conditionalFormatting>
  <conditionalFormatting sqref="F43">
    <cfRule type="containsErrors" dxfId="4" priority="5">
      <formula>ISERROR(F43)</formula>
    </cfRule>
  </conditionalFormatting>
  <conditionalFormatting sqref="G43">
    <cfRule type="containsErrors" dxfId="3" priority="4">
      <formula>ISERROR(G43)</formula>
    </cfRule>
  </conditionalFormatting>
  <conditionalFormatting sqref="D56:E56 H56">
    <cfRule type="containsErrors" dxfId="2" priority="3">
      <formula>ISERROR(D56)</formula>
    </cfRule>
  </conditionalFormatting>
  <conditionalFormatting sqref="F56">
    <cfRule type="containsErrors" dxfId="1" priority="2">
      <formula>ISERROR(F56)</formula>
    </cfRule>
  </conditionalFormatting>
  <conditionalFormatting sqref="G56">
    <cfRule type="containsErrors" dxfId="0" priority="1">
      <formula>ISERROR(G56)</formula>
    </cfRule>
  </conditionalFormatting>
  <dataValidations count="2">
    <dataValidation type="decimal" operator="greaterThan" allowBlank="1" showInputMessage="1" showErrorMessage="1" sqref="B28:E28 G32:G42 D29:G29 D31:G31 D9:H12 D3:I7 D21:H21 D14:H14 D23:H25 D16:H18 D53 D51 D32:F45">
      <formula1>-1</formula1>
    </dataValidation>
    <dataValidation type="list" allowBlank="1" showInputMessage="1" showErrorMessage="1" sqref="B14 A9:A11 A21 A16:A18 A23:A25 A3:A7 A29 A31 A40:A45">
      <formula1>BudgetLineNumbers</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rgb="FF92D050"/>
  </sheetPr>
  <dimension ref="A1:I751"/>
  <sheetViews>
    <sheetView topLeftCell="A367" zoomScale="90" zoomScaleNormal="90" workbookViewId="0">
      <selection activeCell="G626" sqref="G626"/>
    </sheetView>
  </sheetViews>
  <sheetFormatPr defaultColWidth="9" defaultRowHeight="12.75" x14ac:dyDescent="0.2"/>
  <cols>
    <col min="1" max="1" width="7.5" style="2" customWidth="1"/>
    <col min="2" max="2" width="34.375" style="3" customWidth="1"/>
    <col min="3" max="3" width="17.25" style="2" customWidth="1"/>
    <col min="4" max="4" width="9.875" style="2" bestFit="1" customWidth="1"/>
    <col min="5" max="6" width="9.125" style="2" bestFit="1" customWidth="1"/>
    <col min="7" max="7" width="13.875" style="253" bestFit="1" customWidth="1"/>
    <col min="8" max="8" width="14.875" style="253" bestFit="1" customWidth="1"/>
    <col min="9" max="9" width="13.5" style="2" customWidth="1"/>
    <col min="10" max="16384" width="9" style="2"/>
  </cols>
  <sheetData>
    <row r="1" spans="1:9" x14ac:dyDescent="0.2">
      <c r="A1" s="457"/>
      <c r="B1" s="458"/>
      <c r="C1" s="459"/>
      <c r="D1" s="459"/>
      <c r="E1" s="459"/>
      <c r="F1" s="459"/>
      <c r="G1" s="460"/>
      <c r="I1" s="2">
        <f>8135.7426</f>
        <v>8135.7425999999996</v>
      </c>
    </row>
    <row r="2" spans="1:9" ht="13.5" thickBot="1" x14ac:dyDescent="0.25"/>
    <row r="3" spans="1:9" x14ac:dyDescent="0.2">
      <c r="A3" s="461">
        <v>2</v>
      </c>
      <c r="B3" s="462" t="s">
        <v>2824</v>
      </c>
      <c r="C3" s="463" t="s">
        <v>2825</v>
      </c>
      <c r="D3" s="463">
        <v>250000</v>
      </c>
      <c r="E3" s="463">
        <v>3</v>
      </c>
      <c r="F3" s="463">
        <v>2</v>
      </c>
      <c r="G3" s="464">
        <f t="shared" ref="G3:G66" si="0">D3*E3*F3</f>
        <v>1500000</v>
      </c>
    </row>
    <row r="4" spans="1:9" x14ac:dyDescent="0.2">
      <c r="A4" s="465"/>
      <c r="B4" s="466"/>
      <c r="C4" s="466" t="s">
        <v>2826</v>
      </c>
      <c r="D4" s="466">
        <v>50000</v>
      </c>
      <c r="E4" s="466">
        <v>3</v>
      </c>
      <c r="F4" s="466">
        <v>1</v>
      </c>
      <c r="G4" s="467">
        <f t="shared" si="0"/>
        <v>150000</v>
      </c>
    </row>
    <row r="5" spans="1:9" x14ac:dyDescent="0.2">
      <c r="A5" s="465"/>
      <c r="B5" s="468"/>
      <c r="C5" s="466" t="s">
        <v>2827</v>
      </c>
      <c r="D5" s="466">
        <v>250000</v>
      </c>
      <c r="E5" s="466">
        <v>1</v>
      </c>
      <c r="F5" s="466">
        <v>2</v>
      </c>
      <c r="G5" s="467">
        <f t="shared" si="0"/>
        <v>500000</v>
      </c>
    </row>
    <row r="6" spans="1:9" x14ac:dyDescent="0.2">
      <c r="A6" s="465"/>
      <c r="B6" s="951" t="s">
        <v>2828</v>
      </c>
      <c r="C6" s="466" t="s">
        <v>2829</v>
      </c>
      <c r="D6" s="466">
        <v>50000</v>
      </c>
      <c r="E6" s="466">
        <v>1</v>
      </c>
      <c r="F6" s="466">
        <v>1</v>
      </c>
      <c r="G6" s="467">
        <f t="shared" si="0"/>
        <v>50000</v>
      </c>
    </row>
    <row r="7" spans="1:9" x14ac:dyDescent="0.2">
      <c r="A7" s="465"/>
      <c r="B7" s="951"/>
      <c r="C7" s="466" t="s">
        <v>2830</v>
      </c>
      <c r="D7" s="466">
        <v>250000</v>
      </c>
      <c r="E7" s="466">
        <v>18</v>
      </c>
      <c r="F7" s="466">
        <v>4</v>
      </c>
      <c r="G7" s="467">
        <f t="shared" si="0"/>
        <v>18000000</v>
      </c>
    </row>
    <row r="8" spans="1:9" x14ac:dyDescent="0.2">
      <c r="A8" s="465"/>
      <c r="B8" s="951"/>
      <c r="C8" s="466" t="s">
        <v>2831</v>
      </c>
      <c r="D8" s="466">
        <v>50000</v>
      </c>
      <c r="E8" s="466">
        <v>18</v>
      </c>
      <c r="F8" s="466">
        <v>1</v>
      </c>
      <c r="G8" s="467">
        <f t="shared" si="0"/>
        <v>900000</v>
      </c>
    </row>
    <row r="9" spans="1:9" x14ac:dyDescent="0.2">
      <c r="A9" s="465"/>
      <c r="B9" s="951"/>
      <c r="C9" s="466" t="s">
        <v>2832</v>
      </c>
      <c r="D9" s="466">
        <v>250000</v>
      </c>
      <c r="E9" s="466">
        <v>5</v>
      </c>
      <c r="F9" s="466">
        <v>4</v>
      </c>
      <c r="G9" s="467">
        <f t="shared" si="0"/>
        <v>5000000</v>
      </c>
    </row>
    <row r="10" spans="1:9" x14ac:dyDescent="0.2">
      <c r="A10" s="465"/>
      <c r="B10" s="951"/>
      <c r="C10" s="466" t="s">
        <v>2833</v>
      </c>
      <c r="D10" s="466">
        <v>50000</v>
      </c>
      <c r="E10" s="466">
        <v>5</v>
      </c>
      <c r="F10" s="466">
        <v>1</v>
      </c>
      <c r="G10" s="467">
        <f t="shared" si="0"/>
        <v>250000</v>
      </c>
    </row>
    <row r="11" spans="1:9" x14ac:dyDescent="0.2">
      <c r="A11" s="465"/>
      <c r="B11" s="951"/>
      <c r="C11" s="466" t="s">
        <v>2834</v>
      </c>
      <c r="D11" s="466">
        <v>250000</v>
      </c>
      <c r="E11" s="466">
        <v>34</v>
      </c>
      <c r="F11" s="466">
        <v>3</v>
      </c>
      <c r="G11" s="467">
        <f t="shared" si="0"/>
        <v>25500000</v>
      </c>
    </row>
    <row r="12" spans="1:9" x14ac:dyDescent="0.2">
      <c r="A12" s="465"/>
      <c r="B12" s="951"/>
      <c r="C12" s="466" t="s">
        <v>2835</v>
      </c>
      <c r="D12" s="466">
        <v>50000</v>
      </c>
      <c r="E12" s="466">
        <v>34</v>
      </c>
      <c r="F12" s="466">
        <v>1</v>
      </c>
      <c r="G12" s="467">
        <f t="shared" si="0"/>
        <v>1700000</v>
      </c>
    </row>
    <row r="13" spans="1:9" x14ac:dyDescent="0.2">
      <c r="A13" s="465"/>
      <c r="B13" s="951"/>
      <c r="C13" s="466" t="s">
        <v>2836</v>
      </c>
      <c r="D13" s="466">
        <v>250000</v>
      </c>
      <c r="E13" s="466">
        <v>10</v>
      </c>
      <c r="F13" s="466">
        <v>3</v>
      </c>
      <c r="G13" s="467">
        <f t="shared" si="0"/>
        <v>7500000</v>
      </c>
    </row>
    <row r="14" spans="1:9" x14ac:dyDescent="0.2">
      <c r="A14" s="465"/>
      <c r="B14" s="951"/>
      <c r="C14" s="466" t="s">
        <v>2837</v>
      </c>
      <c r="D14" s="466">
        <v>50000</v>
      </c>
      <c r="E14" s="466">
        <v>10</v>
      </c>
      <c r="F14" s="466">
        <v>1</v>
      </c>
      <c r="G14" s="467">
        <f t="shared" si="0"/>
        <v>500000</v>
      </c>
    </row>
    <row r="15" spans="1:9" x14ac:dyDescent="0.2">
      <c r="A15" s="465"/>
      <c r="B15" s="951"/>
      <c r="C15" s="466" t="s">
        <v>2838</v>
      </c>
      <c r="D15" s="466">
        <v>250000</v>
      </c>
      <c r="E15" s="466">
        <v>25</v>
      </c>
      <c r="F15" s="466">
        <v>2</v>
      </c>
      <c r="G15" s="467">
        <f t="shared" si="0"/>
        <v>12500000</v>
      </c>
    </row>
    <row r="16" spans="1:9" x14ac:dyDescent="0.2">
      <c r="A16" s="465"/>
      <c r="B16" s="951"/>
      <c r="C16" s="466" t="s">
        <v>2839</v>
      </c>
      <c r="D16" s="466">
        <v>50000</v>
      </c>
      <c r="E16" s="466">
        <v>25</v>
      </c>
      <c r="F16" s="466">
        <v>1</v>
      </c>
      <c r="G16" s="467">
        <f t="shared" si="0"/>
        <v>1250000</v>
      </c>
    </row>
    <row r="17" spans="1:7" x14ac:dyDescent="0.2">
      <c r="A17" s="465"/>
      <c r="B17" s="951"/>
      <c r="C17" s="466" t="s">
        <v>2840</v>
      </c>
      <c r="D17" s="466">
        <v>250000</v>
      </c>
      <c r="E17" s="466">
        <v>5</v>
      </c>
      <c r="F17" s="466">
        <v>2</v>
      </c>
      <c r="G17" s="467">
        <f t="shared" si="0"/>
        <v>2500000</v>
      </c>
    </row>
    <row r="18" spans="1:7" x14ac:dyDescent="0.2">
      <c r="A18" s="465"/>
      <c r="B18" s="951"/>
      <c r="C18" s="466" t="s">
        <v>2841</v>
      </c>
      <c r="D18" s="466">
        <v>50000</v>
      </c>
      <c r="E18" s="466">
        <v>5</v>
      </c>
      <c r="F18" s="466">
        <v>1</v>
      </c>
      <c r="G18" s="467">
        <f t="shared" si="0"/>
        <v>250000</v>
      </c>
    </row>
    <row r="19" spans="1:7" x14ac:dyDescent="0.2">
      <c r="A19" s="465"/>
      <c r="B19" s="951"/>
      <c r="C19" s="466" t="s">
        <v>2842</v>
      </c>
      <c r="D19" s="466">
        <v>310000</v>
      </c>
      <c r="E19" s="466">
        <v>1</v>
      </c>
      <c r="F19" s="466">
        <v>2</v>
      </c>
      <c r="G19" s="467">
        <f t="shared" si="0"/>
        <v>620000</v>
      </c>
    </row>
    <row r="20" spans="1:7" x14ac:dyDescent="0.2">
      <c r="A20" s="465"/>
      <c r="B20" s="951"/>
      <c r="C20" s="466" t="s">
        <v>2843</v>
      </c>
      <c r="D20" s="466">
        <v>50000</v>
      </c>
      <c r="E20" s="466">
        <v>1</v>
      </c>
      <c r="F20" s="466">
        <v>1</v>
      </c>
      <c r="G20" s="467">
        <f t="shared" si="0"/>
        <v>50000</v>
      </c>
    </row>
    <row r="21" spans="1:7" x14ac:dyDescent="0.2">
      <c r="A21" s="465"/>
      <c r="B21" s="468"/>
      <c r="C21" s="466" t="s">
        <v>2844</v>
      </c>
      <c r="D21" s="466">
        <v>250000</v>
      </c>
      <c r="E21" s="466">
        <v>2</v>
      </c>
      <c r="F21" s="466">
        <v>2</v>
      </c>
      <c r="G21" s="467">
        <f t="shared" si="0"/>
        <v>1000000</v>
      </c>
    </row>
    <row r="22" spans="1:7" x14ac:dyDescent="0.2">
      <c r="A22" s="465"/>
      <c r="B22" s="951"/>
      <c r="C22" s="466" t="s">
        <v>2845</v>
      </c>
      <c r="D22" s="466">
        <v>50000</v>
      </c>
      <c r="E22" s="466">
        <v>2</v>
      </c>
      <c r="F22" s="466">
        <v>1</v>
      </c>
      <c r="G22" s="467">
        <f t="shared" si="0"/>
        <v>100000</v>
      </c>
    </row>
    <row r="23" spans="1:7" x14ac:dyDescent="0.2">
      <c r="A23" s="465"/>
      <c r="B23" s="951"/>
      <c r="C23" s="466" t="s">
        <v>2846</v>
      </c>
      <c r="D23" s="466">
        <v>250000</v>
      </c>
      <c r="E23" s="466">
        <v>14</v>
      </c>
      <c r="F23" s="466">
        <v>2</v>
      </c>
      <c r="G23" s="467">
        <f t="shared" si="0"/>
        <v>7000000</v>
      </c>
    </row>
    <row r="24" spans="1:7" x14ac:dyDescent="0.2">
      <c r="A24" s="465"/>
      <c r="B24" s="951"/>
      <c r="C24" s="466" t="s">
        <v>2847</v>
      </c>
      <c r="D24" s="466">
        <v>50000</v>
      </c>
      <c r="E24" s="466">
        <v>14</v>
      </c>
      <c r="F24" s="466">
        <v>1</v>
      </c>
      <c r="G24" s="467">
        <f t="shared" si="0"/>
        <v>700000</v>
      </c>
    </row>
    <row r="25" spans="1:7" x14ac:dyDescent="0.2">
      <c r="A25" s="465"/>
      <c r="B25" s="951"/>
      <c r="C25" s="466" t="s">
        <v>2848</v>
      </c>
      <c r="D25" s="466">
        <v>250000</v>
      </c>
      <c r="E25" s="466">
        <v>10</v>
      </c>
      <c r="F25" s="466">
        <v>2</v>
      </c>
      <c r="G25" s="467">
        <f t="shared" si="0"/>
        <v>5000000</v>
      </c>
    </row>
    <row r="26" spans="1:7" x14ac:dyDescent="0.2">
      <c r="A26" s="465"/>
      <c r="B26" s="951"/>
      <c r="C26" s="466" t="s">
        <v>2849</v>
      </c>
      <c r="D26" s="466">
        <v>50000</v>
      </c>
      <c r="E26" s="466">
        <v>10</v>
      </c>
      <c r="F26" s="466">
        <v>1</v>
      </c>
      <c r="G26" s="467">
        <f t="shared" si="0"/>
        <v>500000</v>
      </c>
    </row>
    <row r="27" spans="1:7" x14ac:dyDescent="0.2">
      <c r="A27" s="465"/>
      <c r="B27" s="951"/>
      <c r="C27" s="466" t="s">
        <v>2850</v>
      </c>
      <c r="D27" s="466">
        <v>250000</v>
      </c>
      <c r="E27" s="466">
        <v>8</v>
      </c>
      <c r="F27" s="466">
        <v>2</v>
      </c>
      <c r="G27" s="467">
        <f t="shared" si="0"/>
        <v>4000000</v>
      </c>
    </row>
    <row r="28" spans="1:7" x14ac:dyDescent="0.2">
      <c r="A28" s="465"/>
      <c r="B28" s="951"/>
      <c r="C28" s="466" t="s">
        <v>2851</v>
      </c>
      <c r="D28" s="466">
        <v>50000</v>
      </c>
      <c r="E28" s="466">
        <v>8</v>
      </c>
      <c r="F28" s="466">
        <v>1</v>
      </c>
      <c r="G28" s="467">
        <f t="shared" si="0"/>
        <v>400000</v>
      </c>
    </row>
    <row r="29" spans="1:7" x14ac:dyDescent="0.2">
      <c r="A29" s="465"/>
      <c r="B29" s="951"/>
      <c r="C29" s="466" t="s">
        <v>2852</v>
      </c>
      <c r="D29" s="466">
        <v>250000</v>
      </c>
      <c r="E29" s="466">
        <v>4</v>
      </c>
      <c r="F29" s="466">
        <v>2</v>
      </c>
      <c r="G29" s="467">
        <f t="shared" si="0"/>
        <v>2000000</v>
      </c>
    </row>
    <row r="30" spans="1:7" x14ac:dyDescent="0.2">
      <c r="A30" s="465"/>
      <c r="B30" s="951"/>
      <c r="C30" s="466" t="s">
        <v>2853</v>
      </c>
      <c r="D30" s="466">
        <v>50000</v>
      </c>
      <c r="E30" s="466">
        <v>4</v>
      </c>
      <c r="F30" s="466">
        <v>1</v>
      </c>
      <c r="G30" s="467">
        <f t="shared" si="0"/>
        <v>200000</v>
      </c>
    </row>
    <row r="31" spans="1:7" x14ac:dyDescent="0.2">
      <c r="A31" s="465"/>
      <c r="B31" s="469"/>
      <c r="C31" s="466" t="s">
        <v>2854</v>
      </c>
      <c r="D31" s="466">
        <v>250000</v>
      </c>
      <c r="E31" s="466">
        <v>4</v>
      </c>
      <c r="F31" s="466">
        <v>2</v>
      </c>
      <c r="G31" s="467">
        <f t="shared" si="0"/>
        <v>2000000</v>
      </c>
    </row>
    <row r="32" spans="1:7" x14ac:dyDescent="0.2">
      <c r="A32" s="465"/>
      <c r="B32" s="469"/>
      <c r="C32" s="466" t="s">
        <v>2855</v>
      </c>
      <c r="D32" s="466">
        <v>50000</v>
      </c>
      <c r="E32" s="466">
        <v>4</v>
      </c>
      <c r="F32" s="466">
        <v>1</v>
      </c>
      <c r="G32" s="467">
        <f t="shared" si="0"/>
        <v>200000</v>
      </c>
    </row>
    <row r="33" spans="1:7" x14ac:dyDescent="0.2">
      <c r="A33" s="465"/>
      <c r="B33" s="469"/>
      <c r="C33" s="466" t="s">
        <v>2856</v>
      </c>
      <c r="D33" s="466">
        <v>250000</v>
      </c>
      <c r="E33" s="466">
        <v>1</v>
      </c>
      <c r="F33" s="466">
        <v>2</v>
      </c>
      <c r="G33" s="467">
        <f t="shared" si="0"/>
        <v>500000</v>
      </c>
    </row>
    <row r="34" spans="1:7" x14ac:dyDescent="0.2">
      <c r="A34" s="465"/>
      <c r="B34" s="469"/>
      <c r="C34" s="466" t="s">
        <v>2857</v>
      </c>
      <c r="D34" s="466">
        <v>50000</v>
      </c>
      <c r="E34" s="466">
        <v>1</v>
      </c>
      <c r="F34" s="466">
        <v>1</v>
      </c>
      <c r="G34" s="467">
        <f t="shared" si="0"/>
        <v>50000</v>
      </c>
    </row>
    <row r="35" spans="1:7" x14ac:dyDescent="0.2">
      <c r="A35" s="465"/>
      <c r="B35" s="469"/>
      <c r="C35" s="466" t="s">
        <v>2858</v>
      </c>
      <c r="D35" s="466">
        <v>250000</v>
      </c>
      <c r="E35" s="466">
        <v>10</v>
      </c>
      <c r="F35" s="466">
        <v>2</v>
      </c>
      <c r="G35" s="467">
        <f t="shared" si="0"/>
        <v>5000000</v>
      </c>
    </row>
    <row r="36" spans="1:7" x14ac:dyDescent="0.2">
      <c r="A36" s="465"/>
      <c r="B36" s="469"/>
      <c r="C36" s="466" t="s">
        <v>2859</v>
      </c>
      <c r="D36" s="466">
        <v>50000</v>
      </c>
      <c r="E36" s="466">
        <v>10</v>
      </c>
      <c r="F36" s="466">
        <v>1</v>
      </c>
      <c r="G36" s="467">
        <f t="shared" si="0"/>
        <v>500000</v>
      </c>
    </row>
    <row r="37" spans="1:7" x14ac:dyDescent="0.2">
      <c r="A37" s="465"/>
      <c r="B37" s="469"/>
      <c r="C37" s="466" t="s">
        <v>2860</v>
      </c>
      <c r="D37" s="466">
        <v>250000</v>
      </c>
      <c r="E37" s="466">
        <v>8</v>
      </c>
      <c r="F37" s="466">
        <v>2</v>
      </c>
      <c r="G37" s="467">
        <f t="shared" si="0"/>
        <v>4000000</v>
      </c>
    </row>
    <row r="38" spans="1:7" x14ac:dyDescent="0.2">
      <c r="A38" s="465"/>
      <c r="B38" s="469"/>
      <c r="C38" s="466" t="s">
        <v>2861</v>
      </c>
      <c r="D38" s="466">
        <v>50000</v>
      </c>
      <c r="E38" s="466">
        <v>8</v>
      </c>
      <c r="F38" s="466">
        <v>1</v>
      </c>
      <c r="G38" s="467">
        <f t="shared" si="0"/>
        <v>400000</v>
      </c>
    </row>
    <row r="39" spans="1:7" x14ac:dyDescent="0.2">
      <c r="A39" s="465"/>
      <c r="B39" s="469"/>
      <c r="C39" s="466" t="s">
        <v>2862</v>
      </c>
      <c r="D39" s="466">
        <v>250000</v>
      </c>
      <c r="E39" s="466">
        <v>4</v>
      </c>
      <c r="F39" s="466">
        <v>2</v>
      </c>
      <c r="G39" s="467">
        <f t="shared" si="0"/>
        <v>2000000</v>
      </c>
    </row>
    <row r="40" spans="1:7" x14ac:dyDescent="0.2">
      <c r="A40" s="465"/>
      <c r="B40" s="469"/>
      <c r="C40" s="466" t="s">
        <v>2863</v>
      </c>
      <c r="D40" s="466">
        <v>50000</v>
      </c>
      <c r="E40" s="466">
        <v>4</v>
      </c>
      <c r="F40" s="466">
        <v>1</v>
      </c>
      <c r="G40" s="467">
        <f t="shared" si="0"/>
        <v>200000</v>
      </c>
    </row>
    <row r="41" spans="1:7" x14ac:dyDescent="0.2">
      <c r="A41" s="465"/>
      <c r="B41" s="469"/>
      <c r="C41" s="466" t="s">
        <v>2864</v>
      </c>
      <c r="D41" s="466">
        <v>250000</v>
      </c>
      <c r="E41" s="466">
        <v>3</v>
      </c>
      <c r="F41" s="466">
        <v>2</v>
      </c>
      <c r="G41" s="467">
        <f t="shared" si="0"/>
        <v>1500000</v>
      </c>
    </row>
    <row r="42" spans="1:7" x14ac:dyDescent="0.2">
      <c r="A42" s="465"/>
      <c r="B42" s="469"/>
      <c r="C42" s="466" t="s">
        <v>2865</v>
      </c>
      <c r="D42" s="466">
        <v>50000</v>
      </c>
      <c r="E42" s="466">
        <v>3</v>
      </c>
      <c r="F42" s="466">
        <v>1</v>
      </c>
      <c r="G42" s="467">
        <f t="shared" si="0"/>
        <v>150000</v>
      </c>
    </row>
    <row r="43" spans="1:7" x14ac:dyDescent="0.2">
      <c r="A43" s="465"/>
      <c r="B43" s="469"/>
      <c r="C43" s="466" t="s">
        <v>2866</v>
      </c>
      <c r="D43" s="466">
        <v>250000</v>
      </c>
      <c r="E43" s="466">
        <v>7</v>
      </c>
      <c r="F43" s="466">
        <v>2</v>
      </c>
      <c r="G43" s="467">
        <f t="shared" si="0"/>
        <v>3500000</v>
      </c>
    </row>
    <row r="44" spans="1:7" x14ac:dyDescent="0.2">
      <c r="A44" s="465"/>
      <c r="B44" s="469"/>
      <c r="C44" s="466" t="s">
        <v>2867</v>
      </c>
      <c r="D44" s="466">
        <v>50000</v>
      </c>
      <c r="E44" s="466">
        <v>7</v>
      </c>
      <c r="F44" s="466">
        <v>1</v>
      </c>
      <c r="G44" s="467">
        <f t="shared" si="0"/>
        <v>350000</v>
      </c>
    </row>
    <row r="45" spans="1:7" x14ac:dyDescent="0.2">
      <c r="A45" s="465"/>
      <c r="B45" s="469"/>
      <c r="C45" s="466" t="s">
        <v>2868</v>
      </c>
      <c r="D45" s="466">
        <f>7500*11</f>
        <v>82500</v>
      </c>
      <c r="E45" s="466">
        <v>1</v>
      </c>
      <c r="F45" s="466">
        <v>2</v>
      </c>
      <c r="G45" s="467">
        <f t="shared" si="0"/>
        <v>165000</v>
      </c>
    </row>
    <row r="46" spans="1:7" x14ac:dyDescent="0.2">
      <c r="A46" s="465"/>
      <c r="B46" s="469"/>
      <c r="C46" s="466" t="s">
        <v>2869</v>
      </c>
      <c r="D46" s="466">
        <f>7500*140</f>
        <v>1050000</v>
      </c>
      <c r="E46" s="466">
        <v>1</v>
      </c>
      <c r="F46" s="466">
        <v>2</v>
      </c>
      <c r="G46" s="467">
        <f t="shared" si="0"/>
        <v>2100000</v>
      </c>
    </row>
    <row r="47" spans="1:7" x14ac:dyDescent="0.2">
      <c r="A47" s="465"/>
      <c r="B47" s="469"/>
      <c r="C47" s="466" t="s">
        <v>2870</v>
      </c>
      <c r="D47" s="466">
        <f>7500*107</f>
        <v>802500</v>
      </c>
      <c r="E47" s="466">
        <v>1</v>
      </c>
      <c r="F47" s="466">
        <v>2</v>
      </c>
      <c r="G47" s="467">
        <f t="shared" si="0"/>
        <v>1605000</v>
      </c>
    </row>
    <row r="48" spans="1:7" x14ac:dyDescent="0.2">
      <c r="A48" s="465"/>
      <c r="B48" s="469"/>
      <c r="C48" s="466" t="s">
        <v>2871</v>
      </c>
      <c r="D48" s="466">
        <f>7500*127</f>
        <v>952500</v>
      </c>
      <c r="E48" s="466">
        <v>1</v>
      </c>
      <c r="F48" s="466">
        <v>2</v>
      </c>
      <c r="G48" s="467">
        <f t="shared" si="0"/>
        <v>1905000</v>
      </c>
    </row>
    <row r="49" spans="1:7" x14ac:dyDescent="0.2">
      <c r="A49" s="465"/>
      <c r="B49" s="469"/>
      <c r="C49" s="466" t="s">
        <v>2872</v>
      </c>
      <c r="D49" s="466">
        <f>7500*88</f>
        <v>660000</v>
      </c>
      <c r="E49" s="466">
        <v>1</v>
      </c>
      <c r="F49" s="466">
        <v>2</v>
      </c>
      <c r="G49" s="467">
        <f t="shared" si="0"/>
        <v>1320000</v>
      </c>
    </row>
    <row r="50" spans="1:7" x14ac:dyDescent="0.2">
      <c r="A50" s="465"/>
      <c r="B50" s="469"/>
      <c r="C50" s="466" t="s">
        <v>2873</v>
      </c>
      <c r="D50" s="466">
        <f>7500*97</f>
        <v>727500</v>
      </c>
      <c r="E50" s="466">
        <v>1</v>
      </c>
      <c r="F50" s="466">
        <v>2</v>
      </c>
      <c r="G50" s="467">
        <f t="shared" si="0"/>
        <v>1455000</v>
      </c>
    </row>
    <row r="51" spans="1:7" x14ac:dyDescent="0.2">
      <c r="A51" s="465"/>
      <c r="B51" s="469"/>
      <c r="C51" s="466" t="s">
        <v>2874</v>
      </c>
      <c r="D51" s="466">
        <f>7500*55</f>
        <v>412500</v>
      </c>
      <c r="E51" s="466">
        <v>1</v>
      </c>
      <c r="F51" s="466">
        <v>2</v>
      </c>
      <c r="G51" s="467">
        <f t="shared" si="0"/>
        <v>825000</v>
      </c>
    </row>
    <row r="52" spans="1:7" x14ac:dyDescent="0.2">
      <c r="A52" s="465"/>
      <c r="B52" s="469"/>
      <c r="C52" s="466" t="s">
        <v>2875</v>
      </c>
      <c r="D52" s="466">
        <v>75000</v>
      </c>
      <c r="E52" s="466">
        <v>1</v>
      </c>
      <c r="F52" s="466">
        <v>2</v>
      </c>
      <c r="G52" s="467">
        <f t="shared" si="0"/>
        <v>150000</v>
      </c>
    </row>
    <row r="53" spans="1:7" x14ac:dyDescent="0.2">
      <c r="A53" s="465"/>
      <c r="B53" s="469"/>
      <c r="C53" s="466" t="s">
        <v>2876</v>
      </c>
      <c r="D53" s="466">
        <f>7500*55</f>
        <v>412500</v>
      </c>
      <c r="E53" s="466">
        <v>1</v>
      </c>
      <c r="F53" s="466">
        <v>2</v>
      </c>
      <c r="G53" s="467">
        <f t="shared" si="0"/>
        <v>825000</v>
      </c>
    </row>
    <row r="54" spans="1:7" x14ac:dyDescent="0.2">
      <c r="A54" s="465"/>
      <c r="B54" s="469"/>
      <c r="C54" s="466" t="s">
        <v>2877</v>
      </c>
      <c r="D54" s="466">
        <f>7500*69</f>
        <v>517500</v>
      </c>
      <c r="E54" s="466">
        <v>1</v>
      </c>
      <c r="F54" s="466">
        <v>2</v>
      </c>
      <c r="G54" s="467">
        <f t="shared" si="0"/>
        <v>1035000</v>
      </c>
    </row>
    <row r="55" spans="1:7" x14ac:dyDescent="0.2">
      <c r="A55" s="465"/>
      <c r="B55" s="469"/>
      <c r="C55" s="466" t="s">
        <v>2878</v>
      </c>
      <c r="D55" s="466">
        <f>7500*95</f>
        <v>712500</v>
      </c>
      <c r="E55" s="466">
        <v>1</v>
      </c>
      <c r="F55" s="466">
        <v>2</v>
      </c>
      <c r="G55" s="467">
        <f t="shared" si="0"/>
        <v>1425000</v>
      </c>
    </row>
    <row r="56" spans="1:7" x14ac:dyDescent="0.2">
      <c r="A56" s="465"/>
      <c r="B56" s="469"/>
      <c r="C56" s="466" t="s">
        <v>2879</v>
      </c>
      <c r="D56" s="466">
        <f>7500*67</f>
        <v>502500</v>
      </c>
      <c r="E56" s="466">
        <v>1</v>
      </c>
      <c r="F56" s="466">
        <v>2</v>
      </c>
      <c r="G56" s="467">
        <f t="shared" si="0"/>
        <v>1005000</v>
      </c>
    </row>
    <row r="57" spans="1:7" x14ac:dyDescent="0.2">
      <c r="A57" s="465"/>
      <c r="B57" s="469"/>
      <c r="C57" s="466" t="s">
        <v>2880</v>
      </c>
      <c r="D57" s="466">
        <f>7500*56</f>
        <v>420000</v>
      </c>
      <c r="E57" s="466">
        <v>1</v>
      </c>
      <c r="F57" s="466">
        <v>2</v>
      </c>
      <c r="G57" s="467">
        <f t="shared" si="0"/>
        <v>840000</v>
      </c>
    </row>
    <row r="58" spans="1:7" x14ac:dyDescent="0.2">
      <c r="A58" s="465"/>
      <c r="B58" s="469"/>
      <c r="C58" s="466" t="s">
        <v>2881</v>
      </c>
      <c r="D58" s="466">
        <f>7500*30</f>
        <v>225000</v>
      </c>
      <c r="E58" s="466">
        <v>1</v>
      </c>
      <c r="F58" s="466">
        <v>2</v>
      </c>
      <c r="G58" s="467">
        <f t="shared" si="0"/>
        <v>450000</v>
      </c>
    </row>
    <row r="59" spans="1:7" x14ac:dyDescent="0.2">
      <c r="A59" s="465"/>
      <c r="B59" s="469"/>
      <c r="C59" s="466" t="s">
        <v>2882</v>
      </c>
      <c r="D59" s="466">
        <f>7500*96</f>
        <v>720000</v>
      </c>
      <c r="E59" s="466">
        <v>1</v>
      </c>
      <c r="F59" s="466">
        <v>2</v>
      </c>
      <c r="G59" s="467">
        <f t="shared" si="0"/>
        <v>1440000</v>
      </c>
    </row>
    <row r="60" spans="1:7" x14ac:dyDescent="0.2">
      <c r="A60" s="465"/>
      <c r="B60" s="469"/>
      <c r="C60" s="466" t="s">
        <v>2883</v>
      </c>
      <c r="D60" s="466">
        <f>7500*113</f>
        <v>847500</v>
      </c>
      <c r="E60" s="466">
        <v>1</v>
      </c>
      <c r="F60" s="466">
        <v>2</v>
      </c>
      <c r="G60" s="467">
        <f t="shared" si="0"/>
        <v>1695000</v>
      </c>
    </row>
    <row r="61" spans="1:7" x14ac:dyDescent="0.2">
      <c r="A61" s="465"/>
      <c r="B61" s="469"/>
      <c r="C61" s="466" t="s">
        <v>2884</v>
      </c>
      <c r="D61" s="466">
        <f>7500*116</f>
        <v>870000</v>
      </c>
      <c r="E61" s="466">
        <v>1</v>
      </c>
      <c r="F61" s="466">
        <v>2</v>
      </c>
      <c r="G61" s="467">
        <f t="shared" si="0"/>
        <v>1740000</v>
      </c>
    </row>
    <row r="62" spans="1:7" x14ac:dyDescent="0.2">
      <c r="A62" s="465"/>
      <c r="B62" s="469"/>
      <c r="C62" s="466" t="s">
        <v>2885</v>
      </c>
      <c r="D62" s="466">
        <f>7500*11</f>
        <v>82500</v>
      </c>
      <c r="E62" s="466">
        <v>7</v>
      </c>
      <c r="F62" s="466">
        <v>2</v>
      </c>
      <c r="G62" s="467">
        <f t="shared" si="0"/>
        <v>1155000</v>
      </c>
    </row>
    <row r="63" spans="1:7" x14ac:dyDescent="0.2">
      <c r="A63" s="465"/>
      <c r="B63" s="469"/>
      <c r="C63" s="466" t="s">
        <v>2886</v>
      </c>
      <c r="D63" s="466">
        <f t="shared" ref="D63:D69" si="1">7500*11</f>
        <v>82500</v>
      </c>
      <c r="E63" s="466">
        <v>1</v>
      </c>
      <c r="F63" s="466">
        <v>2</v>
      </c>
      <c r="G63" s="467">
        <f t="shared" si="0"/>
        <v>165000</v>
      </c>
    </row>
    <row r="64" spans="1:7" x14ac:dyDescent="0.2">
      <c r="A64" s="465"/>
      <c r="B64" s="469"/>
      <c r="C64" s="466" t="s">
        <v>2887</v>
      </c>
      <c r="D64" s="466">
        <f t="shared" si="1"/>
        <v>82500</v>
      </c>
      <c r="E64" s="466">
        <v>10</v>
      </c>
      <c r="F64" s="466">
        <v>2</v>
      </c>
      <c r="G64" s="467">
        <f t="shared" si="0"/>
        <v>1650000</v>
      </c>
    </row>
    <row r="65" spans="1:7" x14ac:dyDescent="0.2">
      <c r="A65" s="465"/>
      <c r="B65" s="469"/>
      <c r="C65" s="466" t="s">
        <v>2888</v>
      </c>
      <c r="D65" s="466">
        <f t="shared" si="1"/>
        <v>82500</v>
      </c>
      <c r="E65" s="466">
        <v>4</v>
      </c>
      <c r="F65" s="466">
        <v>2</v>
      </c>
      <c r="G65" s="467">
        <f t="shared" si="0"/>
        <v>660000</v>
      </c>
    </row>
    <row r="66" spans="1:7" x14ac:dyDescent="0.2">
      <c r="A66" s="465"/>
      <c r="B66" s="469"/>
      <c r="C66" s="466" t="s">
        <v>2889</v>
      </c>
      <c r="D66" s="466">
        <f t="shared" si="1"/>
        <v>82500</v>
      </c>
      <c r="E66" s="466">
        <v>1</v>
      </c>
      <c r="F66" s="466">
        <v>2</v>
      </c>
      <c r="G66" s="467">
        <f t="shared" si="0"/>
        <v>165000</v>
      </c>
    </row>
    <row r="67" spans="1:7" x14ac:dyDescent="0.2">
      <c r="A67" s="465"/>
      <c r="B67" s="469"/>
      <c r="C67" s="466" t="s">
        <v>2890</v>
      </c>
      <c r="D67" s="466">
        <f t="shared" si="1"/>
        <v>82500</v>
      </c>
      <c r="E67" s="466">
        <v>8</v>
      </c>
      <c r="F67" s="466">
        <v>2</v>
      </c>
      <c r="G67" s="467">
        <f t="shared" ref="G67:G73" si="2">D67*E67*F67</f>
        <v>1320000</v>
      </c>
    </row>
    <row r="68" spans="1:7" x14ac:dyDescent="0.2">
      <c r="A68" s="465"/>
      <c r="B68" s="469"/>
      <c r="C68" s="466" t="s">
        <v>2891</v>
      </c>
      <c r="D68" s="466">
        <f t="shared" si="1"/>
        <v>82500</v>
      </c>
      <c r="E68" s="466">
        <v>3</v>
      </c>
      <c r="F68" s="466">
        <v>2</v>
      </c>
      <c r="G68" s="467">
        <f t="shared" si="2"/>
        <v>495000</v>
      </c>
    </row>
    <row r="69" spans="1:7" x14ac:dyDescent="0.2">
      <c r="A69" s="465"/>
      <c r="B69" s="469"/>
      <c r="C69" s="466" t="s">
        <v>2892</v>
      </c>
      <c r="D69" s="466">
        <f t="shared" si="1"/>
        <v>82500</v>
      </c>
      <c r="E69" s="466">
        <v>6</v>
      </c>
      <c r="F69" s="466">
        <v>2</v>
      </c>
      <c r="G69" s="467">
        <f t="shared" si="2"/>
        <v>990000</v>
      </c>
    </row>
    <row r="70" spans="1:7" x14ac:dyDescent="0.2">
      <c r="A70" s="470"/>
      <c r="B70" s="466"/>
      <c r="C70" s="466" t="s">
        <v>2893</v>
      </c>
      <c r="D70" s="466">
        <v>75000</v>
      </c>
      <c r="E70" s="466">
        <v>1</v>
      </c>
      <c r="F70" s="466">
        <v>2</v>
      </c>
      <c r="G70" s="467">
        <f t="shared" si="2"/>
        <v>150000</v>
      </c>
    </row>
    <row r="71" spans="1:7" x14ac:dyDescent="0.2">
      <c r="A71" s="465"/>
      <c r="B71" s="466"/>
      <c r="C71" s="466" t="s">
        <v>2894</v>
      </c>
      <c r="D71" s="466">
        <v>1500000</v>
      </c>
      <c r="E71" s="466">
        <v>1</v>
      </c>
      <c r="F71" s="466">
        <v>2</v>
      </c>
      <c r="G71" s="467">
        <f t="shared" si="2"/>
        <v>3000000</v>
      </c>
    </row>
    <row r="72" spans="1:7" x14ac:dyDescent="0.2">
      <c r="A72" s="465"/>
      <c r="B72" s="466"/>
      <c r="C72" s="466" t="s">
        <v>2895</v>
      </c>
      <c r="D72" s="466">
        <v>20000</v>
      </c>
      <c r="E72" s="466">
        <v>138</v>
      </c>
      <c r="F72" s="466">
        <v>2</v>
      </c>
      <c r="G72" s="467">
        <f t="shared" si="2"/>
        <v>5520000</v>
      </c>
    </row>
    <row r="73" spans="1:7" x14ac:dyDescent="0.2">
      <c r="A73" s="465"/>
      <c r="B73" s="466"/>
      <c r="C73" s="466" t="s">
        <v>2896</v>
      </c>
      <c r="D73" s="466">
        <v>20000</v>
      </c>
      <c r="E73" s="466">
        <v>138</v>
      </c>
      <c r="F73" s="466">
        <v>1</v>
      </c>
      <c r="G73" s="467">
        <f t="shared" si="2"/>
        <v>2760000</v>
      </c>
    </row>
    <row r="74" spans="1:7" x14ac:dyDescent="0.2">
      <c r="A74" s="465"/>
      <c r="B74" s="466"/>
      <c r="C74" s="466"/>
      <c r="D74" s="466"/>
      <c r="E74" s="466"/>
      <c r="F74" s="466"/>
      <c r="G74" s="467"/>
    </row>
    <row r="75" spans="1:7" x14ac:dyDescent="0.2">
      <c r="A75" s="465"/>
      <c r="B75" s="466"/>
      <c r="C75" s="471" t="s">
        <v>2775</v>
      </c>
      <c r="D75" s="471"/>
      <c r="E75" s="471"/>
      <c r="F75" s="471"/>
      <c r="G75" s="472">
        <f>SUM(G3:G74)</f>
        <v>157980000</v>
      </c>
    </row>
    <row r="76" spans="1:7" x14ac:dyDescent="0.2">
      <c r="A76" s="465"/>
      <c r="B76" s="466"/>
      <c r="C76" s="466"/>
      <c r="D76" s="466"/>
      <c r="E76" s="466"/>
      <c r="F76" s="466"/>
      <c r="G76" s="467"/>
    </row>
    <row r="77" spans="1:7" ht="13.5" thickBot="1" x14ac:dyDescent="0.25">
      <c r="A77" s="465"/>
      <c r="B77" s="466"/>
      <c r="C77" s="657" t="s">
        <v>2897</v>
      </c>
      <c r="D77" s="657"/>
      <c r="E77" s="657"/>
      <c r="F77" s="657"/>
      <c r="G77" s="658">
        <f>G75/(138*2)</f>
        <v>572391.30434782605</v>
      </c>
    </row>
    <row r="78" spans="1:7" ht="13.5" thickBot="1" x14ac:dyDescent="0.25">
      <c r="A78" s="473"/>
      <c r="B78" s="474"/>
      <c r="C78" s="474"/>
      <c r="D78" s="475"/>
      <c r="E78" s="475"/>
      <c r="F78" s="476"/>
      <c r="G78" s="477"/>
    </row>
    <row r="80" spans="1:7" ht="13.5" thickBot="1" x14ac:dyDescent="0.25"/>
    <row r="81" spans="1:7" ht="25.5" x14ac:dyDescent="0.2">
      <c r="A81" s="478" t="s">
        <v>2898</v>
      </c>
      <c r="B81" s="659" t="s">
        <v>16</v>
      </c>
      <c r="C81" s="660"/>
      <c r="D81" s="661" t="s">
        <v>2899</v>
      </c>
      <c r="E81" s="661" t="s">
        <v>2900</v>
      </c>
      <c r="F81" s="661" t="s">
        <v>2901</v>
      </c>
      <c r="G81" s="662" t="s">
        <v>2902</v>
      </c>
    </row>
    <row r="82" spans="1:7" ht="51" x14ac:dyDescent="0.2">
      <c r="A82" s="663">
        <v>89</v>
      </c>
      <c r="B82" s="664" t="s">
        <v>2903</v>
      </c>
      <c r="C82" s="665" t="s">
        <v>2904</v>
      </c>
      <c r="D82" s="666">
        <v>250000</v>
      </c>
      <c r="E82" s="666">
        <v>3</v>
      </c>
      <c r="F82" s="667">
        <v>6</v>
      </c>
      <c r="G82" s="668">
        <f>D82*E82*F82</f>
        <v>4500000</v>
      </c>
    </row>
    <row r="83" spans="1:7" ht="51" x14ac:dyDescent="0.2">
      <c r="A83" s="663"/>
      <c r="B83" s="669"/>
      <c r="C83" s="665" t="s">
        <v>2905</v>
      </c>
      <c r="D83" s="666">
        <v>50000</v>
      </c>
      <c r="E83" s="666">
        <v>3</v>
      </c>
      <c r="F83" s="667">
        <v>1</v>
      </c>
      <c r="G83" s="668">
        <f>D83*E83*F83</f>
        <v>150000</v>
      </c>
    </row>
    <row r="84" spans="1:7" x14ac:dyDescent="0.2">
      <c r="A84" s="663"/>
      <c r="B84" s="669"/>
      <c r="C84" s="665" t="s">
        <v>2906</v>
      </c>
      <c r="D84" s="666">
        <v>60000</v>
      </c>
      <c r="E84" s="666">
        <v>3</v>
      </c>
      <c r="F84" s="667">
        <v>6</v>
      </c>
      <c r="G84" s="668">
        <f>D84*E84*F84</f>
        <v>1080000</v>
      </c>
    </row>
    <row r="85" spans="1:7" x14ac:dyDescent="0.2">
      <c r="A85" s="479"/>
      <c r="B85" s="480"/>
      <c r="C85" s="480"/>
      <c r="D85" s="480"/>
      <c r="E85" s="480"/>
      <c r="F85" s="480"/>
      <c r="G85" s="481"/>
    </row>
    <row r="86" spans="1:7" x14ac:dyDescent="0.2">
      <c r="A86" s="479"/>
      <c r="B86" s="480"/>
      <c r="C86" s="480" t="s">
        <v>2907</v>
      </c>
      <c r="D86" s="480"/>
      <c r="E86" s="480"/>
      <c r="F86" s="480"/>
      <c r="G86" s="482">
        <f>SUM(G82:G85)</f>
        <v>5730000</v>
      </c>
    </row>
    <row r="87" spans="1:7" x14ac:dyDescent="0.2">
      <c r="A87" s="479"/>
      <c r="B87" s="480"/>
      <c r="C87" s="480"/>
      <c r="D87" s="480"/>
      <c r="E87" s="480"/>
      <c r="F87" s="480"/>
      <c r="G87" s="482"/>
    </row>
    <row r="88" spans="1:7" ht="13.5" thickBot="1" x14ac:dyDescent="0.25">
      <c r="A88" s="483"/>
      <c r="B88" s="484"/>
      <c r="C88" s="670" t="s">
        <v>2908</v>
      </c>
      <c r="D88" s="670"/>
      <c r="E88" s="670"/>
      <c r="F88" s="670"/>
      <c r="G88" s="658">
        <f>G86/(3*5)</f>
        <v>382000</v>
      </c>
    </row>
    <row r="91" spans="1:7" x14ac:dyDescent="0.2">
      <c r="A91" s="584" t="s">
        <v>2658</v>
      </c>
    </row>
    <row r="93" spans="1:7" ht="25.5" x14ac:dyDescent="0.2">
      <c r="A93" s="485"/>
      <c r="B93" s="671" t="s">
        <v>16</v>
      </c>
      <c r="C93" s="672" t="s">
        <v>2799</v>
      </c>
      <c r="D93" s="672" t="s">
        <v>2767</v>
      </c>
      <c r="E93" s="672" t="s">
        <v>2909</v>
      </c>
      <c r="F93" s="672" t="s">
        <v>1943</v>
      </c>
      <c r="G93" s="672" t="s">
        <v>2902</v>
      </c>
    </row>
    <row r="94" spans="1:7" x14ac:dyDescent="0.2">
      <c r="A94" s="490">
        <v>3</v>
      </c>
      <c r="B94" s="673" t="s">
        <v>2910</v>
      </c>
      <c r="C94" s="674" t="s">
        <v>2911</v>
      </c>
      <c r="D94" s="675"/>
      <c r="E94" s="675"/>
      <c r="F94" s="675"/>
      <c r="G94" s="675"/>
    </row>
    <row r="95" spans="1:7" ht="38.25" x14ac:dyDescent="0.2">
      <c r="A95" s="493"/>
      <c r="B95" s="500" t="s">
        <v>2912</v>
      </c>
      <c r="C95" s="499">
        <v>50000</v>
      </c>
      <c r="D95" s="499">
        <f>836*70%</f>
        <v>585.19999999999993</v>
      </c>
      <c r="E95" s="499">
        <v>3</v>
      </c>
      <c r="F95" s="499">
        <v>1</v>
      </c>
      <c r="G95" s="499">
        <f>C95*D95*E95*F95</f>
        <v>87779999.999999985</v>
      </c>
    </row>
    <row r="96" spans="1:7" x14ac:dyDescent="0.2">
      <c r="A96" s="493"/>
      <c r="B96" s="676" t="s">
        <v>2913</v>
      </c>
      <c r="C96" s="677"/>
      <c r="D96" s="677"/>
      <c r="E96" s="677"/>
      <c r="F96" s="677"/>
      <c r="G96" s="677">
        <f>SUM(G95)</f>
        <v>87779999.999999985</v>
      </c>
    </row>
    <row r="97" spans="1:7" x14ac:dyDescent="0.2">
      <c r="A97" s="678"/>
      <c r="B97" s="679"/>
      <c r="C97" s="675"/>
      <c r="D97" s="675"/>
      <c r="E97" s="675"/>
      <c r="F97" s="675"/>
      <c r="G97" s="675"/>
    </row>
    <row r="98" spans="1:7" ht="38.25" x14ac:dyDescent="0.2">
      <c r="A98" s="490">
        <v>4</v>
      </c>
      <c r="B98" s="673" t="s">
        <v>2914</v>
      </c>
      <c r="C98" s="674" t="s">
        <v>2911</v>
      </c>
      <c r="D98" s="680"/>
      <c r="E98" s="680"/>
      <c r="F98" s="680"/>
      <c r="G98" s="680"/>
    </row>
    <row r="99" spans="1:7" ht="25.5" x14ac:dyDescent="0.2">
      <c r="A99" s="678"/>
      <c r="B99" s="500" t="s">
        <v>3107</v>
      </c>
      <c r="C99" s="499">
        <v>250000</v>
      </c>
      <c r="D99" s="499">
        <v>2</v>
      </c>
      <c r="E99" s="499">
        <v>2</v>
      </c>
      <c r="F99" s="499">
        <v>1</v>
      </c>
      <c r="G99" s="499">
        <f t="shared" ref="G99:G110" si="3">C99*D99*E99*F99</f>
        <v>1000000</v>
      </c>
    </row>
    <row r="100" spans="1:7" ht="25.5" x14ac:dyDescent="0.2">
      <c r="A100" s="678"/>
      <c r="B100" s="500" t="s">
        <v>3108</v>
      </c>
      <c r="C100" s="499">
        <v>50000</v>
      </c>
      <c r="D100" s="499">
        <v>1</v>
      </c>
      <c r="E100" s="499">
        <v>1</v>
      </c>
      <c r="F100" s="499">
        <v>1</v>
      </c>
      <c r="G100" s="499">
        <f t="shared" si="3"/>
        <v>50000</v>
      </c>
    </row>
    <row r="101" spans="1:7" ht="25.5" x14ac:dyDescent="0.2">
      <c r="A101" s="678"/>
      <c r="B101" s="500" t="s">
        <v>3109</v>
      </c>
      <c r="C101" s="499">
        <v>250000</v>
      </c>
      <c r="D101" s="499">
        <v>8</v>
      </c>
      <c r="E101" s="499">
        <v>1</v>
      </c>
      <c r="F101" s="499">
        <v>1</v>
      </c>
      <c r="G101" s="499">
        <f t="shared" si="3"/>
        <v>2000000</v>
      </c>
    </row>
    <row r="102" spans="1:7" ht="25.5" x14ac:dyDescent="0.2">
      <c r="A102" s="678"/>
      <c r="B102" s="500" t="s">
        <v>3110</v>
      </c>
      <c r="C102" s="499">
        <v>50000</v>
      </c>
      <c r="D102" s="499">
        <v>8</v>
      </c>
      <c r="E102" s="499">
        <v>1</v>
      </c>
      <c r="F102" s="499">
        <v>1</v>
      </c>
      <c r="G102" s="499">
        <f t="shared" si="3"/>
        <v>400000</v>
      </c>
    </row>
    <row r="103" spans="1:7" ht="25.5" x14ac:dyDescent="0.2">
      <c r="A103" s="678"/>
      <c r="B103" s="500" t="s">
        <v>2915</v>
      </c>
      <c r="C103" s="499">
        <v>200000</v>
      </c>
      <c r="D103" s="499">
        <v>2</v>
      </c>
      <c r="E103" s="499">
        <v>2</v>
      </c>
      <c r="F103" s="499">
        <v>1</v>
      </c>
      <c r="G103" s="499">
        <f t="shared" si="3"/>
        <v>800000</v>
      </c>
    </row>
    <row r="104" spans="1:7" ht="25.5" x14ac:dyDescent="0.2">
      <c r="A104" s="678"/>
      <c r="B104" s="500" t="s">
        <v>3111</v>
      </c>
      <c r="C104" s="499">
        <v>100000</v>
      </c>
      <c r="D104" s="499">
        <v>2</v>
      </c>
      <c r="E104" s="499">
        <v>2</v>
      </c>
      <c r="F104" s="499">
        <v>1</v>
      </c>
      <c r="G104" s="499">
        <f t="shared" si="3"/>
        <v>400000</v>
      </c>
    </row>
    <row r="105" spans="1:7" ht="25.5" x14ac:dyDescent="0.2">
      <c r="A105" s="678"/>
      <c r="B105" s="500" t="s">
        <v>3112</v>
      </c>
      <c r="C105" s="499">
        <v>80000</v>
      </c>
      <c r="D105" s="499">
        <v>8</v>
      </c>
      <c r="E105" s="499">
        <v>2</v>
      </c>
      <c r="F105" s="499">
        <v>1</v>
      </c>
      <c r="G105" s="499">
        <f t="shared" si="3"/>
        <v>1280000</v>
      </c>
    </row>
    <row r="106" spans="1:7" x14ac:dyDescent="0.2">
      <c r="A106" s="678"/>
      <c r="B106" s="500"/>
      <c r="C106" s="499"/>
      <c r="D106" s="499"/>
      <c r="E106" s="499"/>
      <c r="F106" s="499"/>
      <c r="G106" s="677">
        <f>SUM(G99:G105)</f>
        <v>5930000</v>
      </c>
    </row>
    <row r="107" spans="1:7" x14ac:dyDescent="0.2">
      <c r="A107" s="678"/>
      <c r="B107" s="500" t="s">
        <v>2916</v>
      </c>
      <c r="C107" s="499">
        <v>600000</v>
      </c>
      <c r="D107" s="499">
        <v>1</v>
      </c>
      <c r="E107" s="499">
        <v>1</v>
      </c>
      <c r="F107" s="499">
        <v>1</v>
      </c>
      <c r="G107" s="499">
        <f t="shared" si="3"/>
        <v>600000</v>
      </c>
    </row>
    <row r="108" spans="1:7" x14ac:dyDescent="0.2">
      <c r="A108" s="531"/>
      <c r="B108" s="543" t="s">
        <v>2917</v>
      </c>
      <c r="C108" s="544">
        <v>10000</v>
      </c>
      <c r="D108" s="544">
        <v>60</v>
      </c>
      <c r="E108" s="544">
        <v>1</v>
      </c>
      <c r="F108" s="544">
        <v>1</v>
      </c>
      <c r="G108" s="499">
        <f t="shared" si="3"/>
        <v>600000</v>
      </c>
    </row>
    <row r="109" spans="1:7" x14ac:dyDescent="0.2">
      <c r="A109" s="681"/>
      <c r="B109" s="497"/>
      <c r="C109" s="498"/>
      <c r="D109" s="498"/>
      <c r="E109" s="498"/>
      <c r="F109" s="498">
        <v>1</v>
      </c>
      <c r="G109" s="682">
        <f>SUM(G107:G108)</f>
        <v>1200000</v>
      </c>
    </row>
    <row r="110" spans="1:7" ht="25.5" x14ac:dyDescent="0.2">
      <c r="A110" s="531"/>
      <c r="B110" s="683" t="s">
        <v>2918</v>
      </c>
      <c r="C110" s="684">
        <v>800000</v>
      </c>
      <c r="D110" s="553">
        <v>1</v>
      </c>
      <c r="E110" s="553">
        <v>1</v>
      </c>
      <c r="F110" s="553">
        <v>1</v>
      </c>
      <c r="G110" s="553">
        <f t="shared" si="3"/>
        <v>800000</v>
      </c>
    </row>
    <row r="111" spans="1:7" x14ac:dyDescent="0.2">
      <c r="A111" s="526"/>
      <c r="B111" s="685"/>
      <c r="C111" s="677"/>
      <c r="D111" s="677"/>
      <c r="E111" s="677"/>
      <c r="F111" s="677"/>
      <c r="G111" s="677">
        <f>SUM(G110)</f>
        <v>800000</v>
      </c>
    </row>
    <row r="112" spans="1:7" x14ac:dyDescent="0.2">
      <c r="A112" s="493"/>
      <c r="B112" s="676" t="s">
        <v>2919</v>
      </c>
      <c r="C112" s="677"/>
      <c r="D112" s="677"/>
      <c r="E112" s="677"/>
      <c r="F112" s="677"/>
      <c r="G112" s="686">
        <f>G106+G109+G111</f>
        <v>7930000</v>
      </c>
    </row>
    <row r="113" spans="1:7" x14ac:dyDescent="0.2">
      <c r="A113" s="678"/>
      <c r="B113" s="679"/>
      <c r="C113" s="687" t="s">
        <v>3087</v>
      </c>
      <c r="D113" s="688">
        <f>MAX(D99:D110)</f>
        <v>60</v>
      </c>
      <c r="E113" s="688">
        <f t="shared" ref="E113:F113" si="4">MAX(E99:E110)</f>
        <v>2</v>
      </c>
      <c r="F113" s="688">
        <f t="shared" si="4"/>
        <v>1</v>
      </c>
      <c r="G113" s="689">
        <f>G112/D113/E113/F113</f>
        <v>66083.333333333328</v>
      </c>
    </row>
    <row r="114" spans="1:7" x14ac:dyDescent="0.2">
      <c r="A114" s="678"/>
      <c r="B114" s="679"/>
      <c r="C114" s="690"/>
      <c r="D114" s="691"/>
      <c r="E114" s="691"/>
      <c r="F114" s="691"/>
      <c r="G114" s="691"/>
    </row>
    <row r="115" spans="1:7" x14ac:dyDescent="0.2">
      <c r="A115" s="490">
        <v>5</v>
      </c>
      <c r="B115" s="673" t="s">
        <v>2920</v>
      </c>
      <c r="C115" s="692" t="s">
        <v>2911</v>
      </c>
      <c r="D115" s="675"/>
      <c r="E115" s="675"/>
      <c r="F115" s="675"/>
      <c r="G115" s="675"/>
    </row>
    <row r="116" spans="1:7" ht="38.25" x14ac:dyDescent="0.2">
      <c r="A116" s="678"/>
      <c r="B116" s="500" t="s">
        <v>2921</v>
      </c>
      <c r="C116" s="499">
        <v>50000</v>
      </c>
      <c r="D116" s="499">
        <f>836*3%</f>
        <v>25.08</v>
      </c>
      <c r="E116" s="499">
        <v>3</v>
      </c>
      <c r="F116" s="499">
        <v>1</v>
      </c>
      <c r="G116" s="499">
        <f>C116*D116*E116*F116</f>
        <v>3762000</v>
      </c>
    </row>
    <row r="117" spans="1:7" x14ac:dyDescent="0.2">
      <c r="A117" s="493"/>
      <c r="B117" s="676" t="s">
        <v>2922</v>
      </c>
      <c r="C117" s="677"/>
      <c r="D117" s="677"/>
      <c r="E117" s="677"/>
      <c r="F117" s="677"/>
      <c r="G117" s="677">
        <f>SUM(G116)</f>
        <v>3762000</v>
      </c>
    </row>
    <row r="118" spans="1:7" x14ac:dyDescent="0.2">
      <c r="A118" s="678"/>
      <c r="B118" s="679"/>
      <c r="C118" s="675"/>
      <c r="D118" s="675"/>
      <c r="E118" s="675"/>
      <c r="F118" s="675"/>
      <c r="G118" s="675"/>
    </row>
    <row r="119" spans="1:7" ht="25.5" x14ac:dyDescent="0.2">
      <c r="A119" s="490">
        <v>18</v>
      </c>
      <c r="B119" s="673" t="s">
        <v>2923</v>
      </c>
      <c r="C119" s="692" t="s">
        <v>2911</v>
      </c>
      <c r="D119" s="693"/>
      <c r="E119" s="693"/>
      <c r="F119" s="675"/>
      <c r="G119" s="675"/>
    </row>
    <row r="120" spans="1:7" ht="25.5" x14ac:dyDescent="0.2">
      <c r="A120" s="678"/>
      <c r="B120" s="500" t="s">
        <v>2924</v>
      </c>
      <c r="C120" s="499">
        <v>50000</v>
      </c>
      <c r="D120" s="694">
        <f>836*3%</f>
        <v>25.08</v>
      </c>
      <c r="E120" s="499">
        <v>1</v>
      </c>
      <c r="F120" s="499">
        <v>1</v>
      </c>
      <c r="G120" s="499">
        <f>C120*D120*E120*F120</f>
        <v>1254000</v>
      </c>
    </row>
    <row r="121" spans="1:7" x14ac:dyDescent="0.2">
      <c r="A121" s="493"/>
      <c r="B121" s="676" t="s">
        <v>2925</v>
      </c>
      <c r="C121" s="677"/>
      <c r="D121" s="677"/>
      <c r="E121" s="677"/>
      <c r="F121" s="677"/>
      <c r="G121" s="677">
        <f>SUM(G120)</f>
        <v>1254000</v>
      </c>
    </row>
    <row r="122" spans="1:7" x14ac:dyDescent="0.2">
      <c r="A122" s="493"/>
      <c r="B122" s="676" t="s">
        <v>2926</v>
      </c>
      <c r="C122" s="677"/>
      <c r="D122" s="677"/>
      <c r="E122" s="677"/>
      <c r="F122" s="677"/>
      <c r="G122" s="677">
        <f>G121+G117+G96</f>
        <v>92795999.999999985</v>
      </c>
    </row>
    <row r="123" spans="1:7" x14ac:dyDescent="0.2">
      <c r="A123" s="678"/>
      <c r="B123" s="679"/>
      <c r="C123" s="675"/>
      <c r="D123" s="675"/>
      <c r="E123" s="675"/>
      <c r="F123" s="675"/>
      <c r="G123" s="675"/>
    </row>
    <row r="124" spans="1:7" x14ac:dyDescent="0.2">
      <c r="A124" s="531"/>
      <c r="B124" s="541"/>
      <c r="C124" s="542"/>
      <c r="D124" s="542"/>
      <c r="E124" s="542"/>
      <c r="F124" s="542"/>
      <c r="G124" s="542"/>
    </row>
    <row r="125" spans="1:7" ht="51" x14ac:dyDescent="0.2">
      <c r="A125" s="490">
        <v>19</v>
      </c>
      <c r="B125" s="673" t="s">
        <v>2679</v>
      </c>
      <c r="C125" s="675" t="s">
        <v>2927</v>
      </c>
      <c r="D125" s="673"/>
      <c r="E125" s="673"/>
      <c r="F125" s="675"/>
      <c r="G125" s="675"/>
    </row>
    <row r="126" spans="1:7" ht="38.25" x14ac:dyDescent="0.2">
      <c r="A126" s="678"/>
      <c r="B126" s="500" t="s">
        <v>3113</v>
      </c>
      <c r="C126" s="499">
        <v>250000</v>
      </c>
      <c r="D126" s="499">
        <v>3</v>
      </c>
      <c r="E126" s="544">
        <v>4</v>
      </c>
      <c r="F126" s="544">
        <v>1</v>
      </c>
      <c r="G126" s="499">
        <f>C126*D126*E126*F126</f>
        <v>3000000</v>
      </c>
    </row>
    <row r="127" spans="1:7" ht="38.25" x14ac:dyDescent="0.2">
      <c r="A127" s="678"/>
      <c r="B127" s="500" t="s">
        <v>3114</v>
      </c>
      <c r="C127" s="499">
        <v>50000</v>
      </c>
      <c r="D127" s="499">
        <v>3</v>
      </c>
      <c r="E127" s="544">
        <v>1</v>
      </c>
      <c r="F127" s="544">
        <v>1</v>
      </c>
      <c r="G127" s="499">
        <f t="shared" ref="G127:G131" si="5">C127*D127*E127*F127</f>
        <v>150000</v>
      </c>
    </row>
    <row r="128" spans="1:7" x14ac:dyDescent="0.2">
      <c r="A128" s="678"/>
      <c r="B128" s="500" t="s">
        <v>3115</v>
      </c>
      <c r="C128" s="499">
        <v>250000</v>
      </c>
      <c r="D128" s="499">
        <v>1</v>
      </c>
      <c r="E128" s="544">
        <v>4</v>
      </c>
      <c r="F128" s="544">
        <v>1</v>
      </c>
      <c r="G128" s="499">
        <f t="shared" si="5"/>
        <v>1000000</v>
      </c>
    </row>
    <row r="129" spans="1:8" x14ac:dyDescent="0.2">
      <c r="A129" s="678"/>
      <c r="B129" s="500" t="s">
        <v>3116</v>
      </c>
      <c r="C129" s="499">
        <v>50000</v>
      </c>
      <c r="D129" s="499">
        <v>1</v>
      </c>
      <c r="E129" s="544">
        <v>1</v>
      </c>
      <c r="F129" s="544">
        <v>1</v>
      </c>
      <c r="G129" s="499">
        <f t="shared" si="5"/>
        <v>50000</v>
      </c>
    </row>
    <row r="130" spans="1:8" x14ac:dyDescent="0.2">
      <c r="A130" s="678"/>
      <c r="B130" s="500" t="s">
        <v>2928</v>
      </c>
      <c r="C130" s="499">
        <v>80000</v>
      </c>
      <c r="D130" s="499">
        <v>3</v>
      </c>
      <c r="E130" s="544">
        <v>4</v>
      </c>
      <c r="F130" s="544">
        <v>1</v>
      </c>
      <c r="G130" s="499">
        <f t="shared" si="5"/>
        <v>960000</v>
      </c>
    </row>
    <row r="131" spans="1:8" x14ac:dyDescent="0.2">
      <c r="A131" s="678"/>
      <c r="B131" s="500" t="s">
        <v>2929</v>
      </c>
      <c r="C131" s="499">
        <v>80000</v>
      </c>
      <c r="D131" s="499">
        <v>3</v>
      </c>
      <c r="E131" s="544">
        <v>1</v>
      </c>
      <c r="F131" s="544">
        <v>1</v>
      </c>
      <c r="G131" s="499">
        <f t="shared" si="5"/>
        <v>240000</v>
      </c>
    </row>
    <row r="132" spans="1:8" x14ac:dyDescent="0.2">
      <c r="A132" s="693"/>
      <c r="B132" s="676" t="s">
        <v>2930</v>
      </c>
      <c r="C132" s="677"/>
      <c r="D132" s="677"/>
      <c r="E132" s="677"/>
      <c r="F132" s="677"/>
      <c r="G132" s="677">
        <f>SUM(G126:G131)</f>
        <v>5400000</v>
      </c>
    </row>
    <row r="133" spans="1:8" x14ac:dyDescent="0.2">
      <c r="A133" s="490"/>
      <c r="B133" s="695"/>
      <c r="C133" s="687" t="s">
        <v>3087</v>
      </c>
      <c r="D133" s="688">
        <f>MAX(D126:D130)</f>
        <v>3</v>
      </c>
      <c r="E133" s="688">
        <f t="shared" ref="E133:F133" si="6">MAX(E119:E130)</f>
        <v>4</v>
      </c>
      <c r="F133" s="688">
        <f t="shared" si="6"/>
        <v>1</v>
      </c>
      <c r="G133" s="689">
        <f>G132/D133/E133/F133</f>
        <v>450000</v>
      </c>
    </row>
    <row r="134" spans="1:8" x14ac:dyDescent="0.2">
      <c r="B134" s="2"/>
      <c r="G134" s="2"/>
      <c r="H134" s="2"/>
    </row>
    <row r="135" spans="1:8" ht="38.25" x14ac:dyDescent="0.2">
      <c r="A135" s="490">
        <v>38</v>
      </c>
      <c r="B135" s="673" t="s">
        <v>2692</v>
      </c>
      <c r="C135" s="675" t="s">
        <v>2931</v>
      </c>
      <c r="D135" s="675"/>
      <c r="E135" s="675"/>
      <c r="F135" s="675"/>
      <c r="G135" s="675"/>
    </row>
    <row r="136" spans="1:8" ht="25.5" x14ac:dyDescent="0.2">
      <c r="A136" s="678"/>
      <c r="B136" s="500" t="s">
        <v>3117</v>
      </c>
      <c r="C136" s="499">
        <v>250000</v>
      </c>
      <c r="D136" s="544">
        <v>2</v>
      </c>
      <c r="E136" s="544">
        <v>2</v>
      </c>
      <c r="F136" s="544">
        <v>1</v>
      </c>
      <c r="G136" s="499">
        <f>C136*D136*E136*F136</f>
        <v>1000000</v>
      </c>
    </row>
    <row r="137" spans="1:8" ht="25.5" x14ac:dyDescent="0.2">
      <c r="A137" s="665"/>
      <c r="B137" s="500" t="s">
        <v>3118</v>
      </c>
      <c r="C137" s="500">
        <v>50000</v>
      </c>
      <c r="D137" s="500">
        <v>2</v>
      </c>
      <c r="E137" s="500">
        <v>1</v>
      </c>
      <c r="F137" s="500">
        <v>1</v>
      </c>
      <c r="G137" s="500">
        <f t="shared" ref="G137:G144" si="7">C137*D137*E137*F137</f>
        <v>100000</v>
      </c>
    </row>
    <row r="138" spans="1:8" ht="25.5" x14ac:dyDescent="0.2">
      <c r="A138" s="665"/>
      <c r="B138" s="500" t="s">
        <v>3119</v>
      </c>
      <c r="C138" s="500">
        <v>250000</v>
      </c>
      <c r="D138" s="500">
        <v>5</v>
      </c>
      <c r="E138" s="500">
        <v>2</v>
      </c>
      <c r="F138" s="500">
        <v>1</v>
      </c>
      <c r="G138" s="500">
        <f t="shared" si="7"/>
        <v>2500000</v>
      </c>
    </row>
    <row r="139" spans="1:8" ht="25.5" x14ac:dyDescent="0.2">
      <c r="A139" s="665"/>
      <c r="B139" s="500" t="s">
        <v>3120</v>
      </c>
      <c r="C139" s="500">
        <v>50000</v>
      </c>
      <c r="D139" s="500">
        <v>5</v>
      </c>
      <c r="E139" s="500">
        <v>1</v>
      </c>
      <c r="F139" s="500">
        <v>1</v>
      </c>
      <c r="G139" s="500">
        <f t="shared" si="7"/>
        <v>250000</v>
      </c>
    </row>
    <row r="140" spans="1:8" x14ac:dyDescent="0.2">
      <c r="A140" s="665"/>
      <c r="B140" s="500" t="s">
        <v>3121</v>
      </c>
      <c r="C140" s="500">
        <v>50000</v>
      </c>
      <c r="D140" s="500">
        <v>2</v>
      </c>
      <c r="E140" s="500">
        <v>1</v>
      </c>
      <c r="F140" s="500">
        <v>1</v>
      </c>
      <c r="G140" s="500">
        <f t="shared" si="7"/>
        <v>100000</v>
      </c>
    </row>
    <row r="141" spans="1:8" x14ac:dyDescent="0.2">
      <c r="A141" s="665"/>
      <c r="B141" s="500" t="s">
        <v>2932</v>
      </c>
      <c r="C141" s="500">
        <v>500000</v>
      </c>
      <c r="D141" s="500">
        <v>1</v>
      </c>
      <c r="E141" s="500">
        <v>1</v>
      </c>
      <c r="F141" s="500">
        <v>1</v>
      </c>
      <c r="G141" s="500">
        <f t="shared" si="7"/>
        <v>500000</v>
      </c>
    </row>
    <row r="142" spans="1:8" x14ac:dyDescent="0.2">
      <c r="A142" s="665"/>
      <c r="B142" s="500" t="s">
        <v>2933</v>
      </c>
      <c r="C142" s="500">
        <v>80000</v>
      </c>
      <c r="D142" s="500">
        <v>1</v>
      </c>
      <c r="E142" s="500">
        <v>1</v>
      </c>
      <c r="F142" s="500">
        <v>1</v>
      </c>
      <c r="G142" s="500">
        <f t="shared" si="7"/>
        <v>80000</v>
      </c>
    </row>
    <row r="143" spans="1:8" x14ac:dyDescent="0.2">
      <c r="A143" s="665"/>
      <c r="B143" s="500"/>
      <c r="C143" s="500"/>
      <c r="D143" s="500"/>
      <c r="E143" s="500"/>
      <c r="F143" s="500"/>
      <c r="G143" s="696">
        <f>SUM(G136:G142)</f>
        <v>4530000</v>
      </c>
    </row>
    <row r="144" spans="1:8" ht="25.5" x14ac:dyDescent="0.2">
      <c r="A144" s="665"/>
      <c r="B144" s="500" t="s">
        <v>2934</v>
      </c>
      <c r="C144" s="500">
        <v>10000</v>
      </c>
      <c r="D144" s="500">
        <v>50</v>
      </c>
      <c r="E144" s="500">
        <v>1</v>
      </c>
      <c r="F144" s="500">
        <v>1</v>
      </c>
      <c r="G144" s="500">
        <f t="shared" si="7"/>
        <v>500000</v>
      </c>
    </row>
    <row r="145" spans="1:7" ht="38.25" x14ac:dyDescent="0.2">
      <c r="A145" s="697"/>
      <c r="B145" s="545" t="s">
        <v>2935</v>
      </c>
      <c r="C145" s="543">
        <v>200000</v>
      </c>
      <c r="D145" s="545">
        <v>1</v>
      </c>
      <c r="E145" s="545">
        <v>1</v>
      </c>
      <c r="F145" s="545">
        <v>1</v>
      </c>
      <c r="G145" s="545">
        <f>C145*D145*E145*F145</f>
        <v>200000</v>
      </c>
    </row>
    <row r="146" spans="1:7" x14ac:dyDescent="0.2">
      <c r="A146" s="698"/>
      <c r="B146" s="500"/>
      <c r="C146" s="499"/>
      <c r="D146" s="499"/>
      <c r="E146" s="499"/>
      <c r="F146" s="499"/>
      <c r="G146" s="677">
        <f>SUM(G144:G145)</f>
        <v>700000</v>
      </c>
    </row>
    <row r="147" spans="1:7" x14ac:dyDescent="0.2">
      <c r="A147" s="493"/>
      <c r="B147" s="676" t="s">
        <v>2936</v>
      </c>
      <c r="C147" s="677"/>
      <c r="D147" s="677"/>
      <c r="E147" s="677"/>
      <c r="F147" s="677"/>
      <c r="G147" s="686">
        <f>G146+G143</f>
        <v>5230000</v>
      </c>
    </row>
    <row r="148" spans="1:7" x14ac:dyDescent="0.2">
      <c r="A148" s="678"/>
      <c r="B148" s="679"/>
      <c r="C148" s="699" t="s">
        <v>3087</v>
      </c>
      <c r="D148" s="700">
        <f>MAX(D136:D145)</f>
        <v>50</v>
      </c>
      <c r="E148" s="700">
        <f t="shared" ref="E148:F148" si="8">MAX(E134:E145)</f>
        <v>2</v>
      </c>
      <c r="F148" s="700">
        <f t="shared" si="8"/>
        <v>1</v>
      </c>
      <c r="G148" s="689">
        <f>G147/D148/E148/F148</f>
        <v>52300</v>
      </c>
    </row>
    <row r="149" spans="1:7" x14ac:dyDescent="0.2">
      <c r="A149" s="678"/>
      <c r="B149" s="679"/>
      <c r="C149" s="675"/>
      <c r="D149" s="675"/>
      <c r="E149" s="675"/>
      <c r="F149" s="675"/>
      <c r="G149" s="675"/>
    </row>
    <row r="150" spans="1:7" x14ac:dyDescent="0.2">
      <c r="A150" s="678"/>
      <c r="B150" s="679"/>
      <c r="C150" s="675"/>
      <c r="D150" s="675"/>
      <c r="E150" s="675"/>
      <c r="F150" s="675"/>
      <c r="G150" s="675"/>
    </row>
    <row r="151" spans="1:7" ht="25.5" x14ac:dyDescent="0.2">
      <c r="A151" s="490">
        <v>39</v>
      </c>
      <c r="B151" s="673" t="s">
        <v>2937</v>
      </c>
      <c r="C151" s="675" t="s">
        <v>2931</v>
      </c>
      <c r="D151" s="675"/>
      <c r="E151" s="675"/>
      <c r="F151" s="675"/>
      <c r="G151" s="701"/>
    </row>
    <row r="152" spans="1:7" ht="38.25" x14ac:dyDescent="0.2">
      <c r="A152" s="493"/>
      <c r="B152" s="500" t="s">
        <v>2938</v>
      </c>
      <c r="C152" s="499">
        <f>100*8181</f>
        <v>818100</v>
      </c>
      <c r="D152" s="499">
        <v>55</v>
      </c>
      <c r="E152" s="499">
        <v>1</v>
      </c>
      <c r="F152" s="499">
        <v>1</v>
      </c>
      <c r="G152" s="499">
        <f>C152*D152*E152*F152</f>
        <v>44995500</v>
      </c>
    </row>
    <row r="153" spans="1:7" x14ac:dyDescent="0.2">
      <c r="A153" s="493"/>
      <c r="B153" s="676" t="s">
        <v>2939</v>
      </c>
      <c r="C153" s="677"/>
      <c r="D153" s="677"/>
      <c r="E153" s="677"/>
      <c r="F153" s="677"/>
      <c r="G153" s="677">
        <f>SUM(G152)</f>
        <v>44995500</v>
      </c>
    </row>
    <row r="154" spans="1:7" x14ac:dyDescent="0.2">
      <c r="A154" s="493"/>
      <c r="B154" s="676" t="s">
        <v>2940</v>
      </c>
      <c r="C154" s="677"/>
      <c r="D154" s="677"/>
      <c r="E154" s="677"/>
      <c r="F154" s="677"/>
      <c r="G154" s="677">
        <f>G153+G147+G132</f>
        <v>55625500</v>
      </c>
    </row>
    <row r="155" spans="1:7" x14ac:dyDescent="0.2">
      <c r="A155" s="678"/>
      <c r="B155" s="665"/>
      <c r="C155" s="666"/>
      <c r="D155" s="666"/>
      <c r="E155" s="666"/>
      <c r="F155" s="666"/>
      <c r="G155" s="702"/>
    </row>
    <row r="156" spans="1:7" x14ac:dyDescent="0.2">
      <c r="A156" s="678"/>
      <c r="B156" s="679"/>
      <c r="C156" s="675"/>
      <c r="D156" s="675"/>
      <c r="E156" s="675"/>
      <c r="F156" s="675"/>
      <c r="G156" s="675"/>
    </row>
    <row r="157" spans="1:7" ht="38.25" x14ac:dyDescent="0.2">
      <c r="A157" s="490">
        <v>40</v>
      </c>
      <c r="B157" s="703" t="s">
        <v>2694</v>
      </c>
      <c r="C157" s="704" t="s">
        <v>2927</v>
      </c>
      <c r="D157" s="704"/>
      <c r="E157" s="704"/>
      <c r="F157" s="704"/>
      <c r="G157" s="704"/>
    </row>
    <row r="158" spans="1:7" ht="51" x14ac:dyDescent="0.2">
      <c r="A158" s="678"/>
      <c r="B158" s="500" t="s">
        <v>2941</v>
      </c>
      <c r="C158" s="499">
        <v>250000</v>
      </c>
      <c r="D158" s="499">
        <v>2</v>
      </c>
      <c r="E158" s="499">
        <v>2</v>
      </c>
      <c r="F158" s="499">
        <v>1</v>
      </c>
      <c r="G158" s="499">
        <f t="shared" ref="G158:G162" si="9">C158*D158*E158*F158</f>
        <v>1000000</v>
      </c>
    </row>
    <row r="159" spans="1:7" ht="51" x14ac:dyDescent="0.2">
      <c r="A159" s="678"/>
      <c r="B159" s="500" t="s">
        <v>2942</v>
      </c>
      <c r="C159" s="499">
        <v>50000</v>
      </c>
      <c r="D159" s="499">
        <v>2</v>
      </c>
      <c r="E159" s="499">
        <v>1</v>
      </c>
      <c r="F159" s="499">
        <v>1</v>
      </c>
      <c r="G159" s="499">
        <f t="shared" si="9"/>
        <v>100000</v>
      </c>
    </row>
    <row r="160" spans="1:7" ht="51" x14ac:dyDescent="0.2">
      <c r="A160" s="678"/>
      <c r="B160" s="500" t="s">
        <v>2943</v>
      </c>
      <c r="C160" s="499">
        <v>35000</v>
      </c>
      <c r="D160" s="499">
        <v>15</v>
      </c>
      <c r="E160" s="499">
        <v>1</v>
      </c>
      <c r="F160" s="499">
        <v>1</v>
      </c>
      <c r="G160" s="499">
        <f t="shared" si="9"/>
        <v>525000</v>
      </c>
    </row>
    <row r="161" spans="1:7" ht="51" x14ac:dyDescent="0.2">
      <c r="A161" s="678"/>
      <c r="B161" s="500" t="s">
        <v>3122</v>
      </c>
      <c r="C161" s="499">
        <v>250000</v>
      </c>
      <c r="D161" s="499">
        <v>2</v>
      </c>
      <c r="E161" s="499">
        <v>2</v>
      </c>
      <c r="F161" s="499">
        <v>1</v>
      </c>
      <c r="G161" s="499">
        <f t="shared" si="9"/>
        <v>1000000</v>
      </c>
    </row>
    <row r="162" spans="1:7" ht="51" x14ac:dyDescent="0.2">
      <c r="A162" s="678"/>
      <c r="B162" s="500" t="s">
        <v>2944</v>
      </c>
      <c r="C162" s="499">
        <v>50000</v>
      </c>
      <c r="D162" s="499">
        <v>15</v>
      </c>
      <c r="E162" s="499">
        <v>2</v>
      </c>
      <c r="F162" s="499">
        <v>1</v>
      </c>
      <c r="G162" s="499">
        <f t="shared" si="9"/>
        <v>1500000</v>
      </c>
    </row>
    <row r="163" spans="1:7" x14ac:dyDescent="0.2">
      <c r="A163" s="705"/>
      <c r="B163" s="545" t="s">
        <v>2945</v>
      </c>
      <c r="C163" s="553">
        <v>600000</v>
      </c>
      <c r="D163" s="553">
        <v>1</v>
      </c>
      <c r="E163" s="553">
        <v>1</v>
      </c>
      <c r="F163" s="553">
        <v>1</v>
      </c>
      <c r="G163" s="553">
        <f>C163*D163*E163*F163</f>
        <v>600000</v>
      </c>
    </row>
    <row r="164" spans="1:7" ht="25.5" x14ac:dyDescent="0.2">
      <c r="A164" s="678"/>
      <c r="B164" s="545" t="s">
        <v>2946</v>
      </c>
      <c r="C164" s="553">
        <v>100000</v>
      </c>
      <c r="D164" s="553">
        <v>1</v>
      </c>
      <c r="E164" s="553">
        <v>1</v>
      </c>
      <c r="F164" s="553">
        <v>1</v>
      </c>
      <c r="G164" s="553">
        <f>C164*D164*E164*F164</f>
        <v>100000</v>
      </c>
    </row>
    <row r="165" spans="1:7" x14ac:dyDescent="0.2">
      <c r="A165" s="678"/>
      <c r="B165" s="545" t="s">
        <v>2917</v>
      </c>
      <c r="C165" s="553">
        <v>20000</v>
      </c>
      <c r="D165" s="553">
        <v>17</v>
      </c>
      <c r="E165" s="553">
        <v>1</v>
      </c>
      <c r="F165" s="553">
        <v>1</v>
      </c>
      <c r="G165" s="553">
        <f>C165*D165*E165*F165</f>
        <v>340000</v>
      </c>
    </row>
    <row r="166" spans="1:7" x14ac:dyDescent="0.2">
      <c r="A166" s="678"/>
      <c r="B166" s="545" t="s">
        <v>2947</v>
      </c>
      <c r="C166" s="553">
        <v>20000</v>
      </c>
      <c r="D166" s="553">
        <v>15</v>
      </c>
      <c r="E166" s="553">
        <v>1</v>
      </c>
      <c r="F166" s="553">
        <v>1</v>
      </c>
      <c r="G166" s="553">
        <f>C166*D166*E166*F166</f>
        <v>300000</v>
      </c>
    </row>
    <row r="167" spans="1:7" x14ac:dyDescent="0.2">
      <c r="A167" s="678"/>
      <c r="B167" s="676" t="s">
        <v>2948</v>
      </c>
      <c r="C167" s="677"/>
      <c r="D167" s="677"/>
      <c r="E167" s="677"/>
      <c r="F167" s="677"/>
      <c r="G167" s="677">
        <f>SUM(G158:G166)</f>
        <v>5465000</v>
      </c>
    </row>
    <row r="168" spans="1:7" x14ac:dyDescent="0.2">
      <c r="A168" s="493"/>
      <c r="B168" s="2"/>
      <c r="C168" s="699" t="s">
        <v>3087</v>
      </c>
      <c r="D168" s="700">
        <f>MAX(D158:D165)-2</f>
        <v>15</v>
      </c>
      <c r="E168" s="700">
        <f>MAX(E158:E165)</f>
        <v>2</v>
      </c>
      <c r="F168" s="700">
        <f t="shared" ref="F168" si="10">MAX(F154:F165)</f>
        <v>1</v>
      </c>
      <c r="G168" s="689">
        <f>G167/D168/E168/F168</f>
        <v>182166.66666666666</v>
      </c>
    </row>
    <row r="169" spans="1:7" x14ac:dyDescent="0.2">
      <c r="A169" s="487"/>
      <c r="B169" s="706"/>
      <c r="C169" s="707"/>
      <c r="D169" s="707"/>
      <c r="E169" s="707"/>
      <c r="F169" s="707"/>
      <c r="G169" s="707"/>
    </row>
    <row r="170" spans="1:7" ht="63.75" x14ac:dyDescent="0.2">
      <c r="A170" s="490">
        <v>41</v>
      </c>
      <c r="B170" s="673" t="s">
        <v>2695</v>
      </c>
      <c r="C170" s="707" t="s">
        <v>2949</v>
      </c>
      <c r="D170" s="707"/>
      <c r="E170" s="707"/>
      <c r="F170" s="707"/>
      <c r="G170" s="707"/>
    </row>
    <row r="171" spans="1:7" ht="25.5" x14ac:dyDescent="0.2">
      <c r="A171" s="678"/>
      <c r="B171" s="500" t="s">
        <v>2950</v>
      </c>
      <c r="C171" s="499">
        <v>250000</v>
      </c>
      <c r="D171" s="544">
        <v>2</v>
      </c>
      <c r="E171" s="544">
        <v>3</v>
      </c>
      <c r="F171" s="544">
        <v>1</v>
      </c>
      <c r="G171" s="499">
        <f>C171*D171*E171*F171</f>
        <v>1500000</v>
      </c>
    </row>
    <row r="172" spans="1:7" ht="25.5" x14ac:dyDescent="0.2">
      <c r="A172" s="678"/>
      <c r="B172" s="500" t="s">
        <v>2951</v>
      </c>
      <c r="C172" s="499">
        <v>250000</v>
      </c>
      <c r="D172" s="544">
        <v>2</v>
      </c>
      <c r="E172" s="544">
        <v>2</v>
      </c>
      <c r="F172" s="544">
        <v>1</v>
      </c>
      <c r="G172" s="499">
        <f t="shared" ref="G172:G176" si="11">C172*D172*E172*F172</f>
        <v>1000000</v>
      </c>
    </row>
    <row r="173" spans="1:7" ht="25.5" x14ac:dyDescent="0.2">
      <c r="A173" s="678"/>
      <c r="B173" s="500" t="s">
        <v>2952</v>
      </c>
      <c r="C173" s="499">
        <v>50000</v>
      </c>
      <c r="D173" s="544">
        <v>2</v>
      </c>
      <c r="E173" s="544">
        <v>1</v>
      </c>
      <c r="F173" s="544">
        <v>1</v>
      </c>
      <c r="G173" s="499">
        <f t="shared" si="11"/>
        <v>100000</v>
      </c>
    </row>
    <row r="174" spans="1:7" ht="25.5" x14ac:dyDescent="0.2">
      <c r="A174" s="678"/>
      <c r="B174" s="500" t="s">
        <v>2953</v>
      </c>
      <c r="C174" s="499">
        <v>50000</v>
      </c>
      <c r="D174" s="544">
        <v>2</v>
      </c>
      <c r="E174" s="544">
        <v>1</v>
      </c>
      <c r="F174" s="544">
        <v>1</v>
      </c>
      <c r="G174" s="499">
        <f t="shared" si="11"/>
        <v>100000</v>
      </c>
    </row>
    <row r="175" spans="1:7" ht="51" x14ac:dyDescent="0.2">
      <c r="A175" s="678"/>
      <c r="B175" s="500" t="s">
        <v>3123</v>
      </c>
      <c r="C175" s="499">
        <v>250000</v>
      </c>
      <c r="D175" s="499">
        <v>2</v>
      </c>
      <c r="E175" s="499">
        <v>2</v>
      </c>
      <c r="F175" s="499">
        <v>1</v>
      </c>
      <c r="G175" s="499">
        <f t="shared" si="11"/>
        <v>1000000</v>
      </c>
    </row>
    <row r="176" spans="1:7" ht="25.5" x14ac:dyDescent="0.2">
      <c r="A176" s="678"/>
      <c r="B176" s="543" t="s">
        <v>3124</v>
      </c>
      <c r="C176" s="499">
        <v>200000</v>
      </c>
      <c r="D176" s="544">
        <v>4</v>
      </c>
      <c r="E176" s="544">
        <v>2</v>
      </c>
      <c r="F176" s="544">
        <v>1</v>
      </c>
      <c r="G176" s="499">
        <f t="shared" si="11"/>
        <v>1600000</v>
      </c>
    </row>
    <row r="177" spans="1:7" x14ac:dyDescent="0.2">
      <c r="A177" s="493"/>
      <c r="B177" s="676" t="s">
        <v>2954</v>
      </c>
      <c r="C177" s="677"/>
      <c r="D177" s="677"/>
      <c r="E177" s="677"/>
      <c r="F177" s="677"/>
      <c r="G177" s="677">
        <f>SUM(G171:G176)</f>
        <v>5300000</v>
      </c>
    </row>
    <row r="178" spans="1:7" x14ac:dyDescent="0.2">
      <c r="C178" s="699" t="s">
        <v>3087</v>
      </c>
      <c r="D178" s="700">
        <f>MAX(D171:D176)</f>
        <v>4</v>
      </c>
      <c r="E178" s="700">
        <f>MAX(E168:E175)</f>
        <v>3</v>
      </c>
      <c r="F178" s="700">
        <f t="shared" ref="F178" si="12">MAX(F164:F175)</f>
        <v>1</v>
      </c>
      <c r="G178" s="689">
        <f>G177/D178/E178/F178</f>
        <v>441666.66666666669</v>
      </c>
    </row>
    <row r="180" spans="1:7" x14ac:dyDescent="0.2">
      <c r="B180" s="708" t="s">
        <v>2660</v>
      </c>
    </row>
    <row r="182" spans="1:7" ht="25.5" x14ac:dyDescent="0.2">
      <c r="A182" s="485" t="s">
        <v>2955</v>
      </c>
      <c r="B182" s="486" t="s">
        <v>16</v>
      </c>
      <c r="C182" s="486" t="s">
        <v>2799</v>
      </c>
      <c r="D182" s="486" t="s">
        <v>2767</v>
      </c>
      <c r="E182" s="486" t="s">
        <v>2909</v>
      </c>
      <c r="F182" s="486" t="s">
        <v>1943</v>
      </c>
      <c r="G182" s="486" t="s">
        <v>2902</v>
      </c>
    </row>
    <row r="183" spans="1:7" x14ac:dyDescent="0.2">
      <c r="A183" s="487"/>
      <c r="B183" s="488"/>
      <c r="C183" s="489"/>
      <c r="D183" s="489"/>
      <c r="E183" s="489"/>
      <c r="F183" s="489"/>
      <c r="G183" s="489"/>
    </row>
    <row r="184" spans="1:7" ht="25.5" x14ac:dyDescent="0.2">
      <c r="A184" s="490">
        <v>47</v>
      </c>
      <c r="B184" s="491" t="s">
        <v>2701</v>
      </c>
      <c r="C184" s="489"/>
      <c r="D184" s="489"/>
      <c r="E184" s="489"/>
      <c r="F184" s="489"/>
      <c r="G184" s="492"/>
    </row>
    <row r="185" spans="1:7" x14ac:dyDescent="0.2">
      <c r="A185" s="493"/>
      <c r="B185" s="494" t="s">
        <v>2956</v>
      </c>
      <c r="C185" s="495">
        <v>250000</v>
      </c>
      <c r="D185" s="496">
        <v>1</v>
      </c>
      <c r="E185" s="496">
        <v>4</v>
      </c>
      <c r="F185" s="496">
        <v>2</v>
      </c>
      <c r="G185" s="496">
        <f>C185*D185*E185*F185</f>
        <v>2000000</v>
      </c>
    </row>
    <row r="186" spans="1:7" x14ac:dyDescent="0.2">
      <c r="A186" s="493"/>
      <c r="B186" s="494" t="s">
        <v>2957</v>
      </c>
      <c r="C186" s="495">
        <v>50000</v>
      </c>
      <c r="D186" s="496">
        <v>1</v>
      </c>
      <c r="E186" s="496">
        <v>1</v>
      </c>
      <c r="F186" s="496">
        <v>2</v>
      </c>
      <c r="G186" s="496">
        <f>C186*D186*E186*F186</f>
        <v>100000</v>
      </c>
    </row>
    <row r="187" spans="1:7" x14ac:dyDescent="0.2">
      <c r="A187" s="493"/>
      <c r="B187" s="497" t="s">
        <v>2958</v>
      </c>
      <c r="C187" s="498">
        <v>400000</v>
      </c>
      <c r="D187" s="499">
        <v>1</v>
      </c>
      <c r="E187" s="499">
        <v>3</v>
      </c>
      <c r="F187" s="499">
        <v>2</v>
      </c>
      <c r="G187" s="499">
        <f t="shared" ref="G187:G201" si="13">C187*D187*E187*F187</f>
        <v>2400000</v>
      </c>
    </row>
    <row r="188" spans="1:7" ht="25.5" x14ac:dyDescent="0.2">
      <c r="A188" s="493"/>
      <c r="B188" s="494" t="s">
        <v>2959</v>
      </c>
      <c r="C188" s="495">
        <f>60000+150000</f>
        <v>210000</v>
      </c>
      <c r="D188" s="496"/>
      <c r="E188" s="496"/>
      <c r="F188" s="496"/>
      <c r="G188" s="496">
        <f t="shared" si="13"/>
        <v>0</v>
      </c>
    </row>
    <row r="189" spans="1:7" ht="25.5" x14ac:dyDescent="0.2">
      <c r="A189" s="493"/>
      <c r="B189" s="494" t="s">
        <v>2960</v>
      </c>
      <c r="C189" s="495">
        <f>60000+25000</f>
        <v>85000</v>
      </c>
      <c r="D189" s="496">
        <v>1</v>
      </c>
      <c r="E189" s="496">
        <v>2</v>
      </c>
      <c r="F189" s="496">
        <v>1</v>
      </c>
      <c r="G189" s="496">
        <f t="shared" si="13"/>
        <v>170000</v>
      </c>
    </row>
    <row r="190" spans="1:7" x14ac:dyDescent="0.2">
      <c r="A190" s="493"/>
      <c r="B190" s="500" t="s">
        <v>2961</v>
      </c>
      <c r="C190" s="496">
        <v>250000</v>
      </c>
      <c r="D190" s="496">
        <v>3</v>
      </c>
      <c r="E190" s="496">
        <v>4</v>
      </c>
      <c r="F190" s="496">
        <v>1</v>
      </c>
      <c r="G190" s="496">
        <f>C190*D190*E190*F190</f>
        <v>3000000</v>
      </c>
    </row>
    <row r="191" spans="1:7" ht="25.5" x14ac:dyDescent="0.2">
      <c r="A191" s="493"/>
      <c r="B191" s="500" t="s">
        <v>2962</v>
      </c>
      <c r="C191" s="496">
        <v>50000</v>
      </c>
      <c r="D191" s="496">
        <v>3</v>
      </c>
      <c r="E191" s="496">
        <v>4</v>
      </c>
      <c r="F191" s="496">
        <v>1</v>
      </c>
      <c r="G191" s="496">
        <f>C191*D191*E191*F191</f>
        <v>600000</v>
      </c>
    </row>
    <row r="192" spans="1:7" ht="38.25" x14ac:dyDescent="0.2">
      <c r="A192" s="493"/>
      <c r="B192" s="501" t="s">
        <v>2963</v>
      </c>
      <c r="C192" s="496">
        <v>35000</v>
      </c>
      <c r="D192" s="496">
        <v>12</v>
      </c>
      <c r="E192" s="496">
        <v>3</v>
      </c>
      <c r="F192" s="496">
        <v>1</v>
      </c>
      <c r="G192" s="496">
        <f>C192*D192*E192*F192</f>
        <v>1260000</v>
      </c>
    </row>
    <row r="193" spans="1:7" ht="25.5" x14ac:dyDescent="0.2">
      <c r="A193" s="493"/>
      <c r="B193" s="501" t="s">
        <v>2964</v>
      </c>
      <c r="C193" s="496">
        <v>30000</v>
      </c>
      <c r="D193" s="496">
        <v>8</v>
      </c>
      <c r="E193" s="496">
        <v>3</v>
      </c>
      <c r="F193" s="496">
        <v>1</v>
      </c>
      <c r="G193" s="496">
        <f>C193*D193*E193*F193</f>
        <v>720000</v>
      </c>
    </row>
    <row r="194" spans="1:7" ht="38.25" x14ac:dyDescent="0.2">
      <c r="A194" s="493"/>
      <c r="B194" s="501" t="s">
        <v>2965</v>
      </c>
      <c r="C194" s="496">
        <v>30000</v>
      </c>
      <c r="D194" s="496"/>
      <c r="E194" s="496"/>
      <c r="F194" s="496"/>
      <c r="G194" s="496">
        <f t="shared" si="13"/>
        <v>0</v>
      </c>
    </row>
    <row r="195" spans="1:7" ht="25.5" x14ac:dyDescent="0.2">
      <c r="A195" s="493"/>
      <c r="B195" s="501" t="s">
        <v>2966</v>
      </c>
      <c r="C195" s="496">
        <v>40000</v>
      </c>
      <c r="D195" s="496"/>
      <c r="E195" s="496"/>
      <c r="F195" s="496"/>
      <c r="G195" s="496">
        <f>C195*D195*E195*F195</f>
        <v>0</v>
      </c>
    </row>
    <row r="196" spans="1:7" ht="51" x14ac:dyDescent="0.2">
      <c r="A196" s="493"/>
      <c r="B196" s="501" t="s">
        <v>2967</v>
      </c>
      <c r="C196" s="496">
        <v>30000</v>
      </c>
      <c r="D196" s="496">
        <v>6</v>
      </c>
      <c r="E196" s="496">
        <v>3</v>
      </c>
      <c r="F196" s="496">
        <v>1</v>
      </c>
      <c r="G196" s="496">
        <f t="shared" si="13"/>
        <v>540000</v>
      </c>
    </row>
    <row r="197" spans="1:7" ht="38.25" x14ac:dyDescent="0.2">
      <c r="A197" s="493"/>
      <c r="B197" s="501" t="s">
        <v>2968</v>
      </c>
      <c r="C197" s="496">
        <v>100000</v>
      </c>
      <c r="D197" s="496">
        <v>3</v>
      </c>
      <c r="E197" s="496">
        <v>1</v>
      </c>
      <c r="F197" s="496">
        <v>2</v>
      </c>
      <c r="G197" s="496">
        <f t="shared" si="13"/>
        <v>600000</v>
      </c>
    </row>
    <row r="198" spans="1:7" x14ac:dyDescent="0.2">
      <c r="A198" s="493"/>
      <c r="B198" s="502" t="s">
        <v>2945</v>
      </c>
      <c r="C198" s="503">
        <v>600000</v>
      </c>
      <c r="D198" s="503">
        <v>1</v>
      </c>
      <c r="E198" s="503">
        <v>3</v>
      </c>
      <c r="F198" s="503">
        <v>2</v>
      </c>
      <c r="G198" s="496">
        <f t="shared" si="13"/>
        <v>3600000</v>
      </c>
    </row>
    <row r="199" spans="1:7" x14ac:dyDescent="0.2">
      <c r="A199" s="493"/>
      <c r="B199" s="502" t="s">
        <v>2893</v>
      </c>
      <c r="C199" s="503">
        <v>60000</v>
      </c>
      <c r="D199" s="503">
        <v>1</v>
      </c>
      <c r="E199" s="503">
        <v>1</v>
      </c>
      <c r="F199" s="503">
        <v>2</v>
      </c>
      <c r="G199" s="496">
        <f t="shared" si="13"/>
        <v>120000</v>
      </c>
    </row>
    <row r="200" spans="1:7" x14ac:dyDescent="0.2">
      <c r="A200" s="493"/>
      <c r="B200" s="502" t="s">
        <v>2969</v>
      </c>
      <c r="C200" s="503">
        <v>20000</v>
      </c>
      <c r="D200" s="503">
        <v>14</v>
      </c>
      <c r="E200" s="503">
        <v>3</v>
      </c>
      <c r="F200" s="503">
        <v>2</v>
      </c>
      <c r="G200" s="496">
        <f t="shared" si="13"/>
        <v>1680000</v>
      </c>
    </row>
    <row r="201" spans="1:7" x14ac:dyDescent="0.2">
      <c r="A201" s="493"/>
      <c r="B201" s="504" t="s">
        <v>2947</v>
      </c>
      <c r="C201" s="505">
        <v>20000</v>
      </c>
      <c r="D201" s="505">
        <v>14</v>
      </c>
      <c r="E201" s="505">
        <v>1</v>
      </c>
      <c r="F201" s="505">
        <v>2</v>
      </c>
      <c r="G201" s="496">
        <f t="shared" si="13"/>
        <v>560000</v>
      </c>
    </row>
    <row r="202" spans="1:7" x14ac:dyDescent="0.2">
      <c r="A202" s="493"/>
      <c r="B202" s="506"/>
      <c r="C202" s="507"/>
      <c r="D202" s="507"/>
      <c r="E202" s="507"/>
      <c r="F202" s="508"/>
      <c r="G202" s="509">
        <f>SUM(G185:G201)</f>
        <v>17350000</v>
      </c>
    </row>
    <row r="203" spans="1:7" x14ac:dyDescent="0.2">
      <c r="A203" s="493"/>
      <c r="B203" s="510"/>
      <c r="C203" s="511"/>
      <c r="D203" s="511"/>
      <c r="E203" s="511"/>
      <c r="F203" s="512"/>
      <c r="G203" s="511"/>
    </row>
    <row r="204" spans="1:7" x14ac:dyDescent="0.2">
      <c r="A204" s="493">
        <v>48</v>
      </c>
      <c r="B204" s="491" t="s">
        <v>2970</v>
      </c>
      <c r="C204" s="513"/>
      <c r="D204" s="513"/>
      <c r="E204" s="513"/>
      <c r="F204" s="513"/>
      <c r="G204" s="514"/>
    </row>
    <row r="205" spans="1:7" x14ac:dyDescent="0.2">
      <c r="A205" s="493"/>
      <c r="B205" s="501" t="s">
        <v>2971</v>
      </c>
      <c r="C205" s="515">
        <v>80000</v>
      </c>
      <c r="D205" s="516">
        <v>30</v>
      </c>
      <c r="E205" s="516">
        <v>3</v>
      </c>
      <c r="F205" s="516">
        <v>1</v>
      </c>
      <c r="G205" s="516">
        <f>C205*D205*E205*F205</f>
        <v>7200000</v>
      </c>
    </row>
    <row r="206" spans="1:7" x14ac:dyDescent="0.2">
      <c r="A206" s="517"/>
      <c r="B206" s="488"/>
      <c r="C206" s="489"/>
      <c r="D206" s="489"/>
      <c r="E206" s="489"/>
      <c r="F206" s="489"/>
      <c r="G206" s="489"/>
    </row>
    <row r="207" spans="1:7" ht="25.5" x14ac:dyDescent="0.2">
      <c r="A207" s="493">
        <v>49</v>
      </c>
      <c r="B207" s="518" t="s">
        <v>2703</v>
      </c>
      <c r="C207" s="519" t="s">
        <v>2799</v>
      </c>
      <c r="D207" s="519" t="s">
        <v>2767</v>
      </c>
      <c r="E207" s="519" t="s">
        <v>2909</v>
      </c>
      <c r="F207" s="519" t="s">
        <v>1943</v>
      </c>
      <c r="G207" s="486" t="s">
        <v>2902</v>
      </c>
    </row>
    <row r="208" spans="1:7" x14ac:dyDescent="0.2">
      <c r="A208" s="493"/>
      <c r="B208" s="501" t="s">
        <v>2956</v>
      </c>
      <c r="C208" s="496">
        <v>250000</v>
      </c>
      <c r="D208" s="496">
        <v>1</v>
      </c>
      <c r="E208" s="496">
        <v>2</v>
      </c>
      <c r="F208" s="496">
        <v>3</v>
      </c>
      <c r="G208" s="496">
        <f>C208*D208*E208*F208</f>
        <v>1500000</v>
      </c>
    </row>
    <row r="209" spans="1:7" x14ac:dyDescent="0.2">
      <c r="A209" s="493"/>
      <c r="B209" s="501" t="s">
        <v>2957</v>
      </c>
      <c r="C209" s="496">
        <v>50000</v>
      </c>
      <c r="D209" s="496">
        <v>1</v>
      </c>
      <c r="E209" s="496">
        <v>1</v>
      </c>
      <c r="F209" s="496">
        <v>3</v>
      </c>
      <c r="G209" s="496">
        <f>C209*D209*E209*F209</f>
        <v>150000</v>
      </c>
    </row>
    <row r="210" spans="1:7" ht="25.5" x14ac:dyDescent="0.2">
      <c r="A210" s="493"/>
      <c r="B210" s="500" t="s">
        <v>2972</v>
      </c>
      <c r="C210" s="495">
        <f>60000+150000</f>
        <v>210000</v>
      </c>
      <c r="D210" s="496">
        <v>1</v>
      </c>
      <c r="E210" s="496">
        <v>2</v>
      </c>
      <c r="F210" s="496">
        <v>1</v>
      </c>
      <c r="G210" s="496">
        <f t="shared" ref="G210:G218" si="14">C210*D210*E210*F210</f>
        <v>420000</v>
      </c>
    </row>
    <row r="211" spans="1:7" ht="25.5" x14ac:dyDescent="0.2">
      <c r="A211" s="493"/>
      <c r="B211" s="500" t="s">
        <v>2973</v>
      </c>
      <c r="C211" s="495">
        <f>60000+25000</f>
        <v>85000</v>
      </c>
      <c r="D211" s="496">
        <v>1</v>
      </c>
      <c r="E211" s="496">
        <v>2</v>
      </c>
      <c r="F211" s="496">
        <v>1</v>
      </c>
      <c r="G211" s="496">
        <f t="shared" si="14"/>
        <v>170000</v>
      </c>
    </row>
    <row r="212" spans="1:7" ht="38.25" x14ac:dyDescent="0.2">
      <c r="A212" s="493"/>
      <c r="B212" s="500" t="s">
        <v>2974</v>
      </c>
      <c r="C212" s="496">
        <v>250000</v>
      </c>
      <c r="D212" s="495">
        <v>5</v>
      </c>
      <c r="E212" s="496">
        <v>2</v>
      </c>
      <c r="F212" s="496">
        <v>3</v>
      </c>
      <c r="G212" s="496">
        <f>C212*D212*E212*F212</f>
        <v>7500000</v>
      </c>
    </row>
    <row r="213" spans="1:7" ht="38.25" x14ac:dyDescent="0.2">
      <c r="A213" s="493"/>
      <c r="B213" s="500" t="s">
        <v>2975</v>
      </c>
      <c r="C213" s="496">
        <v>50000</v>
      </c>
      <c r="D213" s="495">
        <v>5</v>
      </c>
      <c r="E213" s="495">
        <v>1</v>
      </c>
      <c r="F213" s="496">
        <v>3</v>
      </c>
      <c r="G213" s="496">
        <f>C213*D213*E213*F213</f>
        <v>750000</v>
      </c>
    </row>
    <row r="214" spans="1:7" ht="89.25" x14ac:dyDescent="0.2">
      <c r="A214" s="493"/>
      <c r="B214" s="497" t="s">
        <v>2976</v>
      </c>
      <c r="C214" s="495">
        <v>35000</v>
      </c>
      <c r="D214" s="495">
        <v>5</v>
      </c>
      <c r="E214" s="495">
        <v>2</v>
      </c>
      <c r="F214" s="495">
        <v>13</v>
      </c>
      <c r="G214" s="496">
        <f>C214*D214*E214*F214</f>
        <v>4550000</v>
      </c>
    </row>
    <row r="215" spans="1:7" ht="102" x14ac:dyDescent="0.2">
      <c r="A215" s="493"/>
      <c r="B215" s="497" t="s">
        <v>2977</v>
      </c>
      <c r="C215" s="496">
        <v>30000</v>
      </c>
      <c r="D215" s="496">
        <v>5</v>
      </c>
      <c r="E215" s="496">
        <v>2</v>
      </c>
      <c r="F215" s="496">
        <v>13</v>
      </c>
      <c r="G215" s="496">
        <f t="shared" si="14"/>
        <v>3900000</v>
      </c>
    </row>
    <row r="216" spans="1:7" ht="25.5" x14ac:dyDescent="0.2">
      <c r="A216" s="493"/>
      <c r="B216" s="501" t="s">
        <v>2978</v>
      </c>
      <c r="C216" s="496">
        <v>40000</v>
      </c>
      <c r="D216" s="496">
        <v>5</v>
      </c>
      <c r="E216" s="496">
        <v>1</v>
      </c>
      <c r="F216" s="496">
        <v>2</v>
      </c>
      <c r="G216" s="496">
        <f>C216*D216*E216*F216</f>
        <v>400000</v>
      </c>
    </row>
    <row r="217" spans="1:7" ht="63.75" x14ac:dyDescent="0.2">
      <c r="A217" s="493"/>
      <c r="B217" s="497" t="s">
        <v>2979</v>
      </c>
      <c r="C217" s="496">
        <v>30000</v>
      </c>
      <c r="D217" s="496">
        <v>5</v>
      </c>
      <c r="E217" s="496">
        <v>7</v>
      </c>
      <c r="F217" s="496">
        <v>1</v>
      </c>
      <c r="G217" s="496">
        <f t="shared" si="14"/>
        <v>1050000</v>
      </c>
    </row>
    <row r="218" spans="1:7" ht="25.5" x14ac:dyDescent="0.2">
      <c r="A218" s="493"/>
      <c r="B218" s="501" t="s">
        <v>2980</v>
      </c>
      <c r="C218" s="496">
        <v>100000</v>
      </c>
      <c r="D218" s="496">
        <v>5</v>
      </c>
      <c r="E218" s="496">
        <v>1</v>
      </c>
      <c r="F218" s="496">
        <v>2</v>
      </c>
      <c r="G218" s="496">
        <f t="shared" si="14"/>
        <v>1000000</v>
      </c>
    </row>
    <row r="219" spans="1:7" ht="38.25" x14ac:dyDescent="0.2">
      <c r="A219" s="493"/>
      <c r="B219" s="501" t="s">
        <v>2981</v>
      </c>
      <c r="C219" s="496">
        <v>30000</v>
      </c>
      <c r="D219" s="496">
        <v>5</v>
      </c>
      <c r="E219" s="495">
        <v>5</v>
      </c>
      <c r="F219" s="496">
        <v>1</v>
      </c>
      <c r="G219" s="496">
        <f>C219*D219*E219*F219</f>
        <v>750000</v>
      </c>
    </row>
    <row r="220" spans="1:7" x14ac:dyDescent="0.2">
      <c r="A220" s="487"/>
      <c r="B220" s="520" t="s">
        <v>2982</v>
      </c>
      <c r="C220" s="521">
        <v>400000</v>
      </c>
      <c r="D220" s="521">
        <v>1</v>
      </c>
      <c r="E220" s="521">
        <v>1</v>
      </c>
      <c r="F220" s="521">
        <v>14</v>
      </c>
      <c r="G220" s="496">
        <f>C220*D220*E220*F220</f>
        <v>5600000</v>
      </c>
    </row>
    <row r="221" spans="1:7" ht="25.5" x14ac:dyDescent="0.2">
      <c r="A221" s="522"/>
      <c r="B221" s="523" t="s">
        <v>2983</v>
      </c>
      <c r="C221" s="521">
        <v>20000</v>
      </c>
      <c r="D221" s="521">
        <v>20</v>
      </c>
      <c r="E221" s="521">
        <v>1</v>
      </c>
      <c r="F221" s="521">
        <v>14</v>
      </c>
      <c r="G221" s="496">
        <f>C221*D221*E221*F221</f>
        <v>5600000</v>
      </c>
    </row>
    <row r="222" spans="1:7" ht="25.5" x14ac:dyDescent="0.2">
      <c r="A222" s="487"/>
      <c r="B222" s="524" t="s">
        <v>2984</v>
      </c>
      <c r="C222" s="525">
        <v>400000</v>
      </c>
      <c r="D222" s="525">
        <v>1</v>
      </c>
      <c r="E222" s="525">
        <v>1</v>
      </c>
      <c r="F222" s="525">
        <v>14</v>
      </c>
      <c r="G222" s="496">
        <f>C222*D222*E222*F222</f>
        <v>5600000</v>
      </c>
    </row>
    <row r="223" spans="1:7" x14ac:dyDescent="0.2">
      <c r="A223" s="526"/>
      <c r="B223" s="506"/>
      <c r="C223" s="507"/>
      <c r="D223" s="507"/>
      <c r="E223" s="507"/>
      <c r="F223" s="527"/>
      <c r="G223" s="509">
        <f>SUM(G208:G222)</f>
        <v>38940000</v>
      </c>
    </row>
    <row r="224" spans="1:7" x14ac:dyDescent="0.2">
      <c r="A224" s="493"/>
      <c r="B224" s="510"/>
      <c r="C224" s="511"/>
      <c r="D224" s="511"/>
      <c r="E224" s="511"/>
      <c r="F224" s="511"/>
      <c r="G224" s="511"/>
    </row>
    <row r="225" spans="1:7" x14ac:dyDescent="0.2">
      <c r="A225" s="493">
        <v>50</v>
      </c>
      <c r="B225" s="948" t="s">
        <v>2985</v>
      </c>
      <c r="C225" s="948"/>
      <c r="D225" s="948"/>
      <c r="E225" s="948"/>
      <c r="F225" s="948"/>
      <c r="G225" s="948"/>
    </row>
    <row r="226" spans="1:7" x14ac:dyDescent="0.2">
      <c r="A226" s="493"/>
      <c r="B226" s="501" t="s">
        <v>2986</v>
      </c>
      <c r="C226" s="496">
        <v>80000</v>
      </c>
      <c r="D226" s="496">
        <v>36</v>
      </c>
      <c r="E226" s="496">
        <v>1</v>
      </c>
      <c r="F226" s="496">
        <v>1</v>
      </c>
      <c r="G226" s="496">
        <f>C226*D226*E226*F226</f>
        <v>2880000</v>
      </c>
    </row>
    <row r="227" spans="1:7" x14ac:dyDescent="0.2">
      <c r="A227" s="493"/>
      <c r="B227" s="488"/>
      <c r="C227" s="489"/>
      <c r="D227" s="489"/>
      <c r="E227" s="489"/>
      <c r="F227" s="489"/>
      <c r="G227" s="489"/>
    </row>
    <row r="228" spans="1:7" x14ac:dyDescent="0.2">
      <c r="A228" s="493"/>
      <c r="B228" s="488"/>
      <c r="C228" s="489"/>
      <c r="D228" s="489"/>
      <c r="E228" s="489"/>
      <c r="F228" s="489"/>
      <c r="G228" s="489"/>
    </row>
    <row r="229" spans="1:7" x14ac:dyDescent="0.2">
      <c r="A229" s="493">
        <v>51</v>
      </c>
      <c r="B229" s="948" t="s">
        <v>2705</v>
      </c>
      <c r="C229" s="948"/>
      <c r="D229" s="948"/>
      <c r="E229" s="948"/>
      <c r="F229" s="948"/>
      <c r="G229" s="948"/>
    </row>
    <row r="230" spans="1:7" x14ac:dyDescent="0.2">
      <c r="A230" s="493"/>
      <c r="B230" s="528" t="s">
        <v>2956</v>
      </c>
      <c r="C230" s="515">
        <v>250000</v>
      </c>
      <c r="D230" s="516">
        <v>1</v>
      </c>
      <c r="E230" s="516">
        <v>4</v>
      </c>
      <c r="F230" s="516">
        <v>2</v>
      </c>
      <c r="G230" s="516">
        <f t="shared" ref="G230:G237" si="15">C230*D230*E230*F230</f>
        <v>2000000</v>
      </c>
    </row>
    <row r="231" spans="1:7" ht="25.5" x14ac:dyDescent="0.2">
      <c r="A231" s="493"/>
      <c r="B231" s="494" t="s">
        <v>2987</v>
      </c>
      <c r="C231" s="495">
        <v>250000</v>
      </c>
      <c r="D231" s="496">
        <v>2</v>
      </c>
      <c r="E231" s="496">
        <v>4</v>
      </c>
      <c r="F231" s="496">
        <v>2</v>
      </c>
      <c r="G231" s="496">
        <f t="shared" si="15"/>
        <v>4000000</v>
      </c>
    </row>
    <row r="232" spans="1:7" x14ac:dyDescent="0.2">
      <c r="A232" s="493"/>
      <c r="B232" s="494" t="s">
        <v>2957</v>
      </c>
      <c r="C232" s="495">
        <v>50000</v>
      </c>
      <c r="D232" s="496">
        <v>2</v>
      </c>
      <c r="E232" s="496">
        <v>1</v>
      </c>
      <c r="F232" s="496">
        <v>2</v>
      </c>
      <c r="G232" s="496">
        <f t="shared" si="15"/>
        <v>200000</v>
      </c>
    </row>
    <row r="233" spans="1:7" ht="25.5" x14ac:dyDescent="0.2">
      <c r="A233" s="493"/>
      <c r="B233" s="494" t="s">
        <v>2972</v>
      </c>
      <c r="C233" s="495">
        <f>60000+150000</f>
        <v>210000</v>
      </c>
      <c r="D233" s="496"/>
      <c r="E233" s="496"/>
      <c r="F233" s="496"/>
      <c r="G233" s="496">
        <f t="shared" si="15"/>
        <v>0</v>
      </c>
    </row>
    <row r="234" spans="1:7" ht="25.5" x14ac:dyDescent="0.2">
      <c r="A234" s="493"/>
      <c r="B234" s="494" t="s">
        <v>2973</v>
      </c>
      <c r="C234" s="495">
        <f>60000+25000</f>
        <v>85000</v>
      </c>
      <c r="D234" s="496">
        <v>1</v>
      </c>
      <c r="E234" s="496">
        <v>2</v>
      </c>
      <c r="F234" s="496">
        <v>1</v>
      </c>
      <c r="G234" s="496">
        <f t="shared" si="15"/>
        <v>170000</v>
      </c>
    </row>
    <row r="235" spans="1:7" ht="38.25" x14ac:dyDescent="0.2">
      <c r="A235" s="493"/>
      <c r="B235" s="501" t="s">
        <v>2988</v>
      </c>
      <c r="C235" s="496">
        <v>30000</v>
      </c>
      <c r="D235" s="496">
        <v>3</v>
      </c>
      <c r="E235" s="496">
        <v>4</v>
      </c>
      <c r="F235" s="496">
        <v>1</v>
      </c>
      <c r="G235" s="496">
        <f t="shared" si="15"/>
        <v>360000</v>
      </c>
    </row>
    <row r="236" spans="1:7" ht="38.25" x14ac:dyDescent="0.2">
      <c r="A236" s="487"/>
      <c r="B236" s="501" t="s">
        <v>2989</v>
      </c>
      <c r="C236" s="496">
        <v>30000</v>
      </c>
      <c r="D236" s="496">
        <v>3</v>
      </c>
      <c r="E236" s="496">
        <v>3</v>
      </c>
      <c r="F236" s="496">
        <v>1</v>
      </c>
      <c r="G236" s="496">
        <f t="shared" si="15"/>
        <v>270000</v>
      </c>
    </row>
    <row r="237" spans="1:7" ht="25.5" x14ac:dyDescent="0.2">
      <c r="A237" s="487"/>
      <c r="B237" s="501" t="s">
        <v>2990</v>
      </c>
      <c r="C237" s="496">
        <v>100000</v>
      </c>
      <c r="D237" s="496">
        <v>3</v>
      </c>
      <c r="E237" s="496">
        <v>2</v>
      </c>
      <c r="F237" s="496">
        <v>1</v>
      </c>
      <c r="G237" s="496">
        <f t="shared" si="15"/>
        <v>600000</v>
      </c>
    </row>
    <row r="238" spans="1:7" x14ac:dyDescent="0.2">
      <c r="A238" s="493"/>
      <c r="B238" s="488"/>
      <c r="C238" s="489"/>
      <c r="D238" s="489"/>
      <c r="E238" s="489"/>
      <c r="F238" s="489"/>
      <c r="G238" s="529">
        <f>SUM(G230:G237)</f>
        <v>7600000</v>
      </c>
    </row>
    <row r="239" spans="1:7" x14ac:dyDescent="0.2">
      <c r="A239" s="493"/>
      <c r="B239" s="488"/>
      <c r="C239" s="489"/>
      <c r="D239" s="489"/>
      <c r="E239" s="489"/>
      <c r="F239" s="489"/>
      <c r="G239" s="507"/>
    </row>
    <row r="240" spans="1:7" x14ac:dyDescent="0.2">
      <c r="A240" s="493">
        <v>52</v>
      </c>
      <c r="B240" s="948" t="s">
        <v>2706</v>
      </c>
      <c r="C240" s="948"/>
      <c r="D240" s="948"/>
      <c r="E240" s="948"/>
      <c r="F240" s="948"/>
      <c r="G240" s="948"/>
    </row>
    <row r="241" spans="1:7" x14ac:dyDescent="0.2">
      <c r="A241" s="493"/>
      <c r="B241" s="494" t="s">
        <v>2956</v>
      </c>
      <c r="C241" s="495">
        <v>250000</v>
      </c>
      <c r="D241" s="496">
        <v>2</v>
      </c>
      <c r="E241" s="495">
        <v>3</v>
      </c>
      <c r="F241" s="496">
        <v>2</v>
      </c>
      <c r="G241" s="530">
        <f t="shared" ref="G241:G248" si="16">C241*D241*E241*F241</f>
        <v>3000000</v>
      </c>
    </row>
    <row r="242" spans="1:7" ht="25.5" x14ac:dyDescent="0.2">
      <c r="A242" s="493"/>
      <c r="B242" s="494" t="s">
        <v>2991</v>
      </c>
      <c r="C242" s="495">
        <v>250000</v>
      </c>
      <c r="D242" s="496">
        <v>2</v>
      </c>
      <c r="E242" s="495">
        <v>3</v>
      </c>
      <c r="F242" s="496">
        <v>2</v>
      </c>
      <c r="G242" s="530">
        <f t="shared" si="16"/>
        <v>3000000</v>
      </c>
    </row>
    <row r="243" spans="1:7" x14ac:dyDescent="0.2">
      <c r="A243" s="493"/>
      <c r="B243" s="494" t="s">
        <v>2992</v>
      </c>
      <c r="C243" s="495">
        <v>50000</v>
      </c>
      <c r="D243" s="496">
        <v>2</v>
      </c>
      <c r="E243" s="496">
        <v>1</v>
      </c>
      <c r="F243" s="496">
        <v>2</v>
      </c>
      <c r="G243" s="530">
        <f t="shared" si="16"/>
        <v>200000</v>
      </c>
    </row>
    <row r="244" spans="1:7" x14ac:dyDescent="0.2">
      <c r="A244" s="493"/>
      <c r="B244" s="494" t="s">
        <v>2993</v>
      </c>
      <c r="C244" s="495">
        <v>50000</v>
      </c>
      <c r="D244" s="496">
        <v>2</v>
      </c>
      <c r="E244" s="496">
        <v>1</v>
      </c>
      <c r="F244" s="496">
        <v>2</v>
      </c>
      <c r="G244" s="530">
        <f>C244*D244*E244*F244</f>
        <v>200000</v>
      </c>
    </row>
    <row r="245" spans="1:7" ht="25.5" x14ac:dyDescent="0.2">
      <c r="A245" s="493"/>
      <c r="B245" s="494" t="s">
        <v>2973</v>
      </c>
      <c r="C245" s="495">
        <f>60000+25000</f>
        <v>85000</v>
      </c>
      <c r="D245" s="496">
        <v>3</v>
      </c>
      <c r="E245" s="496">
        <v>2</v>
      </c>
      <c r="F245" s="496">
        <v>1</v>
      </c>
      <c r="G245" s="530">
        <f t="shared" si="16"/>
        <v>510000</v>
      </c>
    </row>
    <row r="246" spans="1:7" ht="25.5" x14ac:dyDescent="0.2">
      <c r="A246" s="493"/>
      <c r="B246" s="501" t="s">
        <v>2994</v>
      </c>
      <c r="C246" s="496">
        <v>30000</v>
      </c>
      <c r="D246" s="496">
        <v>5</v>
      </c>
      <c r="E246" s="496">
        <v>2</v>
      </c>
      <c r="F246" s="496">
        <v>1</v>
      </c>
      <c r="G246" s="530">
        <f t="shared" si="16"/>
        <v>300000</v>
      </c>
    </row>
    <row r="247" spans="1:7" ht="25.5" x14ac:dyDescent="0.2">
      <c r="A247" s="493"/>
      <c r="B247" s="501" t="s">
        <v>2995</v>
      </c>
      <c r="C247" s="496">
        <v>30000</v>
      </c>
      <c r="D247" s="496">
        <v>3</v>
      </c>
      <c r="E247" s="496">
        <v>2</v>
      </c>
      <c r="F247" s="496">
        <v>1</v>
      </c>
      <c r="G247" s="530">
        <f t="shared" si="16"/>
        <v>180000</v>
      </c>
    </row>
    <row r="248" spans="1:7" ht="25.5" x14ac:dyDescent="0.2">
      <c r="A248" s="493"/>
      <c r="B248" s="501" t="s">
        <v>2990</v>
      </c>
      <c r="C248" s="496">
        <v>100000</v>
      </c>
      <c r="D248" s="496">
        <v>1</v>
      </c>
      <c r="E248" s="496">
        <v>2</v>
      </c>
      <c r="F248" s="496">
        <v>1</v>
      </c>
      <c r="G248" s="530">
        <f t="shared" si="16"/>
        <v>200000</v>
      </c>
    </row>
    <row r="249" spans="1:7" x14ac:dyDescent="0.2">
      <c r="A249" s="493"/>
      <c r="B249" s="488"/>
      <c r="C249" s="489"/>
      <c r="D249" s="489"/>
      <c r="E249" s="507"/>
      <c r="F249" s="508"/>
      <c r="G249" s="496">
        <f>SUM(G241:G248)</f>
        <v>7590000</v>
      </c>
    </row>
    <row r="250" spans="1:7" x14ac:dyDescent="0.2">
      <c r="A250" s="493"/>
      <c r="B250" s="510"/>
      <c r="C250" s="511"/>
      <c r="D250" s="511"/>
      <c r="E250" s="511"/>
      <c r="F250" s="512"/>
      <c r="G250" s="511"/>
    </row>
    <row r="251" spans="1:7" x14ac:dyDescent="0.2">
      <c r="A251" s="493"/>
      <c r="B251" s="488"/>
      <c r="C251" s="489"/>
      <c r="D251" s="489"/>
      <c r="E251" s="489"/>
      <c r="F251" s="489"/>
      <c r="G251" s="489"/>
    </row>
    <row r="252" spans="1:7" x14ac:dyDescent="0.2">
      <c r="A252" s="531">
        <v>53</v>
      </c>
      <c r="B252" s="950" t="s">
        <v>2707</v>
      </c>
      <c r="C252" s="950"/>
      <c r="D252" s="950"/>
      <c r="E252" s="950"/>
      <c r="F252" s="950"/>
      <c r="G252" s="950"/>
    </row>
    <row r="253" spans="1:7" x14ac:dyDescent="0.2">
      <c r="A253" s="532"/>
      <c r="B253" s="944" t="s">
        <v>2996</v>
      </c>
      <c r="C253" s="944"/>
      <c r="D253" s="944"/>
      <c r="E253" s="944"/>
      <c r="F253" s="944"/>
      <c r="G253" s="944"/>
    </row>
    <row r="254" spans="1:7" ht="25.5" x14ac:dyDescent="0.2">
      <c r="A254" s="533"/>
      <c r="B254" s="528" t="s">
        <v>2997</v>
      </c>
      <c r="C254" s="515">
        <v>250000</v>
      </c>
      <c r="D254" s="515">
        <v>2</v>
      </c>
      <c r="E254" s="516">
        <v>2</v>
      </c>
      <c r="F254" s="534">
        <v>2</v>
      </c>
      <c r="G254" s="516">
        <f t="shared" ref="G254:G261" si="17">C254*D254*E254*F254</f>
        <v>2000000</v>
      </c>
    </row>
    <row r="255" spans="1:7" ht="51" x14ac:dyDescent="0.2">
      <c r="A255" s="533"/>
      <c r="B255" s="494" t="s">
        <v>2998</v>
      </c>
      <c r="C255" s="495">
        <v>50000</v>
      </c>
      <c r="D255" s="495">
        <v>2</v>
      </c>
      <c r="E255" s="496">
        <v>1</v>
      </c>
      <c r="F255" s="535">
        <v>2</v>
      </c>
      <c r="G255" s="496">
        <f t="shared" si="17"/>
        <v>200000</v>
      </c>
    </row>
    <row r="256" spans="1:7" ht="51" x14ac:dyDescent="0.2">
      <c r="A256" s="493"/>
      <c r="B256" s="501" t="s">
        <v>2999</v>
      </c>
      <c r="C256" s="496">
        <v>35000</v>
      </c>
      <c r="D256" s="496">
        <v>5</v>
      </c>
      <c r="E256" s="496">
        <v>1</v>
      </c>
      <c r="F256" s="496">
        <v>5</v>
      </c>
      <c r="G256" s="496">
        <f t="shared" si="17"/>
        <v>875000</v>
      </c>
    </row>
    <row r="257" spans="1:7" ht="51" x14ac:dyDescent="0.2">
      <c r="A257" s="493"/>
      <c r="B257" s="501" t="s">
        <v>3000</v>
      </c>
      <c r="C257" s="496">
        <v>30000</v>
      </c>
      <c r="D257" s="496">
        <v>5</v>
      </c>
      <c r="E257" s="496">
        <v>1</v>
      </c>
      <c r="F257" s="496">
        <v>5</v>
      </c>
      <c r="G257" s="496">
        <f t="shared" si="17"/>
        <v>750000</v>
      </c>
    </row>
    <row r="258" spans="1:7" ht="38.25" x14ac:dyDescent="0.2">
      <c r="A258" s="493"/>
      <c r="B258" s="501" t="s">
        <v>3001</v>
      </c>
      <c r="C258" s="496">
        <v>35000</v>
      </c>
      <c r="D258" s="496">
        <v>5</v>
      </c>
      <c r="E258" s="496">
        <v>1</v>
      </c>
      <c r="F258" s="496">
        <v>4</v>
      </c>
      <c r="G258" s="496">
        <f t="shared" si="17"/>
        <v>700000</v>
      </c>
    </row>
    <row r="259" spans="1:7" ht="38.25" x14ac:dyDescent="0.2">
      <c r="A259" s="493"/>
      <c r="B259" s="501" t="s">
        <v>3002</v>
      </c>
      <c r="C259" s="496">
        <v>30000</v>
      </c>
      <c r="D259" s="496">
        <v>5</v>
      </c>
      <c r="E259" s="496">
        <v>1</v>
      </c>
      <c r="F259" s="496">
        <v>4</v>
      </c>
      <c r="G259" s="496">
        <f t="shared" si="17"/>
        <v>600000</v>
      </c>
    </row>
    <row r="260" spans="1:7" ht="38.25" x14ac:dyDescent="0.2">
      <c r="A260" s="493"/>
      <c r="B260" s="501" t="s">
        <v>3003</v>
      </c>
      <c r="C260" s="496">
        <v>100000</v>
      </c>
      <c r="D260" s="496">
        <v>5</v>
      </c>
      <c r="E260" s="496">
        <v>1</v>
      </c>
      <c r="F260" s="496">
        <v>2</v>
      </c>
      <c r="G260" s="496">
        <f t="shared" si="17"/>
        <v>1000000</v>
      </c>
    </row>
    <row r="261" spans="1:7" ht="38.25" x14ac:dyDescent="0.2">
      <c r="A261" s="531"/>
      <c r="B261" s="502" t="s">
        <v>3004</v>
      </c>
      <c r="C261" s="535">
        <v>20000</v>
      </c>
      <c r="D261" s="535">
        <v>20</v>
      </c>
      <c r="E261" s="535">
        <v>1</v>
      </c>
      <c r="F261" s="535">
        <v>8</v>
      </c>
      <c r="G261" s="496">
        <f t="shared" si="17"/>
        <v>3200000</v>
      </c>
    </row>
    <row r="262" spans="1:7" x14ac:dyDescent="0.2">
      <c r="A262" s="493"/>
      <c r="B262" s="506"/>
      <c r="C262" s="507"/>
      <c r="D262" s="507"/>
      <c r="E262" s="507"/>
      <c r="F262" s="527"/>
      <c r="G262" s="536">
        <f>SUM(G254:G261)</f>
        <v>9325000</v>
      </c>
    </row>
    <row r="263" spans="1:7" x14ac:dyDescent="0.2">
      <c r="A263" s="487"/>
      <c r="B263" s="537"/>
      <c r="C263" s="538"/>
      <c r="D263" s="538"/>
      <c r="E263" s="538"/>
      <c r="F263" s="539"/>
      <c r="G263" s="540"/>
    </row>
    <row r="264" spans="1:7" x14ac:dyDescent="0.2">
      <c r="A264" s="493"/>
      <c r="B264" s="510"/>
      <c r="C264" s="511"/>
      <c r="D264" s="511"/>
      <c r="E264" s="511"/>
      <c r="F264" s="511"/>
      <c r="G264" s="511"/>
    </row>
    <row r="265" spans="1:7" x14ac:dyDescent="0.2">
      <c r="A265" s="493">
        <v>54</v>
      </c>
      <c r="B265" s="518" t="s">
        <v>3005</v>
      </c>
      <c r="C265" s="514"/>
      <c r="D265" s="514"/>
      <c r="E265" s="514"/>
      <c r="F265" s="514"/>
      <c r="G265" s="514"/>
    </row>
    <row r="266" spans="1:7" ht="25.5" x14ac:dyDescent="0.2">
      <c r="A266" s="493"/>
      <c r="B266" s="501" t="s">
        <v>3006</v>
      </c>
      <c r="C266" s="496">
        <v>80000</v>
      </c>
      <c r="D266" s="496">
        <v>20</v>
      </c>
      <c r="E266" s="496">
        <v>1</v>
      </c>
      <c r="F266" s="496">
        <v>1</v>
      </c>
      <c r="G266" s="496">
        <f>C266*D266*E266*F266</f>
        <v>1600000</v>
      </c>
    </row>
    <row r="267" spans="1:7" x14ac:dyDescent="0.2">
      <c r="A267" s="493"/>
      <c r="B267" s="488"/>
      <c r="C267" s="489"/>
      <c r="D267" s="489"/>
      <c r="E267" s="489"/>
      <c r="F267" s="489"/>
      <c r="G267" s="489"/>
    </row>
    <row r="268" spans="1:7" x14ac:dyDescent="0.2">
      <c r="A268" s="493"/>
      <c r="B268" s="488"/>
      <c r="C268" s="489"/>
      <c r="D268" s="489"/>
      <c r="E268" s="489"/>
      <c r="F268" s="489"/>
      <c r="G268" s="489"/>
    </row>
    <row r="269" spans="1:7" x14ac:dyDescent="0.2">
      <c r="A269" s="493">
        <v>55</v>
      </c>
      <c r="B269" s="948" t="s">
        <v>2726</v>
      </c>
      <c r="C269" s="948"/>
      <c r="D269" s="948"/>
      <c r="E269" s="948"/>
      <c r="F269" s="948"/>
      <c r="G269" s="948"/>
    </row>
    <row r="270" spans="1:7" ht="25.5" x14ac:dyDescent="0.2">
      <c r="A270" s="493"/>
      <c r="B270" s="501" t="s">
        <v>3007</v>
      </c>
      <c r="C270" s="496">
        <v>20000</v>
      </c>
      <c r="D270" s="496">
        <v>280</v>
      </c>
      <c r="E270" s="496">
        <v>1</v>
      </c>
      <c r="F270" s="496">
        <v>1</v>
      </c>
      <c r="G270" s="496">
        <f>C270*D270*E270*F270</f>
        <v>5600000</v>
      </c>
    </row>
    <row r="271" spans="1:7" ht="25.5" x14ac:dyDescent="0.2">
      <c r="A271" s="493"/>
      <c r="B271" s="501" t="s">
        <v>3008</v>
      </c>
      <c r="C271" s="496">
        <v>50000</v>
      </c>
      <c r="D271" s="496">
        <v>28</v>
      </c>
      <c r="E271" s="496">
        <v>1</v>
      </c>
      <c r="F271" s="496">
        <v>1</v>
      </c>
      <c r="G271" s="496">
        <f>C271*D271*E271*F271</f>
        <v>1400000</v>
      </c>
    </row>
    <row r="272" spans="1:7" x14ac:dyDescent="0.2">
      <c r="A272" s="493"/>
      <c r="B272" s="488"/>
      <c r="C272" s="489"/>
      <c r="D272" s="489"/>
      <c r="E272" s="489"/>
      <c r="F272" s="489"/>
      <c r="G272" s="489"/>
    </row>
    <row r="273" spans="1:7" x14ac:dyDescent="0.2">
      <c r="A273" s="531"/>
      <c r="B273" s="541"/>
      <c r="C273" s="542"/>
      <c r="D273" s="542"/>
      <c r="E273" s="542"/>
      <c r="F273" s="542"/>
      <c r="G273" s="542"/>
    </row>
    <row r="274" spans="1:7" x14ac:dyDescent="0.2">
      <c r="A274" s="531">
        <v>56</v>
      </c>
      <c r="B274" s="949" t="s">
        <v>2710</v>
      </c>
      <c r="C274" s="949"/>
      <c r="D274" s="949"/>
      <c r="E274" s="949"/>
      <c r="F274" s="949"/>
      <c r="G274" s="949"/>
    </row>
    <row r="275" spans="1:7" ht="25.5" x14ac:dyDescent="0.2">
      <c r="A275" s="531"/>
      <c r="B275" s="543" t="s">
        <v>3009</v>
      </c>
      <c r="C275" s="544">
        <v>250000</v>
      </c>
      <c r="D275" s="544">
        <v>2</v>
      </c>
      <c r="E275" s="544">
        <v>2</v>
      </c>
      <c r="F275" s="544">
        <v>2</v>
      </c>
      <c r="G275" s="544">
        <f>C275*D275*E275*F275</f>
        <v>2000000</v>
      </c>
    </row>
    <row r="276" spans="1:7" x14ac:dyDescent="0.2">
      <c r="A276" s="531"/>
      <c r="B276" s="543" t="s">
        <v>2957</v>
      </c>
      <c r="C276" s="544">
        <v>50000</v>
      </c>
      <c r="D276" s="544">
        <v>2</v>
      </c>
      <c r="E276" s="544">
        <v>1</v>
      </c>
      <c r="F276" s="544">
        <v>2</v>
      </c>
      <c r="G276" s="544">
        <f>C276*D276*E276*F276</f>
        <v>200000</v>
      </c>
    </row>
    <row r="277" spans="1:7" ht="25.5" x14ac:dyDescent="0.2">
      <c r="A277" s="531"/>
      <c r="B277" s="543" t="s">
        <v>2973</v>
      </c>
      <c r="C277" s="544">
        <f>60000+25000</f>
        <v>85000</v>
      </c>
      <c r="D277" s="544">
        <v>2</v>
      </c>
      <c r="E277" s="544">
        <v>2</v>
      </c>
      <c r="F277" s="544">
        <v>1</v>
      </c>
      <c r="G277" s="544">
        <f t="shared" ref="G277:G287" si="18">C277*D277*E277*F277</f>
        <v>340000</v>
      </c>
    </row>
    <row r="278" spans="1:7" ht="51" x14ac:dyDescent="0.2">
      <c r="A278" s="531"/>
      <c r="B278" s="543" t="s">
        <v>3010</v>
      </c>
      <c r="C278" s="544">
        <v>30000</v>
      </c>
      <c r="D278" s="544">
        <v>30</v>
      </c>
      <c r="E278" s="544">
        <v>1</v>
      </c>
      <c r="F278" s="544">
        <v>1</v>
      </c>
      <c r="G278" s="544">
        <f>C278*D278*E278*F278</f>
        <v>900000</v>
      </c>
    </row>
    <row r="279" spans="1:7" ht="51" x14ac:dyDescent="0.2">
      <c r="A279" s="531"/>
      <c r="B279" s="543" t="s">
        <v>3011</v>
      </c>
      <c r="C279" s="544">
        <v>30000</v>
      </c>
      <c r="D279" s="544">
        <v>13</v>
      </c>
      <c r="E279" s="544">
        <v>1</v>
      </c>
      <c r="F279" s="544">
        <v>1</v>
      </c>
      <c r="G279" s="544">
        <f t="shared" si="18"/>
        <v>390000</v>
      </c>
    </row>
    <row r="280" spans="1:7" ht="38.25" x14ac:dyDescent="0.2">
      <c r="A280" s="531"/>
      <c r="B280" s="543" t="s">
        <v>3012</v>
      </c>
      <c r="C280" s="544">
        <v>100000</v>
      </c>
      <c r="D280" s="544">
        <v>2</v>
      </c>
      <c r="E280" s="544">
        <v>1</v>
      </c>
      <c r="F280" s="544">
        <v>2</v>
      </c>
      <c r="G280" s="544">
        <f t="shared" si="18"/>
        <v>400000</v>
      </c>
    </row>
    <row r="281" spans="1:7" ht="25.5" x14ac:dyDescent="0.2">
      <c r="A281" s="493"/>
      <c r="B281" s="500" t="s">
        <v>3013</v>
      </c>
      <c r="C281" s="496">
        <v>250000</v>
      </c>
      <c r="D281" s="496">
        <v>5</v>
      </c>
      <c r="E281" s="544">
        <v>2</v>
      </c>
      <c r="F281" s="544">
        <v>1</v>
      </c>
      <c r="G281" s="496">
        <f t="shared" si="18"/>
        <v>2500000</v>
      </c>
    </row>
    <row r="282" spans="1:7" ht="25.5" x14ac:dyDescent="0.2">
      <c r="A282" s="493"/>
      <c r="B282" s="500" t="s">
        <v>3014</v>
      </c>
      <c r="C282" s="496">
        <v>50000</v>
      </c>
      <c r="D282" s="496">
        <v>5</v>
      </c>
      <c r="E282" s="496">
        <v>1</v>
      </c>
      <c r="F282" s="496">
        <v>1</v>
      </c>
      <c r="G282" s="496">
        <f t="shared" si="18"/>
        <v>250000</v>
      </c>
    </row>
    <row r="283" spans="1:7" x14ac:dyDescent="0.2">
      <c r="A283" s="493"/>
      <c r="B283" s="545" t="s">
        <v>3015</v>
      </c>
      <c r="C283" s="503">
        <v>800000</v>
      </c>
      <c r="D283" s="503">
        <v>1</v>
      </c>
      <c r="E283" s="503">
        <v>1</v>
      </c>
      <c r="F283" s="503">
        <v>2</v>
      </c>
      <c r="G283" s="496">
        <f t="shared" si="18"/>
        <v>1600000</v>
      </c>
    </row>
    <row r="284" spans="1:7" x14ac:dyDescent="0.2">
      <c r="A284" s="493"/>
      <c r="B284" s="545" t="s">
        <v>2893</v>
      </c>
      <c r="C284" s="503">
        <v>60000</v>
      </c>
      <c r="D284" s="503">
        <v>1</v>
      </c>
      <c r="E284" s="503">
        <v>1</v>
      </c>
      <c r="F284" s="503">
        <v>2</v>
      </c>
      <c r="G284" s="496">
        <f t="shared" si="18"/>
        <v>120000</v>
      </c>
    </row>
    <row r="285" spans="1:7" ht="25.5" x14ac:dyDescent="0.2">
      <c r="A285" s="493"/>
      <c r="B285" s="545" t="s">
        <v>3016</v>
      </c>
      <c r="C285" s="503">
        <v>20000</v>
      </c>
      <c r="D285" s="503">
        <v>54</v>
      </c>
      <c r="E285" s="503">
        <v>1</v>
      </c>
      <c r="F285" s="503">
        <v>2</v>
      </c>
      <c r="G285" s="496">
        <f t="shared" si="18"/>
        <v>2160000</v>
      </c>
    </row>
    <row r="286" spans="1:7" x14ac:dyDescent="0.2">
      <c r="A286" s="493"/>
      <c r="B286" s="546" t="s">
        <v>3017</v>
      </c>
      <c r="C286" s="503">
        <v>50000</v>
      </c>
      <c r="D286" s="503">
        <v>47</v>
      </c>
      <c r="E286" s="503">
        <v>1</v>
      </c>
      <c r="F286" s="503">
        <v>2</v>
      </c>
      <c r="G286" s="496">
        <f t="shared" si="18"/>
        <v>4700000</v>
      </c>
    </row>
    <row r="287" spans="1:7" x14ac:dyDescent="0.2">
      <c r="A287" s="493"/>
      <c r="B287" s="546" t="s">
        <v>3018</v>
      </c>
      <c r="C287" s="547">
        <v>20000</v>
      </c>
      <c r="D287" s="505">
        <v>47</v>
      </c>
      <c r="E287" s="505">
        <v>1</v>
      </c>
      <c r="F287" s="505">
        <v>2</v>
      </c>
      <c r="G287" s="496">
        <f t="shared" si="18"/>
        <v>1880000</v>
      </c>
    </row>
    <row r="288" spans="1:7" x14ac:dyDescent="0.2">
      <c r="A288" s="493"/>
      <c r="B288" s="506"/>
      <c r="C288" s="507"/>
      <c r="D288" s="507"/>
      <c r="E288" s="507"/>
      <c r="F288" s="527"/>
      <c r="G288" s="509">
        <f>SUM(G275:G287)</f>
        <v>17440000</v>
      </c>
    </row>
    <row r="289" spans="1:7" x14ac:dyDescent="0.2">
      <c r="A289" s="493"/>
      <c r="B289" s="488"/>
      <c r="C289" s="489"/>
      <c r="D289" s="489"/>
      <c r="E289" s="489"/>
      <c r="F289" s="489"/>
      <c r="G289" s="489"/>
    </row>
    <row r="290" spans="1:7" x14ac:dyDescent="0.2">
      <c r="A290" s="493" t="s">
        <v>2659</v>
      </c>
      <c r="B290" s="488"/>
      <c r="C290" s="489"/>
      <c r="D290" s="489"/>
      <c r="E290" s="489"/>
      <c r="F290" s="489"/>
      <c r="G290" s="489"/>
    </row>
    <row r="291" spans="1:7" ht="25.5" x14ac:dyDescent="0.2">
      <c r="A291" s="548" t="s">
        <v>2955</v>
      </c>
      <c r="B291" s="486" t="s">
        <v>16</v>
      </c>
      <c r="C291" s="486" t="s">
        <v>2799</v>
      </c>
      <c r="D291" s="486" t="s">
        <v>2767</v>
      </c>
      <c r="E291" s="486" t="s">
        <v>2909</v>
      </c>
      <c r="F291" s="486" t="s">
        <v>1943</v>
      </c>
      <c r="G291" s="486" t="s">
        <v>2902</v>
      </c>
    </row>
    <row r="292" spans="1:7" x14ac:dyDescent="0.2">
      <c r="A292" s="549"/>
      <c r="B292" s="488"/>
      <c r="C292" s="489"/>
      <c r="D292" s="489"/>
      <c r="E292" s="489"/>
      <c r="F292" s="489"/>
      <c r="G292" s="489"/>
    </row>
    <row r="293" spans="1:7" ht="38.25" x14ac:dyDescent="0.2">
      <c r="A293" s="490">
        <v>64</v>
      </c>
      <c r="B293" s="491" t="s">
        <v>2718</v>
      </c>
      <c r="C293" s="489"/>
      <c r="D293" s="489"/>
      <c r="E293" s="489"/>
      <c r="F293" s="489"/>
      <c r="G293" s="492"/>
    </row>
    <row r="294" spans="1:7" x14ac:dyDescent="0.2">
      <c r="A294" s="550"/>
      <c r="B294" s="543" t="s">
        <v>2956</v>
      </c>
      <c r="C294" s="499">
        <v>250000</v>
      </c>
      <c r="D294" s="499">
        <v>3</v>
      </c>
      <c r="E294" s="499">
        <v>2</v>
      </c>
      <c r="F294" s="581">
        <v>1</v>
      </c>
      <c r="G294" s="496">
        <f>C294*D294*E294*F294</f>
        <v>1500000</v>
      </c>
    </row>
    <row r="295" spans="1:7" x14ac:dyDescent="0.2">
      <c r="A295" s="550"/>
      <c r="B295" s="543" t="s">
        <v>2957</v>
      </c>
      <c r="C295" s="499">
        <v>50000</v>
      </c>
      <c r="D295" s="499">
        <v>3</v>
      </c>
      <c r="E295" s="499">
        <v>1</v>
      </c>
      <c r="F295" s="581">
        <v>1</v>
      </c>
      <c r="G295" s="496">
        <f>C295*D295*E295*F295</f>
        <v>150000</v>
      </c>
    </row>
    <row r="296" spans="1:7" x14ac:dyDescent="0.2">
      <c r="A296" s="550"/>
      <c r="B296" s="551" t="s">
        <v>3093</v>
      </c>
      <c r="C296" s="499">
        <v>250000</v>
      </c>
      <c r="D296" s="499">
        <v>6</v>
      </c>
      <c r="E296" s="499">
        <v>1</v>
      </c>
      <c r="F296" s="499">
        <v>1</v>
      </c>
      <c r="G296" s="496">
        <f t="shared" ref="G296:G301" si="19">C296*D296*E296*F296</f>
        <v>1500000</v>
      </c>
    </row>
    <row r="297" spans="1:7" x14ac:dyDescent="0.2">
      <c r="A297" s="552"/>
      <c r="B297" s="543" t="s">
        <v>3094</v>
      </c>
      <c r="C297" s="499">
        <v>50000</v>
      </c>
      <c r="D297" s="499">
        <v>6</v>
      </c>
      <c r="E297" s="499">
        <v>1</v>
      </c>
      <c r="F297" s="499">
        <v>1</v>
      </c>
      <c r="G297" s="496">
        <f t="shared" si="19"/>
        <v>300000</v>
      </c>
    </row>
    <row r="298" spans="1:7" x14ac:dyDescent="0.2">
      <c r="A298" s="550"/>
      <c r="B298" s="543" t="s">
        <v>3095</v>
      </c>
      <c r="C298" s="499">
        <v>220000</v>
      </c>
      <c r="D298" s="499">
        <v>3</v>
      </c>
      <c r="E298" s="499">
        <v>2</v>
      </c>
      <c r="F298" s="581">
        <v>1</v>
      </c>
      <c r="G298" s="496">
        <f>C298*D298*E298*F298</f>
        <v>1320000</v>
      </c>
    </row>
    <row r="299" spans="1:7" x14ac:dyDescent="0.2">
      <c r="A299" s="550"/>
      <c r="B299" s="543" t="s">
        <v>3096</v>
      </c>
      <c r="C299" s="499">
        <v>100000</v>
      </c>
      <c r="D299" s="499">
        <v>6</v>
      </c>
      <c r="E299" s="499">
        <v>1</v>
      </c>
      <c r="F299" s="581">
        <v>1</v>
      </c>
      <c r="G299" s="496">
        <f>C299*D299*E299*F299</f>
        <v>600000</v>
      </c>
    </row>
    <row r="300" spans="1:7" ht="25.5" x14ac:dyDescent="0.2">
      <c r="A300" s="550"/>
      <c r="B300" s="543" t="s">
        <v>3097</v>
      </c>
      <c r="C300" s="499">
        <v>20000</v>
      </c>
      <c r="D300" s="499">
        <v>17</v>
      </c>
      <c r="E300" s="499">
        <v>1</v>
      </c>
      <c r="F300" s="581">
        <v>1</v>
      </c>
      <c r="G300" s="496">
        <f>C300*D300*E300*F300</f>
        <v>340000</v>
      </c>
    </row>
    <row r="301" spans="1:7" x14ac:dyDescent="0.2">
      <c r="A301" s="550"/>
      <c r="B301" s="543" t="s">
        <v>2947</v>
      </c>
      <c r="C301" s="499">
        <v>20000</v>
      </c>
      <c r="D301" s="581">
        <v>13</v>
      </c>
      <c r="E301" s="499">
        <v>1</v>
      </c>
      <c r="F301" s="499">
        <v>1</v>
      </c>
      <c r="G301" s="496">
        <f t="shared" si="19"/>
        <v>260000</v>
      </c>
    </row>
    <row r="302" spans="1:7" x14ac:dyDescent="0.2">
      <c r="A302" s="550"/>
      <c r="B302" s="506"/>
      <c r="C302" s="507"/>
      <c r="D302" s="507">
        <f>MAX(D294:D301)</f>
        <v>17</v>
      </c>
      <c r="E302" s="507">
        <f>MAX(E294:E301)</f>
        <v>2</v>
      </c>
      <c r="F302" s="508"/>
      <c r="G302" s="509">
        <f>SUM(G294:G301)</f>
        <v>5970000</v>
      </c>
    </row>
    <row r="303" spans="1:7" x14ac:dyDescent="0.2">
      <c r="A303" s="550"/>
      <c r="B303" s="510"/>
      <c r="C303" s="700" t="s">
        <v>3098</v>
      </c>
      <c r="D303" s="700"/>
      <c r="E303" s="700"/>
      <c r="F303" s="700"/>
      <c r="G303" s="689">
        <f>G302/D302</f>
        <v>351176.4705882353</v>
      </c>
    </row>
    <row r="304" spans="1:7" x14ac:dyDescent="0.2">
      <c r="A304" s="550"/>
      <c r="B304" s="510"/>
      <c r="C304" s="511"/>
      <c r="D304" s="511"/>
      <c r="E304" s="511"/>
      <c r="F304" s="512"/>
      <c r="G304" s="511"/>
    </row>
    <row r="305" spans="1:7" x14ac:dyDescent="0.2">
      <c r="A305" s="493">
        <v>65</v>
      </c>
      <c r="B305" s="491" t="s">
        <v>3019</v>
      </c>
      <c r="C305" s="513"/>
      <c r="D305" s="513"/>
      <c r="E305" s="513"/>
      <c r="F305" s="513"/>
      <c r="G305" s="514"/>
    </row>
    <row r="306" spans="1:7" x14ac:dyDescent="0.2">
      <c r="A306" s="550"/>
      <c r="B306" s="501" t="s">
        <v>2971</v>
      </c>
      <c r="C306" s="516">
        <v>80000</v>
      </c>
      <c r="D306" s="516">
        <v>30</v>
      </c>
      <c r="E306" s="516">
        <v>3</v>
      </c>
      <c r="F306" s="516">
        <v>1</v>
      </c>
      <c r="G306" s="516">
        <f>C306*D306*E306*F306</f>
        <v>7200000</v>
      </c>
    </row>
    <row r="307" spans="1:7" x14ac:dyDescent="0.2">
      <c r="A307" s="554"/>
      <c r="B307" s="488"/>
      <c r="C307" s="489"/>
      <c r="D307" s="489"/>
      <c r="E307" s="489"/>
      <c r="F307" s="489"/>
      <c r="G307" s="489"/>
    </row>
    <row r="308" spans="1:7" ht="25.5" x14ac:dyDescent="0.2">
      <c r="A308" s="550">
        <v>66</v>
      </c>
      <c r="B308" s="518" t="s">
        <v>2720</v>
      </c>
      <c r="C308" s="519" t="s">
        <v>2799</v>
      </c>
      <c r="D308" s="519" t="s">
        <v>2767</v>
      </c>
      <c r="E308" s="519" t="s">
        <v>2909</v>
      </c>
      <c r="F308" s="519" t="s">
        <v>1943</v>
      </c>
      <c r="G308" s="486" t="s">
        <v>2902</v>
      </c>
    </row>
    <row r="309" spans="1:7" ht="51" x14ac:dyDescent="0.2">
      <c r="A309" s="550"/>
      <c r="B309" s="500" t="s">
        <v>3020</v>
      </c>
      <c r="C309" s="499">
        <v>250000</v>
      </c>
      <c r="D309" s="499">
        <v>2</v>
      </c>
      <c r="E309" s="499">
        <v>7</v>
      </c>
      <c r="F309" s="581">
        <v>1</v>
      </c>
      <c r="G309" s="496">
        <f t="shared" ref="G309:G315" si="20">C309*D309*E309*F309</f>
        <v>3500000</v>
      </c>
    </row>
    <row r="310" spans="1:7" x14ac:dyDescent="0.2">
      <c r="A310" s="550"/>
      <c r="B310" s="500" t="s">
        <v>3021</v>
      </c>
      <c r="C310" s="499">
        <v>50000</v>
      </c>
      <c r="D310" s="499">
        <v>2</v>
      </c>
      <c r="E310" s="499">
        <v>1</v>
      </c>
      <c r="F310" s="581">
        <v>1</v>
      </c>
      <c r="G310" s="496">
        <f t="shared" si="20"/>
        <v>100000</v>
      </c>
    </row>
    <row r="311" spans="1:7" x14ac:dyDescent="0.2">
      <c r="A311" s="550"/>
      <c r="B311" s="500" t="s">
        <v>3078</v>
      </c>
      <c r="C311" s="498">
        <v>50000</v>
      </c>
      <c r="D311" s="499">
        <v>4</v>
      </c>
      <c r="E311" s="499">
        <v>2</v>
      </c>
      <c r="F311" s="581">
        <v>1</v>
      </c>
      <c r="G311" s="496">
        <f t="shared" si="20"/>
        <v>400000</v>
      </c>
    </row>
    <row r="312" spans="1:7" x14ac:dyDescent="0.2">
      <c r="A312" s="550"/>
      <c r="B312" s="500" t="s">
        <v>3079</v>
      </c>
      <c r="C312" s="498">
        <v>250000</v>
      </c>
      <c r="D312" s="499">
        <v>1</v>
      </c>
      <c r="E312" s="499">
        <v>4</v>
      </c>
      <c r="F312" s="581">
        <v>1</v>
      </c>
      <c r="G312" s="496">
        <f t="shared" si="20"/>
        <v>1000000</v>
      </c>
    </row>
    <row r="313" spans="1:7" x14ac:dyDescent="0.2">
      <c r="A313" s="550"/>
      <c r="B313" s="500" t="s">
        <v>3080</v>
      </c>
      <c r="C313" s="498">
        <v>50000</v>
      </c>
      <c r="D313" s="499">
        <v>1</v>
      </c>
      <c r="E313" s="499">
        <v>2</v>
      </c>
      <c r="F313" s="581">
        <v>1</v>
      </c>
      <c r="G313" s="496">
        <f t="shared" si="20"/>
        <v>100000</v>
      </c>
    </row>
    <row r="314" spans="1:7" x14ac:dyDescent="0.2">
      <c r="A314" s="550"/>
      <c r="B314" s="500" t="s">
        <v>3022</v>
      </c>
      <c r="C314" s="499">
        <v>220000</v>
      </c>
      <c r="D314" s="499">
        <v>2</v>
      </c>
      <c r="E314" s="499">
        <v>2</v>
      </c>
      <c r="F314" s="499">
        <v>1</v>
      </c>
      <c r="G314" s="496">
        <f t="shared" si="20"/>
        <v>880000</v>
      </c>
    </row>
    <row r="315" spans="1:7" x14ac:dyDescent="0.2">
      <c r="A315" s="550"/>
      <c r="B315" s="500" t="s">
        <v>3099</v>
      </c>
      <c r="C315" s="544">
        <v>700000</v>
      </c>
      <c r="D315" s="544">
        <v>1</v>
      </c>
      <c r="E315" s="499">
        <v>6</v>
      </c>
      <c r="F315" s="581">
        <v>1</v>
      </c>
      <c r="G315" s="496">
        <f t="shared" si="20"/>
        <v>4200000</v>
      </c>
    </row>
    <row r="316" spans="1:7" x14ac:dyDescent="0.2">
      <c r="A316" s="555"/>
      <c r="B316" s="545" t="s">
        <v>3025</v>
      </c>
      <c r="C316" s="553">
        <v>200000</v>
      </c>
      <c r="D316" s="553">
        <v>1</v>
      </c>
      <c r="E316" s="553">
        <v>6</v>
      </c>
      <c r="F316" s="581">
        <v>1</v>
      </c>
      <c r="G316" s="496">
        <f>C316*D316*E316*F316</f>
        <v>1200000</v>
      </c>
    </row>
    <row r="317" spans="1:7" x14ac:dyDescent="0.2">
      <c r="A317" s="555"/>
      <c r="B317" s="545" t="s">
        <v>3026</v>
      </c>
      <c r="C317" s="553">
        <v>10000</v>
      </c>
      <c r="D317" s="581">
        <v>10</v>
      </c>
      <c r="E317" s="553">
        <v>6</v>
      </c>
      <c r="F317" s="581">
        <v>1</v>
      </c>
      <c r="G317" s="496">
        <f>C317*D317*E317*F317</f>
        <v>600000</v>
      </c>
    </row>
    <row r="318" spans="1:7" x14ac:dyDescent="0.2">
      <c r="A318" s="556"/>
      <c r="B318" s="557"/>
      <c r="C318" s="558"/>
      <c r="D318" s="582">
        <f>MAX(D309:D317)</f>
        <v>10</v>
      </c>
      <c r="E318" s="582">
        <f>MAX(E309:E317)</f>
        <v>7</v>
      </c>
      <c r="G318" s="559">
        <f>SUM(G309:G317)</f>
        <v>11980000</v>
      </c>
    </row>
    <row r="319" spans="1:7" x14ac:dyDescent="0.2">
      <c r="A319" s="550"/>
      <c r="B319" s="510"/>
      <c r="C319" s="700" t="s">
        <v>3100</v>
      </c>
      <c r="D319" s="700"/>
      <c r="E319" s="700"/>
      <c r="F319" s="700"/>
      <c r="G319" s="689">
        <f>G318/D318/E318</f>
        <v>171142.85714285713</v>
      </c>
    </row>
    <row r="320" spans="1:7" ht="15.75" x14ac:dyDescent="0.25">
      <c r="A320" s="550"/>
      <c r="B320" s="510"/>
      <c r="C320"/>
      <c r="D320"/>
      <c r="E320"/>
      <c r="F320"/>
      <c r="G320"/>
    </row>
    <row r="321" spans="1:7" x14ac:dyDescent="0.2">
      <c r="A321" s="493">
        <v>67</v>
      </c>
      <c r="B321" s="491" t="s">
        <v>3027</v>
      </c>
      <c r="C321" s="513"/>
      <c r="D321" s="513"/>
      <c r="E321" s="513"/>
      <c r="F321" s="513"/>
      <c r="G321" s="514"/>
    </row>
    <row r="322" spans="1:7" x14ac:dyDescent="0.2">
      <c r="A322" s="550"/>
      <c r="B322" s="501" t="s">
        <v>3028</v>
      </c>
      <c r="C322" s="516">
        <v>80000</v>
      </c>
      <c r="D322" s="516">
        <v>30</v>
      </c>
      <c r="E322" s="516">
        <v>1</v>
      </c>
      <c r="F322" s="516">
        <v>1</v>
      </c>
      <c r="G322" s="516">
        <f>C322*D322*E322*F322</f>
        <v>2400000</v>
      </c>
    </row>
    <row r="323" spans="1:7" x14ac:dyDescent="0.2">
      <c r="A323" s="550"/>
      <c r="B323" s="488"/>
      <c r="C323" s="489"/>
      <c r="D323" s="489"/>
      <c r="E323" s="489"/>
      <c r="F323" s="489"/>
      <c r="G323" s="489"/>
    </row>
    <row r="324" spans="1:7" x14ac:dyDescent="0.2">
      <c r="A324" s="550">
        <v>68</v>
      </c>
      <c r="B324" s="948" t="s">
        <v>2722</v>
      </c>
      <c r="C324" s="948"/>
      <c r="D324" s="948"/>
      <c r="E324" s="948"/>
      <c r="F324" s="948"/>
      <c r="G324" s="948"/>
    </row>
    <row r="325" spans="1:7" x14ac:dyDescent="0.2">
      <c r="A325" s="550"/>
      <c r="B325" s="501" t="s">
        <v>2986</v>
      </c>
      <c r="C325" s="496">
        <v>80000</v>
      </c>
      <c r="D325" s="496">
        <v>36</v>
      </c>
      <c r="E325" s="496">
        <v>1</v>
      </c>
      <c r="F325" s="496">
        <v>1</v>
      </c>
      <c r="G325" s="496">
        <f>C325*D325*E325*F325</f>
        <v>2880000</v>
      </c>
    </row>
    <row r="326" spans="1:7" x14ac:dyDescent="0.2">
      <c r="A326" s="550"/>
      <c r="B326" s="488"/>
      <c r="C326" s="489"/>
      <c r="D326" s="489"/>
      <c r="E326" s="489"/>
      <c r="F326" s="489"/>
      <c r="G326" s="489"/>
    </row>
    <row r="327" spans="1:7" x14ac:dyDescent="0.2">
      <c r="A327" s="550"/>
      <c r="B327" s="488"/>
      <c r="C327" s="489"/>
      <c r="D327" s="489"/>
      <c r="E327" s="489"/>
      <c r="F327" s="489"/>
      <c r="G327" s="489"/>
    </row>
    <row r="328" spans="1:7" x14ac:dyDescent="0.2">
      <c r="A328" s="550">
        <v>69</v>
      </c>
      <c r="B328" s="948" t="s">
        <v>2723</v>
      </c>
      <c r="C328" s="948"/>
      <c r="D328" s="948"/>
      <c r="E328" s="948"/>
      <c r="F328" s="948"/>
      <c r="G328" s="948"/>
    </row>
    <row r="329" spans="1:7" x14ac:dyDescent="0.2">
      <c r="A329" s="550"/>
      <c r="B329" s="500" t="s">
        <v>2956</v>
      </c>
      <c r="C329" s="499">
        <v>250000</v>
      </c>
      <c r="D329" s="499">
        <v>2</v>
      </c>
      <c r="E329" s="499">
        <v>5</v>
      </c>
      <c r="F329" s="499">
        <v>1</v>
      </c>
      <c r="G329" s="530">
        <f t="shared" ref="G329:G335" si="21">C329*D329*E329*F329</f>
        <v>2500000</v>
      </c>
    </row>
    <row r="330" spans="1:7" x14ac:dyDescent="0.2">
      <c r="A330" s="550"/>
      <c r="B330" s="500" t="s">
        <v>3029</v>
      </c>
      <c r="C330" s="499"/>
      <c r="D330" s="499">
        <v>2</v>
      </c>
      <c r="E330" s="499">
        <v>2</v>
      </c>
      <c r="F330" s="499">
        <v>1</v>
      </c>
      <c r="G330" s="530">
        <f t="shared" si="21"/>
        <v>0</v>
      </c>
    </row>
    <row r="331" spans="1:7" x14ac:dyDescent="0.2">
      <c r="A331" s="550"/>
      <c r="B331" s="500" t="s">
        <v>2957</v>
      </c>
      <c r="C331" s="499">
        <v>50000</v>
      </c>
      <c r="D331" s="499">
        <v>2</v>
      </c>
      <c r="E331" s="499">
        <v>1</v>
      </c>
      <c r="F331" s="499">
        <v>1</v>
      </c>
      <c r="G331" s="530">
        <f t="shared" si="21"/>
        <v>100000</v>
      </c>
    </row>
    <row r="332" spans="1:7" x14ac:dyDescent="0.2">
      <c r="A332" s="550"/>
      <c r="B332" s="500" t="s">
        <v>3022</v>
      </c>
      <c r="C332" s="499">
        <v>220000</v>
      </c>
      <c r="D332" s="499">
        <v>2</v>
      </c>
      <c r="E332" s="499">
        <v>2</v>
      </c>
      <c r="F332" s="499">
        <v>1</v>
      </c>
      <c r="G332" s="530">
        <f t="shared" si="21"/>
        <v>880000</v>
      </c>
    </row>
    <row r="333" spans="1:7" x14ac:dyDescent="0.2">
      <c r="A333" s="550"/>
      <c r="B333" s="500" t="s">
        <v>3023</v>
      </c>
      <c r="C333" s="499"/>
      <c r="D333" s="499"/>
      <c r="E333" s="499"/>
      <c r="F333" s="499">
        <v>1</v>
      </c>
      <c r="G333" s="530">
        <f t="shared" si="21"/>
        <v>0</v>
      </c>
    </row>
    <row r="334" spans="1:7" x14ac:dyDescent="0.2">
      <c r="A334" s="550"/>
      <c r="B334" s="500" t="s">
        <v>3024</v>
      </c>
      <c r="C334" s="499"/>
      <c r="D334" s="499"/>
      <c r="E334" s="499"/>
      <c r="F334" s="499">
        <v>1</v>
      </c>
      <c r="G334" s="530">
        <f t="shared" si="21"/>
        <v>0</v>
      </c>
    </row>
    <row r="335" spans="1:7" x14ac:dyDescent="0.2">
      <c r="A335" s="550"/>
      <c r="B335" s="497" t="s">
        <v>3030</v>
      </c>
      <c r="C335" s="498">
        <v>100000</v>
      </c>
      <c r="D335" s="499">
        <v>2</v>
      </c>
      <c r="E335" s="499">
        <v>4</v>
      </c>
      <c r="F335" s="499">
        <v>1</v>
      </c>
      <c r="G335" s="530">
        <f t="shared" si="21"/>
        <v>800000</v>
      </c>
    </row>
    <row r="336" spans="1:7" x14ac:dyDescent="0.2">
      <c r="A336" s="550"/>
      <c r="B336" s="488"/>
      <c r="C336" s="489"/>
      <c r="D336" s="582">
        <f>MAX(D329:D335)</f>
        <v>2</v>
      </c>
      <c r="E336" s="582">
        <f>MAX(E327:E335)</f>
        <v>5</v>
      </c>
      <c r="F336" s="508"/>
      <c r="G336" s="560">
        <f>SUM(G329:G335)</f>
        <v>4280000</v>
      </c>
    </row>
    <row r="337" spans="1:7" x14ac:dyDescent="0.2">
      <c r="A337" s="550"/>
      <c r="B337" s="488"/>
      <c r="C337" s="700" t="s">
        <v>3100</v>
      </c>
      <c r="D337" s="700"/>
      <c r="E337" s="700"/>
      <c r="F337" s="700"/>
      <c r="G337" s="689">
        <f>G336/D336/E336</f>
        <v>428000</v>
      </c>
    </row>
    <row r="338" spans="1:7" x14ac:dyDescent="0.2">
      <c r="A338" s="550"/>
      <c r="B338" s="488"/>
      <c r="C338" s="489"/>
      <c r="F338" s="512"/>
      <c r="G338" s="583"/>
    </row>
    <row r="339" spans="1:7" x14ac:dyDescent="0.2">
      <c r="A339" s="550"/>
      <c r="B339" s="488"/>
      <c r="C339" s="489"/>
      <c r="D339" s="489"/>
      <c r="E339" s="489"/>
      <c r="F339" s="489"/>
      <c r="G339" s="489"/>
    </row>
    <row r="340" spans="1:7" x14ac:dyDescent="0.2">
      <c r="A340" s="531">
        <v>70</v>
      </c>
      <c r="B340" s="950" t="s">
        <v>2724</v>
      </c>
      <c r="C340" s="950"/>
      <c r="D340" s="950"/>
      <c r="E340" s="950"/>
      <c r="F340" s="950"/>
      <c r="G340" s="950"/>
    </row>
    <row r="341" spans="1:7" x14ac:dyDescent="0.2">
      <c r="A341" s="556"/>
      <c r="B341" s="944" t="s">
        <v>2996</v>
      </c>
      <c r="C341" s="944"/>
      <c r="D341" s="944"/>
      <c r="E341" s="944"/>
      <c r="F341" s="944"/>
      <c r="G341" s="944"/>
    </row>
    <row r="342" spans="1:7" ht="51" x14ac:dyDescent="0.2">
      <c r="A342" s="552"/>
      <c r="B342" s="500" t="s">
        <v>3020</v>
      </c>
      <c r="C342" s="499">
        <v>250000</v>
      </c>
      <c r="D342" s="499">
        <v>2</v>
      </c>
      <c r="E342" s="499">
        <v>6</v>
      </c>
      <c r="F342" s="581">
        <v>1</v>
      </c>
      <c r="G342" s="516">
        <f>C342*D342*E342*F342</f>
        <v>3000000</v>
      </c>
    </row>
    <row r="343" spans="1:7" x14ac:dyDescent="0.2">
      <c r="A343" s="552"/>
      <c r="B343" s="500" t="s">
        <v>3021</v>
      </c>
      <c r="C343" s="499">
        <v>50000</v>
      </c>
      <c r="D343" s="499">
        <v>2</v>
      </c>
      <c r="E343" s="499">
        <v>1</v>
      </c>
      <c r="F343" s="581">
        <v>1</v>
      </c>
      <c r="G343" s="516">
        <f t="shared" ref="G343:G350" si="22">C343*D343*E343*F343</f>
        <v>100000</v>
      </c>
    </row>
    <row r="344" spans="1:7" x14ac:dyDescent="0.2">
      <c r="A344" s="552"/>
      <c r="B344" s="500" t="s">
        <v>3078</v>
      </c>
      <c r="C344" s="498">
        <v>50000</v>
      </c>
      <c r="D344" s="499">
        <v>1</v>
      </c>
      <c r="E344" s="499">
        <v>5</v>
      </c>
      <c r="F344" s="581">
        <v>1</v>
      </c>
      <c r="G344" s="516">
        <f t="shared" si="22"/>
        <v>250000</v>
      </c>
    </row>
    <row r="345" spans="1:7" x14ac:dyDescent="0.2">
      <c r="A345" s="552"/>
      <c r="B345" s="500" t="s">
        <v>3079</v>
      </c>
      <c r="C345" s="498">
        <v>250000</v>
      </c>
      <c r="D345" s="499">
        <v>1</v>
      </c>
      <c r="E345" s="499">
        <v>3</v>
      </c>
      <c r="F345" s="581">
        <v>1</v>
      </c>
      <c r="G345" s="516">
        <f t="shared" si="22"/>
        <v>750000</v>
      </c>
    </row>
    <row r="346" spans="1:7" x14ac:dyDescent="0.2">
      <c r="A346" s="552"/>
      <c r="B346" s="500" t="s">
        <v>3080</v>
      </c>
      <c r="C346" s="498">
        <v>50000</v>
      </c>
      <c r="D346" s="499">
        <v>1</v>
      </c>
      <c r="E346" s="499">
        <v>2</v>
      </c>
      <c r="F346" s="581">
        <v>1</v>
      </c>
      <c r="G346" s="516">
        <f t="shared" si="22"/>
        <v>100000</v>
      </c>
    </row>
    <row r="347" spans="1:7" x14ac:dyDescent="0.2">
      <c r="A347" s="552"/>
      <c r="B347" s="500" t="s">
        <v>3022</v>
      </c>
      <c r="C347" s="499">
        <v>220000</v>
      </c>
      <c r="D347" s="499">
        <v>2</v>
      </c>
      <c r="E347" s="499">
        <v>2</v>
      </c>
      <c r="F347" s="499">
        <v>1</v>
      </c>
      <c r="G347" s="516">
        <f t="shared" si="22"/>
        <v>880000</v>
      </c>
    </row>
    <row r="348" spans="1:7" x14ac:dyDescent="0.2">
      <c r="A348" s="552"/>
      <c r="B348" s="500" t="s">
        <v>3099</v>
      </c>
      <c r="C348" s="544">
        <v>700000</v>
      </c>
      <c r="D348" s="544">
        <v>1</v>
      </c>
      <c r="E348" s="499">
        <v>5</v>
      </c>
      <c r="F348" s="581">
        <v>1</v>
      </c>
      <c r="G348" s="516">
        <f t="shared" si="22"/>
        <v>3500000</v>
      </c>
    </row>
    <row r="349" spans="1:7" x14ac:dyDescent="0.2">
      <c r="A349" s="552"/>
      <c r="B349" s="545" t="s">
        <v>3025</v>
      </c>
      <c r="C349" s="553">
        <v>200000</v>
      </c>
      <c r="D349" s="553">
        <v>1</v>
      </c>
      <c r="E349" s="553">
        <v>6</v>
      </c>
      <c r="F349" s="581">
        <v>1</v>
      </c>
      <c r="G349" s="516">
        <f t="shared" si="22"/>
        <v>1200000</v>
      </c>
    </row>
    <row r="350" spans="1:7" x14ac:dyDescent="0.2">
      <c r="A350" s="552"/>
      <c r="B350" s="545" t="s">
        <v>3026</v>
      </c>
      <c r="C350" s="553">
        <v>10000</v>
      </c>
      <c r="D350" s="581">
        <v>10</v>
      </c>
      <c r="E350" s="553">
        <v>6</v>
      </c>
      <c r="F350" s="581">
        <v>1</v>
      </c>
      <c r="G350" s="516">
        <f t="shared" si="22"/>
        <v>600000</v>
      </c>
    </row>
    <row r="351" spans="1:7" x14ac:dyDescent="0.2">
      <c r="A351" s="550"/>
      <c r="B351" s="506"/>
      <c r="C351" s="507"/>
      <c r="D351" s="582">
        <f>MAX(D342:D350)</f>
        <v>10</v>
      </c>
      <c r="E351" s="582">
        <f>MAX(E342:E350)</f>
        <v>6</v>
      </c>
      <c r="F351" s="527"/>
      <c r="G351" s="509">
        <f>SUM(G342:G350)</f>
        <v>10380000</v>
      </c>
    </row>
    <row r="352" spans="1:7" x14ac:dyDescent="0.2">
      <c r="A352" s="550"/>
      <c r="B352" s="510"/>
      <c r="C352" s="700" t="s">
        <v>3100</v>
      </c>
      <c r="D352" s="700"/>
      <c r="E352" s="700"/>
      <c r="F352" s="700"/>
      <c r="G352" s="689">
        <f>G351/D351/E351</f>
        <v>173000</v>
      </c>
    </row>
    <row r="353" spans="1:7" x14ac:dyDescent="0.2">
      <c r="A353" s="550"/>
      <c r="B353" s="488"/>
      <c r="C353" s="489"/>
      <c r="D353" s="489"/>
      <c r="E353" s="489"/>
      <c r="F353" s="489"/>
      <c r="G353" s="489"/>
    </row>
    <row r="354" spans="1:7" x14ac:dyDescent="0.2">
      <c r="A354" s="550"/>
      <c r="B354" s="488"/>
      <c r="C354" s="489"/>
      <c r="D354" s="489"/>
      <c r="E354" s="489"/>
      <c r="F354" s="489"/>
      <c r="G354" s="489"/>
    </row>
    <row r="355" spans="1:7" ht="31.15" customHeight="1" x14ac:dyDescent="0.2">
      <c r="A355" s="561">
        <v>71</v>
      </c>
      <c r="B355" s="945" t="s">
        <v>2725</v>
      </c>
      <c r="C355" s="946"/>
      <c r="D355" s="947"/>
      <c r="E355" s="947"/>
      <c r="F355" s="947"/>
      <c r="G355" s="947"/>
    </row>
    <row r="356" spans="1:7" ht="38.25" x14ac:dyDescent="0.2">
      <c r="A356" s="550"/>
      <c r="B356" s="562" t="s">
        <v>3031</v>
      </c>
      <c r="C356" s="563"/>
      <c r="D356" s="563"/>
      <c r="E356" s="563"/>
      <c r="F356" s="563"/>
      <c r="G356" s="563"/>
    </row>
    <row r="357" spans="1:7" ht="38.25" x14ac:dyDescent="0.2">
      <c r="A357" s="531"/>
      <c r="B357" s="497" t="s">
        <v>3139</v>
      </c>
      <c r="C357" s="498">
        <v>20000</v>
      </c>
      <c r="D357" s="553">
        <v>25</v>
      </c>
      <c r="E357" s="553">
        <v>1</v>
      </c>
      <c r="F357" s="553">
        <v>1</v>
      </c>
      <c r="G357" s="516">
        <f t="shared" ref="G357" si="23">C357*D357*E357*F357</f>
        <v>500000</v>
      </c>
    </row>
    <row r="358" spans="1:7" x14ac:dyDescent="0.2">
      <c r="A358" s="550"/>
      <c r="B358" s="506"/>
      <c r="C358" s="507"/>
      <c r="D358" s="582">
        <f>MAX(D357:D357)</f>
        <v>25</v>
      </c>
      <c r="E358" s="582">
        <f>MAX(E357:E357)</f>
        <v>1</v>
      </c>
      <c r="F358" s="527"/>
      <c r="G358" s="509">
        <f>SUM(G357:G357)</f>
        <v>500000</v>
      </c>
    </row>
    <row r="359" spans="1:7" x14ac:dyDescent="0.2">
      <c r="A359" s="550"/>
      <c r="B359" s="488"/>
      <c r="C359" s="700"/>
      <c r="D359" s="700"/>
      <c r="E359" s="700"/>
      <c r="F359" s="700"/>
      <c r="G359" s="689">
        <f>G358/D358/E358</f>
        <v>20000</v>
      </c>
    </row>
    <row r="360" spans="1:7" x14ac:dyDescent="0.2">
      <c r="A360" s="564"/>
      <c r="B360" s="510"/>
      <c r="C360" s="511"/>
      <c r="D360" s="511"/>
      <c r="E360" s="511"/>
      <c r="F360" s="511"/>
      <c r="G360" s="511"/>
    </row>
    <row r="361" spans="1:7" x14ac:dyDescent="0.2">
      <c r="A361" s="550">
        <v>72</v>
      </c>
      <c r="B361" s="948" t="s">
        <v>2726</v>
      </c>
      <c r="C361" s="948"/>
      <c r="D361" s="948"/>
      <c r="E361" s="948"/>
      <c r="F361" s="948"/>
      <c r="G361" s="948"/>
    </row>
    <row r="362" spans="1:7" ht="25.5" x14ac:dyDescent="0.2">
      <c r="A362" s="550"/>
      <c r="B362" s="501" t="s">
        <v>3032</v>
      </c>
      <c r="C362" s="496">
        <v>20000</v>
      </c>
      <c r="D362" s="496">
        <v>100</v>
      </c>
      <c r="E362" s="496">
        <v>1</v>
      </c>
      <c r="F362" s="496">
        <v>1</v>
      </c>
      <c r="G362" s="496">
        <f>C362*D362*E362*F362</f>
        <v>2000000</v>
      </c>
    </row>
    <row r="363" spans="1:7" ht="25.5" x14ac:dyDescent="0.2">
      <c r="A363" s="550"/>
      <c r="B363" s="501" t="s">
        <v>3033</v>
      </c>
      <c r="C363" s="496">
        <v>50000</v>
      </c>
      <c r="D363" s="496">
        <v>10</v>
      </c>
      <c r="E363" s="496">
        <v>1</v>
      </c>
      <c r="F363" s="496">
        <v>1</v>
      </c>
      <c r="G363" s="496">
        <f>C363*D363*E363*F363</f>
        <v>500000</v>
      </c>
    </row>
    <row r="366" spans="1:7" ht="25.5" x14ac:dyDescent="0.2">
      <c r="A366" s="846" t="s">
        <v>3144</v>
      </c>
      <c r="B366" s="846" t="s">
        <v>16</v>
      </c>
      <c r="C366" s="846" t="s">
        <v>1</v>
      </c>
      <c r="D366" s="847" t="s">
        <v>2899</v>
      </c>
      <c r="E366" s="848" t="s">
        <v>2767</v>
      </c>
      <c r="F366" s="849" t="s">
        <v>2901</v>
      </c>
      <c r="G366" s="847" t="s">
        <v>3145</v>
      </c>
    </row>
    <row r="367" spans="1:7" x14ac:dyDescent="0.2">
      <c r="A367" s="850">
        <v>79</v>
      </c>
      <c r="B367" s="851" t="s">
        <v>3146</v>
      </c>
      <c r="C367" s="852"/>
      <c r="D367" s="853"/>
      <c r="E367" s="854"/>
      <c r="F367" s="855"/>
      <c r="G367" s="853"/>
    </row>
    <row r="368" spans="1:7" x14ac:dyDescent="0.2">
      <c r="A368" s="856" t="s">
        <v>3147</v>
      </c>
      <c r="B368" s="851" t="s">
        <v>3148</v>
      </c>
      <c r="C368" s="852"/>
      <c r="D368" s="857"/>
      <c r="E368" s="858"/>
      <c r="F368" s="859"/>
      <c r="G368" s="857"/>
    </row>
    <row r="369" spans="1:7" x14ac:dyDescent="0.2">
      <c r="A369" s="856"/>
      <c r="B369" s="860"/>
      <c r="C369" s="861" t="s">
        <v>3149</v>
      </c>
      <c r="D369" s="862">
        <v>150000</v>
      </c>
      <c r="E369" s="863">
        <v>1</v>
      </c>
      <c r="F369" s="864">
        <v>1</v>
      </c>
      <c r="G369" s="862">
        <f t="shared" ref="G369:G374" si="24">D369*E369*F369</f>
        <v>150000</v>
      </c>
    </row>
    <row r="370" spans="1:7" x14ac:dyDescent="0.2">
      <c r="A370" s="856"/>
      <c r="B370" s="860"/>
      <c r="C370" s="861" t="s">
        <v>3150</v>
      </c>
      <c r="D370" s="862">
        <v>250000</v>
      </c>
      <c r="E370" s="863">
        <v>12</v>
      </c>
      <c r="F370" s="864">
        <v>2</v>
      </c>
      <c r="G370" s="862">
        <f t="shared" si="24"/>
        <v>6000000</v>
      </c>
    </row>
    <row r="371" spans="1:7" x14ac:dyDescent="0.2">
      <c r="A371" s="856"/>
      <c r="B371" s="860"/>
      <c r="C371" s="861" t="s">
        <v>3151</v>
      </c>
      <c r="D371" s="862">
        <v>250000</v>
      </c>
      <c r="E371" s="863">
        <v>8</v>
      </c>
      <c r="F371" s="864">
        <v>3</v>
      </c>
      <c r="G371" s="862">
        <f t="shared" si="24"/>
        <v>6000000</v>
      </c>
    </row>
    <row r="372" spans="1:7" x14ac:dyDescent="0.2">
      <c r="A372" s="856"/>
      <c r="B372" s="860"/>
      <c r="C372" s="861" t="s">
        <v>3152</v>
      </c>
      <c r="D372" s="862">
        <v>50000</v>
      </c>
      <c r="E372" s="863">
        <v>20</v>
      </c>
      <c r="F372" s="864">
        <v>1</v>
      </c>
      <c r="G372" s="862">
        <f t="shared" si="24"/>
        <v>1000000</v>
      </c>
    </row>
    <row r="373" spans="1:7" x14ac:dyDescent="0.2">
      <c r="A373" s="856"/>
      <c r="B373" s="860"/>
      <c r="C373" s="861" t="s">
        <v>3153</v>
      </c>
      <c r="D373" s="862">
        <v>705000</v>
      </c>
      <c r="E373" s="863">
        <v>2</v>
      </c>
      <c r="F373" s="864">
        <v>1</v>
      </c>
      <c r="G373" s="862">
        <f t="shared" si="24"/>
        <v>1410000</v>
      </c>
    </row>
    <row r="374" spans="1:7" x14ac:dyDescent="0.2">
      <c r="A374" s="856"/>
      <c r="B374" s="860"/>
      <c r="C374" s="861" t="s">
        <v>3154</v>
      </c>
      <c r="D374" s="862">
        <v>894000</v>
      </c>
      <c r="E374" s="863">
        <v>2</v>
      </c>
      <c r="F374" s="864">
        <v>1</v>
      </c>
      <c r="G374" s="862">
        <f t="shared" si="24"/>
        <v>1788000</v>
      </c>
    </row>
    <row r="375" spans="1:7" x14ac:dyDescent="0.2">
      <c r="A375" s="856"/>
      <c r="B375" s="860"/>
      <c r="C375" s="861" t="s">
        <v>3155</v>
      </c>
      <c r="D375" s="862">
        <v>385000</v>
      </c>
      <c r="E375" s="863">
        <v>2</v>
      </c>
      <c r="F375" s="864">
        <v>1</v>
      </c>
      <c r="G375" s="862">
        <f>D375*E375*F375</f>
        <v>770000</v>
      </c>
    </row>
    <row r="376" spans="1:7" x14ac:dyDescent="0.2">
      <c r="A376" s="856"/>
      <c r="B376" s="860"/>
      <c r="C376" s="861" t="s">
        <v>3156</v>
      </c>
      <c r="D376" s="862">
        <v>353250</v>
      </c>
      <c r="E376" s="863">
        <v>2</v>
      </c>
      <c r="F376" s="864">
        <v>1</v>
      </c>
      <c r="G376" s="862">
        <f t="shared" ref="G376:G381" si="25">D376*E376*F376</f>
        <v>706500</v>
      </c>
    </row>
    <row r="377" spans="1:7" x14ac:dyDescent="0.2">
      <c r="A377" s="856"/>
      <c r="B377" s="860"/>
      <c r="C377" s="861" t="s">
        <v>3157</v>
      </c>
      <c r="D377" s="862">
        <v>506250</v>
      </c>
      <c r="E377" s="863">
        <v>2</v>
      </c>
      <c r="F377" s="864">
        <v>1</v>
      </c>
      <c r="G377" s="862">
        <f t="shared" si="25"/>
        <v>1012500</v>
      </c>
    </row>
    <row r="378" spans="1:7" x14ac:dyDescent="0.2">
      <c r="A378" s="856"/>
      <c r="B378" s="860"/>
      <c r="C378" s="861" t="s">
        <v>3158</v>
      </c>
      <c r="D378" s="862">
        <v>1500000</v>
      </c>
      <c r="E378" s="863">
        <v>1</v>
      </c>
      <c r="F378" s="864">
        <v>1</v>
      </c>
      <c r="G378" s="862">
        <f t="shared" si="25"/>
        <v>1500000</v>
      </c>
    </row>
    <row r="379" spans="1:7" x14ac:dyDescent="0.2">
      <c r="A379" s="856"/>
      <c r="B379" s="865"/>
      <c r="C379" s="861" t="s">
        <v>3159</v>
      </c>
      <c r="D379" s="862">
        <v>40000</v>
      </c>
      <c r="E379" s="863">
        <v>60</v>
      </c>
      <c r="F379" s="864">
        <v>1</v>
      </c>
      <c r="G379" s="862">
        <f t="shared" si="25"/>
        <v>2400000</v>
      </c>
    </row>
    <row r="380" spans="1:7" x14ac:dyDescent="0.2">
      <c r="A380" s="856"/>
      <c r="B380" s="860"/>
      <c r="C380" s="861" t="s">
        <v>3160</v>
      </c>
      <c r="D380" s="862">
        <v>20000</v>
      </c>
      <c r="E380" s="863">
        <v>60</v>
      </c>
      <c r="F380" s="864">
        <v>1</v>
      </c>
      <c r="G380" s="862">
        <f t="shared" si="25"/>
        <v>1200000</v>
      </c>
    </row>
    <row r="381" spans="1:7" x14ac:dyDescent="0.2">
      <c r="A381" s="856"/>
      <c r="B381" s="860"/>
      <c r="C381" s="861" t="s">
        <v>3161</v>
      </c>
      <c r="D381" s="862">
        <v>500000</v>
      </c>
      <c r="E381" s="863">
        <v>1</v>
      </c>
      <c r="F381" s="864">
        <v>1</v>
      </c>
      <c r="G381" s="862">
        <f t="shared" si="25"/>
        <v>500000</v>
      </c>
    </row>
    <row r="382" spans="1:7" x14ac:dyDescent="0.2">
      <c r="A382" s="856"/>
      <c r="B382" s="860"/>
      <c r="C382" s="861"/>
      <c r="D382" s="862"/>
      <c r="E382" s="863"/>
      <c r="F382" s="864"/>
      <c r="G382" s="862"/>
    </row>
    <row r="383" spans="1:7" x14ac:dyDescent="0.2">
      <c r="A383" s="856"/>
      <c r="B383" s="865" t="s">
        <v>3162</v>
      </c>
      <c r="C383" s="866" t="s">
        <v>3163</v>
      </c>
      <c r="D383" s="867"/>
      <c r="E383" s="868"/>
      <c r="F383" s="869"/>
      <c r="G383" s="870">
        <f>SUM(G369:G382)</f>
        <v>24437000</v>
      </c>
    </row>
    <row r="384" spans="1:7" x14ac:dyDescent="0.2">
      <c r="A384" s="871"/>
      <c r="B384" s="872"/>
      <c r="C384" s="873"/>
      <c r="D384" s="874"/>
      <c r="E384" s="875"/>
      <c r="F384" s="876"/>
      <c r="G384" s="874"/>
    </row>
    <row r="385" spans="1:7" x14ac:dyDescent="0.2">
      <c r="A385" s="856" t="s">
        <v>3147</v>
      </c>
      <c r="B385" s="851" t="s">
        <v>3164</v>
      </c>
      <c r="C385" s="852"/>
      <c r="D385" s="857"/>
      <c r="E385" s="858"/>
      <c r="F385" s="859"/>
      <c r="G385" s="857"/>
    </row>
    <row r="386" spans="1:7" x14ac:dyDescent="0.2">
      <c r="A386" s="856"/>
      <c r="B386" s="860" t="s">
        <v>3165</v>
      </c>
      <c r="C386" s="861" t="s">
        <v>3149</v>
      </c>
      <c r="D386" s="862">
        <v>150000</v>
      </c>
      <c r="E386" s="863">
        <v>1</v>
      </c>
      <c r="F386" s="864">
        <v>1</v>
      </c>
      <c r="G386" s="862">
        <f t="shared" ref="G386:G395" si="26">D386*E386*F386</f>
        <v>150000</v>
      </c>
    </row>
    <row r="387" spans="1:7" x14ac:dyDescent="0.2">
      <c r="A387" s="856"/>
      <c r="B387" s="860"/>
      <c r="C387" s="861" t="s">
        <v>3166</v>
      </c>
      <c r="D387" s="862"/>
      <c r="E387" s="863">
        <v>6</v>
      </c>
      <c r="F387" s="864">
        <v>2</v>
      </c>
      <c r="G387" s="862">
        <f t="shared" si="26"/>
        <v>0</v>
      </c>
    </row>
    <row r="388" spans="1:7" x14ac:dyDescent="0.2">
      <c r="A388" s="856"/>
      <c r="B388" s="860"/>
      <c r="C388" s="861" t="s">
        <v>3167</v>
      </c>
      <c r="D388" s="862"/>
      <c r="E388" s="863">
        <v>8</v>
      </c>
      <c r="F388" s="864">
        <v>3</v>
      </c>
      <c r="G388" s="862">
        <f t="shared" si="26"/>
        <v>0</v>
      </c>
    </row>
    <row r="389" spans="1:7" x14ac:dyDescent="0.2">
      <c r="A389" s="856"/>
      <c r="B389" s="860"/>
      <c r="C389" s="861" t="s">
        <v>3168</v>
      </c>
      <c r="D389" s="862"/>
      <c r="E389" s="863">
        <v>30</v>
      </c>
      <c r="F389" s="864">
        <v>1</v>
      </c>
      <c r="G389" s="862">
        <f t="shared" si="26"/>
        <v>0</v>
      </c>
    </row>
    <row r="390" spans="1:7" x14ac:dyDescent="0.2">
      <c r="A390" s="856"/>
      <c r="B390" s="860" t="s">
        <v>3169</v>
      </c>
      <c r="C390" s="861" t="s">
        <v>3149</v>
      </c>
      <c r="D390" s="862">
        <v>150000</v>
      </c>
      <c r="E390" s="863">
        <v>1</v>
      </c>
      <c r="F390" s="864">
        <v>1</v>
      </c>
      <c r="G390" s="862">
        <f t="shared" si="26"/>
        <v>150000</v>
      </c>
    </row>
    <row r="391" spans="1:7" x14ac:dyDescent="0.2">
      <c r="A391" s="856"/>
      <c r="B391" s="860"/>
      <c r="C391" s="861" t="s">
        <v>3166</v>
      </c>
      <c r="D391" s="862"/>
      <c r="E391" s="863">
        <v>6</v>
      </c>
      <c r="F391" s="864">
        <v>2</v>
      </c>
      <c r="G391" s="862">
        <f t="shared" si="26"/>
        <v>0</v>
      </c>
    </row>
    <row r="392" spans="1:7" x14ac:dyDescent="0.2">
      <c r="A392" s="856"/>
      <c r="B392" s="860"/>
      <c r="C392" s="861" t="s">
        <v>3167</v>
      </c>
      <c r="D392" s="862"/>
      <c r="E392" s="863">
        <v>8</v>
      </c>
      <c r="F392" s="864">
        <v>3</v>
      </c>
      <c r="G392" s="862">
        <f t="shared" si="26"/>
        <v>0</v>
      </c>
    </row>
    <row r="393" spans="1:7" x14ac:dyDescent="0.2">
      <c r="A393" s="856"/>
      <c r="B393" s="860"/>
      <c r="C393" s="861" t="s">
        <v>3168</v>
      </c>
      <c r="D393" s="862"/>
      <c r="E393" s="863">
        <v>30</v>
      </c>
      <c r="F393" s="864">
        <v>1</v>
      </c>
      <c r="G393" s="862">
        <f t="shared" si="26"/>
        <v>0</v>
      </c>
    </row>
    <row r="394" spans="1:7" x14ac:dyDescent="0.2">
      <c r="A394" s="856"/>
      <c r="B394" s="860" t="s">
        <v>3170</v>
      </c>
      <c r="C394" s="861" t="s">
        <v>3149</v>
      </c>
      <c r="D394" s="862">
        <v>150000</v>
      </c>
      <c r="E394" s="863">
        <v>1</v>
      </c>
      <c r="F394" s="864">
        <v>1</v>
      </c>
      <c r="G394" s="862">
        <f t="shared" si="26"/>
        <v>150000</v>
      </c>
    </row>
    <row r="395" spans="1:7" x14ac:dyDescent="0.2">
      <c r="A395" s="856"/>
      <c r="B395" s="860"/>
      <c r="C395" s="861" t="s">
        <v>3166</v>
      </c>
      <c r="D395" s="862"/>
      <c r="E395" s="863">
        <v>6</v>
      </c>
      <c r="F395" s="864">
        <v>2</v>
      </c>
      <c r="G395" s="862">
        <f t="shared" si="26"/>
        <v>0</v>
      </c>
    </row>
    <row r="396" spans="1:7" x14ac:dyDescent="0.2">
      <c r="A396" s="856"/>
      <c r="B396" s="860"/>
      <c r="C396" s="861" t="s">
        <v>3167</v>
      </c>
      <c r="D396" s="862"/>
      <c r="E396" s="863">
        <v>8</v>
      </c>
      <c r="F396" s="864">
        <v>3</v>
      </c>
      <c r="G396" s="862">
        <f>D396*E396*F396</f>
        <v>0</v>
      </c>
    </row>
    <row r="397" spans="1:7" x14ac:dyDescent="0.2">
      <c r="A397" s="856"/>
      <c r="B397" s="860"/>
      <c r="C397" s="861" t="s">
        <v>3168</v>
      </c>
      <c r="D397" s="862"/>
      <c r="E397" s="863">
        <v>30</v>
      </c>
      <c r="F397" s="864">
        <v>1</v>
      </c>
      <c r="G397" s="862">
        <f t="shared" ref="G397:G404" si="27">D397*E397*F397</f>
        <v>0</v>
      </c>
    </row>
    <row r="398" spans="1:7" x14ac:dyDescent="0.2">
      <c r="A398" s="856"/>
      <c r="B398" s="860" t="s">
        <v>3171</v>
      </c>
      <c r="C398" s="861" t="s">
        <v>3149</v>
      </c>
      <c r="D398" s="862">
        <v>150000</v>
      </c>
      <c r="E398" s="863">
        <v>1</v>
      </c>
      <c r="F398" s="864">
        <v>1</v>
      </c>
      <c r="G398" s="862">
        <f t="shared" si="27"/>
        <v>150000</v>
      </c>
    </row>
    <row r="399" spans="1:7" x14ac:dyDescent="0.2">
      <c r="A399" s="856"/>
      <c r="B399" s="860"/>
      <c r="C399" s="861" t="s">
        <v>3166</v>
      </c>
      <c r="D399" s="862"/>
      <c r="E399" s="863">
        <v>6</v>
      </c>
      <c r="F399" s="864">
        <v>2</v>
      </c>
      <c r="G399" s="862">
        <f t="shared" si="27"/>
        <v>0</v>
      </c>
    </row>
    <row r="400" spans="1:7" x14ac:dyDescent="0.2">
      <c r="A400" s="856"/>
      <c r="B400" s="860"/>
      <c r="C400" s="861" t="s">
        <v>3167</v>
      </c>
      <c r="D400" s="862"/>
      <c r="E400" s="863">
        <v>8</v>
      </c>
      <c r="F400" s="864">
        <v>3</v>
      </c>
      <c r="G400" s="862">
        <f t="shared" si="27"/>
        <v>0</v>
      </c>
    </row>
    <row r="401" spans="1:7" x14ac:dyDescent="0.2">
      <c r="A401" s="856"/>
      <c r="B401" s="860"/>
      <c r="C401" s="861" t="s">
        <v>3168</v>
      </c>
      <c r="D401" s="862"/>
      <c r="E401" s="863">
        <v>30</v>
      </c>
      <c r="F401" s="864">
        <v>1</v>
      </c>
      <c r="G401" s="862">
        <f t="shared" si="27"/>
        <v>0</v>
      </c>
    </row>
    <row r="402" spans="1:7" x14ac:dyDescent="0.2">
      <c r="A402" s="856"/>
      <c r="B402" s="860" t="s">
        <v>3172</v>
      </c>
      <c r="C402" s="861" t="s">
        <v>3149</v>
      </c>
      <c r="D402" s="862">
        <v>150000</v>
      </c>
      <c r="E402" s="863">
        <v>1</v>
      </c>
      <c r="F402" s="864">
        <v>1</v>
      </c>
      <c r="G402" s="862">
        <f t="shared" si="27"/>
        <v>150000</v>
      </c>
    </row>
    <row r="403" spans="1:7" x14ac:dyDescent="0.2">
      <c r="A403" s="856"/>
      <c r="B403" s="860"/>
      <c r="C403" s="861" t="s">
        <v>3166</v>
      </c>
      <c r="D403" s="862"/>
      <c r="E403" s="863">
        <v>6</v>
      </c>
      <c r="F403" s="864">
        <v>2</v>
      </c>
      <c r="G403" s="862">
        <f t="shared" si="27"/>
        <v>0</v>
      </c>
    </row>
    <row r="404" spans="1:7" x14ac:dyDescent="0.2">
      <c r="A404" s="856"/>
      <c r="B404" s="860"/>
      <c r="C404" s="861" t="s">
        <v>3167</v>
      </c>
      <c r="D404" s="862"/>
      <c r="E404" s="863">
        <v>8</v>
      </c>
      <c r="F404" s="864">
        <v>3</v>
      </c>
      <c r="G404" s="862">
        <f t="shared" si="27"/>
        <v>0</v>
      </c>
    </row>
    <row r="405" spans="1:7" x14ac:dyDescent="0.2">
      <c r="A405" s="856"/>
      <c r="B405" s="860"/>
      <c r="C405" s="861" t="s">
        <v>3168</v>
      </c>
      <c r="D405" s="862"/>
      <c r="E405" s="863">
        <v>30</v>
      </c>
      <c r="F405" s="864">
        <v>1</v>
      </c>
      <c r="G405" s="862">
        <f>D405*E405*F405</f>
        <v>0</v>
      </c>
    </row>
    <row r="406" spans="1:7" x14ac:dyDescent="0.2">
      <c r="A406" s="856"/>
      <c r="B406" s="860" t="s">
        <v>3173</v>
      </c>
      <c r="C406" s="861" t="s">
        <v>3149</v>
      </c>
      <c r="D406" s="862">
        <v>150000</v>
      </c>
      <c r="E406" s="863">
        <v>1</v>
      </c>
      <c r="F406" s="864">
        <v>1</v>
      </c>
      <c r="G406" s="862">
        <f t="shared" ref="G406:G413" si="28">D406*E406*F406</f>
        <v>150000</v>
      </c>
    </row>
    <row r="407" spans="1:7" x14ac:dyDescent="0.2">
      <c r="A407" s="856"/>
      <c r="B407" s="860"/>
      <c r="C407" s="861" t="s">
        <v>3166</v>
      </c>
      <c r="D407" s="862"/>
      <c r="E407" s="863">
        <v>6</v>
      </c>
      <c r="F407" s="864">
        <v>2</v>
      </c>
      <c r="G407" s="862">
        <f t="shared" si="28"/>
        <v>0</v>
      </c>
    </row>
    <row r="408" spans="1:7" x14ac:dyDescent="0.2">
      <c r="A408" s="856"/>
      <c r="B408" s="860"/>
      <c r="C408" s="861" t="s">
        <v>3167</v>
      </c>
      <c r="D408" s="862"/>
      <c r="E408" s="863">
        <v>8</v>
      </c>
      <c r="F408" s="864">
        <v>3</v>
      </c>
      <c r="G408" s="862">
        <f t="shared" si="28"/>
        <v>0</v>
      </c>
    </row>
    <row r="409" spans="1:7" x14ac:dyDescent="0.2">
      <c r="A409" s="856"/>
      <c r="B409" s="860"/>
      <c r="C409" s="861" t="s">
        <v>3168</v>
      </c>
      <c r="D409" s="862"/>
      <c r="E409" s="863">
        <v>30</v>
      </c>
      <c r="F409" s="864">
        <v>1</v>
      </c>
      <c r="G409" s="862">
        <f t="shared" si="28"/>
        <v>0</v>
      </c>
    </row>
    <row r="410" spans="1:7" x14ac:dyDescent="0.2">
      <c r="A410" s="856"/>
      <c r="B410" s="860"/>
      <c r="C410" s="877" t="s">
        <v>3174</v>
      </c>
      <c r="D410" s="877"/>
      <c r="E410" s="858">
        <f>SUM(E386:E409)</f>
        <v>270</v>
      </c>
      <c r="F410" s="864"/>
      <c r="G410" s="862"/>
    </row>
    <row r="411" spans="1:7" x14ac:dyDescent="0.2">
      <c r="A411" s="856"/>
      <c r="B411" s="860"/>
      <c r="C411" s="861" t="s">
        <v>2893</v>
      </c>
      <c r="D411" s="862">
        <v>7500</v>
      </c>
      <c r="E411" s="863">
        <v>1</v>
      </c>
      <c r="F411" s="864">
        <v>10</v>
      </c>
      <c r="G411" s="862">
        <f t="shared" si="28"/>
        <v>75000</v>
      </c>
    </row>
    <row r="412" spans="1:7" ht="38.25" x14ac:dyDescent="0.2">
      <c r="A412" s="856"/>
      <c r="B412" s="865"/>
      <c r="C412" s="860" t="s">
        <v>3175</v>
      </c>
      <c r="D412" s="862">
        <v>150000</v>
      </c>
      <c r="E412" s="863">
        <f>E410</f>
        <v>270</v>
      </c>
      <c r="F412" s="864">
        <v>1</v>
      </c>
      <c r="G412" s="862">
        <f t="shared" si="28"/>
        <v>40500000</v>
      </c>
    </row>
    <row r="413" spans="1:7" x14ac:dyDescent="0.2">
      <c r="A413" s="856"/>
      <c r="B413" s="860"/>
      <c r="C413" s="861" t="s">
        <v>3160</v>
      </c>
      <c r="D413" s="862">
        <v>20000</v>
      </c>
      <c r="E413" s="863">
        <f>E412</f>
        <v>270</v>
      </c>
      <c r="F413" s="864">
        <v>1</v>
      </c>
      <c r="G413" s="862">
        <f t="shared" si="28"/>
        <v>5400000</v>
      </c>
    </row>
    <row r="414" spans="1:7" x14ac:dyDescent="0.2">
      <c r="A414" s="856"/>
      <c r="B414" s="860"/>
      <c r="C414" s="861" t="s">
        <v>3161</v>
      </c>
      <c r="D414" s="862">
        <v>300000</v>
      </c>
      <c r="E414" s="863">
        <v>6</v>
      </c>
      <c r="F414" s="864">
        <v>1</v>
      </c>
      <c r="G414" s="862">
        <f>D414*E414*F414</f>
        <v>1800000</v>
      </c>
    </row>
    <row r="415" spans="1:7" x14ac:dyDescent="0.2">
      <c r="A415" s="856"/>
      <c r="B415" s="860"/>
      <c r="C415" s="861"/>
      <c r="D415" s="862"/>
      <c r="E415" s="863"/>
      <c r="F415" s="864"/>
      <c r="G415" s="862"/>
    </row>
    <row r="416" spans="1:7" x14ac:dyDescent="0.2">
      <c r="A416" s="856"/>
      <c r="B416" s="865" t="s">
        <v>3176</v>
      </c>
      <c r="C416" s="866" t="s">
        <v>3163</v>
      </c>
      <c r="D416" s="867"/>
      <c r="E416" s="868"/>
      <c r="F416" s="869"/>
      <c r="G416" s="870">
        <f>SUM(G386:G415)</f>
        <v>48675000</v>
      </c>
    </row>
    <row r="417" spans="1:7" x14ac:dyDescent="0.2">
      <c r="A417" s="871"/>
      <c r="B417" s="872"/>
      <c r="C417" s="873"/>
      <c r="D417" s="874"/>
      <c r="E417" s="875"/>
      <c r="F417" s="876"/>
      <c r="G417" s="874"/>
    </row>
    <row r="418" spans="1:7" x14ac:dyDescent="0.2">
      <c r="A418" s="856" t="s">
        <v>3147</v>
      </c>
      <c r="B418" s="851" t="s">
        <v>3177</v>
      </c>
      <c r="C418" s="852"/>
      <c r="D418" s="857"/>
      <c r="E418" s="858"/>
      <c r="F418" s="859"/>
      <c r="G418" s="857"/>
    </row>
    <row r="419" spans="1:7" ht="38.25" x14ac:dyDescent="0.2">
      <c r="A419" s="856"/>
      <c r="B419" s="860"/>
      <c r="C419" s="860" t="s">
        <v>3178</v>
      </c>
      <c r="D419" s="862">
        <v>250000</v>
      </c>
      <c r="E419" s="863">
        <v>10</v>
      </c>
      <c r="F419" s="864">
        <v>7</v>
      </c>
      <c r="G419" s="862">
        <f t="shared" ref="G419:G428" si="29">D419*E419*F419</f>
        <v>17500000</v>
      </c>
    </row>
    <row r="420" spans="1:7" ht="25.5" x14ac:dyDescent="0.2">
      <c r="A420" s="856"/>
      <c r="B420" s="860"/>
      <c r="C420" s="860" t="s">
        <v>3179</v>
      </c>
      <c r="D420" s="862">
        <v>250000</v>
      </c>
      <c r="E420" s="863">
        <v>2</v>
      </c>
      <c r="F420" s="864">
        <v>2</v>
      </c>
      <c r="G420" s="862">
        <f t="shared" si="29"/>
        <v>1000000</v>
      </c>
    </row>
    <row r="421" spans="1:7" ht="38.25" x14ac:dyDescent="0.2">
      <c r="A421" s="856"/>
      <c r="B421" s="860"/>
      <c r="C421" s="860" t="s">
        <v>3180</v>
      </c>
      <c r="D421" s="862">
        <v>50000</v>
      </c>
      <c r="E421" s="863">
        <v>2</v>
      </c>
      <c r="F421" s="864">
        <v>1</v>
      </c>
      <c r="G421" s="862">
        <f t="shared" si="29"/>
        <v>100000</v>
      </c>
    </row>
    <row r="422" spans="1:7" ht="25.5" x14ac:dyDescent="0.2">
      <c r="A422" s="856"/>
      <c r="B422" s="860"/>
      <c r="C422" s="860" t="s">
        <v>3181</v>
      </c>
      <c r="D422" s="862">
        <v>2100000</v>
      </c>
      <c r="E422" s="863">
        <v>2</v>
      </c>
      <c r="F422" s="864">
        <v>1</v>
      </c>
      <c r="G422" s="862">
        <f t="shared" si="29"/>
        <v>4200000</v>
      </c>
    </row>
    <row r="423" spans="1:7" ht="25.5" x14ac:dyDescent="0.2">
      <c r="A423" s="856"/>
      <c r="B423" s="860"/>
      <c r="C423" s="860" t="s">
        <v>3182</v>
      </c>
      <c r="D423" s="862">
        <v>2100000</v>
      </c>
      <c r="E423" s="863">
        <v>2</v>
      </c>
      <c r="F423" s="864">
        <v>1</v>
      </c>
      <c r="G423" s="862">
        <f t="shared" si="29"/>
        <v>4200000</v>
      </c>
    </row>
    <row r="424" spans="1:7" ht="25.5" x14ac:dyDescent="0.2">
      <c r="A424" s="856"/>
      <c r="B424" s="860"/>
      <c r="C424" s="860" t="s">
        <v>3183</v>
      </c>
      <c r="D424" s="862">
        <v>1380000</v>
      </c>
      <c r="E424" s="863">
        <v>2</v>
      </c>
      <c r="F424" s="864">
        <v>1</v>
      </c>
      <c r="G424" s="862">
        <f t="shared" si="29"/>
        <v>2760000</v>
      </c>
    </row>
    <row r="425" spans="1:7" ht="25.5" x14ac:dyDescent="0.2">
      <c r="A425" s="856"/>
      <c r="B425" s="860"/>
      <c r="C425" s="860" t="s">
        <v>3184</v>
      </c>
      <c r="D425" s="862">
        <v>1800000</v>
      </c>
      <c r="E425" s="863">
        <v>2</v>
      </c>
      <c r="F425" s="864">
        <v>1</v>
      </c>
      <c r="G425" s="862">
        <f t="shared" si="29"/>
        <v>3600000</v>
      </c>
    </row>
    <row r="426" spans="1:7" ht="25.5" x14ac:dyDescent="0.2">
      <c r="A426" s="856"/>
      <c r="B426" s="860"/>
      <c r="C426" s="860" t="s">
        <v>3185</v>
      </c>
      <c r="D426" s="862">
        <v>1800000</v>
      </c>
      <c r="E426" s="863">
        <v>2</v>
      </c>
      <c r="F426" s="864">
        <v>1</v>
      </c>
      <c r="G426" s="862">
        <f t="shared" si="29"/>
        <v>3600000</v>
      </c>
    </row>
    <row r="427" spans="1:7" x14ac:dyDescent="0.2">
      <c r="A427" s="856"/>
      <c r="B427" s="860"/>
      <c r="C427" s="860" t="s">
        <v>3186</v>
      </c>
      <c r="D427" s="862">
        <v>35000</v>
      </c>
      <c r="E427" s="863">
        <v>10</v>
      </c>
      <c r="F427" s="864">
        <v>1</v>
      </c>
      <c r="G427" s="862">
        <f t="shared" si="29"/>
        <v>350000</v>
      </c>
    </row>
    <row r="428" spans="1:7" x14ac:dyDescent="0.2">
      <c r="A428" s="856"/>
      <c r="B428" s="860"/>
      <c r="C428" s="860" t="s">
        <v>3187</v>
      </c>
      <c r="D428" s="862">
        <v>800000</v>
      </c>
      <c r="E428" s="863">
        <v>1</v>
      </c>
      <c r="F428" s="864">
        <v>6</v>
      </c>
      <c r="G428" s="862">
        <f t="shared" si="29"/>
        <v>4800000</v>
      </c>
    </row>
    <row r="429" spans="1:7" x14ac:dyDescent="0.2">
      <c r="A429" s="856"/>
      <c r="B429" s="860"/>
      <c r="C429" s="860" t="s">
        <v>3188</v>
      </c>
      <c r="D429" s="862">
        <v>850000</v>
      </c>
      <c r="E429" s="863">
        <v>1</v>
      </c>
      <c r="F429" s="864">
        <v>6</v>
      </c>
      <c r="G429" s="862">
        <f>D429*E429*F429</f>
        <v>5100000</v>
      </c>
    </row>
    <row r="430" spans="1:7" x14ac:dyDescent="0.2">
      <c r="A430" s="856"/>
      <c r="B430" s="860"/>
      <c r="C430" s="860" t="s">
        <v>3189</v>
      </c>
      <c r="D430" s="862">
        <v>500000</v>
      </c>
      <c r="E430" s="863">
        <v>2</v>
      </c>
      <c r="F430" s="864">
        <v>6</v>
      </c>
      <c r="G430" s="862">
        <f t="shared" ref="G430:G435" si="30">D430*E430*F430</f>
        <v>6000000</v>
      </c>
    </row>
    <row r="431" spans="1:7" x14ac:dyDescent="0.2">
      <c r="A431" s="856"/>
      <c r="B431" s="860"/>
      <c r="C431" s="860" t="s">
        <v>3190</v>
      </c>
      <c r="D431" s="862">
        <v>800000</v>
      </c>
      <c r="E431" s="863">
        <v>1</v>
      </c>
      <c r="F431" s="864">
        <v>6</v>
      </c>
      <c r="G431" s="862">
        <f t="shared" si="30"/>
        <v>4800000</v>
      </c>
    </row>
    <row r="432" spans="1:7" x14ac:dyDescent="0.2">
      <c r="A432" s="856"/>
      <c r="B432" s="860"/>
      <c r="C432" s="860" t="s">
        <v>3191</v>
      </c>
      <c r="D432" s="862">
        <v>800000</v>
      </c>
      <c r="E432" s="863">
        <v>1</v>
      </c>
      <c r="F432" s="864">
        <v>6</v>
      </c>
      <c r="G432" s="862">
        <f t="shared" si="30"/>
        <v>4800000</v>
      </c>
    </row>
    <row r="433" spans="1:7" x14ac:dyDescent="0.2">
      <c r="A433" s="856"/>
      <c r="B433" s="860"/>
      <c r="C433" s="860" t="s">
        <v>3192</v>
      </c>
      <c r="D433" s="862">
        <v>800000</v>
      </c>
      <c r="E433" s="863">
        <v>1</v>
      </c>
      <c r="F433" s="864">
        <v>6</v>
      </c>
      <c r="G433" s="862">
        <f t="shared" si="30"/>
        <v>4800000</v>
      </c>
    </row>
    <row r="434" spans="1:7" x14ac:dyDescent="0.2">
      <c r="A434" s="856"/>
      <c r="B434" s="860"/>
      <c r="C434" s="860" t="s">
        <v>3160</v>
      </c>
      <c r="D434" s="862">
        <v>20000</v>
      </c>
      <c r="E434" s="863">
        <v>12</v>
      </c>
      <c r="F434" s="864">
        <v>1</v>
      </c>
      <c r="G434" s="862">
        <f t="shared" si="30"/>
        <v>240000</v>
      </c>
    </row>
    <row r="435" spans="1:7" x14ac:dyDescent="0.2">
      <c r="A435" s="856"/>
      <c r="B435" s="860"/>
      <c r="C435" s="860"/>
      <c r="D435" s="862"/>
      <c r="E435" s="863"/>
      <c r="F435" s="864"/>
      <c r="G435" s="862">
        <f t="shared" si="30"/>
        <v>0</v>
      </c>
    </row>
    <row r="436" spans="1:7" x14ac:dyDescent="0.2">
      <c r="A436" s="856"/>
      <c r="B436" s="865" t="s">
        <v>3193</v>
      </c>
      <c r="C436" s="866" t="s">
        <v>3163</v>
      </c>
      <c r="D436" s="867"/>
      <c r="E436" s="868"/>
      <c r="F436" s="869"/>
      <c r="G436" s="870">
        <f>SUM(G419:G435)</f>
        <v>67850000</v>
      </c>
    </row>
    <row r="437" spans="1:7" x14ac:dyDescent="0.2">
      <c r="A437" s="871"/>
      <c r="B437" s="872"/>
      <c r="C437" s="873"/>
      <c r="D437" s="874"/>
      <c r="E437" s="875"/>
      <c r="F437" s="876"/>
      <c r="G437" s="874"/>
    </row>
    <row r="438" spans="1:7" x14ac:dyDescent="0.2">
      <c r="A438" s="856" t="s">
        <v>3147</v>
      </c>
      <c r="B438" s="851" t="s">
        <v>3194</v>
      </c>
      <c r="C438" s="852"/>
      <c r="D438" s="857"/>
      <c r="E438" s="858"/>
      <c r="F438" s="859"/>
      <c r="G438" s="857"/>
    </row>
    <row r="439" spans="1:7" x14ac:dyDescent="0.2">
      <c r="A439" s="856"/>
      <c r="B439" s="860"/>
      <c r="C439" s="861" t="s">
        <v>3149</v>
      </c>
      <c r="D439" s="862">
        <v>150000</v>
      </c>
      <c r="E439" s="863">
        <v>1</v>
      </c>
      <c r="F439" s="864">
        <v>1</v>
      </c>
      <c r="G439" s="862">
        <f t="shared" ref="G439:G451" si="31">D439*E439*F439</f>
        <v>150000</v>
      </c>
    </row>
    <row r="440" spans="1:7" ht="38.25" x14ac:dyDescent="0.2">
      <c r="A440" s="856"/>
      <c r="B440" s="860"/>
      <c r="C440" s="860" t="s">
        <v>3195</v>
      </c>
      <c r="D440" s="862">
        <v>250000</v>
      </c>
      <c r="E440" s="878">
        <f>40+14</f>
        <v>54</v>
      </c>
      <c r="F440" s="864">
        <v>4</v>
      </c>
      <c r="G440" s="862">
        <f t="shared" si="31"/>
        <v>54000000</v>
      </c>
    </row>
    <row r="441" spans="1:7" x14ac:dyDescent="0.2">
      <c r="A441" s="856"/>
      <c r="B441" s="860"/>
      <c r="C441" s="861" t="s">
        <v>3196</v>
      </c>
      <c r="D441" s="862">
        <v>250000</v>
      </c>
      <c r="E441" s="878">
        <v>36</v>
      </c>
      <c r="F441" s="864">
        <v>5</v>
      </c>
      <c r="G441" s="862">
        <f t="shared" si="31"/>
        <v>45000000</v>
      </c>
    </row>
    <row r="442" spans="1:7" x14ac:dyDescent="0.2">
      <c r="A442" s="856"/>
      <c r="B442" s="860"/>
      <c r="C442" s="861" t="s">
        <v>3197</v>
      </c>
      <c r="D442" s="862">
        <v>250000</v>
      </c>
      <c r="E442" s="878">
        <v>24</v>
      </c>
      <c r="F442" s="864">
        <v>7</v>
      </c>
      <c r="G442" s="862">
        <f t="shared" si="31"/>
        <v>42000000</v>
      </c>
    </row>
    <row r="443" spans="1:7" x14ac:dyDescent="0.2">
      <c r="A443" s="856"/>
      <c r="B443" s="860"/>
      <c r="C443" s="861" t="s">
        <v>3198</v>
      </c>
      <c r="D443" s="862">
        <v>50000</v>
      </c>
      <c r="E443" s="863">
        <f>60+54</f>
        <v>114</v>
      </c>
      <c r="F443" s="864">
        <v>1</v>
      </c>
      <c r="G443" s="862">
        <f t="shared" si="31"/>
        <v>5700000</v>
      </c>
    </row>
    <row r="444" spans="1:7" x14ac:dyDescent="0.2">
      <c r="A444" s="856"/>
      <c r="B444" s="860"/>
      <c r="C444" s="877" t="s">
        <v>3174</v>
      </c>
      <c r="D444" s="877"/>
      <c r="E444" s="879">
        <f>(E440+E441+E442)-(10+14)</f>
        <v>90</v>
      </c>
      <c r="F444" s="864"/>
      <c r="G444" s="862"/>
    </row>
    <row r="445" spans="1:7" ht="63.75" x14ac:dyDescent="0.2">
      <c r="A445" s="856"/>
      <c r="B445" s="860"/>
      <c r="C445" s="880" t="s">
        <v>3199</v>
      </c>
      <c r="D445" s="877">
        <v>7500</v>
      </c>
      <c r="E445" s="858">
        <f>14*2</f>
        <v>28</v>
      </c>
      <c r="F445" s="881">
        <f>86/8</f>
        <v>10.75</v>
      </c>
      <c r="G445" s="862">
        <f t="shared" ref="G445" si="32">D445*E445*F445</f>
        <v>2257500</v>
      </c>
    </row>
    <row r="446" spans="1:7" x14ac:dyDescent="0.2">
      <c r="A446" s="856"/>
      <c r="B446" s="860"/>
      <c r="C446" s="882" t="s">
        <v>3200</v>
      </c>
      <c r="D446" s="862">
        <v>7500</v>
      </c>
      <c r="E446" s="863">
        <f>2*2</f>
        <v>4</v>
      </c>
      <c r="F446" s="881">
        <f>(699-56)/6</f>
        <v>107.16666666666667</v>
      </c>
      <c r="G446" s="862">
        <f t="shared" si="31"/>
        <v>3215000</v>
      </c>
    </row>
    <row r="447" spans="1:7" x14ac:dyDescent="0.2">
      <c r="A447" s="856"/>
      <c r="B447" s="860"/>
      <c r="C447" s="882" t="s">
        <v>3201</v>
      </c>
      <c r="D447" s="862">
        <v>7500</v>
      </c>
      <c r="E447" s="863">
        <f t="shared" ref="E447:E450" si="33">2*2</f>
        <v>4</v>
      </c>
      <c r="F447" s="881">
        <f>(893-56)/6</f>
        <v>139.5</v>
      </c>
      <c r="G447" s="862">
        <f t="shared" si="31"/>
        <v>4185000</v>
      </c>
    </row>
    <row r="448" spans="1:7" x14ac:dyDescent="0.2">
      <c r="A448" s="856"/>
      <c r="B448" s="860"/>
      <c r="C448" s="882" t="s">
        <v>3202</v>
      </c>
      <c r="D448" s="862">
        <v>7500</v>
      </c>
      <c r="E448" s="863">
        <f t="shared" si="33"/>
        <v>4</v>
      </c>
      <c r="F448" s="881">
        <f>(387-56)/6</f>
        <v>55.166666666666664</v>
      </c>
      <c r="G448" s="862">
        <f t="shared" si="31"/>
        <v>1655000</v>
      </c>
    </row>
    <row r="449" spans="1:8" x14ac:dyDescent="0.2">
      <c r="A449" s="856"/>
      <c r="B449" s="860"/>
      <c r="C449" s="882" t="s">
        <v>3203</v>
      </c>
      <c r="D449" s="862">
        <v>7500</v>
      </c>
      <c r="E449" s="863">
        <f t="shared" si="33"/>
        <v>4</v>
      </c>
      <c r="F449" s="881">
        <f>(469+86)/8</f>
        <v>69.375</v>
      </c>
      <c r="G449" s="862">
        <f t="shared" si="31"/>
        <v>2081250</v>
      </c>
    </row>
    <row r="450" spans="1:8" x14ac:dyDescent="0.2">
      <c r="A450" s="856"/>
      <c r="B450" s="860"/>
      <c r="C450" s="882" t="s">
        <v>3204</v>
      </c>
      <c r="D450" s="862">
        <v>7500</v>
      </c>
      <c r="E450" s="863">
        <f t="shared" si="33"/>
        <v>4</v>
      </c>
      <c r="F450" s="881">
        <f>(675+86)/8</f>
        <v>95.125</v>
      </c>
      <c r="G450" s="862">
        <f t="shared" si="31"/>
        <v>2853750</v>
      </c>
    </row>
    <row r="451" spans="1:8" x14ac:dyDescent="0.2">
      <c r="A451" s="856"/>
      <c r="B451" s="860"/>
      <c r="C451" s="882" t="s">
        <v>3205</v>
      </c>
      <c r="D451" s="877">
        <v>7500</v>
      </c>
      <c r="E451" s="863">
        <v>10</v>
      </c>
      <c r="F451" s="864">
        <v>4</v>
      </c>
      <c r="G451" s="862">
        <f t="shared" si="31"/>
        <v>300000</v>
      </c>
    </row>
    <row r="452" spans="1:8" x14ac:dyDescent="0.2">
      <c r="A452" s="856"/>
      <c r="B452" s="860"/>
      <c r="C452" s="861" t="s">
        <v>3158</v>
      </c>
      <c r="D452" s="862">
        <v>1500000</v>
      </c>
      <c r="E452" s="863">
        <v>1</v>
      </c>
      <c r="F452" s="864">
        <v>4</v>
      </c>
      <c r="G452" s="862">
        <f>D452*E452*F452</f>
        <v>6000000</v>
      </c>
    </row>
    <row r="453" spans="1:8" x14ac:dyDescent="0.2">
      <c r="A453" s="856"/>
      <c r="B453" s="860"/>
      <c r="C453" s="861" t="s">
        <v>3158</v>
      </c>
      <c r="D453" s="862">
        <v>800000</v>
      </c>
      <c r="E453" s="863">
        <v>1</v>
      </c>
      <c r="F453" s="864">
        <v>1</v>
      </c>
      <c r="G453" s="862">
        <f t="shared" ref="G453:G457" si="34">D453*E453*F453</f>
        <v>800000</v>
      </c>
    </row>
    <row r="454" spans="1:8" x14ac:dyDescent="0.2">
      <c r="A454" s="856"/>
      <c r="B454" s="865"/>
      <c r="C454" s="861" t="s">
        <v>3159</v>
      </c>
      <c r="D454" s="862">
        <v>25000</v>
      </c>
      <c r="E454" s="863">
        <v>90</v>
      </c>
      <c r="F454" s="864">
        <v>4</v>
      </c>
      <c r="G454" s="862">
        <f t="shared" si="34"/>
        <v>9000000</v>
      </c>
    </row>
    <row r="455" spans="1:8" x14ac:dyDescent="0.2">
      <c r="A455" s="856"/>
      <c r="B455" s="860"/>
      <c r="C455" s="861" t="s">
        <v>3160</v>
      </c>
      <c r="D455" s="862">
        <v>20000</v>
      </c>
      <c r="E455" s="863">
        <v>90</v>
      </c>
      <c r="F455" s="864">
        <v>1</v>
      </c>
      <c r="G455" s="862">
        <f t="shared" si="34"/>
        <v>1800000</v>
      </c>
    </row>
    <row r="456" spans="1:8" x14ac:dyDescent="0.2">
      <c r="A456" s="856"/>
      <c r="B456" s="860"/>
      <c r="C456" s="861" t="s">
        <v>3206</v>
      </c>
      <c r="D456" s="862">
        <v>1200000</v>
      </c>
      <c r="E456" s="863">
        <v>1</v>
      </c>
      <c r="F456" s="864">
        <v>1</v>
      </c>
      <c r="G456" s="862">
        <f t="shared" si="34"/>
        <v>1200000</v>
      </c>
    </row>
    <row r="457" spans="1:8" x14ac:dyDescent="0.2">
      <c r="A457" s="856"/>
      <c r="B457" s="860"/>
      <c r="C457" s="861" t="s">
        <v>3207</v>
      </c>
      <c r="D457" s="862">
        <v>1500000</v>
      </c>
      <c r="E457" s="863">
        <v>1</v>
      </c>
      <c r="F457" s="864">
        <v>1</v>
      </c>
      <c r="G457" s="862">
        <f t="shared" si="34"/>
        <v>1500000</v>
      </c>
    </row>
    <row r="458" spans="1:8" x14ac:dyDescent="0.2">
      <c r="A458" s="856"/>
      <c r="B458" s="860"/>
      <c r="C458" s="861"/>
      <c r="D458" s="862"/>
      <c r="E458" s="863"/>
      <c r="F458" s="864"/>
      <c r="G458" s="862"/>
    </row>
    <row r="459" spans="1:8" x14ac:dyDescent="0.2">
      <c r="A459" s="856"/>
      <c r="B459" s="865" t="s">
        <v>3208</v>
      </c>
      <c r="C459" s="866" t="s">
        <v>3163</v>
      </c>
      <c r="D459" s="867"/>
      <c r="E459" s="868"/>
      <c r="F459" s="869"/>
      <c r="G459" s="870">
        <f>SUM(G439:G458)</f>
        <v>183697500</v>
      </c>
    </row>
    <row r="460" spans="1:8" x14ac:dyDescent="0.2">
      <c r="A460" s="871"/>
      <c r="B460" s="872"/>
      <c r="C460" s="873"/>
      <c r="D460" s="874"/>
      <c r="E460" s="875"/>
      <c r="F460" s="876"/>
      <c r="G460" s="874"/>
    </row>
    <row r="461" spans="1:8" x14ac:dyDescent="0.2">
      <c r="A461" s="856" t="s">
        <v>3147</v>
      </c>
      <c r="B461" s="851" t="s">
        <v>3209</v>
      </c>
      <c r="C461" s="852"/>
      <c r="D461" s="857"/>
      <c r="E461" s="858"/>
      <c r="F461" s="859"/>
      <c r="G461" s="857"/>
    </row>
    <row r="462" spans="1:8" x14ac:dyDescent="0.2">
      <c r="A462" s="856"/>
      <c r="B462" s="860"/>
      <c r="C462" s="861" t="s">
        <v>3210</v>
      </c>
      <c r="D462" s="862">
        <v>10000</v>
      </c>
      <c r="E462" s="863">
        <v>1800</v>
      </c>
      <c r="F462" s="864">
        <v>1</v>
      </c>
      <c r="G462" s="862">
        <f t="shared" ref="G462:G465" si="35">D462*E462*F462</f>
        <v>18000000</v>
      </c>
    </row>
    <row r="463" spans="1:8" x14ac:dyDescent="0.2">
      <c r="A463" s="856"/>
      <c r="B463" s="860"/>
      <c r="C463" s="861" t="s">
        <v>3211</v>
      </c>
      <c r="D463" s="862">
        <v>50000</v>
      </c>
      <c r="E463" s="863">
        <v>1500</v>
      </c>
      <c r="F463" s="864">
        <v>1</v>
      </c>
      <c r="G463" s="862">
        <f t="shared" si="35"/>
        <v>75000000</v>
      </c>
    </row>
    <row r="464" spans="1:8" s="903" customFormat="1" x14ac:dyDescent="0.2">
      <c r="A464" s="900"/>
      <c r="B464" s="901"/>
      <c r="C464" s="899" t="s">
        <v>3212</v>
      </c>
      <c r="D464" s="857">
        <f>22.5473652*8181.4654</f>
        <v>184470.4882449641</v>
      </c>
      <c r="E464" s="858">
        <v>1500</v>
      </c>
      <c r="F464" s="859">
        <v>1</v>
      </c>
      <c r="G464" s="857">
        <f t="shared" si="35"/>
        <v>276705732.36744612</v>
      </c>
      <c r="H464" s="902"/>
    </row>
    <row r="465" spans="1:7" x14ac:dyDescent="0.2">
      <c r="A465" s="856"/>
      <c r="B465" s="860"/>
      <c r="C465" s="861" t="s">
        <v>3213</v>
      </c>
      <c r="D465" s="862">
        <v>150000</v>
      </c>
      <c r="E465" s="863">
        <v>4</v>
      </c>
      <c r="F465" s="864">
        <v>15</v>
      </c>
      <c r="G465" s="862">
        <f t="shared" si="35"/>
        <v>9000000</v>
      </c>
    </row>
    <row r="466" spans="1:7" x14ac:dyDescent="0.2">
      <c r="A466" s="856"/>
      <c r="B466" s="860"/>
      <c r="C466" s="861"/>
      <c r="D466" s="862"/>
      <c r="E466" s="863"/>
      <c r="F466" s="864"/>
      <c r="G466" s="862"/>
    </row>
    <row r="467" spans="1:7" x14ac:dyDescent="0.2">
      <c r="A467" s="856"/>
      <c r="B467" s="865"/>
      <c r="C467" s="866" t="s">
        <v>3163</v>
      </c>
      <c r="D467" s="867"/>
      <c r="E467" s="868"/>
      <c r="F467" s="869"/>
      <c r="G467" s="870">
        <f>SUM(G462:G466)</f>
        <v>378705732.36744612</v>
      </c>
    </row>
    <row r="468" spans="1:7" x14ac:dyDescent="0.2">
      <c r="A468" s="871"/>
      <c r="B468" s="872"/>
      <c r="C468" s="873"/>
      <c r="D468" s="874"/>
      <c r="E468" s="875"/>
      <c r="F468" s="876"/>
      <c r="G468" s="874"/>
    </row>
    <row r="469" spans="1:7" x14ac:dyDescent="0.2">
      <c r="A469" s="856" t="s">
        <v>3147</v>
      </c>
      <c r="B469" s="851" t="s">
        <v>3214</v>
      </c>
      <c r="C469" s="852"/>
      <c r="D469" s="857"/>
      <c r="E469" s="858"/>
      <c r="F469" s="859"/>
      <c r="G469" s="857"/>
    </row>
    <row r="470" spans="1:7" x14ac:dyDescent="0.2">
      <c r="A470" s="856"/>
      <c r="B470" s="860" t="s">
        <v>3215</v>
      </c>
      <c r="C470" s="861" t="s">
        <v>3216</v>
      </c>
      <c r="D470" s="862">
        <v>50000</v>
      </c>
      <c r="E470" s="863">
        <v>6</v>
      </c>
      <c r="F470" s="864">
        <v>15</v>
      </c>
      <c r="G470" s="862">
        <f t="shared" ref="G470:G479" si="36">D470*E470*F470</f>
        <v>4500000</v>
      </c>
    </row>
    <row r="471" spans="1:7" x14ac:dyDescent="0.2">
      <c r="A471" s="856"/>
      <c r="B471" s="860"/>
      <c r="C471" s="861" t="s">
        <v>3217</v>
      </c>
      <c r="D471" s="862">
        <v>50000</v>
      </c>
      <c r="E471" s="863">
        <v>1</v>
      </c>
      <c r="F471" s="864">
        <v>11</v>
      </c>
      <c r="G471" s="862">
        <f t="shared" si="36"/>
        <v>550000</v>
      </c>
    </row>
    <row r="472" spans="1:7" x14ac:dyDescent="0.2">
      <c r="A472" s="856"/>
      <c r="B472" s="860" t="s">
        <v>3218</v>
      </c>
      <c r="C472" s="861" t="s">
        <v>3219</v>
      </c>
      <c r="D472" s="862">
        <v>250000</v>
      </c>
      <c r="E472" s="863">
        <v>2</v>
      </c>
      <c r="F472" s="864">
        <v>14</v>
      </c>
      <c r="G472" s="862">
        <f t="shared" si="36"/>
        <v>7000000</v>
      </c>
    </row>
    <row r="473" spans="1:7" x14ac:dyDescent="0.2">
      <c r="A473" s="856"/>
      <c r="B473" s="860"/>
      <c r="C473" s="861" t="s">
        <v>3220</v>
      </c>
      <c r="D473" s="862">
        <v>50000</v>
      </c>
      <c r="E473" s="863">
        <v>2</v>
      </c>
      <c r="F473" s="864">
        <v>1</v>
      </c>
      <c r="G473" s="862">
        <f t="shared" si="36"/>
        <v>100000</v>
      </c>
    </row>
    <row r="474" spans="1:7" x14ac:dyDescent="0.2">
      <c r="A474" s="856"/>
      <c r="B474" s="860" t="s">
        <v>3221</v>
      </c>
      <c r="C474" s="861" t="s">
        <v>3219</v>
      </c>
      <c r="D474" s="862">
        <v>250000</v>
      </c>
      <c r="E474" s="863">
        <v>2</v>
      </c>
      <c r="F474" s="864">
        <v>12</v>
      </c>
      <c r="G474" s="862">
        <f t="shared" si="36"/>
        <v>6000000</v>
      </c>
    </row>
    <row r="475" spans="1:7" x14ac:dyDescent="0.2">
      <c r="A475" s="856"/>
      <c r="B475" s="860"/>
      <c r="C475" s="861" t="s">
        <v>3220</v>
      </c>
      <c r="D475" s="862">
        <v>50000</v>
      </c>
      <c r="E475" s="863">
        <v>2</v>
      </c>
      <c r="F475" s="864">
        <v>1</v>
      </c>
      <c r="G475" s="862">
        <f t="shared" si="36"/>
        <v>100000</v>
      </c>
    </row>
    <row r="476" spans="1:7" x14ac:dyDescent="0.2">
      <c r="A476" s="856"/>
      <c r="B476" s="860" t="s">
        <v>3222</v>
      </c>
      <c r="C476" s="861" t="s">
        <v>3219</v>
      </c>
      <c r="D476" s="862">
        <v>250000</v>
      </c>
      <c r="E476" s="863">
        <v>2</v>
      </c>
      <c r="F476" s="864">
        <v>12</v>
      </c>
      <c r="G476" s="862">
        <f t="shared" si="36"/>
        <v>6000000</v>
      </c>
    </row>
    <row r="477" spans="1:7" x14ac:dyDescent="0.2">
      <c r="A477" s="856"/>
      <c r="B477" s="860"/>
      <c r="C477" s="861" t="s">
        <v>3220</v>
      </c>
      <c r="D477" s="862">
        <v>50000</v>
      </c>
      <c r="E477" s="863">
        <v>2</v>
      </c>
      <c r="F477" s="864">
        <v>1</v>
      </c>
      <c r="G477" s="862">
        <f t="shared" si="36"/>
        <v>100000</v>
      </c>
    </row>
    <row r="478" spans="1:7" ht="25.5" x14ac:dyDescent="0.2">
      <c r="A478" s="856"/>
      <c r="B478" s="860" t="s">
        <v>3223</v>
      </c>
      <c r="C478" s="861" t="s">
        <v>3224</v>
      </c>
      <c r="D478" s="862">
        <v>250000</v>
      </c>
      <c r="E478" s="863">
        <v>25</v>
      </c>
      <c r="F478" s="864">
        <v>16</v>
      </c>
      <c r="G478" s="862">
        <f t="shared" si="36"/>
        <v>100000000</v>
      </c>
    </row>
    <row r="479" spans="1:7" x14ac:dyDescent="0.2">
      <c r="A479" s="856"/>
      <c r="B479" s="860"/>
      <c r="C479" s="861" t="s">
        <v>3225</v>
      </c>
      <c r="D479" s="862">
        <v>50000</v>
      </c>
      <c r="E479" s="863">
        <v>25</v>
      </c>
      <c r="F479" s="864">
        <v>1</v>
      </c>
      <c r="G479" s="862">
        <f t="shared" si="36"/>
        <v>1250000</v>
      </c>
    </row>
    <row r="480" spans="1:7" x14ac:dyDescent="0.2">
      <c r="A480" s="856"/>
      <c r="B480" s="860"/>
      <c r="C480" s="877" t="s">
        <v>3174</v>
      </c>
      <c r="D480" s="877"/>
      <c r="E480" s="858">
        <f>E470+E474+E476+E478</f>
        <v>35</v>
      </c>
      <c r="F480" s="864"/>
      <c r="G480" s="862"/>
    </row>
    <row r="481" spans="1:7" x14ac:dyDescent="0.2">
      <c r="A481" s="856"/>
      <c r="B481" s="860"/>
      <c r="C481" s="861" t="s">
        <v>3226</v>
      </c>
      <c r="D481" s="862">
        <f>10*7500</f>
        <v>75000</v>
      </c>
      <c r="E481" s="863">
        <v>6</v>
      </c>
      <c r="F481" s="864">
        <v>15</v>
      </c>
      <c r="G481" s="862">
        <f t="shared" ref="G481:G498" si="37">D481*E481*F481</f>
        <v>6750000</v>
      </c>
    </row>
    <row r="482" spans="1:7" x14ac:dyDescent="0.2">
      <c r="A482" s="856"/>
      <c r="B482" s="860"/>
      <c r="C482" s="861" t="s">
        <v>3227</v>
      </c>
      <c r="D482" s="862">
        <f>10*7500</f>
        <v>75000</v>
      </c>
      <c r="E482" s="863">
        <v>1</v>
      </c>
      <c r="F482" s="864">
        <v>7</v>
      </c>
      <c r="G482" s="862">
        <f t="shared" si="37"/>
        <v>525000</v>
      </c>
    </row>
    <row r="483" spans="1:7" x14ac:dyDescent="0.2">
      <c r="A483" s="856"/>
      <c r="B483" s="860"/>
      <c r="C483" s="861" t="s">
        <v>3228</v>
      </c>
      <c r="D483" s="862">
        <f>(700000*2)+(35000*4)</f>
        <v>1540000</v>
      </c>
      <c r="E483" s="863">
        <v>5</v>
      </c>
      <c r="F483" s="864">
        <v>1</v>
      </c>
      <c r="G483" s="862">
        <f t="shared" si="37"/>
        <v>7700000</v>
      </c>
    </row>
    <row r="484" spans="1:7" x14ac:dyDescent="0.2">
      <c r="A484" s="856"/>
      <c r="B484" s="860"/>
      <c r="C484" s="861" t="s">
        <v>3229</v>
      </c>
      <c r="D484" s="862">
        <f>(759000*2)+(35000*4)</f>
        <v>1658000</v>
      </c>
      <c r="E484" s="863">
        <v>5</v>
      </c>
      <c r="F484" s="864">
        <v>1</v>
      </c>
      <c r="G484" s="862">
        <f t="shared" si="37"/>
        <v>8290000</v>
      </c>
    </row>
    <row r="485" spans="1:7" x14ac:dyDescent="0.2">
      <c r="A485" s="856"/>
      <c r="B485" s="860"/>
      <c r="C485" s="861" t="s">
        <v>3230</v>
      </c>
      <c r="D485" s="862">
        <f>(660000*2)+(35000*4)</f>
        <v>1460000</v>
      </c>
      <c r="E485" s="863">
        <v>5</v>
      </c>
      <c r="F485" s="864">
        <v>1</v>
      </c>
      <c r="G485" s="862">
        <f t="shared" si="37"/>
        <v>7300000</v>
      </c>
    </row>
    <row r="486" spans="1:7" x14ac:dyDescent="0.2">
      <c r="A486" s="856"/>
      <c r="B486" s="860"/>
      <c r="C486" s="861" t="s">
        <v>3231</v>
      </c>
      <c r="D486" s="862">
        <f>(670000*2)+(35000*4)</f>
        <v>1480000</v>
      </c>
      <c r="E486" s="863">
        <v>5</v>
      </c>
      <c r="F486" s="864">
        <v>1</v>
      </c>
      <c r="G486" s="862">
        <f t="shared" si="37"/>
        <v>7400000</v>
      </c>
    </row>
    <row r="487" spans="1:7" x14ac:dyDescent="0.2">
      <c r="A487" s="856"/>
      <c r="B487" s="860"/>
      <c r="C487" s="861" t="s">
        <v>3232</v>
      </c>
      <c r="D487" s="862">
        <f>(770000*2)+(35000*4)</f>
        <v>1680000</v>
      </c>
      <c r="E487" s="863">
        <v>5</v>
      </c>
      <c r="F487" s="864">
        <v>1</v>
      </c>
      <c r="G487" s="862">
        <f t="shared" si="37"/>
        <v>8400000</v>
      </c>
    </row>
    <row r="488" spans="1:7" x14ac:dyDescent="0.2">
      <c r="A488" s="856"/>
      <c r="B488" s="860"/>
      <c r="C488" s="861" t="s">
        <v>3233</v>
      </c>
      <c r="D488" s="862">
        <v>7500</v>
      </c>
      <c r="E488" s="863">
        <v>1</v>
      </c>
      <c r="F488" s="881">
        <f>699/6</f>
        <v>116.5</v>
      </c>
      <c r="G488" s="862">
        <f t="shared" si="37"/>
        <v>873750</v>
      </c>
    </row>
    <row r="489" spans="1:7" x14ac:dyDescent="0.2">
      <c r="A489" s="856"/>
      <c r="B489" s="860"/>
      <c r="C489" s="861" t="s">
        <v>3234</v>
      </c>
      <c r="D489" s="862">
        <v>7500</v>
      </c>
      <c r="E489" s="863">
        <v>1</v>
      </c>
      <c r="F489" s="881">
        <f>195/6</f>
        <v>32.5</v>
      </c>
      <c r="G489" s="862">
        <f t="shared" si="37"/>
        <v>243750</v>
      </c>
    </row>
    <row r="490" spans="1:7" x14ac:dyDescent="0.2">
      <c r="A490" s="856"/>
      <c r="B490" s="860"/>
      <c r="C490" s="861" t="s">
        <v>3235</v>
      </c>
      <c r="D490" s="862">
        <v>7500</v>
      </c>
      <c r="E490" s="863">
        <v>1</v>
      </c>
      <c r="F490" s="881">
        <f>893/6</f>
        <v>148.83333333333334</v>
      </c>
      <c r="G490" s="862">
        <f t="shared" si="37"/>
        <v>1116250</v>
      </c>
    </row>
    <row r="491" spans="1:7" x14ac:dyDescent="0.2">
      <c r="A491" s="856"/>
      <c r="B491" s="860"/>
      <c r="C491" s="861" t="s">
        <v>3236</v>
      </c>
      <c r="D491" s="862">
        <v>7500</v>
      </c>
      <c r="E491" s="863">
        <v>15</v>
      </c>
      <c r="F491" s="881">
        <v>10</v>
      </c>
      <c r="G491" s="862">
        <f>D491*E491*F491</f>
        <v>1125000</v>
      </c>
    </row>
    <row r="492" spans="1:7" x14ac:dyDescent="0.2">
      <c r="A492" s="856"/>
      <c r="B492" s="860"/>
      <c r="C492" s="861" t="s">
        <v>3237</v>
      </c>
      <c r="D492" s="862">
        <v>7500</v>
      </c>
      <c r="E492" s="863">
        <v>2</v>
      </c>
      <c r="F492" s="881">
        <f>387/6</f>
        <v>64.5</v>
      </c>
      <c r="G492" s="862">
        <f t="shared" ref="G492" si="38">D492*E492*F492</f>
        <v>967500</v>
      </c>
    </row>
    <row r="493" spans="1:7" x14ac:dyDescent="0.2">
      <c r="A493" s="856"/>
      <c r="B493" s="860"/>
      <c r="C493" s="861" t="s">
        <v>3238</v>
      </c>
      <c r="D493" s="862">
        <v>7500</v>
      </c>
      <c r="E493" s="863">
        <v>15</v>
      </c>
      <c r="F493" s="881">
        <v>10</v>
      </c>
      <c r="G493" s="862">
        <f>D493*E493*F493</f>
        <v>1125000</v>
      </c>
    </row>
    <row r="494" spans="1:7" x14ac:dyDescent="0.2">
      <c r="A494" s="856"/>
      <c r="B494" s="860"/>
      <c r="C494" s="861" t="s">
        <v>3239</v>
      </c>
      <c r="D494" s="862">
        <v>7500</v>
      </c>
      <c r="E494" s="863">
        <v>1</v>
      </c>
      <c r="F494" s="881">
        <f>469/8</f>
        <v>58.625</v>
      </c>
      <c r="G494" s="862">
        <f t="shared" ref="G494:G496" si="39">D494*E494*F494</f>
        <v>439687.5</v>
      </c>
    </row>
    <row r="495" spans="1:7" x14ac:dyDescent="0.2">
      <c r="A495" s="856"/>
      <c r="B495" s="860"/>
      <c r="C495" s="861" t="s">
        <v>3240</v>
      </c>
      <c r="D495" s="862">
        <v>7500</v>
      </c>
      <c r="E495" s="863">
        <v>1</v>
      </c>
      <c r="F495" s="881">
        <f>248/8</f>
        <v>31</v>
      </c>
      <c r="G495" s="862">
        <f t="shared" si="39"/>
        <v>232500</v>
      </c>
    </row>
    <row r="496" spans="1:7" x14ac:dyDescent="0.2">
      <c r="A496" s="856"/>
      <c r="B496" s="860"/>
      <c r="C496" s="861" t="s">
        <v>3241</v>
      </c>
      <c r="D496" s="862">
        <v>7500</v>
      </c>
      <c r="E496" s="863">
        <v>1</v>
      </c>
      <c r="F496" s="881">
        <f>675/8</f>
        <v>84.375</v>
      </c>
      <c r="G496" s="862">
        <f t="shared" si="39"/>
        <v>632812.5</v>
      </c>
    </row>
    <row r="497" spans="1:7" x14ac:dyDescent="0.2">
      <c r="A497" s="856"/>
      <c r="B497" s="860"/>
      <c r="C497" s="861" t="s">
        <v>3242</v>
      </c>
      <c r="D497" s="862">
        <v>7500</v>
      </c>
      <c r="E497" s="863">
        <v>15</v>
      </c>
      <c r="F497" s="881">
        <v>10</v>
      </c>
      <c r="G497" s="862">
        <f>D497*E497*F497</f>
        <v>1125000</v>
      </c>
    </row>
    <row r="498" spans="1:7" x14ac:dyDescent="0.2">
      <c r="A498" s="856"/>
      <c r="B498" s="860"/>
      <c r="C498" s="861" t="s">
        <v>3243</v>
      </c>
      <c r="D498" s="862">
        <v>80000</v>
      </c>
      <c r="E498" s="863">
        <v>2</v>
      </c>
      <c r="F498" s="881">
        <v>15</v>
      </c>
      <c r="G498" s="862">
        <f t="shared" si="37"/>
        <v>2400000</v>
      </c>
    </row>
    <row r="499" spans="1:7" x14ac:dyDescent="0.2">
      <c r="A499" s="856"/>
      <c r="B499" s="860"/>
      <c r="C499" s="861"/>
      <c r="D499" s="862"/>
      <c r="E499" s="863"/>
      <c r="F499" s="864"/>
      <c r="G499" s="862"/>
    </row>
    <row r="500" spans="1:7" x14ac:dyDescent="0.2">
      <c r="A500" s="856"/>
      <c r="B500" s="865" t="s">
        <v>3244</v>
      </c>
      <c r="C500" s="866" t="s">
        <v>3163</v>
      </c>
      <c r="D500" s="867"/>
      <c r="E500" s="868"/>
      <c r="F500" s="869"/>
      <c r="G500" s="870">
        <f>SUM(G470:G499)</f>
        <v>182246250</v>
      </c>
    </row>
    <row r="501" spans="1:7" x14ac:dyDescent="0.2">
      <c r="A501" s="871"/>
      <c r="B501" s="872"/>
      <c r="C501" s="873"/>
      <c r="D501" s="874"/>
      <c r="E501" s="875"/>
      <c r="F501" s="876"/>
      <c r="G501" s="874"/>
    </row>
    <row r="502" spans="1:7" x14ac:dyDescent="0.2">
      <c r="A502" s="856" t="s">
        <v>3147</v>
      </c>
      <c r="B502" s="851" t="s">
        <v>3245</v>
      </c>
      <c r="C502" s="852"/>
      <c r="D502" s="857"/>
      <c r="E502" s="858"/>
      <c r="F502" s="859"/>
      <c r="G502" s="857"/>
    </row>
    <row r="503" spans="1:7" x14ac:dyDescent="0.2">
      <c r="A503" s="856"/>
      <c r="B503" s="860" t="s">
        <v>3165</v>
      </c>
      <c r="C503" s="861" t="s">
        <v>3152</v>
      </c>
      <c r="D503" s="862">
        <v>50000</v>
      </c>
      <c r="E503" s="863">
        <v>11</v>
      </c>
      <c r="F503" s="864">
        <v>15</v>
      </c>
      <c r="G503" s="862">
        <f t="shared" ref="G503:G518" si="40">D503*E503*F503</f>
        <v>8250000</v>
      </c>
    </row>
    <row r="504" spans="1:7" x14ac:dyDescent="0.2">
      <c r="A504" s="856"/>
      <c r="B504" s="860"/>
      <c r="C504" s="861" t="s">
        <v>3246</v>
      </c>
      <c r="D504" s="862">
        <v>50000</v>
      </c>
      <c r="E504" s="863">
        <v>60</v>
      </c>
      <c r="F504" s="864">
        <v>1</v>
      </c>
      <c r="G504" s="862">
        <f t="shared" si="40"/>
        <v>3000000</v>
      </c>
    </row>
    <row r="505" spans="1:7" x14ac:dyDescent="0.2">
      <c r="A505" s="856"/>
      <c r="B505" s="860"/>
      <c r="C505" s="861" t="s">
        <v>3159</v>
      </c>
      <c r="D505" s="862">
        <v>20000</v>
      </c>
      <c r="E505" s="863">
        <v>300</v>
      </c>
      <c r="F505" s="864">
        <v>1</v>
      </c>
      <c r="G505" s="862">
        <f t="shared" si="40"/>
        <v>6000000</v>
      </c>
    </row>
    <row r="506" spans="1:7" x14ac:dyDescent="0.2">
      <c r="A506" s="856"/>
      <c r="B506" s="860"/>
      <c r="C506" s="861" t="s">
        <v>3247</v>
      </c>
      <c r="D506" s="862">
        <v>20000</v>
      </c>
      <c r="E506" s="863">
        <v>300</v>
      </c>
      <c r="F506" s="864">
        <v>1</v>
      </c>
      <c r="G506" s="862">
        <f t="shared" si="40"/>
        <v>6000000</v>
      </c>
    </row>
    <row r="507" spans="1:7" x14ac:dyDescent="0.2">
      <c r="A507" s="856"/>
      <c r="B507" s="860"/>
      <c r="C507" s="861" t="s">
        <v>3248</v>
      </c>
      <c r="D507" s="862">
        <v>7500</v>
      </c>
      <c r="E507" s="863">
        <v>10</v>
      </c>
      <c r="F507" s="864">
        <v>15</v>
      </c>
      <c r="G507" s="862">
        <f t="shared" si="40"/>
        <v>1125000</v>
      </c>
    </row>
    <row r="508" spans="1:7" x14ac:dyDescent="0.2">
      <c r="A508" s="856"/>
      <c r="B508" s="860"/>
      <c r="C508" s="861" t="s">
        <v>3189</v>
      </c>
      <c r="D508" s="862">
        <v>500000</v>
      </c>
      <c r="E508" s="863">
        <v>2</v>
      </c>
      <c r="F508" s="864">
        <v>15</v>
      </c>
      <c r="G508" s="862">
        <f t="shared" si="40"/>
        <v>15000000</v>
      </c>
    </row>
    <row r="509" spans="1:7" x14ac:dyDescent="0.2">
      <c r="A509" s="856"/>
      <c r="B509" s="860" t="s">
        <v>3169</v>
      </c>
      <c r="C509" s="861" t="s">
        <v>3152</v>
      </c>
      <c r="D509" s="862">
        <v>50000</v>
      </c>
      <c r="E509" s="863">
        <v>11</v>
      </c>
      <c r="F509" s="864">
        <v>15</v>
      </c>
      <c r="G509" s="862">
        <f t="shared" si="40"/>
        <v>8250000</v>
      </c>
    </row>
    <row r="510" spans="1:7" x14ac:dyDescent="0.2">
      <c r="A510" s="856"/>
      <c r="B510" s="860"/>
      <c r="C510" s="861" t="s">
        <v>3246</v>
      </c>
      <c r="D510" s="862">
        <v>50000</v>
      </c>
      <c r="E510" s="863">
        <v>60</v>
      </c>
      <c r="F510" s="864">
        <v>1</v>
      </c>
      <c r="G510" s="862">
        <f t="shared" si="40"/>
        <v>3000000</v>
      </c>
    </row>
    <row r="511" spans="1:7" x14ac:dyDescent="0.2">
      <c r="A511" s="856"/>
      <c r="B511" s="860"/>
      <c r="C511" s="861" t="s">
        <v>3159</v>
      </c>
      <c r="D511" s="862">
        <v>20000</v>
      </c>
      <c r="E511" s="863">
        <v>300</v>
      </c>
      <c r="F511" s="864">
        <v>1</v>
      </c>
      <c r="G511" s="862">
        <f t="shared" si="40"/>
        <v>6000000</v>
      </c>
    </row>
    <row r="512" spans="1:7" x14ac:dyDescent="0.2">
      <c r="A512" s="856"/>
      <c r="B512" s="860"/>
      <c r="C512" s="861" t="s">
        <v>3247</v>
      </c>
      <c r="D512" s="862">
        <v>20000</v>
      </c>
      <c r="E512" s="863">
        <v>300</v>
      </c>
      <c r="F512" s="864">
        <v>1</v>
      </c>
      <c r="G512" s="862">
        <f t="shared" si="40"/>
        <v>6000000</v>
      </c>
    </row>
    <row r="513" spans="1:7" x14ac:dyDescent="0.2">
      <c r="A513" s="856"/>
      <c r="B513" s="860"/>
      <c r="C513" s="861" t="s">
        <v>3248</v>
      </c>
      <c r="D513" s="862">
        <v>7500</v>
      </c>
      <c r="E513" s="863">
        <v>10</v>
      </c>
      <c r="F513" s="864">
        <v>15</v>
      </c>
      <c r="G513" s="862">
        <f t="shared" si="40"/>
        <v>1125000</v>
      </c>
    </row>
    <row r="514" spans="1:7" x14ac:dyDescent="0.2">
      <c r="A514" s="856"/>
      <c r="B514" s="860"/>
      <c r="C514" s="861" t="s">
        <v>3187</v>
      </c>
      <c r="D514" s="862">
        <v>800000</v>
      </c>
      <c r="E514" s="863">
        <v>2</v>
      </c>
      <c r="F514" s="864">
        <v>15</v>
      </c>
      <c r="G514" s="862">
        <f t="shared" si="40"/>
        <v>24000000</v>
      </c>
    </row>
    <row r="515" spans="1:7" x14ac:dyDescent="0.2">
      <c r="A515" s="856"/>
      <c r="B515" s="860" t="s">
        <v>3170</v>
      </c>
      <c r="C515" s="861" t="s">
        <v>3152</v>
      </c>
      <c r="D515" s="862">
        <v>50000</v>
      </c>
      <c r="E515" s="863">
        <v>11</v>
      </c>
      <c r="F515" s="864">
        <v>15</v>
      </c>
      <c r="G515" s="862">
        <f t="shared" si="40"/>
        <v>8250000</v>
      </c>
    </row>
    <row r="516" spans="1:7" x14ac:dyDescent="0.2">
      <c r="A516" s="856"/>
      <c r="B516" s="860"/>
      <c r="C516" s="861" t="s">
        <v>3246</v>
      </c>
      <c r="D516" s="862">
        <v>50000</v>
      </c>
      <c r="E516" s="863">
        <v>60</v>
      </c>
      <c r="F516" s="864">
        <v>1</v>
      </c>
      <c r="G516" s="862">
        <f>D516*E516*F516</f>
        <v>3000000</v>
      </c>
    </row>
    <row r="517" spans="1:7" x14ac:dyDescent="0.2">
      <c r="A517" s="856"/>
      <c r="B517" s="860"/>
      <c r="C517" s="861" t="s">
        <v>3159</v>
      </c>
      <c r="D517" s="862">
        <v>20000</v>
      </c>
      <c r="E517" s="863">
        <v>300</v>
      </c>
      <c r="F517" s="864">
        <v>1</v>
      </c>
      <c r="G517" s="862">
        <f t="shared" ref="G517" si="41">D517*E517*F517</f>
        <v>6000000</v>
      </c>
    </row>
    <row r="518" spans="1:7" x14ac:dyDescent="0.2">
      <c r="A518" s="856"/>
      <c r="B518" s="860"/>
      <c r="C518" s="861" t="s">
        <v>3247</v>
      </c>
      <c r="D518" s="862">
        <v>20000</v>
      </c>
      <c r="E518" s="863">
        <v>300</v>
      </c>
      <c r="F518" s="864">
        <v>1</v>
      </c>
      <c r="G518" s="862">
        <f t="shared" si="40"/>
        <v>6000000</v>
      </c>
    </row>
    <row r="519" spans="1:7" x14ac:dyDescent="0.2">
      <c r="A519" s="856"/>
      <c r="B519" s="860"/>
      <c r="C519" s="861" t="s">
        <v>3248</v>
      </c>
      <c r="D519" s="862">
        <v>7500</v>
      </c>
      <c r="E519" s="863">
        <v>10</v>
      </c>
      <c r="F519" s="864">
        <v>15</v>
      </c>
      <c r="G519" s="862">
        <f>D519*E519*F519</f>
        <v>1125000</v>
      </c>
    </row>
    <row r="520" spans="1:7" x14ac:dyDescent="0.2">
      <c r="A520" s="856"/>
      <c r="B520" s="860"/>
      <c r="C520" s="861" t="s">
        <v>3188</v>
      </c>
      <c r="D520" s="862">
        <v>850000</v>
      </c>
      <c r="E520" s="863">
        <v>2</v>
      </c>
      <c r="F520" s="864">
        <v>15</v>
      </c>
      <c r="G520" s="862">
        <f t="shared" ref="G520:G532" si="42">D520*E520*F520</f>
        <v>25500000</v>
      </c>
    </row>
    <row r="521" spans="1:7" x14ac:dyDescent="0.2">
      <c r="A521" s="856"/>
      <c r="B521" s="860" t="s">
        <v>3171</v>
      </c>
      <c r="C521" s="861" t="s">
        <v>3249</v>
      </c>
      <c r="D521" s="862">
        <v>250000</v>
      </c>
      <c r="E521" s="863">
        <v>11</v>
      </c>
      <c r="F521" s="864">
        <v>2</v>
      </c>
      <c r="G521" s="862">
        <f t="shared" si="42"/>
        <v>5500000</v>
      </c>
    </row>
    <row r="522" spans="1:7" x14ac:dyDescent="0.2">
      <c r="A522" s="856"/>
      <c r="B522" s="860"/>
      <c r="C522" s="861" t="s">
        <v>3152</v>
      </c>
      <c r="D522" s="862">
        <v>50000</v>
      </c>
      <c r="E522" s="863">
        <v>11</v>
      </c>
      <c r="F522" s="864">
        <v>13</v>
      </c>
      <c r="G522" s="862">
        <f t="shared" si="42"/>
        <v>7150000</v>
      </c>
    </row>
    <row r="523" spans="1:7" x14ac:dyDescent="0.2">
      <c r="A523" s="856"/>
      <c r="B523" s="860"/>
      <c r="C523" s="861" t="s">
        <v>3246</v>
      </c>
      <c r="D523" s="862">
        <v>50000</v>
      </c>
      <c r="E523" s="863">
        <v>60</v>
      </c>
      <c r="F523" s="864">
        <v>1</v>
      </c>
      <c r="G523" s="862">
        <f t="shared" si="42"/>
        <v>3000000</v>
      </c>
    </row>
    <row r="524" spans="1:7" x14ac:dyDescent="0.2">
      <c r="A524" s="856"/>
      <c r="B524" s="860"/>
      <c r="C524" s="861" t="s">
        <v>3159</v>
      </c>
      <c r="D524" s="862">
        <v>20000</v>
      </c>
      <c r="E524" s="863">
        <v>300</v>
      </c>
      <c r="F524" s="864">
        <v>1</v>
      </c>
      <c r="G524" s="862">
        <f t="shared" si="42"/>
        <v>6000000</v>
      </c>
    </row>
    <row r="525" spans="1:7" x14ac:dyDescent="0.2">
      <c r="A525" s="856"/>
      <c r="B525" s="860"/>
      <c r="C525" s="861" t="s">
        <v>3247</v>
      </c>
      <c r="D525" s="862">
        <v>20000</v>
      </c>
      <c r="E525" s="863">
        <v>300</v>
      </c>
      <c r="F525" s="864">
        <v>1</v>
      </c>
      <c r="G525" s="862">
        <f t="shared" si="42"/>
        <v>6000000</v>
      </c>
    </row>
    <row r="526" spans="1:7" x14ac:dyDescent="0.2">
      <c r="A526" s="856"/>
      <c r="B526" s="860"/>
      <c r="C526" s="861" t="s">
        <v>3248</v>
      </c>
      <c r="D526" s="862">
        <v>7500</v>
      </c>
      <c r="E526" s="863">
        <v>10</v>
      </c>
      <c r="F526" s="864">
        <v>15</v>
      </c>
      <c r="G526" s="862">
        <f t="shared" si="42"/>
        <v>1125000</v>
      </c>
    </row>
    <row r="527" spans="1:7" x14ac:dyDescent="0.2">
      <c r="A527" s="856"/>
      <c r="B527" s="860"/>
      <c r="C527" s="861" t="s">
        <v>3190</v>
      </c>
      <c r="D527" s="862">
        <v>800000</v>
      </c>
      <c r="E527" s="863">
        <v>2</v>
      </c>
      <c r="F527" s="864">
        <v>15</v>
      </c>
      <c r="G527" s="862">
        <f t="shared" si="42"/>
        <v>24000000</v>
      </c>
    </row>
    <row r="528" spans="1:7" x14ac:dyDescent="0.2">
      <c r="A528" s="856"/>
      <c r="B528" s="860" t="s">
        <v>3172</v>
      </c>
      <c r="C528" s="861" t="s">
        <v>3152</v>
      </c>
      <c r="D528" s="862">
        <v>50000</v>
      </c>
      <c r="E528" s="863">
        <v>11</v>
      </c>
      <c r="F528" s="864">
        <v>15</v>
      </c>
      <c r="G528" s="862">
        <f t="shared" si="42"/>
        <v>8250000</v>
      </c>
    </row>
    <row r="529" spans="1:7" x14ac:dyDescent="0.2">
      <c r="A529" s="856"/>
      <c r="B529" s="860"/>
      <c r="C529" s="861" t="s">
        <v>3246</v>
      </c>
      <c r="D529" s="862">
        <v>50000</v>
      </c>
      <c r="E529" s="863">
        <v>40</v>
      </c>
      <c r="F529" s="864">
        <v>1</v>
      </c>
      <c r="G529" s="862">
        <f t="shared" si="42"/>
        <v>2000000</v>
      </c>
    </row>
    <row r="530" spans="1:7" x14ac:dyDescent="0.2">
      <c r="A530" s="856"/>
      <c r="B530" s="860"/>
      <c r="C530" s="861" t="s">
        <v>3159</v>
      </c>
      <c r="D530" s="862">
        <v>20000</v>
      </c>
      <c r="E530" s="863">
        <v>150</v>
      </c>
      <c r="F530" s="864">
        <v>1</v>
      </c>
      <c r="G530" s="862">
        <f>D530*E530*F530</f>
        <v>3000000</v>
      </c>
    </row>
    <row r="531" spans="1:7" x14ac:dyDescent="0.2">
      <c r="A531" s="856"/>
      <c r="B531" s="860"/>
      <c r="C531" s="861" t="s">
        <v>3247</v>
      </c>
      <c r="D531" s="862">
        <v>20000</v>
      </c>
      <c r="E531" s="863">
        <v>150</v>
      </c>
      <c r="F531" s="864">
        <v>1</v>
      </c>
      <c r="G531" s="862">
        <f t="shared" si="42"/>
        <v>3000000</v>
      </c>
    </row>
    <row r="532" spans="1:7" x14ac:dyDescent="0.2">
      <c r="A532" s="856"/>
      <c r="B532" s="860"/>
      <c r="C532" s="861" t="s">
        <v>3248</v>
      </c>
      <c r="D532" s="862">
        <v>7500</v>
      </c>
      <c r="E532" s="863">
        <v>10</v>
      </c>
      <c r="F532" s="864">
        <v>15</v>
      </c>
      <c r="G532" s="862">
        <f t="shared" si="42"/>
        <v>1125000</v>
      </c>
    </row>
    <row r="533" spans="1:7" x14ac:dyDescent="0.2">
      <c r="A533" s="856"/>
      <c r="B533" s="860"/>
      <c r="C533" s="861" t="s">
        <v>3191</v>
      </c>
      <c r="D533" s="862">
        <v>800000</v>
      </c>
      <c r="E533" s="863">
        <v>2</v>
      </c>
      <c r="F533" s="864">
        <v>15</v>
      </c>
      <c r="G533" s="862">
        <f>D533*E533*F533</f>
        <v>24000000</v>
      </c>
    </row>
    <row r="534" spans="1:7" x14ac:dyDescent="0.2">
      <c r="A534" s="856"/>
      <c r="B534" s="860" t="s">
        <v>3173</v>
      </c>
      <c r="C534" s="861" t="s">
        <v>3152</v>
      </c>
      <c r="D534" s="862">
        <v>50000</v>
      </c>
      <c r="E534" s="863">
        <v>11</v>
      </c>
      <c r="F534" s="864">
        <v>15</v>
      </c>
      <c r="G534" s="862">
        <f t="shared" ref="G534:G539" si="43">D534*E534*F534</f>
        <v>8250000</v>
      </c>
    </row>
    <row r="535" spans="1:7" x14ac:dyDescent="0.2">
      <c r="A535" s="856"/>
      <c r="B535" s="860"/>
      <c r="C535" s="861" t="s">
        <v>3246</v>
      </c>
      <c r="D535" s="862">
        <v>50000</v>
      </c>
      <c r="E535" s="863">
        <v>40</v>
      </c>
      <c r="F535" s="864">
        <v>1</v>
      </c>
      <c r="G535" s="862">
        <f t="shared" si="43"/>
        <v>2000000</v>
      </c>
    </row>
    <row r="536" spans="1:7" x14ac:dyDescent="0.2">
      <c r="A536" s="856"/>
      <c r="B536" s="860"/>
      <c r="C536" s="861" t="s">
        <v>3159</v>
      </c>
      <c r="D536" s="862">
        <v>20000</v>
      </c>
      <c r="E536" s="863">
        <v>150</v>
      </c>
      <c r="F536" s="864">
        <v>1</v>
      </c>
      <c r="G536" s="862">
        <f t="shared" si="43"/>
        <v>3000000</v>
      </c>
    </row>
    <row r="537" spans="1:7" x14ac:dyDescent="0.2">
      <c r="A537" s="856"/>
      <c r="B537" s="860"/>
      <c r="C537" s="861" t="s">
        <v>3247</v>
      </c>
      <c r="D537" s="862">
        <v>20000</v>
      </c>
      <c r="E537" s="863">
        <v>150</v>
      </c>
      <c r="F537" s="864">
        <v>1</v>
      </c>
      <c r="G537" s="862">
        <f t="shared" si="43"/>
        <v>3000000</v>
      </c>
    </row>
    <row r="538" spans="1:7" x14ac:dyDescent="0.2">
      <c r="A538" s="856"/>
      <c r="B538" s="860"/>
      <c r="C538" s="861" t="s">
        <v>3248</v>
      </c>
      <c r="D538" s="862">
        <v>7500</v>
      </c>
      <c r="E538" s="863">
        <v>10</v>
      </c>
      <c r="F538" s="864">
        <v>15</v>
      </c>
      <c r="G538" s="862">
        <f t="shared" si="43"/>
        <v>1125000</v>
      </c>
    </row>
    <row r="539" spans="1:7" x14ac:dyDescent="0.2">
      <c r="A539" s="856"/>
      <c r="B539" s="860"/>
      <c r="C539" s="861" t="s">
        <v>3192</v>
      </c>
      <c r="D539" s="862">
        <v>800000</v>
      </c>
      <c r="E539" s="863">
        <v>2</v>
      </c>
      <c r="F539" s="864">
        <v>15</v>
      </c>
      <c r="G539" s="862">
        <f t="shared" si="43"/>
        <v>24000000</v>
      </c>
    </row>
    <row r="540" spans="1:7" x14ac:dyDescent="0.2">
      <c r="A540" s="856"/>
      <c r="B540" s="860"/>
      <c r="C540" s="877" t="s">
        <v>3174</v>
      </c>
      <c r="D540" s="877"/>
      <c r="E540" s="879">
        <f>E505+E511+E517+E524+E530+E536</f>
        <v>1500</v>
      </c>
      <c r="F540" s="864"/>
      <c r="G540" s="862"/>
    </row>
    <row r="541" spans="1:7" x14ac:dyDescent="0.2">
      <c r="A541" s="856"/>
      <c r="B541" s="860"/>
      <c r="C541" s="861"/>
      <c r="D541" s="862"/>
      <c r="E541" s="863"/>
      <c r="F541" s="864"/>
      <c r="G541" s="862"/>
    </row>
    <row r="542" spans="1:7" x14ac:dyDescent="0.2">
      <c r="A542" s="856"/>
      <c r="B542" s="865" t="s">
        <v>3250</v>
      </c>
      <c r="C542" s="866" t="s">
        <v>3163</v>
      </c>
      <c r="D542" s="867"/>
      <c r="E542" s="868"/>
      <c r="F542" s="869"/>
      <c r="G542" s="870">
        <f>SUM(G503:G541)</f>
        <v>273150000</v>
      </c>
    </row>
    <row r="543" spans="1:7" x14ac:dyDescent="0.2">
      <c r="A543" s="871"/>
      <c r="B543" s="872"/>
      <c r="C543" s="873"/>
      <c r="D543" s="874"/>
      <c r="E543" s="875"/>
      <c r="F543" s="876"/>
      <c r="G543" s="874"/>
    </row>
    <row r="544" spans="1:7" x14ac:dyDescent="0.2">
      <c r="A544" s="856" t="s">
        <v>3147</v>
      </c>
      <c r="B544" s="851" t="s">
        <v>3251</v>
      </c>
      <c r="C544" s="852"/>
      <c r="D544" s="857"/>
      <c r="E544" s="858"/>
      <c r="F544" s="859"/>
      <c r="G544" s="857"/>
    </row>
    <row r="545" spans="1:7" x14ac:dyDescent="0.2">
      <c r="A545" s="856"/>
      <c r="B545" s="860"/>
      <c r="C545" s="861" t="s">
        <v>3252</v>
      </c>
      <c r="D545" s="862">
        <v>30000</v>
      </c>
      <c r="E545" s="863">
        <v>70</v>
      </c>
      <c r="F545" s="864">
        <v>1</v>
      </c>
      <c r="G545" s="862">
        <f t="shared" ref="G545:G547" si="44">D545*E545*F545</f>
        <v>2100000</v>
      </c>
    </row>
    <row r="546" spans="1:7" x14ac:dyDescent="0.2">
      <c r="A546" s="856"/>
      <c r="B546" s="860"/>
      <c r="C546" s="861" t="s">
        <v>3253</v>
      </c>
      <c r="D546" s="862">
        <v>121305</v>
      </c>
      <c r="E546" s="863">
        <v>70</v>
      </c>
      <c r="F546" s="864">
        <v>1</v>
      </c>
      <c r="G546" s="862">
        <f t="shared" si="44"/>
        <v>8491350</v>
      </c>
    </row>
    <row r="547" spans="1:7" x14ac:dyDescent="0.2">
      <c r="A547" s="856"/>
      <c r="B547" s="860"/>
      <c r="C547" s="861" t="s">
        <v>3254</v>
      </c>
      <c r="D547" s="862">
        <v>80870</v>
      </c>
      <c r="E547" s="863">
        <v>300</v>
      </c>
      <c r="F547" s="864">
        <v>1</v>
      </c>
      <c r="G547" s="862">
        <f t="shared" si="44"/>
        <v>24261000</v>
      </c>
    </row>
    <row r="548" spans="1:7" x14ac:dyDescent="0.2">
      <c r="A548" s="856"/>
      <c r="B548" s="860"/>
      <c r="C548" s="861"/>
      <c r="D548" s="862"/>
      <c r="E548" s="863"/>
      <c r="F548" s="864"/>
      <c r="G548" s="862"/>
    </row>
    <row r="549" spans="1:7" x14ac:dyDescent="0.2">
      <c r="A549" s="856"/>
      <c r="B549" s="865"/>
      <c r="C549" s="866" t="s">
        <v>3163</v>
      </c>
      <c r="D549" s="867"/>
      <c r="E549" s="868"/>
      <c r="F549" s="869"/>
      <c r="G549" s="870">
        <f>SUM(G545:G548)</f>
        <v>34852350</v>
      </c>
    </row>
    <row r="550" spans="1:7" x14ac:dyDescent="0.2">
      <c r="A550" s="871"/>
      <c r="B550" s="872"/>
      <c r="C550" s="873"/>
      <c r="D550" s="874"/>
      <c r="E550" s="875"/>
      <c r="F550" s="876"/>
      <c r="G550" s="874"/>
    </row>
    <row r="551" spans="1:7" x14ac:dyDescent="0.2">
      <c r="A551" s="856" t="s">
        <v>3147</v>
      </c>
      <c r="B551" s="851" t="s">
        <v>3255</v>
      </c>
      <c r="C551" s="852"/>
      <c r="D551" s="857"/>
      <c r="E551" s="858"/>
      <c r="F551" s="859"/>
      <c r="G551" s="857"/>
    </row>
    <row r="552" spans="1:7" x14ac:dyDescent="0.2">
      <c r="A552" s="856"/>
      <c r="B552" s="860"/>
      <c r="C552" s="861" t="s">
        <v>3256</v>
      </c>
      <c r="D552" s="862"/>
      <c r="E552" s="863">
        <v>20</v>
      </c>
      <c r="F552" s="864"/>
      <c r="G552" s="862">
        <f t="shared" ref="G552:G556" si="45">D552*E552*F552</f>
        <v>0</v>
      </c>
    </row>
    <row r="553" spans="1:7" x14ac:dyDescent="0.2">
      <c r="A553" s="856"/>
      <c r="B553" s="860"/>
      <c r="C553" s="861" t="s">
        <v>3257</v>
      </c>
      <c r="D553" s="862"/>
      <c r="E553" s="863">
        <v>20</v>
      </c>
      <c r="F553" s="864"/>
      <c r="G553" s="862">
        <f t="shared" si="45"/>
        <v>0</v>
      </c>
    </row>
    <row r="554" spans="1:7" x14ac:dyDescent="0.2">
      <c r="A554" s="856"/>
      <c r="B554" s="860"/>
      <c r="C554" s="877" t="s">
        <v>3174</v>
      </c>
      <c r="D554" s="877"/>
      <c r="E554" s="858">
        <f>SUM(E552:E553)</f>
        <v>40</v>
      </c>
      <c r="F554" s="864"/>
      <c r="G554" s="862">
        <f t="shared" si="45"/>
        <v>0</v>
      </c>
    </row>
    <row r="555" spans="1:7" x14ac:dyDescent="0.2">
      <c r="A555" s="856"/>
      <c r="B555" s="860"/>
      <c r="C555" s="861" t="s">
        <v>3159</v>
      </c>
      <c r="D555" s="862">
        <v>20000</v>
      </c>
      <c r="E555" s="863">
        <v>40</v>
      </c>
      <c r="F555" s="864">
        <v>1</v>
      </c>
      <c r="G555" s="862">
        <f t="shared" si="45"/>
        <v>800000</v>
      </c>
    </row>
    <row r="556" spans="1:7" x14ac:dyDescent="0.2">
      <c r="A556" s="856"/>
      <c r="B556" s="860"/>
      <c r="C556" s="861" t="s">
        <v>3160</v>
      </c>
      <c r="D556" s="862">
        <v>20000</v>
      </c>
      <c r="E556" s="863">
        <v>40</v>
      </c>
      <c r="F556" s="864">
        <v>1</v>
      </c>
      <c r="G556" s="862">
        <f t="shared" si="45"/>
        <v>800000</v>
      </c>
    </row>
    <row r="557" spans="1:7" x14ac:dyDescent="0.2">
      <c r="A557" s="856"/>
      <c r="B557" s="860"/>
      <c r="C557" s="861"/>
      <c r="D557" s="862"/>
      <c r="E557" s="863"/>
      <c r="F557" s="864"/>
      <c r="G557" s="862"/>
    </row>
    <row r="558" spans="1:7" x14ac:dyDescent="0.2">
      <c r="A558" s="856"/>
      <c r="B558" s="865" t="s">
        <v>3258</v>
      </c>
      <c r="C558" s="866" t="s">
        <v>3163</v>
      </c>
      <c r="D558" s="867"/>
      <c r="E558" s="868"/>
      <c r="F558" s="869"/>
      <c r="G558" s="870">
        <f>SUM(G552:G557)</f>
        <v>1600000</v>
      </c>
    </row>
    <row r="559" spans="1:7" x14ac:dyDescent="0.2">
      <c r="A559" s="871"/>
      <c r="B559" s="872"/>
      <c r="C559" s="873"/>
      <c r="D559" s="874"/>
      <c r="E559" s="875"/>
      <c r="F559" s="876"/>
      <c r="G559" s="874"/>
    </row>
    <row r="560" spans="1:7" x14ac:dyDescent="0.2">
      <c r="A560" s="856" t="s">
        <v>3147</v>
      </c>
      <c r="B560" s="851" t="s">
        <v>3259</v>
      </c>
      <c r="C560" s="852"/>
      <c r="D560" s="857"/>
      <c r="E560" s="858"/>
      <c r="F560" s="859"/>
      <c r="G560" s="857"/>
    </row>
    <row r="561" spans="1:7" x14ac:dyDescent="0.2">
      <c r="A561" s="856"/>
      <c r="B561" s="860"/>
      <c r="C561" s="861" t="s">
        <v>3260</v>
      </c>
      <c r="D561" s="862">
        <v>250000</v>
      </c>
      <c r="E561" s="863">
        <v>15</v>
      </c>
      <c r="F561" s="864">
        <v>2</v>
      </c>
      <c r="G561" s="862">
        <f t="shared" ref="G561:G564" si="46">D561*E561*F561</f>
        <v>7500000</v>
      </c>
    </row>
    <row r="562" spans="1:7" x14ac:dyDescent="0.2">
      <c r="A562" s="856"/>
      <c r="B562" s="860"/>
      <c r="C562" s="861" t="s">
        <v>3261</v>
      </c>
      <c r="D562" s="862">
        <v>250000</v>
      </c>
      <c r="E562" s="863">
        <v>10</v>
      </c>
      <c r="F562" s="864">
        <v>4</v>
      </c>
      <c r="G562" s="862">
        <f t="shared" si="46"/>
        <v>10000000</v>
      </c>
    </row>
    <row r="563" spans="1:7" x14ac:dyDescent="0.2">
      <c r="A563" s="856"/>
      <c r="B563" s="860"/>
      <c r="C563" s="861" t="s">
        <v>3262</v>
      </c>
      <c r="D563" s="862">
        <v>50000</v>
      </c>
      <c r="E563" s="863">
        <v>25</v>
      </c>
      <c r="F563" s="864">
        <v>1</v>
      </c>
      <c r="G563" s="862">
        <f t="shared" si="46"/>
        <v>1250000</v>
      </c>
    </row>
    <row r="564" spans="1:7" x14ac:dyDescent="0.2">
      <c r="A564" s="856"/>
      <c r="B564" s="860"/>
      <c r="C564" s="861" t="s">
        <v>3263</v>
      </c>
      <c r="D564" s="862"/>
      <c r="E564" s="863">
        <v>50</v>
      </c>
      <c r="F564" s="864"/>
      <c r="G564" s="862">
        <f t="shared" si="46"/>
        <v>0</v>
      </c>
    </row>
    <row r="565" spans="1:7" x14ac:dyDescent="0.2">
      <c r="A565" s="856"/>
      <c r="B565" s="860"/>
      <c r="C565" s="877" t="s">
        <v>3174</v>
      </c>
      <c r="D565" s="877"/>
      <c r="E565" s="879">
        <f>(E561+E562+E564)-5</f>
        <v>70</v>
      </c>
      <c r="F565" s="864"/>
      <c r="G565" s="862"/>
    </row>
    <row r="566" spans="1:7" x14ac:dyDescent="0.2">
      <c r="A566" s="856"/>
      <c r="B566" s="860"/>
      <c r="C566" s="861" t="s">
        <v>3233</v>
      </c>
      <c r="D566" s="862">
        <v>7500</v>
      </c>
      <c r="E566" s="863">
        <v>2</v>
      </c>
      <c r="F566" s="881">
        <f>699/6</f>
        <v>116.5</v>
      </c>
      <c r="G566" s="862">
        <f t="shared" ref="G566:G574" si="47">D566*E566*F566</f>
        <v>1747500</v>
      </c>
    </row>
    <row r="567" spans="1:7" x14ac:dyDescent="0.2">
      <c r="A567" s="856"/>
      <c r="B567" s="860"/>
      <c r="C567" s="861" t="s">
        <v>3264</v>
      </c>
      <c r="D567" s="862">
        <v>7500</v>
      </c>
      <c r="E567" s="863">
        <v>2</v>
      </c>
      <c r="F567" s="881">
        <f>893/6</f>
        <v>148.83333333333334</v>
      </c>
      <c r="G567" s="862">
        <f t="shared" si="47"/>
        <v>2232500</v>
      </c>
    </row>
    <row r="568" spans="1:7" x14ac:dyDescent="0.2">
      <c r="A568" s="856"/>
      <c r="B568" s="860"/>
      <c r="C568" s="861" t="s">
        <v>3265</v>
      </c>
      <c r="D568" s="862">
        <v>7500</v>
      </c>
      <c r="E568" s="863">
        <v>2</v>
      </c>
      <c r="F568" s="881">
        <f>387/6</f>
        <v>64.5</v>
      </c>
      <c r="G568" s="862">
        <f t="shared" si="47"/>
        <v>967500</v>
      </c>
    </row>
    <row r="569" spans="1:7" x14ac:dyDescent="0.2">
      <c r="A569" s="856"/>
      <c r="B569" s="860"/>
      <c r="C569" s="861" t="s">
        <v>3239</v>
      </c>
      <c r="D569" s="862">
        <v>7500</v>
      </c>
      <c r="E569" s="863">
        <v>2</v>
      </c>
      <c r="F569" s="881">
        <f>469/8</f>
        <v>58.625</v>
      </c>
      <c r="G569" s="862">
        <f t="shared" si="47"/>
        <v>879375</v>
      </c>
    </row>
    <row r="570" spans="1:7" x14ac:dyDescent="0.2">
      <c r="A570" s="856"/>
      <c r="B570" s="860"/>
      <c r="C570" s="861" t="s">
        <v>3266</v>
      </c>
      <c r="D570" s="862">
        <v>7500</v>
      </c>
      <c r="E570" s="863">
        <v>2</v>
      </c>
      <c r="F570" s="881">
        <f>675/8</f>
        <v>84.375</v>
      </c>
      <c r="G570" s="862">
        <f t="shared" si="47"/>
        <v>1265625</v>
      </c>
    </row>
    <row r="571" spans="1:7" x14ac:dyDescent="0.2">
      <c r="A571" s="856"/>
      <c r="B571" s="860"/>
      <c r="C571" s="861" t="s">
        <v>3158</v>
      </c>
      <c r="D571" s="862">
        <v>1500000</v>
      </c>
      <c r="E571" s="863">
        <v>1</v>
      </c>
      <c r="F571" s="864">
        <v>1</v>
      </c>
      <c r="G571" s="862">
        <f t="shared" si="47"/>
        <v>1500000</v>
      </c>
    </row>
    <row r="572" spans="1:7" x14ac:dyDescent="0.2">
      <c r="A572" s="856"/>
      <c r="B572" s="860"/>
      <c r="C572" s="861" t="s">
        <v>3159</v>
      </c>
      <c r="D572" s="862">
        <v>40000</v>
      </c>
      <c r="E572" s="863">
        <f>E565</f>
        <v>70</v>
      </c>
      <c r="F572" s="864">
        <v>1</v>
      </c>
      <c r="G572" s="862">
        <f t="shared" si="47"/>
        <v>2800000</v>
      </c>
    </row>
    <row r="573" spans="1:7" x14ac:dyDescent="0.2">
      <c r="A573" s="856"/>
      <c r="B573" s="860"/>
      <c r="C573" s="861" t="s">
        <v>3160</v>
      </c>
      <c r="D573" s="862">
        <v>20000</v>
      </c>
      <c r="E573" s="863">
        <f>E572</f>
        <v>70</v>
      </c>
      <c r="F573" s="864">
        <v>1</v>
      </c>
      <c r="G573" s="862">
        <f t="shared" si="47"/>
        <v>1400000</v>
      </c>
    </row>
    <row r="574" spans="1:7" x14ac:dyDescent="0.2">
      <c r="A574" s="856"/>
      <c r="B574" s="860"/>
      <c r="C574" s="861" t="s">
        <v>3161</v>
      </c>
      <c r="D574" s="862">
        <v>800000</v>
      </c>
      <c r="E574" s="863">
        <v>1</v>
      </c>
      <c r="F574" s="864">
        <v>1</v>
      </c>
      <c r="G574" s="862">
        <f t="shared" si="47"/>
        <v>800000</v>
      </c>
    </row>
    <row r="575" spans="1:7" x14ac:dyDescent="0.2">
      <c r="A575" s="856"/>
      <c r="B575" s="860"/>
      <c r="C575" s="861"/>
      <c r="D575" s="862"/>
      <c r="E575" s="863"/>
      <c r="F575" s="864"/>
      <c r="G575" s="862"/>
    </row>
    <row r="576" spans="1:7" x14ac:dyDescent="0.2">
      <c r="A576" s="856"/>
      <c r="B576" s="865" t="s">
        <v>3267</v>
      </c>
      <c r="C576" s="866" t="s">
        <v>3163</v>
      </c>
      <c r="D576" s="867"/>
      <c r="E576" s="868"/>
      <c r="F576" s="869"/>
      <c r="G576" s="870">
        <f>SUM(G561:G575)</f>
        <v>32342500</v>
      </c>
    </row>
    <row r="577" spans="1:7" x14ac:dyDescent="0.2">
      <c r="A577" s="871"/>
      <c r="B577" s="872"/>
      <c r="C577" s="873"/>
      <c r="D577" s="874"/>
      <c r="E577" s="875"/>
      <c r="F577" s="876"/>
      <c r="G577" s="874"/>
    </row>
    <row r="578" spans="1:7" x14ac:dyDescent="0.2">
      <c r="A578" s="856" t="s">
        <v>3147</v>
      </c>
      <c r="B578" s="851" t="s">
        <v>3268</v>
      </c>
      <c r="C578" s="852"/>
      <c r="D578" s="857"/>
      <c r="E578" s="858"/>
      <c r="F578" s="859"/>
      <c r="G578" s="857"/>
    </row>
    <row r="579" spans="1:7" x14ac:dyDescent="0.2">
      <c r="A579" s="856"/>
      <c r="B579" s="860"/>
      <c r="C579" s="861" t="s">
        <v>3149</v>
      </c>
      <c r="D579" s="862">
        <v>150000</v>
      </c>
      <c r="E579" s="863">
        <v>1</v>
      </c>
      <c r="F579" s="864">
        <v>1</v>
      </c>
      <c r="G579" s="862">
        <f t="shared" ref="G579:G582" si="48">D579*E579*F579</f>
        <v>150000</v>
      </c>
    </row>
    <row r="580" spans="1:7" x14ac:dyDescent="0.2">
      <c r="A580" s="856"/>
      <c r="B580" s="860"/>
      <c r="C580" s="861" t="s">
        <v>3269</v>
      </c>
      <c r="D580" s="862">
        <v>250000</v>
      </c>
      <c r="E580" s="878">
        <v>17</v>
      </c>
      <c r="F580" s="864">
        <v>5</v>
      </c>
      <c r="G580" s="862">
        <f t="shared" si="48"/>
        <v>21250000</v>
      </c>
    </row>
    <row r="581" spans="1:7" x14ac:dyDescent="0.2">
      <c r="A581" s="856"/>
      <c r="B581" s="860"/>
      <c r="C581" s="861" t="s">
        <v>3270</v>
      </c>
      <c r="D581" s="862">
        <v>50000</v>
      </c>
      <c r="E581" s="863">
        <v>17</v>
      </c>
      <c r="F581" s="864">
        <v>1</v>
      </c>
      <c r="G581" s="862">
        <f t="shared" si="48"/>
        <v>850000</v>
      </c>
    </row>
    <row r="582" spans="1:7" x14ac:dyDescent="0.2">
      <c r="A582" s="856"/>
      <c r="B582" s="860"/>
      <c r="C582" s="861" t="s">
        <v>3271</v>
      </c>
      <c r="D582" s="862">
        <v>250000</v>
      </c>
      <c r="E582" s="858">
        <v>4</v>
      </c>
      <c r="F582" s="864">
        <v>5</v>
      </c>
      <c r="G582" s="862">
        <f t="shared" si="48"/>
        <v>5000000</v>
      </c>
    </row>
    <row r="583" spans="1:7" x14ac:dyDescent="0.2">
      <c r="A583" s="856"/>
      <c r="B583" s="860"/>
      <c r="C583" s="883" t="s">
        <v>3272</v>
      </c>
      <c r="D583" s="877">
        <v>50000</v>
      </c>
      <c r="E583" s="858">
        <v>4</v>
      </c>
      <c r="F583" s="864">
        <v>1</v>
      </c>
      <c r="G583" s="862"/>
    </row>
    <row r="584" spans="1:7" x14ac:dyDescent="0.2">
      <c r="A584" s="856"/>
      <c r="B584" s="860"/>
      <c r="C584" s="861" t="s">
        <v>3273</v>
      </c>
      <c r="D584" s="862">
        <v>250000</v>
      </c>
      <c r="E584" s="878">
        <v>2</v>
      </c>
      <c r="F584" s="864">
        <v>5</v>
      </c>
      <c r="G584" s="862">
        <f t="shared" ref="G584:G596" si="49">D584*E584*F584</f>
        <v>2500000</v>
      </c>
    </row>
    <row r="585" spans="1:7" x14ac:dyDescent="0.2">
      <c r="A585" s="856"/>
      <c r="B585" s="860"/>
      <c r="C585" s="861" t="s">
        <v>3274</v>
      </c>
      <c r="D585" s="862">
        <v>50000</v>
      </c>
      <c r="E585" s="863">
        <v>2</v>
      </c>
      <c r="F585" s="864">
        <v>1</v>
      </c>
      <c r="G585" s="862">
        <f t="shared" si="49"/>
        <v>100000</v>
      </c>
    </row>
    <row r="586" spans="1:7" x14ac:dyDescent="0.2">
      <c r="A586" s="856"/>
      <c r="B586" s="860"/>
      <c r="C586" s="861" t="s">
        <v>3275</v>
      </c>
      <c r="D586" s="862">
        <v>250000</v>
      </c>
      <c r="E586" s="863">
        <v>1</v>
      </c>
      <c r="F586" s="864">
        <v>5</v>
      </c>
      <c r="G586" s="862">
        <f t="shared" si="49"/>
        <v>1250000</v>
      </c>
    </row>
    <row r="587" spans="1:7" x14ac:dyDescent="0.2">
      <c r="A587" s="856"/>
      <c r="B587" s="860"/>
      <c r="C587" s="861" t="s">
        <v>3276</v>
      </c>
      <c r="D587" s="862">
        <v>50000</v>
      </c>
      <c r="E587" s="863">
        <v>1</v>
      </c>
      <c r="F587" s="864">
        <v>1</v>
      </c>
      <c r="G587" s="862">
        <f t="shared" si="49"/>
        <v>50000</v>
      </c>
    </row>
    <row r="588" spans="1:7" x14ac:dyDescent="0.2">
      <c r="A588" s="856"/>
      <c r="B588" s="860"/>
      <c r="C588" s="861" t="s">
        <v>3277</v>
      </c>
      <c r="D588" s="862">
        <v>250000</v>
      </c>
      <c r="E588" s="878">
        <v>2</v>
      </c>
      <c r="F588" s="864">
        <v>8</v>
      </c>
      <c r="G588" s="862">
        <f t="shared" si="49"/>
        <v>4000000</v>
      </c>
    </row>
    <row r="589" spans="1:7" x14ac:dyDescent="0.2">
      <c r="A589" s="856"/>
      <c r="B589" s="860"/>
      <c r="C589" s="861" t="s">
        <v>3278</v>
      </c>
      <c r="D589" s="862">
        <v>50000</v>
      </c>
      <c r="E589" s="863">
        <v>2</v>
      </c>
      <c r="F589" s="864">
        <v>1</v>
      </c>
      <c r="G589" s="862">
        <f t="shared" si="49"/>
        <v>100000</v>
      </c>
    </row>
    <row r="590" spans="1:7" x14ac:dyDescent="0.2">
      <c r="A590" s="856"/>
      <c r="B590" s="860"/>
      <c r="C590" s="861" t="s">
        <v>3279</v>
      </c>
      <c r="D590" s="862">
        <v>250000</v>
      </c>
      <c r="E590" s="863">
        <v>1</v>
      </c>
      <c r="F590" s="864">
        <v>8</v>
      </c>
      <c r="G590" s="862">
        <f t="shared" si="49"/>
        <v>2000000</v>
      </c>
    </row>
    <row r="591" spans="1:7" x14ac:dyDescent="0.2">
      <c r="A591" s="856"/>
      <c r="B591" s="860"/>
      <c r="C591" s="861" t="s">
        <v>3280</v>
      </c>
      <c r="D591" s="862">
        <v>50000</v>
      </c>
      <c r="E591" s="863">
        <v>1</v>
      </c>
      <c r="F591" s="864">
        <v>1</v>
      </c>
      <c r="G591" s="862">
        <f t="shared" si="49"/>
        <v>50000</v>
      </c>
    </row>
    <row r="592" spans="1:7" x14ac:dyDescent="0.2">
      <c r="A592" s="856"/>
      <c r="B592" s="860"/>
      <c r="C592" s="861" t="s">
        <v>3281</v>
      </c>
      <c r="D592" s="862">
        <v>250000</v>
      </c>
      <c r="E592" s="878">
        <v>2</v>
      </c>
      <c r="F592" s="864">
        <v>8</v>
      </c>
      <c r="G592" s="862">
        <f t="shared" si="49"/>
        <v>4000000</v>
      </c>
    </row>
    <row r="593" spans="1:7" x14ac:dyDescent="0.2">
      <c r="A593" s="856"/>
      <c r="B593" s="860"/>
      <c r="C593" s="861" t="s">
        <v>3282</v>
      </c>
      <c r="D593" s="862">
        <v>50000</v>
      </c>
      <c r="E593" s="863">
        <v>2</v>
      </c>
      <c r="F593" s="864">
        <v>1</v>
      </c>
      <c r="G593" s="862">
        <f t="shared" si="49"/>
        <v>100000</v>
      </c>
    </row>
    <row r="594" spans="1:7" x14ac:dyDescent="0.2">
      <c r="A594" s="856"/>
      <c r="B594" s="860"/>
      <c r="C594" s="861" t="s">
        <v>3283</v>
      </c>
      <c r="D594" s="862">
        <v>250000</v>
      </c>
      <c r="E594" s="863">
        <v>1</v>
      </c>
      <c r="F594" s="864">
        <v>8</v>
      </c>
      <c r="G594" s="862">
        <f t="shared" si="49"/>
        <v>2000000</v>
      </c>
    </row>
    <row r="595" spans="1:7" x14ac:dyDescent="0.2">
      <c r="A595" s="856"/>
      <c r="B595" s="860"/>
      <c r="C595" s="861" t="s">
        <v>3284</v>
      </c>
      <c r="D595" s="862">
        <v>50000</v>
      </c>
      <c r="E595" s="863">
        <v>1</v>
      </c>
      <c r="F595" s="864">
        <v>1</v>
      </c>
      <c r="G595" s="862">
        <f t="shared" si="49"/>
        <v>50000</v>
      </c>
    </row>
    <row r="596" spans="1:7" x14ac:dyDescent="0.2">
      <c r="A596" s="856"/>
      <c r="B596" s="860"/>
      <c r="C596" s="861" t="s">
        <v>3285</v>
      </c>
      <c r="D596" s="862">
        <v>250000</v>
      </c>
      <c r="E596" s="878">
        <v>2</v>
      </c>
      <c r="F596" s="864">
        <v>8</v>
      </c>
      <c r="G596" s="862">
        <f t="shared" si="49"/>
        <v>4000000</v>
      </c>
    </row>
    <row r="597" spans="1:7" x14ac:dyDescent="0.2">
      <c r="A597" s="856"/>
      <c r="B597" s="860"/>
      <c r="C597" s="883" t="s">
        <v>3286</v>
      </c>
      <c r="D597" s="877">
        <v>50000</v>
      </c>
      <c r="E597" s="858">
        <v>2</v>
      </c>
      <c r="F597" s="864">
        <v>1</v>
      </c>
      <c r="G597" s="862"/>
    </row>
    <row r="598" spans="1:7" x14ac:dyDescent="0.2">
      <c r="A598" s="856"/>
      <c r="B598" s="860"/>
      <c r="C598" s="861" t="s">
        <v>3287</v>
      </c>
      <c r="D598" s="862">
        <v>250000</v>
      </c>
      <c r="E598" s="863">
        <v>1</v>
      </c>
      <c r="F598" s="864">
        <v>8</v>
      </c>
      <c r="G598" s="862">
        <f t="shared" ref="G598:G621" si="50">D598*E598*F598</f>
        <v>2000000</v>
      </c>
    </row>
    <row r="599" spans="1:7" x14ac:dyDescent="0.2">
      <c r="A599" s="856"/>
      <c r="B599" s="860"/>
      <c r="C599" s="861" t="s">
        <v>3288</v>
      </c>
      <c r="D599" s="862">
        <v>50000</v>
      </c>
      <c r="E599" s="863">
        <v>1</v>
      </c>
      <c r="F599" s="864">
        <v>1</v>
      </c>
      <c r="G599" s="862">
        <f t="shared" si="50"/>
        <v>50000</v>
      </c>
    </row>
    <row r="600" spans="1:7" x14ac:dyDescent="0.2">
      <c r="A600" s="856"/>
      <c r="B600" s="860"/>
      <c r="C600" s="861" t="s">
        <v>3289</v>
      </c>
      <c r="D600" s="862">
        <v>250000</v>
      </c>
      <c r="E600" s="878">
        <v>2</v>
      </c>
      <c r="F600" s="864">
        <v>6</v>
      </c>
      <c r="G600" s="862">
        <f t="shared" si="50"/>
        <v>3000000</v>
      </c>
    </row>
    <row r="601" spans="1:7" x14ac:dyDescent="0.2">
      <c r="A601" s="856"/>
      <c r="B601" s="860"/>
      <c r="C601" s="861" t="s">
        <v>3290</v>
      </c>
      <c r="D601" s="862">
        <v>50000</v>
      </c>
      <c r="E601" s="863">
        <v>2</v>
      </c>
      <c r="F601" s="864">
        <v>1</v>
      </c>
      <c r="G601" s="862">
        <f t="shared" si="50"/>
        <v>100000</v>
      </c>
    </row>
    <row r="602" spans="1:7" x14ac:dyDescent="0.2">
      <c r="A602" s="856"/>
      <c r="B602" s="860"/>
      <c r="C602" s="861" t="s">
        <v>3291</v>
      </c>
      <c r="D602" s="862">
        <v>250000</v>
      </c>
      <c r="E602" s="863">
        <v>1</v>
      </c>
      <c r="F602" s="864">
        <v>6</v>
      </c>
      <c r="G602" s="862">
        <f t="shared" si="50"/>
        <v>1500000</v>
      </c>
    </row>
    <row r="603" spans="1:7" x14ac:dyDescent="0.2">
      <c r="A603" s="856"/>
      <c r="B603" s="860"/>
      <c r="C603" s="861" t="s">
        <v>3292</v>
      </c>
      <c r="D603" s="862">
        <v>50000</v>
      </c>
      <c r="E603" s="863">
        <v>1</v>
      </c>
      <c r="F603" s="864">
        <v>1</v>
      </c>
      <c r="G603" s="862">
        <f t="shared" si="50"/>
        <v>50000</v>
      </c>
    </row>
    <row r="604" spans="1:7" x14ac:dyDescent="0.2">
      <c r="A604" s="856"/>
      <c r="B604" s="860"/>
      <c r="C604" s="861" t="s">
        <v>3293</v>
      </c>
      <c r="D604" s="862">
        <v>250000</v>
      </c>
      <c r="E604" s="878">
        <v>2</v>
      </c>
      <c r="F604" s="864">
        <v>6</v>
      </c>
      <c r="G604" s="862">
        <f t="shared" si="50"/>
        <v>3000000</v>
      </c>
    </row>
    <row r="605" spans="1:7" x14ac:dyDescent="0.2">
      <c r="A605" s="856"/>
      <c r="B605" s="860"/>
      <c r="C605" s="861" t="s">
        <v>3294</v>
      </c>
      <c r="D605" s="862">
        <v>50000</v>
      </c>
      <c r="E605" s="863">
        <v>2</v>
      </c>
      <c r="F605" s="864">
        <v>1</v>
      </c>
      <c r="G605" s="862">
        <f t="shared" si="50"/>
        <v>100000</v>
      </c>
    </row>
    <row r="606" spans="1:7" x14ac:dyDescent="0.2">
      <c r="A606" s="856"/>
      <c r="B606" s="860"/>
      <c r="C606" s="861" t="s">
        <v>3295</v>
      </c>
      <c r="D606" s="862">
        <v>250000</v>
      </c>
      <c r="E606" s="863">
        <v>1</v>
      </c>
      <c r="F606" s="864">
        <v>6</v>
      </c>
      <c r="G606" s="862">
        <f t="shared" si="50"/>
        <v>1500000</v>
      </c>
    </row>
    <row r="607" spans="1:7" x14ac:dyDescent="0.2">
      <c r="A607" s="856"/>
      <c r="B607" s="860"/>
      <c r="C607" s="861" t="s">
        <v>3296</v>
      </c>
      <c r="D607" s="862">
        <v>50000</v>
      </c>
      <c r="E607" s="863">
        <v>1</v>
      </c>
      <c r="F607" s="864">
        <v>1</v>
      </c>
      <c r="G607" s="862">
        <f t="shared" si="50"/>
        <v>50000</v>
      </c>
    </row>
    <row r="608" spans="1:7" x14ac:dyDescent="0.2">
      <c r="A608" s="856"/>
      <c r="B608" s="860"/>
      <c r="C608" s="861" t="s">
        <v>3297</v>
      </c>
      <c r="D608" s="862"/>
      <c r="E608" s="878">
        <v>4</v>
      </c>
      <c r="F608" s="864"/>
      <c r="G608" s="862">
        <f t="shared" si="50"/>
        <v>0</v>
      </c>
    </row>
    <row r="609" spans="1:7" x14ac:dyDescent="0.2">
      <c r="A609" s="856"/>
      <c r="B609" s="860"/>
      <c r="C609" s="861" t="s">
        <v>3298</v>
      </c>
      <c r="D609" s="862"/>
      <c r="E609" s="878">
        <v>2</v>
      </c>
      <c r="F609" s="864"/>
      <c r="G609" s="862">
        <f t="shared" si="50"/>
        <v>0</v>
      </c>
    </row>
    <row r="610" spans="1:7" x14ac:dyDescent="0.2">
      <c r="A610" s="856"/>
      <c r="B610" s="860"/>
      <c r="C610" s="877" t="s">
        <v>3174</v>
      </c>
      <c r="D610" s="877"/>
      <c r="E610" s="879">
        <f>E580+E584+E588+E592+E596+E600+E604+E608+E609</f>
        <v>35</v>
      </c>
      <c r="F610" s="864"/>
      <c r="G610" s="862">
        <f t="shared" si="50"/>
        <v>0</v>
      </c>
    </row>
    <row r="611" spans="1:7" x14ac:dyDescent="0.2">
      <c r="A611" s="856"/>
      <c r="B611" s="860"/>
      <c r="C611" s="882" t="s">
        <v>3299</v>
      </c>
      <c r="D611" s="877">
        <v>7500</v>
      </c>
      <c r="E611" s="858">
        <f>4*2</f>
        <v>8</v>
      </c>
      <c r="F611" s="881">
        <f>86/8</f>
        <v>10.75</v>
      </c>
      <c r="G611" s="862">
        <f t="shared" si="50"/>
        <v>645000</v>
      </c>
    </row>
    <row r="612" spans="1:7" x14ac:dyDescent="0.2">
      <c r="A612" s="856"/>
      <c r="B612" s="860"/>
      <c r="C612" s="882" t="s">
        <v>3300</v>
      </c>
      <c r="D612" s="877">
        <v>7500</v>
      </c>
      <c r="E612" s="864">
        <v>2</v>
      </c>
      <c r="F612" s="881">
        <f>86/8</f>
        <v>10.75</v>
      </c>
      <c r="G612" s="862">
        <f t="shared" si="50"/>
        <v>161250</v>
      </c>
    </row>
    <row r="613" spans="1:7" x14ac:dyDescent="0.2">
      <c r="A613" s="856"/>
      <c r="B613" s="860"/>
      <c r="C613" s="882" t="s">
        <v>3201</v>
      </c>
      <c r="D613" s="877">
        <v>7500</v>
      </c>
      <c r="E613" s="864">
        <v>2</v>
      </c>
      <c r="F613" s="881">
        <f>(893-56)/6</f>
        <v>139.5</v>
      </c>
      <c r="G613" s="862">
        <f t="shared" si="50"/>
        <v>2092500</v>
      </c>
    </row>
    <row r="614" spans="1:7" x14ac:dyDescent="0.2">
      <c r="A614" s="856"/>
      <c r="B614" s="860"/>
      <c r="C614" s="882" t="s">
        <v>3200</v>
      </c>
      <c r="D614" s="877">
        <v>7500</v>
      </c>
      <c r="E614" s="864">
        <v>2</v>
      </c>
      <c r="F614" s="881">
        <f>(699-56)/6</f>
        <v>107.16666666666667</v>
      </c>
      <c r="G614" s="862">
        <f t="shared" si="50"/>
        <v>1607500</v>
      </c>
    </row>
    <row r="615" spans="1:7" x14ac:dyDescent="0.2">
      <c r="A615" s="856"/>
      <c r="B615" s="860"/>
      <c r="C615" s="882" t="s">
        <v>3202</v>
      </c>
      <c r="D615" s="877">
        <v>7500</v>
      </c>
      <c r="E615" s="864">
        <v>2</v>
      </c>
      <c r="F615" s="881">
        <f>(387-56)/6</f>
        <v>55.166666666666664</v>
      </c>
      <c r="G615" s="862">
        <f t="shared" si="50"/>
        <v>827500</v>
      </c>
    </row>
    <row r="616" spans="1:7" x14ac:dyDescent="0.2">
      <c r="A616" s="856"/>
      <c r="B616" s="860"/>
      <c r="C616" s="882" t="s">
        <v>3203</v>
      </c>
      <c r="D616" s="877">
        <v>7500</v>
      </c>
      <c r="E616" s="864">
        <v>2</v>
      </c>
      <c r="F616" s="881">
        <f>(469+86)/8</f>
        <v>69.375</v>
      </c>
      <c r="G616" s="862">
        <f t="shared" si="50"/>
        <v>1040625</v>
      </c>
    </row>
    <row r="617" spans="1:7" x14ac:dyDescent="0.2">
      <c r="A617" s="856"/>
      <c r="B617" s="860"/>
      <c r="C617" s="882" t="s">
        <v>3204</v>
      </c>
      <c r="D617" s="877">
        <v>7500</v>
      </c>
      <c r="E617" s="864">
        <v>2</v>
      </c>
      <c r="F617" s="881">
        <f>(675+86)/8</f>
        <v>95.125</v>
      </c>
      <c r="G617" s="862">
        <f t="shared" si="50"/>
        <v>1426875</v>
      </c>
    </row>
    <row r="618" spans="1:7" x14ac:dyDescent="0.2">
      <c r="A618" s="856"/>
      <c r="B618" s="860"/>
      <c r="C618" s="882" t="s">
        <v>3205</v>
      </c>
      <c r="D618" s="877">
        <v>7500</v>
      </c>
      <c r="E618" s="863">
        <v>10</v>
      </c>
      <c r="F618" s="864">
        <v>5</v>
      </c>
      <c r="G618" s="862">
        <f t="shared" si="50"/>
        <v>375000</v>
      </c>
    </row>
    <row r="619" spans="1:7" x14ac:dyDescent="0.2">
      <c r="A619" s="856"/>
      <c r="B619" s="860"/>
      <c r="C619" s="861" t="s">
        <v>3158</v>
      </c>
      <c r="D619" s="862">
        <v>1000000</v>
      </c>
      <c r="E619" s="863">
        <v>1</v>
      </c>
      <c r="F619" s="864">
        <v>5</v>
      </c>
      <c r="G619" s="862">
        <f t="shared" si="50"/>
        <v>5000000</v>
      </c>
    </row>
    <row r="620" spans="1:7" x14ac:dyDescent="0.2">
      <c r="A620" s="856"/>
      <c r="B620" s="860"/>
      <c r="C620" s="861" t="s">
        <v>3159</v>
      </c>
      <c r="D620" s="862">
        <v>25000</v>
      </c>
      <c r="E620" s="863">
        <v>35</v>
      </c>
      <c r="F620" s="864">
        <v>5</v>
      </c>
      <c r="G620" s="862">
        <f t="shared" si="50"/>
        <v>4375000</v>
      </c>
    </row>
    <row r="621" spans="1:7" x14ac:dyDescent="0.2">
      <c r="A621" s="856"/>
      <c r="B621" s="860"/>
      <c r="C621" s="861" t="s">
        <v>3160</v>
      </c>
      <c r="D621" s="862">
        <v>20000</v>
      </c>
      <c r="E621" s="863">
        <v>35</v>
      </c>
      <c r="F621" s="864">
        <v>1</v>
      </c>
      <c r="G621" s="862">
        <f t="shared" si="50"/>
        <v>700000</v>
      </c>
    </row>
    <row r="622" spans="1:7" x14ac:dyDescent="0.2">
      <c r="A622" s="856"/>
      <c r="B622" s="860"/>
      <c r="C622" s="861"/>
      <c r="D622" s="862"/>
      <c r="E622" s="863"/>
      <c r="F622" s="864"/>
      <c r="G622" s="862"/>
    </row>
    <row r="623" spans="1:7" x14ac:dyDescent="0.2">
      <c r="A623" s="856"/>
      <c r="B623" s="865" t="s">
        <v>3244</v>
      </c>
      <c r="C623" s="866" t="s">
        <v>3163</v>
      </c>
      <c r="D623" s="867"/>
      <c r="E623" s="868"/>
      <c r="F623" s="869"/>
      <c r="G623" s="870">
        <f>SUM(G579:G622)</f>
        <v>77051250</v>
      </c>
    </row>
    <row r="624" spans="1:7" x14ac:dyDescent="0.2">
      <c r="A624" s="856"/>
      <c r="B624" s="860"/>
      <c r="C624" s="866"/>
      <c r="D624" s="867"/>
      <c r="E624" s="868"/>
      <c r="F624" s="869"/>
      <c r="G624" s="869"/>
    </row>
    <row r="625" spans="1:7" x14ac:dyDescent="0.2">
      <c r="A625" s="884"/>
      <c r="B625" s="885"/>
      <c r="C625" s="886" t="s">
        <v>3301</v>
      </c>
      <c r="D625" s="870"/>
      <c r="E625" s="887"/>
      <c r="F625" s="888"/>
      <c r="G625" s="889">
        <f>G383+G416+G436+G459+G467+G500+G542+G549+G558+G576+G623</f>
        <v>1304607582.3674462</v>
      </c>
    </row>
    <row r="626" spans="1:7" x14ac:dyDescent="0.2">
      <c r="A626" s="856"/>
      <c r="B626" s="860"/>
      <c r="C626" s="866" t="s">
        <v>3302</v>
      </c>
      <c r="D626" s="867"/>
      <c r="E626" s="868"/>
      <c r="F626" s="869"/>
      <c r="G626" s="869">
        <f>G625/(1500*15)</f>
        <v>57982.559216330941</v>
      </c>
    </row>
    <row r="627" spans="1:7" x14ac:dyDescent="0.2">
      <c r="A627" s="871"/>
      <c r="B627" s="872"/>
      <c r="C627" s="873"/>
      <c r="D627" s="874"/>
      <c r="E627" s="875"/>
      <c r="F627" s="876"/>
      <c r="G627" s="874"/>
    </row>
    <row r="628" spans="1:7" x14ac:dyDescent="0.2">
      <c r="A628" s="890">
        <v>80</v>
      </c>
      <c r="B628" s="891" t="s">
        <v>3303</v>
      </c>
      <c r="C628" s="892"/>
      <c r="D628" s="893"/>
      <c r="E628" s="894"/>
      <c r="F628" s="895"/>
      <c r="G628" s="893"/>
    </row>
    <row r="629" spans="1:7" x14ac:dyDescent="0.2">
      <c r="A629" s="856" t="s">
        <v>3147</v>
      </c>
      <c r="B629" s="891" t="s">
        <v>3304</v>
      </c>
      <c r="C629" s="892"/>
      <c r="D629" s="857"/>
      <c r="E629" s="858"/>
      <c r="F629" s="859"/>
      <c r="G629" s="857"/>
    </row>
    <row r="630" spans="1:7" x14ac:dyDescent="0.2">
      <c r="A630" s="856"/>
      <c r="B630" s="860"/>
      <c r="C630" s="861" t="s">
        <v>3149</v>
      </c>
      <c r="D630" s="862">
        <v>150000</v>
      </c>
      <c r="E630" s="863">
        <v>1</v>
      </c>
      <c r="F630" s="864">
        <v>1</v>
      </c>
      <c r="G630" s="862">
        <f t="shared" ref="G630:G633" si="51">D630*E630*F630</f>
        <v>150000</v>
      </c>
    </row>
    <row r="631" spans="1:7" ht="38.25" x14ac:dyDescent="0.2">
      <c r="A631" s="856"/>
      <c r="B631" s="860"/>
      <c r="C631" s="860" t="s">
        <v>3195</v>
      </c>
      <c r="D631" s="862">
        <v>250000</v>
      </c>
      <c r="E631" s="878">
        <f>40+14</f>
        <v>54</v>
      </c>
      <c r="F631" s="864">
        <v>4</v>
      </c>
      <c r="G631" s="862">
        <f t="shared" si="51"/>
        <v>54000000</v>
      </c>
    </row>
    <row r="632" spans="1:7" x14ac:dyDescent="0.2">
      <c r="A632" s="856"/>
      <c r="B632" s="860"/>
      <c r="C632" s="861" t="s">
        <v>3196</v>
      </c>
      <c r="D632" s="862">
        <v>250000</v>
      </c>
      <c r="E632" s="878">
        <v>36</v>
      </c>
      <c r="F632" s="864">
        <v>5</v>
      </c>
      <c r="G632" s="862">
        <f t="shared" si="51"/>
        <v>45000000</v>
      </c>
    </row>
    <row r="633" spans="1:7" x14ac:dyDescent="0.2">
      <c r="A633" s="856"/>
      <c r="B633" s="860"/>
      <c r="C633" s="861" t="s">
        <v>3198</v>
      </c>
      <c r="D633" s="862">
        <v>50000</v>
      </c>
      <c r="E633" s="863">
        <f>36+54</f>
        <v>90</v>
      </c>
      <c r="F633" s="864">
        <v>1</v>
      </c>
      <c r="G633" s="862">
        <f t="shared" si="51"/>
        <v>4500000</v>
      </c>
    </row>
    <row r="634" spans="1:7" x14ac:dyDescent="0.2">
      <c r="A634" s="856"/>
      <c r="B634" s="860"/>
      <c r="C634" s="877" t="s">
        <v>3174</v>
      </c>
      <c r="D634" s="877"/>
      <c r="E634" s="879">
        <f>(E631+E632)-(6+14)</f>
        <v>70</v>
      </c>
      <c r="F634" s="864"/>
      <c r="G634" s="862"/>
    </row>
    <row r="635" spans="1:7" ht="63.75" x14ac:dyDescent="0.2">
      <c r="A635" s="856"/>
      <c r="B635" s="860"/>
      <c r="C635" s="880" t="s">
        <v>3199</v>
      </c>
      <c r="D635" s="877">
        <v>7500</v>
      </c>
      <c r="E635" s="858">
        <f>14*2</f>
        <v>28</v>
      </c>
      <c r="F635" s="881">
        <f>86/8</f>
        <v>10.75</v>
      </c>
      <c r="G635" s="862">
        <f t="shared" ref="G635:G639" si="52">D635*E635*F635</f>
        <v>2257500</v>
      </c>
    </row>
    <row r="636" spans="1:7" x14ac:dyDescent="0.2">
      <c r="A636" s="856"/>
      <c r="B636" s="860"/>
      <c r="C636" s="882" t="s">
        <v>3202</v>
      </c>
      <c r="D636" s="862">
        <v>7500</v>
      </c>
      <c r="E636" s="863">
        <f t="shared" ref="E636:E638" si="53">2*2</f>
        <v>4</v>
      </c>
      <c r="F636" s="881">
        <f>(387-56)/6</f>
        <v>55.166666666666664</v>
      </c>
      <c r="G636" s="862">
        <f t="shared" si="52"/>
        <v>1655000</v>
      </c>
    </row>
    <row r="637" spans="1:7" x14ac:dyDescent="0.2">
      <c r="A637" s="856"/>
      <c r="B637" s="860"/>
      <c r="C637" s="882" t="s">
        <v>3203</v>
      </c>
      <c r="D637" s="862">
        <v>7500</v>
      </c>
      <c r="E637" s="863">
        <f t="shared" si="53"/>
        <v>4</v>
      </c>
      <c r="F637" s="881">
        <f>(469+86)/8</f>
        <v>69.375</v>
      </c>
      <c r="G637" s="862">
        <f t="shared" si="52"/>
        <v>2081250</v>
      </c>
    </row>
    <row r="638" spans="1:7" x14ac:dyDescent="0.2">
      <c r="A638" s="856"/>
      <c r="B638" s="860"/>
      <c r="C638" s="882" t="s">
        <v>3204</v>
      </c>
      <c r="D638" s="862">
        <v>7500</v>
      </c>
      <c r="E638" s="863">
        <f t="shared" si="53"/>
        <v>4</v>
      </c>
      <c r="F638" s="881">
        <f>(675+86)/8</f>
        <v>95.125</v>
      </c>
      <c r="G638" s="862">
        <f t="shared" si="52"/>
        <v>2853750</v>
      </c>
    </row>
    <row r="639" spans="1:7" x14ac:dyDescent="0.2">
      <c r="A639" s="856"/>
      <c r="B639" s="860"/>
      <c r="C639" s="882" t="s">
        <v>3205</v>
      </c>
      <c r="D639" s="877">
        <v>7500</v>
      </c>
      <c r="E639" s="863">
        <v>10</v>
      </c>
      <c r="F639" s="864">
        <v>4</v>
      </c>
      <c r="G639" s="862">
        <f t="shared" si="52"/>
        <v>300000</v>
      </c>
    </row>
    <row r="640" spans="1:7" x14ac:dyDescent="0.2">
      <c r="A640" s="856"/>
      <c r="B640" s="860"/>
      <c r="C640" s="861" t="s">
        <v>3158</v>
      </c>
      <c r="D640" s="862">
        <v>1500000</v>
      </c>
      <c r="E640" s="863">
        <v>1</v>
      </c>
      <c r="F640" s="864">
        <v>4</v>
      </c>
      <c r="G640" s="862">
        <f>D640*E640*F640</f>
        <v>6000000</v>
      </c>
    </row>
    <row r="641" spans="1:8" x14ac:dyDescent="0.2">
      <c r="A641" s="856"/>
      <c r="B641" s="860"/>
      <c r="C641" s="861" t="s">
        <v>3158</v>
      </c>
      <c r="D641" s="862">
        <v>800000</v>
      </c>
      <c r="E641" s="863">
        <v>1</v>
      </c>
      <c r="F641" s="864">
        <v>1</v>
      </c>
      <c r="G641" s="862">
        <f t="shared" ref="G641:G645" si="54">D641*E641*F641</f>
        <v>800000</v>
      </c>
    </row>
    <row r="642" spans="1:8" x14ac:dyDescent="0.2">
      <c r="A642" s="856"/>
      <c r="B642" s="865"/>
      <c r="C642" s="861" t="s">
        <v>3159</v>
      </c>
      <c r="D642" s="862">
        <v>25000</v>
      </c>
      <c r="E642" s="863">
        <v>70</v>
      </c>
      <c r="F642" s="864">
        <v>4</v>
      </c>
      <c r="G642" s="862">
        <f t="shared" si="54"/>
        <v>7000000</v>
      </c>
    </row>
    <row r="643" spans="1:8" x14ac:dyDescent="0.2">
      <c r="A643" s="856"/>
      <c r="B643" s="860"/>
      <c r="C643" s="861" t="s">
        <v>3160</v>
      </c>
      <c r="D643" s="862">
        <v>20000</v>
      </c>
      <c r="E643" s="863">
        <v>70</v>
      </c>
      <c r="F643" s="864">
        <v>1</v>
      </c>
      <c r="G643" s="862">
        <f t="shared" si="54"/>
        <v>1400000</v>
      </c>
    </row>
    <row r="644" spans="1:8" x14ac:dyDescent="0.2">
      <c r="A644" s="856"/>
      <c r="B644" s="860"/>
      <c r="C644" s="861" t="s">
        <v>3206</v>
      </c>
      <c r="D644" s="862">
        <v>1200000</v>
      </c>
      <c r="E644" s="863">
        <v>1</v>
      </c>
      <c r="F644" s="864">
        <v>1</v>
      </c>
      <c r="G644" s="862">
        <f t="shared" si="54"/>
        <v>1200000</v>
      </c>
    </row>
    <row r="645" spans="1:8" x14ac:dyDescent="0.2">
      <c r="A645" s="856"/>
      <c r="B645" s="860"/>
      <c r="C645" s="861" t="s">
        <v>3207</v>
      </c>
      <c r="D645" s="862">
        <v>1500000</v>
      </c>
      <c r="E645" s="863">
        <v>1</v>
      </c>
      <c r="F645" s="864">
        <v>1</v>
      </c>
      <c r="G645" s="862">
        <f t="shared" si="54"/>
        <v>1500000</v>
      </c>
    </row>
    <row r="646" spans="1:8" x14ac:dyDescent="0.2">
      <c r="A646" s="856"/>
      <c r="B646" s="860"/>
      <c r="C646" s="861"/>
      <c r="D646" s="862"/>
      <c r="E646" s="863"/>
      <c r="F646" s="864"/>
      <c r="G646" s="862"/>
    </row>
    <row r="647" spans="1:8" x14ac:dyDescent="0.2">
      <c r="A647" s="856"/>
      <c r="B647" s="865" t="s">
        <v>3208</v>
      </c>
      <c r="C647" s="866" t="s">
        <v>3163</v>
      </c>
      <c r="D647" s="867"/>
      <c r="E647" s="868"/>
      <c r="F647" s="869"/>
      <c r="G647" s="870">
        <f>SUM(G630:G646)</f>
        <v>130697500</v>
      </c>
    </row>
    <row r="648" spans="1:8" x14ac:dyDescent="0.2">
      <c r="A648" s="871"/>
      <c r="B648" s="872"/>
      <c r="C648" s="873"/>
      <c r="D648" s="874"/>
      <c r="E648" s="875"/>
      <c r="F648" s="876"/>
      <c r="G648" s="874"/>
    </row>
    <row r="649" spans="1:8" x14ac:dyDescent="0.2">
      <c r="A649" s="856" t="s">
        <v>3147</v>
      </c>
      <c r="B649" s="891" t="s">
        <v>3305</v>
      </c>
      <c r="C649" s="892"/>
      <c r="D649" s="857"/>
      <c r="E649" s="858"/>
      <c r="F649" s="859"/>
      <c r="G649" s="857"/>
    </row>
    <row r="650" spans="1:8" x14ac:dyDescent="0.2">
      <c r="A650" s="856"/>
      <c r="B650" s="860"/>
      <c r="C650" s="861" t="s">
        <v>3306</v>
      </c>
      <c r="D650" s="862">
        <v>10000</v>
      </c>
      <c r="E650" s="863">
        <v>1300</v>
      </c>
      <c r="F650" s="864">
        <v>1</v>
      </c>
      <c r="G650" s="862">
        <f t="shared" ref="G650:G654" si="55">D650*E650*F650</f>
        <v>13000000</v>
      </c>
    </row>
    <row r="651" spans="1:8" x14ac:dyDescent="0.2">
      <c r="A651" s="856"/>
      <c r="B651" s="860"/>
      <c r="C651" s="861" t="s">
        <v>3307</v>
      </c>
      <c r="D651" s="862">
        <v>8100</v>
      </c>
      <c r="E651" s="863">
        <v>1200</v>
      </c>
      <c r="F651" s="864">
        <v>1</v>
      </c>
      <c r="G651" s="862">
        <f t="shared" si="55"/>
        <v>9720000</v>
      </c>
    </row>
    <row r="652" spans="1:8" x14ac:dyDescent="0.2">
      <c r="A652" s="856"/>
      <c r="B652" s="860"/>
      <c r="C652" s="861" t="s">
        <v>3308</v>
      </c>
      <c r="D652" s="862">
        <v>35736</v>
      </c>
      <c r="E652" s="863">
        <v>1200</v>
      </c>
      <c r="F652" s="864">
        <v>1</v>
      </c>
      <c r="G652" s="862">
        <f t="shared" si="55"/>
        <v>42883200</v>
      </c>
    </row>
    <row r="653" spans="1:8" s="903" customFormat="1" x14ac:dyDescent="0.2">
      <c r="A653" s="900"/>
      <c r="B653" s="901"/>
      <c r="C653" s="899" t="s">
        <v>3309</v>
      </c>
      <c r="D653" s="857">
        <f>22.5473652*8181.4654</f>
        <v>184470.4882449641</v>
      </c>
      <c r="E653" s="858">
        <v>1200</v>
      </c>
      <c r="F653" s="859">
        <v>1</v>
      </c>
      <c r="G653" s="857">
        <f t="shared" si="55"/>
        <v>221364585.89395693</v>
      </c>
      <c r="H653" s="902"/>
    </row>
    <row r="654" spans="1:8" x14ac:dyDescent="0.2">
      <c r="A654" s="856"/>
      <c r="B654" s="860"/>
      <c r="C654" s="861" t="s">
        <v>3213</v>
      </c>
      <c r="D654" s="862">
        <v>150000</v>
      </c>
      <c r="E654" s="863">
        <v>4</v>
      </c>
      <c r="F654" s="864">
        <v>15</v>
      </c>
      <c r="G654" s="862">
        <f t="shared" si="55"/>
        <v>9000000</v>
      </c>
    </row>
    <row r="655" spans="1:8" x14ac:dyDescent="0.2">
      <c r="A655" s="856"/>
      <c r="B655" s="860"/>
      <c r="C655" s="861"/>
      <c r="D655" s="862"/>
      <c r="E655" s="863"/>
      <c r="F655" s="864"/>
      <c r="G655" s="862"/>
    </row>
    <row r="656" spans="1:8" x14ac:dyDescent="0.2">
      <c r="A656" s="856"/>
      <c r="B656" s="865"/>
      <c r="C656" s="866" t="s">
        <v>3163</v>
      </c>
      <c r="D656" s="867"/>
      <c r="E656" s="868"/>
      <c r="F656" s="869"/>
      <c r="G656" s="870">
        <f>SUM(G650:G655)</f>
        <v>295967785.8939569</v>
      </c>
    </row>
    <row r="657" spans="1:7" x14ac:dyDescent="0.2">
      <c r="A657" s="871"/>
      <c r="B657" s="872"/>
      <c r="C657" s="873"/>
      <c r="D657" s="874"/>
      <c r="E657" s="875"/>
      <c r="F657" s="876"/>
      <c r="G657" s="874"/>
    </row>
    <row r="658" spans="1:7" x14ac:dyDescent="0.2">
      <c r="A658" s="856" t="s">
        <v>3147</v>
      </c>
      <c r="B658" s="891" t="s">
        <v>3310</v>
      </c>
      <c r="C658" s="892"/>
      <c r="D658" s="857"/>
      <c r="E658" s="858"/>
      <c r="F658" s="859"/>
      <c r="G658" s="857"/>
    </row>
    <row r="659" spans="1:7" x14ac:dyDescent="0.2">
      <c r="A659" s="856"/>
      <c r="B659" s="860" t="s">
        <v>3215</v>
      </c>
      <c r="C659" s="861" t="s">
        <v>3216</v>
      </c>
      <c r="D659" s="862">
        <v>50000</v>
      </c>
      <c r="E659" s="863">
        <v>6</v>
      </c>
      <c r="F659" s="864">
        <v>25</v>
      </c>
      <c r="G659" s="862">
        <f t="shared" ref="G659:G666" si="56">D659*E659*F659</f>
        <v>7500000</v>
      </c>
    </row>
    <row r="660" spans="1:7" x14ac:dyDescent="0.2">
      <c r="A660" s="856"/>
      <c r="B660" s="860"/>
      <c r="C660" s="861" t="s">
        <v>3217</v>
      </c>
      <c r="D660" s="862">
        <v>50000</v>
      </c>
      <c r="E660" s="863">
        <v>1</v>
      </c>
      <c r="F660" s="864">
        <v>11</v>
      </c>
      <c r="G660" s="862">
        <f t="shared" si="56"/>
        <v>550000</v>
      </c>
    </row>
    <row r="661" spans="1:7" x14ac:dyDescent="0.2">
      <c r="A661" s="856"/>
      <c r="B661" s="860" t="s">
        <v>3221</v>
      </c>
      <c r="C661" s="861" t="s">
        <v>3219</v>
      </c>
      <c r="D661" s="862">
        <v>250000</v>
      </c>
      <c r="E661" s="863">
        <v>2</v>
      </c>
      <c r="F661" s="864">
        <v>11</v>
      </c>
      <c r="G661" s="862">
        <f t="shared" si="56"/>
        <v>5500000</v>
      </c>
    </row>
    <row r="662" spans="1:7" x14ac:dyDescent="0.2">
      <c r="A662" s="856"/>
      <c r="B662" s="860"/>
      <c r="C662" s="861" t="s">
        <v>3220</v>
      </c>
      <c r="D662" s="862">
        <v>50000</v>
      </c>
      <c r="E662" s="863">
        <v>2</v>
      </c>
      <c r="F662" s="864">
        <v>1</v>
      </c>
      <c r="G662" s="862">
        <f t="shared" si="56"/>
        <v>100000</v>
      </c>
    </row>
    <row r="663" spans="1:7" x14ac:dyDescent="0.2">
      <c r="A663" s="856"/>
      <c r="B663" s="860" t="s">
        <v>3222</v>
      </c>
      <c r="C663" s="861" t="s">
        <v>3219</v>
      </c>
      <c r="D663" s="862">
        <v>250000</v>
      </c>
      <c r="E663" s="863">
        <v>2</v>
      </c>
      <c r="F663" s="864">
        <v>11</v>
      </c>
      <c r="G663" s="862">
        <f t="shared" si="56"/>
        <v>5500000</v>
      </c>
    </row>
    <row r="664" spans="1:7" x14ac:dyDescent="0.2">
      <c r="A664" s="856"/>
      <c r="B664" s="860"/>
      <c r="C664" s="861" t="s">
        <v>3220</v>
      </c>
      <c r="D664" s="862">
        <v>50000</v>
      </c>
      <c r="E664" s="863">
        <v>2</v>
      </c>
      <c r="F664" s="864">
        <v>1</v>
      </c>
      <c r="G664" s="862">
        <f t="shared" si="56"/>
        <v>100000</v>
      </c>
    </row>
    <row r="665" spans="1:7" x14ac:dyDescent="0.2">
      <c r="A665" s="856"/>
      <c r="B665" s="860" t="s">
        <v>3311</v>
      </c>
      <c r="C665" s="861" t="s">
        <v>3224</v>
      </c>
      <c r="D665" s="862">
        <v>250000</v>
      </c>
      <c r="E665" s="863">
        <v>15</v>
      </c>
      <c r="F665" s="864">
        <v>26</v>
      </c>
      <c r="G665" s="862">
        <f t="shared" si="56"/>
        <v>97500000</v>
      </c>
    </row>
    <row r="666" spans="1:7" x14ac:dyDescent="0.2">
      <c r="A666" s="856"/>
      <c r="B666" s="860"/>
      <c r="C666" s="861" t="s">
        <v>3225</v>
      </c>
      <c r="D666" s="862">
        <v>50000</v>
      </c>
      <c r="E666" s="863">
        <v>15</v>
      </c>
      <c r="F666" s="864">
        <v>1</v>
      </c>
      <c r="G666" s="862">
        <f t="shared" si="56"/>
        <v>750000</v>
      </c>
    </row>
    <row r="667" spans="1:7" x14ac:dyDescent="0.2">
      <c r="A667" s="856"/>
      <c r="B667" s="860"/>
      <c r="C667" s="877" t="s">
        <v>3174</v>
      </c>
      <c r="D667" s="877"/>
      <c r="E667" s="896">
        <f>E659+E661+E663+E665</f>
        <v>25</v>
      </c>
      <c r="F667" s="864"/>
      <c r="G667" s="862"/>
    </row>
    <row r="668" spans="1:7" x14ac:dyDescent="0.2">
      <c r="A668" s="856"/>
      <c r="B668" s="860"/>
      <c r="C668" s="861" t="s">
        <v>3226</v>
      </c>
      <c r="D668" s="862">
        <f>10*7500</f>
        <v>75000</v>
      </c>
      <c r="E668" s="863">
        <v>6</v>
      </c>
      <c r="F668" s="864">
        <v>25</v>
      </c>
      <c r="G668" s="862">
        <f t="shared" ref="G668:G673" si="57">D668*E668*F668</f>
        <v>11250000</v>
      </c>
    </row>
    <row r="669" spans="1:7" x14ac:dyDescent="0.2">
      <c r="A669" s="856"/>
      <c r="B669" s="860"/>
      <c r="C669" s="861" t="s">
        <v>3227</v>
      </c>
      <c r="D669" s="862">
        <f>10*7500</f>
        <v>75000</v>
      </c>
      <c r="E669" s="863">
        <v>1</v>
      </c>
      <c r="F669" s="864">
        <v>11</v>
      </c>
      <c r="G669" s="862">
        <f t="shared" si="57"/>
        <v>825000</v>
      </c>
    </row>
    <row r="670" spans="1:7" x14ac:dyDescent="0.2">
      <c r="A670" s="856"/>
      <c r="B670" s="860"/>
      <c r="C670" s="861" t="s">
        <v>3230</v>
      </c>
      <c r="D670" s="862">
        <f>(660000*2)+(35000*4)</f>
        <v>1460000</v>
      </c>
      <c r="E670" s="863">
        <v>5</v>
      </c>
      <c r="F670" s="864">
        <v>1</v>
      </c>
      <c r="G670" s="862">
        <f t="shared" si="57"/>
        <v>7300000</v>
      </c>
    </row>
    <row r="671" spans="1:7" x14ac:dyDescent="0.2">
      <c r="A671" s="856"/>
      <c r="B671" s="860"/>
      <c r="C671" s="861" t="s">
        <v>3231</v>
      </c>
      <c r="D671" s="862">
        <f>(670000*2)+(35000*4)</f>
        <v>1480000</v>
      </c>
      <c r="E671" s="863">
        <v>5</v>
      </c>
      <c r="F671" s="864">
        <v>1</v>
      </c>
      <c r="G671" s="862">
        <f t="shared" si="57"/>
        <v>7400000</v>
      </c>
    </row>
    <row r="672" spans="1:7" x14ac:dyDescent="0.2">
      <c r="A672" s="856"/>
      <c r="B672" s="860"/>
      <c r="C672" s="861" t="s">
        <v>3232</v>
      </c>
      <c r="D672" s="862">
        <f>(770000*2)+(35000*4)</f>
        <v>1680000</v>
      </c>
      <c r="E672" s="863">
        <v>5</v>
      </c>
      <c r="F672" s="864">
        <v>1</v>
      </c>
      <c r="G672" s="862">
        <f t="shared" si="57"/>
        <v>8400000</v>
      </c>
    </row>
    <row r="673" spans="1:7" x14ac:dyDescent="0.2">
      <c r="A673" s="856"/>
      <c r="B673" s="860"/>
      <c r="C673" s="861" t="s">
        <v>3237</v>
      </c>
      <c r="D673" s="862">
        <v>7500</v>
      </c>
      <c r="E673" s="863">
        <v>2</v>
      </c>
      <c r="F673" s="881">
        <f>387/6</f>
        <v>64.5</v>
      </c>
      <c r="G673" s="862">
        <f t="shared" si="57"/>
        <v>967500</v>
      </c>
    </row>
    <row r="674" spans="1:7" x14ac:dyDescent="0.2">
      <c r="A674" s="856"/>
      <c r="B674" s="860"/>
      <c r="C674" s="861" t="s">
        <v>3238</v>
      </c>
      <c r="D674" s="862">
        <v>7500</v>
      </c>
      <c r="E674" s="863">
        <v>15</v>
      </c>
      <c r="F674" s="881">
        <v>10</v>
      </c>
      <c r="G674" s="862">
        <f>D674*E674*F674</f>
        <v>1125000</v>
      </c>
    </row>
    <row r="675" spans="1:7" x14ac:dyDescent="0.2">
      <c r="A675" s="856"/>
      <c r="B675" s="860"/>
      <c r="C675" s="861" t="s">
        <v>3239</v>
      </c>
      <c r="D675" s="862">
        <v>7500</v>
      </c>
      <c r="E675" s="863">
        <v>1</v>
      </c>
      <c r="F675" s="881">
        <f>469/8</f>
        <v>58.625</v>
      </c>
      <c r="G675" s="862">
        <f t="shared" ref="G675:G677" si="58">D675*E675*F675</f>
        <v>439687.5</v>
      </c>
    </row>
    <row r="676" spans="1:7" x14ac:dyDescent="0.2">
      <c r="A676" s="856"/>
      <c r="B676" s="860"/>
      <c r="C676" s="861" t="s">
        <v>3240</v>
      </c>
      <c r="D676" s="862">
        <v>7500</v>
      </c>
      <c r="E676" s="863">
        <v>1</v>
      </c>
      <c r="F676" s="881">
        <f>248/8</f>
        <v>31</v>
      </c>
      <c r="G676" s="862">
        <f t="shared" si="58"/>
        <v>232500</v>
      </c>
    </row>
    <row r="677" spans="1:7" x14ac:dyDescent="0.2">
      <c r="A677" s="856"/>
      <c r="B677" s="860"/>
      <c r="C677" s="861" t="s">
        <v>3241</v>
      </c>
      <c r="D677" s="862">
        <v>7500</v>
      </c>
      <c r="E677" s="863">
        <v>1</v>
      </c>
      <c r="F677" s="881">
        <f>675/8</f>
        <v>84.375</v>
      </c>
      <c r="G677" s="862">
        <f t="shared" si="58"/>
        <v>632812.5</v>
      </c>
    </row>
    <row r="678" spans="1:7" x14ac:dyDescent="0.2">
      <c r="A678" s="856"/>
      <c r="B678" s="860"/>
      <c r="C678" s="861" t="s">
        <v>3242</v>
      </c>
      <c r="D678" s="862">
        <v>7500</v>
      </c>
      <c r="E678" s="863">
        <v>15</v>
      </c>
      <c r="F678" s="881">
        <v>10</v>
      </c>
      <c r="G678" s="862">
        <f>D678*E678*F678</f>
        <v>1125000</v>
      </c>
    </row>
    <row r="679" spans="1:7" x14ac:dyDescent="0.2">
      <c r="A679" s="856"/>
      <c r="B679" s="860"/>
      <c r="C679" s="861" t="s">
        <v>3243</v>
      </c>
      <c r="D679" s="862">
        <v>80000</v>
      </c>
      <c r="E679" s="863">
        <v>2</v>
      </c>
      <c r="F679" s="881">
        <v>25</v>
      </c>
      <c r="G679" s="862">
        <f t="shared" ref="G679" si="59">D679*E679*F679</f>
        <v>4000000</v>
      </c>
    </row>
    <row r="680" spans="1:7" x14ac:dyDescent="0.2">
      <c r="A680" s="856"/>
      <c r="B680" s="860"/>
      <c r="C680" s="861"/>
      <c r="D680" s="862"/>
      <c r="E680" s="863"/>
      <c r="F680" s="864"/>
      <c r="G680" s="862"/>
    </row>
    <row r="681" spans="1:7" x14ac:dyDescent="0.2">
      <c r="A681" s="856"/>
      <c r="B681" s="865" t="s">
        <v>3312</v>
      </c>
      <c r="C681" s="866" t="s">
        <v>3163</v>
      </c>
      <c r="D681" s="867"/>
      <c r="E681" s="868"/>
      <c r="F681" s="869"/>
      <c r="G681" s="870">
        <f>SUM(G659:G680)</f>
        <v>161197500</v>
      </c>
    </row>
    <row r="682" spans="1:7" x14ac:dyDescent="0.2">
      <c r="A682" s="871"/>
      <c r="B682" s="872"/>
      <c r="C682" s="873"/>
      <c r="D682" s="874"/>
      <c r="E682" s="875"/>
      <c r="F682" s="876"/>
      <c r="G682" s="874"/>
    </row>
    <row r="683" spans="1:7" x14ac:dyDescent="0.2">
      <c r="A683" s="856" t="s">
        <v>3147</v>
      </c>
      <c r="B683" s="891" t="s">
        <v>3313</v>
      </c>
      <c r="C683" s="892"/>
      <c r="D683" s="857"/>
      <c r="E683" s="858"/>
      <c r="F683" s="859"/>
      <c r="G683" s="857"/>
    </row>
    <row r="684" spans="1:7" x14ac:dyDescent="0.2">
      <c r="A684" s="856"/>
      <c r="B684" s="860" t="s">
        <v>3165</v>
      </c>
      <c r="C684" s="861" t="s">
        <v>3152</v>
      </c>
      <c r="D684" s="862">
        <v>50000</v>
      </c>
      <c r="E684" s="863">
        <v>11</v>
      </c>
      <c r="F684" s="864">
        <v>25</v>
      </c>
      <c r="G684" s="862">
        <f t="shared" ref="G684:G696" si="60">D684*E684*F684</f>
        <v>13750000</v>
      </c>
    </row>
    <row r="685" spans="1:7" x14ac:dyDescent="0.2">
      <c r="A685" s="856"/>
      <c r="B685" s="860"/>
      <c r="C685" s="861" t="s">
        <v>3159</v>
      </c>
      <c r="D685" s="862">
        <v>20000</v>
      </c>
      <c r="E685" s="863">
        <v>285</v>
      </c>
      <c r="F685" s="864">
        <v>1</v>
      </c>
      <c r="G685" s="862">
        <f t="shared" si="60"/>
        <v>5700000</v>
      </c>
    </row>
    <row r="686" spans="1:7" x14ac:dyDescent="0.2">
      <c r="A686" s="856"/>
      <c r="B686" s="860"/>
      <c r="C686" s="861" t="s">
        <v>3314</v>
      </c>
      <c r="D686" s="862">
        <v>50000</v>
      </c>
      <c r="E686" s="863">
        <v>285</v>
      </c>
      <c r="F686" s="864">
        <v>1</v>
      </c>
      <c r="G686" s="862">
        <f t="shared" si="60"/>
        <v>14250000</v>
      </c>
    </row>
    <row r="687" spans="1:7" x14ac:dyDescent="0.2">
      <c r="A687" s="856"/>
      <c r="B687" s="860"/>
      <c r="C687" s="861" t="s">
        <v>3315</v>
      </c>
      <c r="D687" s="862">
        <v>20000</v>
      </c>
      <c r="E687" s="863">
        <v>280</v>
      </c>
      <c r="F687" s="864">
        <v>1</v>
      </c>
      <c r="G687" s="862">
        <f t="shared" si="60"/>
        <v>5600000</v>
      </c>
    </row>
    <row r="688" spans="1:7" x14ac:dyDescent="0.2">
      <c r="A688" s="856"/>
      <c r="B688" s="860"/>
      <c r="C688" s="861" t="s">
        <v>3248</v>
      </c>
      <c r="D688" s="862">
        <v>7500</v>
      </c>
      <c r="E688" s="863">
        <v>10</v>
      </c>
      <c r="F688" s="864">
        <v>25</v>
      </c>
      <c r="G688" s="862">
        <f t="shared" si="60"/>
        <v>1875000</v>
      </c>
    </row>
    <row r="689" spans="1:7" x14ac:dyDescent="0.2">
      <c r="A689" s="856"/>
      <c r="B689" s="860"/>
      <c r="C689" s="861" t="s">
        <v>3189</v>
      </c>
      <c r="D689" s="862">
        <v>500000</v>
      </c>
      <c r="E689" s="863">
        <v>1</v>
      </c>
      <c r="F689" s="864">
        <v>25</v>
      </c>
      <c r="G689" s="862">
        <f t="shared" si="60"/>
        <v>12500000</v>
      </c>
    </row>
    <row r="690" spans="1:7" x14ac:dyDescent="0.2">
      <c r="A690" s="856"/>
      <c r="B690" s="860" t="s">
        <v>3169</v>
      </c>
      <c r="C690" s="861" t="s">
        <v>3152</v>
      </c>
      <c r="D690" s="862">
        <v>50000</v>
      </c>
      <c r="E690" s="863">
        <v>11</v>
      </c>
      <c r="F690" s="864">
        <v>25</v>
      </c>
      <c r="G690" s="862">
        <f t="shared" si="60"/>
        <v>13750000</v>
      </c>
    </row>
    <row r="691" spans="1:7" x14ac:dyDescent="0.2">
      <c r="A691" s="856"/>
      <c r="B691" s="860"/>
      <c r="C691" s="861" t="s">
        <v>3159</v>
      </c>
      <c r="D691" s="862">
        <v>20000</v>
      </c>
      <c r="E691" s="863">
        <v>285</v>
      </c>
      <c r="F691" s="864">
        <v>1</v>
      </c>
      <c r="G691" s="862">
        <f t="shared" si="60"/>
        <v>5700000</v>
      </c>
    </row>
    <row r="692" spans="1:7" x14ac:dyDescent="0.2">
      <c r="A692" s="856"/>
      <c r="B692" s="860"/>
      <c r="C692" s="861" t="s">
        <v>3314</v>
      </c>
      <c r="D692" s="862">
        <v>50000</v>
      </c>
      <c r="E692" s="863">
        <v>285</v>
      </c>
      <c r="F692" s="864">
        <v>1</v>
      </c>
      <c r="G692" s="862">
        <f t="shared" si="60"/>
        <v>14250000</v>
      </c>
    </row>
    <row r="693" spans="1:7" x14ac:dyDescent="0.2">
      <c r="A693" s="856"/>
      <c r="B693" s="860"/>
      <c r="C693" s="861" t="s">
        <v>3315</v>
      </c>
      <c r="D693" s="862">
        <v>20000</v>
      </c>
      <c r="E693" s="863">
        <v>280</v>
      </c>
      <c r="F693" s="864">
        <v>1</v>
      </c>
      <c r="G693" s="862">
        <f t="shared" si="60"/>
        <v>5600000</v>
      </c>
    </row>
    <row r="694" spans="1:7" x14ac:dyDescent="0.2">
      <c r="A694" s="856"/>
      <c r="B694" s="860"/>
      <c r="C694" s="861" t="s">
        <v>3248</v>
      </c>
      <c r="D694" s="862">
        <v>7500</v>
      </c>
      <c r="E694" s="863">
        <v>10</v>
      </c>
      <c r="F694" s="864">
        <v>25</v>
      </c>
      <c r="G694" s="862">
        <f t="shared" si="60"/>
        <v>1875000</v>
      </c>
    </row>
    <row r="695" spans="1:7" x14ac:dyDescent="0.2">
      <c r="A695" s="856"/>
      <c r="B695" s="860"/>
      <c r="C695" s="861" t="s">
        <v>3187</v>
      </c>
      <c r="D695" s="862">
        <v>800000</v>
      </c>
      <c r="E695" s="863">
        <v>1</v>
      </c>
      <c r="F695" s="864">
        <v>25</v>
      </c>
      <c r="G695" s="862">
        <f t="shared" si="60"/>
        <v>20000000</v>
      </c>
    </row>
    <row r="696" spans="1:7" x14ac:dyDescent="0.2">
      <c r="A696" s="856"/>
      <c r="B696" s="860" t="s">
        <v>3170</v>
      </c>
      <c r="C696" s="861" t="s">
        <v>3152</v>
      </c>
      <c r="D696" s="862">
        <v>50000</v>
      </c>
      <c r="E696" s="863">
        <v>11</v>
      </c>
      <c r="F696" s="864">
        <v>25</v>
      </c>
      <c r="G696" s="862">
        <f t="shared" si="60"/>
        <v>13750000</v>
      </c>
    </row>
    <row r="697" spans="1:7" x14ac:dyDescent="0.2">
      <c r="A697" s="856"/>
      <c r="B697" s="860"/>
      <c r="C697" s="861" t="s">
        <v>3159</v>
      </c>
      <c r="D697" s="862">
        <v>20000</v>
      </c>
      <c r="E697" s="863">
        <v>285</v>
      </c>
      <c r="F697" s="864">
        <v>1</v>
      </c>
      <c r="G697" s="862">
        <f>D697*E697*F697</f>
        <v>5700000</v>
      </c>
    </row>
    <row r="698" spans="1:7" x14ac:dyDescent="0.2">
      <c r="A698" s="856"/>
      <c r="B698" s="860"/>
      <c r="C698" s="861" t="s">
        <v>3314</v>
      </c>
      <c r="D698" s="862">
        <v>50000</v>
      </c>
      <c r="E698" s="863">
        <v>285</v>
      </c>
      <c r="F698" s="864">
        <v>1</v>
      </c>
      <c r="G698" s="862">
        <f t="shared" ref="G698:G699" si="61">D698*E698*F698</f>
        <v>14250000</v>
      </c>
    </row>
    <row r="699" spans="1:7" x14ac:dyDescent="0.2">
      <c r="A699" s="856"/>
      <c r="B699" s="860"/>
      <c r="C699" s="861" t="s">
        <v>3315</v>
      </c>
      <c r="D699" s="862">
        <v>20000</v>
      </c>
      <c r="E699" s="863">
        <v>280</v>
      </c>
      <c r="F699" s="864">
        <v>1</v>
      </c>
      <c r="G699" s="862">
        <f t="shared" si="61"/>
        <v>5600000</v>
      </c>
    </row>
    <row r="700" spans="1:7" x14ac:dyDescent="0.2">
      <c r="A700" s="856"/>
      <c r="B700" s="860"/>
      <c r="C700" s="861" t="s">
        <v>3248</v>
      </c>
      <c r="D700" s="862">
        <v>7500</v>
      </c>
      <c r="E700" s="863">
        <v>10</v>
      </c>
      <c r="F700" s="864">
        <v>25</v>
      </c>
      <c r="G700" s="862">
        <f>D700*E700*F700</f>
        <v>1875000</v>
      </c>
    </row>
    <row r="701" spans="1:7" x14ac:dyDescent="0.2">
      <c r="A701" s="856"/>
      <c r="B701" s="860"/>
      <c r="C701" s="861" t="s">
        <v>3188</v>
      </c>
      <c r="D701" s="862">
        <v>850000</v>
      </c>
      <c r="E701" s="863">
        <v>1</v>
      </c>
      <c r="F701" s="864">
        <v>25</v>
      </c>
      <c r="G701" s="862">
        <f t="shared" ref="G701:G707" si="62">D701*E701*F701</f>
        <v>21250000</v>
      </c>
    </row>
    <row r="702" spans="1:7" x14ac:dyDescent="0.2">
      <c r="A702" s="856"/>
      <c r="B702" s="860" t="s">
        <v>3171</v>
      </c>
      <c r="C702" s="861" t="s">
        <v>3152</v>
      </c>
      <c r="D702" s="862">
        <v>50000</v>
      </c>
      <c r="E702" s="863">
        <v>11</v>
      </c>
      <c r="F702" s="864">
        <v>25</v>
      </c>
      <c r="G702" s="862">
        <f t="shared" si="62"/>
        <v>13750000</v>
      </c>
    </row>
    <row r="703" spans="1:7" x14ac:dyDescent="0.2">
      <c r="A703" s="856"/>
      <c r="B703" s="860"/>
      <c r="C703" s="861" t="s">
        <v>3159</v>
      </c>
      <c r="D703" s="862">
        <v>20000</v>
      </c>
      <c r="E703" s="863">
        <v>285</v>
      </c>
      <c r="F703" s="864">
        <v>1</v>
      </c>
      <c r="G703" s="862">
        <f t="shared" si="62"/>
        <v>5700000</v>
      </c>
    </row>
    <row r="704" spans="1:7" x14ac:dyDescent="0.2">
      <c r="A704" s="856"/>
      <c r="B704" s="860"/>
      <c r="C704" s="861" t="s">
        <v>3314</v>
      </c>
      <c r="D704" s="862">
        <v>50000</v>
      </c>
      <c r="E704" s="863">
        <v>285</v>
      </c>
      <c r="F704" s="864">
        <v>1</v>
      </c>
      <c r="G704" s="862">
        <f t="shared" si="62"/>
        <v>14250000</v>
      </c>
    </row>
    <row r="705" spans="1:7" x14ac:dyDescent="0.2">
      <c r="A705" s="856"/>
      <c r="B705" s="860"/>
      <c r="C705" s="861" t="s">
        <v>3315</v>
      </c>
      <c r="D705" s="862">
        <v>20000</v>
      </c>
      <c r="E705" s="863">
        <v>280</v>
      </c>
      <c r="F705" s="864">
        <v>1</v>
      </c>
      <c r="G705" s="862">
        <f t="shared" si="62"/>
        <v>5600000</v>
      </c>
    </row>
    <row r="706" spans="1:7" x14ac:dyDescent="0.2">
      <c r="A706" s="856"/>
      <c r="B706" s="860"/>
      <c r="C706" s="861" t="s">
        <v>3248</v>
      </c>
      <c r="D706" s="862">
        <v>7500</v>
      </c>
      <c r="E706" s="863">
        <v>10</v>
      </c>
      <c r="F706" s="864">
        <v>25</v>
      </c>
      <c r="G706" s="862">
        <f t="shared" si="62"/>
        <v>1875000</v>
      </c>
    </row>
    <row r="707" spans="1:7" x14ac:dyDescent="0.2">
      <c r="A707" s="856"/>
      <c r="B707" s="860"/>
      <c r="C707" s="861" t="s">
        <v>3190</v>
      </c>
      <c r="D707" s="862">
        <v>800000</v>
      </c>
      <c r="E707" s="863">
        <v>1</v>
      </c>
      <c r="F707" s="864">
        <v>25</v>
      </c>
      <c r="G707" s="862">
        <f t="shared" si="62"/>
        <v>20000000</v>
      </c>
    </row>
    <row r="708" spans="1:7" x14ac:dyDescent="0.2">
      <c r="A708" s="856"/>
      <c r="B708" s="860"/>
      <c r="C708" s="877" t="s">
        <v>3174</v>
      </c>
      <c r="D708" s="877"/>
      <c r="E708" s="879">
        <f>E685+E691+E697+E703</f>
        <v>1140</v>
      </c>
      <c r="F708" s="864"/>
      <c r="G708" s="862"/>
    </row>
    <row r="709" spans="1:7" x14ac:dyDescent="0.2">
      <c r="A709" s="856"/>
      <c r="B709" s="860"/>
      <c r="C709" s="861"/>
      <c r="D709" s="862"/>
      <c r="E709" s="863"/>
      <c r="F709" s="864"/>
      <c r="G709" s="862"/>
    </row>
    <row r="710" spans="1:7" x14ac:dyDescent="0.2">
      <c r="A710" s="856"/>
      <c r="B710" s="865" t="s">
        <v>3316</v>
      </c>
      <c r="C710" s="866" t="s">
        <v>3163</v>
      </c>
      <c r="D710" s="867"/>
      <c r="E710" s="868"/>
      <c r="F710" s="869"/>
      <c r="G710" s="870">
        <f>SUM(G684:G709)</f>
        <v>238450000</v>
      </c>
    </row>
    <row r="711" spans="1:7" x14ac:dyDescent="0.2">
      <c r="A711" s="871"/>
      <c r="B711" s="872"/>
      <c r="C711" s="873"/>
      <c r="D711" s="874"/>
      <c r="E711" s="875"/>
      <c r="F711" s="876"/>
      <c r="G711" s="874"/>
    </row>
    <row r="712" spans="1:7" x14ac:dyDescent="0.2">
      <c r="A712" s="856" t="s">
        <v>3147</v>
      </c>
      <c r="B712" s="891" t="s">
        <v>3317</v>
      </c>
      <c r="C712" s="892"/>
      <c r="D712" s="857"/>
      <c r="E712" s="858"/>
      <c r="F712" s="859"/>
      <c r="G712" s="857"/>
    </row>
    <row r="713" spans="1:7" x14ac:dyDescent="0.2">
      <c r="A713" s="856"/>
      <c r="B713" s="860"/>
      <c r="C713" s="861" t="s">
        <v>3252</v>
      </c>
      <c r="D713" s="862">
        <v>30000</v>
      </c>
      <c r="E713" s="863">
        <v>70</v>
      </c>
      <c r="F713" s="864">
        <v>1</v>
      </c>
      <c r="G713" s="862">
        <f t="shared" ref="G713:G715" si="63">D713*E713*F713</f>
        <v>2100000</v>
      </c>
    </row>
    <row r="714" spans="1:7" x14ac:dyDescent="0.2">
      <c r="A714" s="856"/>
      <c r="B714" s="860"/>
      <c r="C714" s="861" t="s">
        <v>3253</v>
      </c>
      <c r="D714" s="862">
        <v>121305</v>
      </c>
      <c r="E714" s="863">
        <v>70</v>
      </c>
      <c r="F714" s="864">
        <v>1</v>
      </c>
      <c r="G714" s="862">
        <f t="shared" si="63"/>
        <v>8491350</v>
      </c>
    </row>
    <row r="715" spans="1:7" x14ac:dyDescent="0.2">
      <c r="A715" s="856"/>
      <c r="B715" s="860"/>
      <c r="C715" s="861" t="s">
        <v>3254</v>
      </c>
      <c r="D715" s="862">
        <v>80870</v>
      </c>
      <c r="E715" s="863">
        <v>300</v>
      </c>
      <c r="F715" s="864">
        <v>1</v>
      </c>
      <c r="G715" s="862">
        <f t="shared" si="63"/>
        <v>24261000</v>
      </c>
    </row>
    <row r="716" spans="1:7" x14ac:dyDescent="0.2">
      <c r="A716" s="856"/>
      <c r="B716" s="860"/>
      <c r="C716" s="861"/>
      <c r="D716" s="862"/>
      <c r="E716" s="863"/>
      <c r="F716" s="864"/>
      <c r="G716" s="862"/>
    </row>
    <row r="717" spans="1:7" x14ac:dyDescent="0.2">
      <c r="A717" s="856"/>
      <c r="B717" s="865"/>
      <c r="C717" s="866" t="s">
        <v>3163</v>
      </c>
      <c r="D717" s="867"/>
      <c r="E717" s="868"/>
      <c r="F717" s="869"/>
      <c r="G717" s="870">
        <f>SUM(G713:G716)</f>
        <v>34852350</v>
      </c>
    </row>
    <row r="718" spans="1:7" x14ac:dyDescent="0.2">
      <c r="A718" s="871"/>
      <c r="B718" s="872"/>
      <c r="C718" s="873"/>
      <c r="D718" s="874"/>
      <c r="E718" s="875"/>
      <c r="F718" s="876"/>
      <c r="G718" s="874"/>
    </row>
    <row r="719" spans="1:7" x14ac:dyDescent="0.2">
      <c r="A719" s="856" t="s">
        <v>3147</v>
      </c>
      <c r="B719" s="891" t="s">
        <v>3318</v>
      </c>
      <c r="C719" s="892"/>
      <c r="D719" s="857"/>
      <c r="E719" s="858"/>
      <c r="F719" s="859"/>
      <c r="G719" s="857"/>
    </row>
    <row r="720" spans="1:7" x14ac:dyDescent="0.2">
      <c r="A720" s="856"/>
      <c r="B720" s="860"/>
      <c r="C720" s="861" t="s">
        <v>3256</v>
      </c>
      <c r="D720" s="862"/>
      <c r="E720" s="863">
        <v>20</v>
      </c>
      <c r="F720" s="864"/>
      <c r="G720" s="862">
        <f t="shared" ref="G720:G724" si="64">D720*E720*F720</f>
        <v>0</v>
      </c>
    </row>
    <row r="721" spans="1:7" x14ac:dyDescent="0.2">
      <c r="A721" s="856"/>
      <c r="B721" s="860"/>
      <c r="C721" s="861" t="s">
        <v>3257</v>
      </c>
      <c r="D721" s="862"/>
      <c r="E721" s="863">
        <v>20</v>
      </c>
      <c r="F721" s="864"/>
      <c r="G721" s="862">
        <f t="shared" si="64"/>
        <v>0</v>
      </c>
    </row>
    <row r="722" spans="1:7" x14ac:dyDescent="0.2">
      <c r="A722" s="856"/>
      <c r="B722" s="860"/>
      <c r="C722" s="877" t="s">
        <v>3174</v>
      </c>
      <c r="D722" s="877"/>
      <c r="E722" s="858">
        <f>SUM(E720:E721)</f>
        <v>40</v>
      </c>
      <c r="F722" s="864"/>
      <c r="G722" s="862">
        <f t="shared" si="64"/>
        <v>0</v>
      </c>
    </row>
    <row r="723" spans="1:7" x14ac:dyDescent="0.2">
      <c r="A723" s="856"/>
      <c r="B723" s="860"/>
      <c r="C723" s="861" t="s">
        <v>3159</v>
      </c>
      <c r="D723" s="862">
        <v>20000</v>
      </c>
      <c r="E723" s="863">
        <v>40</v>
      </c>
      <c r="F723" s="864">
        <v>1</v>
      </c>
      <c r="G723" s="862">
        <f t="shared" si="64"/>
        <v>800000</v>
      </c>
    </row>
    <row r="724" spans="1:7" x14ac:dyDescent="0.2">
      <c r="A724" s="856"/>
      <c r="B724" s="860"/>
      <c r="C724" s="861" t="s">
        <v>3160</v>
      </c>
      <c r="D724" s="862">
        <v>20000</v>
      </c>
      <c r="E724" s="863">
        <v>40</v>
      </c>
      <c r="F724" s="864">
        <v>1</v>
      </c>
      <c r="G724" s="862">
        <f t="shared" si="64"/>
        <v>800000</v>
      </c>
    </row>
    <row r="725" spans="1:7" x14ac:dyDescent="0.2">
      <c r="A725" s="856"/>
      <c r="B725" s="860"/>
      <c r="C725" s="861"/>
      <c r="D725" s="862"/>
      <c r="E725" s="863"/>
      <c r="F725" s="864"/>
      <c r="G725" s="862"/>
    </row>
    <row r="726" spans="1:7" x14ac:dyDescent="0.2">
      <c r="A726" s="856"/>
      <c r="B726" s="865" t="s">
        <v>3258</v>
      </c>
      <c r="C726" s="866" t="s">
        <v>3163</v>
      </c>
      <c r="D726" s="867"/>
      <c r="E726" s="868"/>
      <c r="F726" s="869"/>
      <c r="G726" s="870">
        <f>SUM(G720:G725)</f>
        <v>1600000</v>
      </c>
    </row>
    <row r="727" spans="1:7" x14ac:dyDescent="0.2">
      <c r="A727" s="871"/>
      <c r="B727" s="872"/>
      <c r="C727" s="873"/>
      <c r="D727" s="874"/>
      <c r="E727" s="875"/>
      <c r="F727" s="876"/>
      <c r="G727" s="874"/>
    </row>
    <row r="728" spans="1:7" x14ac:dyDescent="0.2">
      <c r="A728" s="856" t="s">
        <v>3147</v>
      </c>
      <c r="B728" s="891" t="s">
        <v>3319</v>
      </c>
      <c r="C728" s="892"/>
      <c r="D728" s="857"/>
      <c r="E728" s="858"/>
      <c r="F728" s="859"/>
      <c r="G728" s="857"/>
    </row>
    <row r="729" spans="1:7" x14ac:dyDescent="0.2">
      <c r="A729" s="856"/>
      <c r="B729" s="860"/>
      <c r="C729" s="861" t="s">
        <v>3260</v>
      </c>
      <c r="D729" s="862">
        <v>250000</v>
      </c>
      <c r="E729" s="878">
        <v>15</v>
      </c>
      <c r="F729" s="864">
        <v>2</v>
      </c>
      <c r="G729" s="862">
        <f t="shared" ref="G729:G731" si="65">D729*E729*F729</f>
        <v>7500000</v>
      </c>
    </row>
    <row r="730" spans="1:7" x14ac:dyDescent="0.2">
      <c r="A730" s="856"/>
      <c r="B730" s="860"/>
      <c r="C730" s="861" t="s">
        <v>3262</v>
      </c>
      <c r="D730" s="862">
        <v>50000</v>
      </c>
      <c r="E730" s="863">
        <v>15</v>
      </c>
      <c r="F730" s="864">
        <v>1</v>
      </c>
      <c r="G730" s="862">
        <f t="shared" si="65"/>
        <v>750000</v>
      </c>
    </row>
    <row r="731" spans="1:7" x14ac:dyDescent="0.2">
      <c r="A731" s="856"/>
      <c r="B731" s="860"/>
      <c r="C731" s="861" t="s">
        <v>3263</v>
      </c>
      <c r="D731" s="862"/>
      <c r="E731" s="878">
        <v>50</v>
      </c>
      <c r="F731" s="864"/>
      <c r="G731" s="862">
        <f t="shared" si="65"/>
        <v>0</v>
      </c>
    </row>
    <row r="732" spans="1:7" x14ac:dyDescent="0.2">
      <c r="A732" s="856"/>
      <c r="B732" s="860"/>
      <c r="C732" s="877" t="s">
        <v>3174</v>
      </c>
      <c r="D732" s="877"/>
      <c r="E732" s="879">
        <f>(E729+E731)-3</f>
        <v>62</v>
      </c>
      <c r="F732" s="864"/>
      <c r="G732" s="862"/>
    </row>
    <row r="733" spans="1:7" x14ac:dyDescent="0.2">
      <c r="A733" s="856"/>
      <c r="B733" s="860"/>
      <c r="C733" s="861" t="s">
        <v>3265</v>
      </c>
      <c r="D733" s="862">
        <v>7500</v>
      </c>
      <c r="E733" s="863">
        <v>2</v>
      </c>
      <c r="F733" s="881">
        <f>387/6</f>
        <v>64.5</v>
      </c>
      <c r="G733" s="862">
        <f t="shared" ref="G733:G739" si="66">D733*E733*F733</f>
        <v>967500</v>
      </c>
    </row>
    <row r="734" spans="1:7" x14ac:dyDescent="0.2">
      <c r="A734" s="856"/>
      <c r="B734" s="860"/>
      <c r="C734" s="861" t="s">
        <v>3239</v>
      </c>
      <c r="D734" s="862">
        <v>7500</v>
      </c>
      <c r="E734" s="863">
        <v>2</v>
      </c>
      <c r="F734" s="881">
        <f>469/8</f>
        <v>58.625</v>
      </c>
      <c r="G734" s="862">
        <f t="shared" si="66"/>
        <v>879375</v>
      </c>
    </row>
    <row r="735" spans="1:7" x14ac:dyDescent="0.2">
      <c r="A735" s="856"/>
      <c r="B735" s="860"/>
      <c r="C735" s="861" t="s">
        <v>3266</v>
      </c>
      <c r="D735" s="862">
        <v>7500</v>
      </c>
      <c r="E735" s="863">
        <v>2</v>
      </c>
      <c r="F735" s="881">
        <f>675/8</f>
        <v>84.375</v>
      </c>
      <c r="G735" s="862">
        <f t="shared" si="66"/>
        <v>1265625</v>
      </c>
    </row>
    <row r="736" spans="1:7" x14ac:dyDescent="0.2">
      <c r="A736" s="856"/>
      <c r="B736" s="860"/>
      <c r="C736" s="861" t="s">
        <v>3158</v>
      </c>
      <c r="D736" s="862">
        <v>1500000</v>
      </c>
      <c r="E736" s="863">
        <v>1</v>
      </c>
      <c r="F736" s="864">
        <v>1</v>
      </c>
      <c r="G736" s="862">
        <f t="shared" si="66"/>
        <v>1500000</v>
      </c>
    </row>
    <row r="737" spans="1:7" x14ac:dyDescent="0.2">
      <c r="A737" s="856"/>
      <c r="B737" s="860"/>
      <c r="C737" s="861" t="s">
        <v>3159</v>
      </c>
      <c r="D737" s="862">
        <v>40000</v>
      </c>
      <c r="E737" s="863">
        <f>E732</f>
        <v>62</v>
      </c>
      <c r="F737" s="864">
        <v>1</v>
      </c>
      <c r="G737" s="862">
        <f t="shared" si="66"/>
        <v>2480000</v>
      </c>
    </row>
    <row r="738" spans="1:7" x14ac:dyDescent="0.2">
      <c r="A738" s="856"/>
      <c r="B738" s="860"/>
      <c r="C738" s="861" t="s">
        <v>3160</v>
      </c>
      <c r="D738" s="862">
        <v>20000</v>
      </c>
      <c r="E738" s="863">
        <f>E737</f>
        <v>62</v>
      </c>
      <c r="F738" s="864">
        <v>1</v>
      </c>
      <c r="G738" s="862">
        <f t="shared" si="66"/>
        <v>1240000</v>
      </c>
    </row>
    <row r="739" spans="1:7" x14ac:dyDescent="0.2">
      <c r="A739" s="856"/>
      <c r="B739" s="860"/>
      <c r="C739" s="861" t="s">
        <v>3161</v>
      </c>
      <c r="D739" s="862">
        <v>800000</v>
      </c>
      <c r="E739" s="863">
        <v>1</v>
      </c>
      <c r="F739" s="864">
        <v>1</v>
      </c>
      <c r="G739" s="862">
        <f t="shared" si="66"/>
        <v>800000</v>
      </c>
    </row>
    <row r="740" spans="1:7" x14ac:dyDescent="0.2">
      <c r="A740" s="856"/>
      <c r="B740" s="860"/>
      <c r="C740" s="861"/>
      <c r="D740" s="862"/>
      <c r="E740" s="863"/>
      <c r="F740" s="864"/>
      <c r="G740" s="862"/>
    </row>
    <row r="741" spans="1:7" x14ac:dyDescent="0.2">
      <c r="A741" s="856"/>
      <c r="B741" s="865" t="s">
        <v>3267</v>
      </c>
      <c r="C741" s="866" t="s">
        <v>3163</v>
      </c>
      <c r="D741" s="867"/>
      <c r="E741" s="868"/>
      <c r="F741" s="869"/>
      <c r="G741" s="870">
        <f>SUM(G729:G740)</f>
        <v>17382500</v>
      </c>
    </row>
    <row r="742" spans="1:7" x14ac:dyDescent="0.2">
      <c r="A742" s="871"/>
      <c r="B742" s="872"/>
      <c r="C742" s="873"/>
      <c r="D742" s="874"/>
      <c r="E742" s="875"/>
      <c r="F742" s="876"/>
      <c r="G742" s="874"/>
    </row>
    <row r="743" spans="1:7" x14ac:dyDescent="0.2">
      <c r="A743" s="856" t="s">
        <v>3147</v>
      </c>
      <c r="B743" s="897" t="s">
        <v>3320</v>
      </c>
      <c r="C743" s="898"/>
      <c r="D743" s="857"/>
      <c r="E743" s="858"/>
      <c r="F743" s="859"/>
      <c r="G743" s="857"/>
    </row>
    <row r="744" spans="1:7" x14ac:dyDescent="0.2">
      <c r="A744" s="856"/>
      <c r="B744" s="860"/>
      <c r="C744" s="861" t="s">
        <v>3321</v>
      </c>
      <c r="D744" s="864">
        <f>500*8181.4654</f>
        <v>4090732.7</v>
      </c>
      <c r="E744" s="863">
        <v>1</v>
      </c>
      <c r="F744" s="864">
        <v>20</v>
      </c>
      <c r="G744" s="864">
        <f t="shared" ref="G744:G746" si="67">D744*E744*F744</f>
        <v>81814654</v>
      </c>
    </row>
    <row r="745" spans="1:7" x14ac:dyDescent="0.2">
      <c r="A745" s="856"/>
      <c r="B745" s="860"/>
      <c r="C745" s="899" t="s">
        <v>3322</v>
      </c>
      <c r="D745" s="859">
        <f>1700*8181.4654</f>
        <v>13908491.18</v>
      </c>
      <c r="E745" s="858">
        <v>1</v>
      </c>
      <c r="F745" s="859">
        <v>1</v>
      </c>
      <c r="G745" s="864">
        <f t="shared" si="67"/>
        <v>13908491.18</v>
      </c>
    </row>
    <row r="746" spans="1:7" x14ac:dyDescent="0.2">
      <c r="A746" s="856"/>
      <c r="B746" s="860"/>
      <c r="C746" s="899" t="s">
        <v>3323</v>
      </c>
      <c r="D746" s="859">
        <f>175*8181.4654</f>
        <v>1431756.4450000001</v>
      </c>
      <c r="E746" s="858">
        <v>1</v>
      </c>
      <c r="F746" s="859">
        <v>22</v>
      </c>
      <c r="G746" s="864">
        <f t="shared" si="67"/>
        <v>31498641.790000003</v>
      </c>
    </row>
    <row r="747" spans="1:7" x14ac:dyDescent="0.2">
      <c r="A747" s="856"/>
      <c r="B747" s="860"/>
      <c r="C747" s="861"/>
      <c r="D747" s="862"/>
      <c r="E747" s="863"/>
      <c r="F747" s="864"/>
      <c r="G747" s="864"/>
    </row>
    <row r="748" spans="1:7" x14ac:dyDescent="0.2">
      <c r="A748" s="856"/>
      <c r="B748" s="865"/>
      <c r="C748" s="866" t="s">
        <v>3163</v>
      </c>
      <c r="D748" s="867"/>
      <c r="E748" s="868"/>
      <c r="F748" s="869"/>
      <c r="G748" s="888">
        <f>SUM(G744:G747)</f>
        <v>127221786.97000001</v>
      </c>
    </row>
    <row r="749" spans="1:7" x14ac:dyDescent="0.2">
      <c r="A749" s="856"/>
      <c r="B749" s="860"/>
      <c r="C749" s="866"/>
      <c r="D749" s="867"/>
      <c r="E749" s="868"/>
      <c r="F749" s="869"/>
      <c r="G749" s="869"/>
    </row>
    <row r="750" spans="1:7" x14ac:dyDescent="0.2">
      <c r="A750" s="884"/>
      <c r="B750" s="885"/>
      <c r="C750" s="886" t="s">
        <v>3324</v>
      </c>
      <c r="D750" s="870"/>
      <c r="E750" s="887"/>
      <c r="F750" s="888"/>
      <c r="G750" s="889">
        <f>G647+G656+G681+G710+G717+G726+G741+G748</f>
        <v>1007369422.8639569</v>
      </c>
    </row>
    <row r="751" spans="1:7" x14ac:dyDescent="0.2">
      <c r="A751" s="856"/>
      <c r="B751" s="860"/>
      <c r="C751" s="866" t="s">
        <v>3302</v>
      </c>
      <c r="D751" s="867"/>
      <c r="E751" s="868"/>
      <c r="F751" s="869"/>
      <c r="G751" s="869">
        <f>G750/(1200*25)</f>
        <v>33578.980762131898</v>
      </c>
    </row>
  </sheetData>
  <mergeCells count="16">
    <mergeCell ref="B252:G252"/>
    <mergeCell ref="B6:B20"/>
    <mergeCell ref="B22:B30"/>
    <mergeCell ref="B225:G225"/>
    <mergeCell ref="B229:G229"/>
    <mergeCell ref="B240:G240"/>
    <mergeCell ref="B341:G341"/>
    <mergeCell ref="B355:C355"/>
    <mergeCell ref="D355:G355"/>
    <mergeCell ref="B361:G361"/>
    <mergeCell ref="B253:G253"/>
    <mergeCell ref="B269:G269"/>
    <mergeCell ref="B274:G274"/>
    <mergeCell ref="B324:G324"/>
    <mergeCell ref="B328:G328"/>
    <mergeCell ref="B340:G340"/>
  </mergeCells>
  <dataValidations count="1">
    <dataValidation type="decimal" operator="greaterThan" allowBlank="1" showInputMessage="1" showErrorMessage="1" sqref="D318:E318 D336:E336 D351:E351 D358:E358">
      <formula1>-1</formula1>
    </dataValidation>
  </dataValidations>
  <pageMargins left="0.7" right="0.7" top="0.75" bottom="0.75" header="0.3" footer="0.3"/>
  <pageSetup orientation="portrait" verticalDpi="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92D050"/>
  </sheetPr>
  <dimension ref="A1:I114"/>
  <sheetViews>
    <sheetView topLeftCell="B97" workbookViewId="0">
      <selection activeCell="G106" sqref="G106"/>
    </sheetView>
  </sheetViews>
  <sheetFormatPr defaultColWidth="9" defaultRowHeight="12.75" x14ac:dyDescent="0.2"/>
  <cols>
    <col min="1" max="1" width="7.875" style="2" customWidth="1"/>
    <col min="2" max="2" width="31.875" style="2" customWidth="1"/>
    <col min="3" max="3" width="30.875" style="2" customWidth="1"/>
    <col min="4" max="4" width="13.75" style="2" customWidth="1"/>
    <col min="5" max="5" width="10.25" style="2" customWidth="1"/>
    <col min="6" max="6" width="15.375" style="2" customWidth="1"/>
    <col min="7" max="7" width="12.25" style="2" customWidth="1"/>
    <col min="8" max="16384" width="9" style="2"/>
  </cols>
  <sheetData>
    <row r="1" spans="1:9" ht="13.5" thickBot="1" x14ac:dyDescent="0.25">
      <c r="A1" s="479"/>
      <c r="B1" s="480"/>
      <c r="C1" s="480"/>
      <c r="D1" s="480"/>
      <c r="E1" s="480"/>
      <c r="F1" s="480"/>
      <c r="G1" s="481"/>
      <c r="I1" s="565"/>
    </row>
    <row r="2" spans="1:9" ht="39" thickBot="1" x14ac:dyDescent="0.25">
      <c r="A2" s="596" t="s">
        <v>13</v>
      </c>
      <c r="B2" s="597" t="s">
        <v>16</v>
      </c>
      <c r="C2" s="597" t="s">
        <v>1</v>
      </c>
      <c r="D2" s="597" t="s">
        <v>3034</v>
      </c>
      <c r="E2" s="597" t="s">
        <v>3035</v>
      </c>
      <c r="F2" s="597" t="s">
        <v>3138</v>
      </c>
      <c r="G2" s="598" t="s">
        <v>3036</v>
      </c>
    </row>
    <row r="3" spans="1:9" ht="13.5" thickBot="1" x14ac:dyDescent="0.25">
      <c r="A3" s="479"/>
      <c r="B3" s="480"/>
      <c r="C3" s="480"/>
      <c r="D3" s="480"/>
      <c r="E3" s="480"/>
      <c r="F3" s="480"/>
      <c r="G3" s="481"/>
      <c r="I3" s="565"/>
    </row>
    <row r="4" spans="1:9" ht="25.5" x14ac:dyDescent="0.2">
      <c r="A4" s="599" t="s">
        <v>3062</v>
      </c>
      <c r="B4" s="600" t="s">
        <v>3063</v>
      </c>
      <c r="C4" s="601" t="s">
        <v>3064</v>
      </c>
      <c r="D4" s="601">
        <f>1250000*3</f>
        <v>3750000</v>
      </c>
      <c r="E4" s="601">
        <v>4</v>
      </c>
      <c r="F4" s="652">
        <v>0.25</v>
      </c>
      <c r="G4" s="601">
        <f>D4*E4*F4</f>
        <v>3750000</v>
      </c>
      <c r="I4" s="565"/>
    </row>
    <row r="5" spans="1:9" x14ac:dyDescent="0.2">
      <c r="A5" s="480"/>
      <c r="B5" s="579"/>
      <c r="C5" s="602" t="s">
        <v>3065</v>
      </c>
      <c r="D5" s="602">
        <f>8200000*3</f>
        <v>24600000</v>
      </c>
      <c r="E5" s="602">
        <v>4</v>
      </c>
      <c r="F5" s="652">
        <v>0.25</v>
      </c>
      <c r="G5" s="602">
        <f t="shared" ref="G5:G11" si="0">D5*E5*F5</f>
        <v>24600000</v>
      </c>
      <c r="I5" s="565"/>
    </row>
    <row r="6" spans="1:9" x14ac:dyDescent="0.2">
      <c r="A6" s="577"/>
      <c r="B6" s="580"/>
      <c r="C6" s="602" t="s">
        <v>3066</v>
      </c>
      <c r="D6" s="602">
        <f>2000000*3</f>
        <v>6000000</v>
      </c>
      <c r="E6" s="602">
        <v>4</v>
      </c>
      <c r="F6" s="652">
        <v>0.25</v>
      </c>
      <c r="G6" s="602">
        <f t="shared" si="0"/>
        <v>6000000</v>
      </c>
      <c r="I6" s="565"/>
    </row>
    <row r="7" spans="1:9" x14ac:dyDescent="0.2">
      <c r="A7" s="577"/>
      <c r="B7" s="580"/>
      <c r="C7" s="602" t="s">
        <v>3067</v>
      </c>
      <c r="D7" s="602">
        <f>1250000*3</f>
        <v>3750000</v>
      </c>
      <c r="E7" s="602">
        <v>4</v>
      </c>
      <c r="F7" s="652">
        <v>0.25</v>
      </c>
      <c r="G7" s="602">
        <f t="shared" si="0"/>
        <v>3750000</v>
      </c>
      <c r="I7" s="565"/>
    </row>
    <row r="8" spans="1:9" x14ac:dyDescent="0.2">
      <c r="A8" s="577"/>
      <c r="B8" s="580"/>
      <c r="C8" s="602" t="s">
        <v>3068</v>
      </c>
      <c r="D8" s="602">
        <f>1500000*3</f>
        <v>4500000</v>
      </c>
      <c r="E8" s="602">
        <v>4</v>
      </c>
      <c r="F8" s="652">
        <v>0.25</v>
      </c>
      <c r="G8" s="602">
        <f t="shared" si="0"/>
        <v>4500000</v>
      </c>
      <c r="I8" s="565"/>
    </row>
    <row r="9" spans="1:9" x14ac:dyDescent="0.2">
      <c r="A9" s="577"/>
      <c r="B9" s="580"/>
      <c r="C9" s="602" t="s">
        <v>3069</v>
      </c>
      <c r="D9" s="602">
        <f>800000*3</f>
        <v>2400000</v>
      </c>
      <c r="E9" s="602">
        <v>4</v>
      </c>
      <c r="F9" s="652">
        <v>0.25</v>
      </c>
      <c r="G9" s="602">
        <f t="shared" si="0"/>
        <v>2400000</v>
      </c>
      <c r="I9" s="565"/>
    </row>
    <row r="10" spans="1:9" x14ac:dyDescent="0.2">
      <c r="A10" s="577"/>
      <c r="B10" s="580"/>
      <c r="C10" s="602" t="s">
        <v>3070</v>
      </c>
      <c r="D10" s="602">
        <f>5000000*3</f>
        <v>15000000</v>
      </c>
      <c r="E10" s="602">
        <v>4</v>
      </c>
      <c r="F10" s="652">
        <v>0.25</v>
      </c>
      <c r="G10" s="602">
        <f t="shared" si="0"/>
        <v>15000000</v>
      </c>
      <c r="I10" s="565"/>
    </row>
    <row r="11" spans="1:9" x14ac:dyDescent="0.2">
      <c r="A11" s="577"/>
      <c r="B11" s="580"/>
      <c r="C11" s="603" t="s">
        <v>3137</v>
      </c>
      <c r="D11" s="603">
        <f>2000000*3</f>
        <v>6000000</v>
      </c>
      <c r="E11" s="603">
        <v>4</v>
      </c>
      <c r="F11" s="652">
        <v>0.25</v>
      </c>
      <c r="G11" s="603">
        <f t="shared" si="0"/>
        <v>6000000</v>
      </c>
      <c r="I11" s="565"/>
    </row>
    <row r="12" spans="1:9" x14ac:dyDescent="0.2">
      <c r="A12" s="577"/>
      <c r="B12" s="580"/>
      <c r="C12" s="603"/>
      <c r="D12" s="603"/>
      <c r="E12" s="603"/>
      <c r="F12" s="653"/>
      <c r="G12" s="603"/>
      <c r="I12" s="565"/>
    </row>
    <row r="13" spans="1:9" x14ac:dyDescent="0.2">
      <c r="A13" s="577"/>
      <c r="B13" s="580"/>
      <c r="C13" s="654" t="s">
        <v>3071</v>
      </c>
      <c r="D13" s="604"/>
      <c r="E13" s="602"/>
      <c r="F13" s="604"/>
      <c r="G13" s="606">
        <f>SUM(G4:G11)</f>
        <v>66000000</v>
      </c>
      <c r="I13" s="565"/>
    </row>
    <row r="14" spans="1:9" x14ac:dyDescent="0.2">
      <c r="A14" s="577"/>
      <c r="B14" s="580"/>
      <c r="C14" s="604"/>
      <c r="D14" s="604"/>
      <c r="E14" s="603"/>
      <c r="F14" s="604"/>
      <c r="G14" s="604"/>
      <c r="I14" s="565"/>
    </row>
    <row r="15" spans="1:9" x14ac:dyDescent="0.2">
      <c r="A15" s="578"/>
      <c r="B15" s="576"/>
      <c r="C15" s="954" t="s">
        <v>3039</v>
      </c>
      <c r="D15" s="955"/>
      <c r="E15" s="956"/>
      <c r="F15" s="655"/>
      <c r="G15" s="656">
        <f>G13/4</f>
        <v>16500000</v>
      </c>
      <c r="I15" s="565"/>
    </row>
    <row r="16" spans="1:9" ht="15.75" x14ac:dyDescent="0.25">
      <c r="A16" s="480"/>
      <c r="B16" s="480"/>
      <c r="C16"/>
      <c r="D16"/>
      <c r="E16"/>
      <c r="F16"/>
      <c r="G16"/>
      <c r="I16" s="565"/>
    </row>
    <row r="17" spans="1:9" ht="13.5" thickBot="1" x14ac:dyDescent="0.25">
      <c r="A17" s="479"/>
      <c r="B17" s="480"/>
      <c r="C17" s="480"/>
      <c r="D17" s="480"/>
      <c r="E17" s="480"/>
      <c r="F17" s="480"/>
      <c r="G17" s="481"/>
      <c r="I17" s="565"/>
    </row>
    <row r="18" spans="1:9" x14ac:dyDescent="0.2">
      <c r="A18" s="599">
        <v>10</v>
      </c>
      <c r="B18" s="600" t="s">
        <v>3072</v>
      </c>
      <c r="C18" s="601" t="s">
        <v>3073</v>
      </c>
      <c r="D18" s="601">
        <f>6000000*3</f>
        <v>18000000</v>
      </c>
      <c r="E18" s="601">
        <v>4</v>
      </c>
      <c r="F18" s="601">
        <v>1</v>
      </c>
      <c r="G18" s="601">
        <f>D18*E18*F18</f>
        <v>72000000</v>
      </c>
      <c r="I18" s="565"/>
    </row>
    <row r="19" spans="1:9" x14ac:dyDescent="0.2">
      <c r="A19" s="480"/>
      <c r="B19" s="579"/>
      <c r="C19" s="602" t="s">
        <v>3074</v>
      </c>
      <c r="D19" s="602">
        <f>2500000*3</f>
        <v>7500000</v>
      </c>
      <c r="E19" s="602">
        <v>4</v>
      </c>
      <c r="F19" s="602">
        <v>1</v>
      </c>
      <c r="G19" s="602">
        <f t="shared" ref="G19:G20" si="1">D19*E19*F19</f>
        <v>30000000</v>
      </c>
      <c r="I19" s="565"/>
    </row>
    <row r="20" spans="1:9" x14ac:dyDescent="0.2">
      <c r="A20" s="577"/>
      <c r="B20" s="580"/>
      <c r="C20" s="602" t="s">
        <v>3075</v>
      </c>
      <c r="D20" s="602">
        <f>1500000*3</f>
        <v>4500000</v>
      </c>
      <c r="E20" s="602">
        <v>4</v>
      </c>
      <c r="F20" s="602">
        <v>1</v>
      </c>
      <c r="G20" s="602">
        <f t="shared" si="1"/>
        <v>18000000</v>
      </c>
      <c r="I20" s="565"/>
    </row>
    <row r="21" spans="1:9" x14ac:dyDescent="0.2">
      <c r="A21" s="577"/>
      <c r="B21" s="580"/>
      <c r="C21" s="603"/>
      <c r="D21" s="603"/>
      <c r="E21" s="603"/>
      <c r="F21" s="603"/>
      <c r="G21" s="603"/>
      <c r="I21" s="565"/>
    </row>
    <row r="22" spans="1:9" x14ac:dyDescent="0.2">
      <c r="A22" s="577"/>
      <c r="B22" s="580"/>
      <c r="C22" s="604" t="s">
        <v>3071</v>
      </c>
      <c r="D22" s="604"/>
      <c r="E22" s="604"/>
      <c r="F22" s="604"/>
      <c r="G22" s="604">
        <f>SUM(G18:G21)</f>
        <v>120000000</v>
      </c>
      <c r="I22" s="565"/>
    </row>
    <row r="23" spans="1:9" x14ac:dyDescent="0.2">
      <c r="A23" s="578"/>
      <c r="B23" s="576"/>
      <c r="C23" s="605" t="s">
        <v>3039</v>
      </c>
      <c r="D23" s="575"/>
      <c r="E23" s="575"/>
      <c r="F23" s="575"/>
      <c r="G23" s="606">
        <f>G22/4</f>
        <v>30000000</v>
      </c>
      <c r="I23" s="565"/>
    </row>
    <row r="24" spans="1:9" x14ac:dyDescent="0.2">
      <c r="A24" s="479"/>
      <c r="B24" s="480"/>
      <c r="C24" s="480"/>
      <c r="D24" s="480"/>
      <c r="E24" s="480"/>
      <c r="F24" s="480"/>
      <c r="G24" s="481"/>
      <c r="I24" s="565"/>
    </row>
    <row r="25" spans="1:9" ht="13.5" thickBot="1" x14ac:dyDescent="0.25">
      <c r="A25" s="479"/>
      <c r="B25" s="480"/>
      <c r="C25" s="480"/>
      <c r="D25" s="480"/>
      <c r="E25" s="480"/>
      <c r="F25" s="480"/>
      <c r="G25" s="480"/>
      <c r="I25" s="565"/>
    </row>
    <row r="26" spans="1:9" x14ac:dyDescent="0.2">
      <c r="A26" s="599">
        <v>13</v>
      </c>
      <c r="B26" s="600" t="s">
        <v>2673</v>
      </c>
      <c r="C26" s="601" t="s">
        <v>3077</v>
      </c>
      <c r="D26" s="601">
        <v>25000</v>
      </c>
      <c r="E26" s="601">
        <v>1</v>
      </c>
      <c r="F26" s="601">
        <v>1</v>
      </c>
      <c r="G26" s="601">
        <f>D26*E26*F26</f>
        <v>25000</v>
      </c>
      <c r="I26" s="565"/>
    </row>
    <row r="27" spans="1:9" x14ac:dyDescent="0.2">
      <c r="A27" s="577"/>
      <c r="B27" s="580"/>
      <c r="C27" s="603"/>
      <c r="D27" s="603"/>
      <c r="E27" s="603"/>
      <c r="F27" s="603"/>
      <c r="G27" s="603"/>
      <c r="I27" s="565"/>
    </row>
    <row r="28" spans="1:9" x14ac:dyDescent="0.2">
      <c r="A28" s="577"/>
      <c r="B28" s="580"/>
      <c r="C28" s="607" t="s">
        <v>3076</v>
      </c>
      <c r="D28" s="607"/>
      <c r="E28" s="607"/>
      <c r="F28" s="607"/>
      <c r="G28" s="605">
        <f>SUM(G26:G27)</f>
        <v>25000</v>
      </c>
      <c r="I28" s="565"/>
    </row>
    <row r="29" spans="1:9" x14ac:dyDescent="0.2">
      <c r="A29" s="479"/>
      <c r="B29" s="480"/>
      <c r="C29" s="480"/>
      <c r="D29" s="480"/>
      <c r="E29" s="480"/>
      <c r="F29" s="480"/>
      <c r="G29" s="481"/>
      <c r="I29" s="565"/>
    </row>
    <row r="30" spans="1:9" x14ac:dyDescent="0.2">
      <c r="A30" s="479"/>
      <c r="B30" s="480"/>
      <c r="C30" s="480"/>
      <c r="D30" s="480"/>
      <c r="E30" s="480"/>
      <c r="F30" s="480"/>
      <c r="G30" s="481"/>
      <c r="I30" s="565"/>
    </row>
    <row r="31" spans="1:9" x14ac:dyDescent="0.2">
      <c r="A31" s="479"/>
      <c r="B31" s="480"/>
      <c r="C31" s="480"/>
      <c r="D31" s="480"/>
      <c r="E31" s="480"/>
      <c r="F31" s="480"/>
      <c r="G31" s="481"/>
      <c r="I31" s="565"/>
    </row>
    <row r="32" spans="1:9" x14ac:dyDescent="0.2">
      <c r="A32" s="479"/>
      <c r="B32" s="480"/>
      <c r="C32" s="480"/>
      <c r="D32" s="480"/>
      <c r="E32" s="480"/>
      <c r="F32" s="480"/>
      <c r="G32" s="481"/>
      <c r="I32" s="565"/>
    </row>
    <row r="33" spans="1:9" x14ac:dyDescent="0.2">
      <c r="A33" s="479"/>
      <c r="B33" s="480"/>
      <c r="C33" s="480"/>
      <c r="D33" s="480"/>
      <c r="E33" s="480"/>
      <c r="F33" s="480"/>
      <c r="G33" s="481"/>
      <c r="I33" s="565"/>
    </row>
    <row r="34" spans="1:9" ht="13.5" thickBot="1" x14ac:dyDescent="0.25">
      <c r="A34" s="608"/>
      <c r="B34" s="609"/>
      <c r="C34" s="609"/>
      <c r="D34" s="609"/>
      <c r="E34" s="609"/>
      <c r="F34" s="609"/>
      <c r="G34" s="610"/>
    </row>
    <row r="35" spans="1:9" x14ac:dyDescent="0.2">
      <c r="A35" s="599">
        <v>23</v>
      </c>
      <c r="B35" s="611" t="s">
        <v>2682</v>
      </c>
      <c r="C35" s="612" t="s">
        <v>3037</v>
      </c>
      <c r="D35" s="612">
        <f>9704400</f>
        <v>9704400</v>
      </c>
      <c r="E35" s="612">
        <v>4</v>
      </c>
      <c r="F35" s="612">
        <v>1</v>
      </c>
      <c r="G35" s="613">
        <f>D35*E35*F35</f>
        <v>38817600</v>
      </c>
    </row>
    <row r="36" spans="1:9" x14ac:dyDescent="0.2">
      <c r="A36" s="614"/>
      <c r="B36" s="615"/>
      <c r="C36" s="615" t="s">
        <v>3038</v>
      </c>
      <c r="D36" s="615">
        <v>2500000</v>
      </c>
      <c r="E36" s="615">
        <v>4</v>
      </c>
      <c r="F36" s="615">
        <v>1</v>
      </c>
      <c r="G36" s="616">
        <f>D36*E36*F36</f>
        <v>10000000</v>
      </c>
    </row>
    <row r="37" spans="1:9" x14ac:dyDescent="0.2">
      <c r="A37" s="614"/>
      <c r="B37" s="615"/>
      <c r="C37" s="615"/>
      <c r="D37" s="615"/>
      <c r="E37" s="615"/>
      <c r="F37" s="615"/>
      <c r="G37" s="616"/>
    </row>
    <row r="38" spans="1:9" x14ac:dyDescent="0.2">
      <c r="A38" s="614"/>
      <c r="B38" s="615"/>
      <c r="C38" s="617" t="s">
        <v>2775</v>
      </c>
      <c r="D38" s="615"/>
      <c r="E38" s="615"/>
      <c r="F38" s="615"/>
      <c r="G38" s="618">
        <f>SUM(G35:G37)</f>
        <v>48817600</v>
      </c>
    </row>
    <row r="39" spans="1:9" x14ac:dyDescent="0.2">
      <c r="A39" s="614"/>
      <c r="B39" s="615"/>
      <c r="C39" s="617"/>
      <c r="D39" s="615"/>
      <c r="E39" s="615"/>
      <c r="F39" s="615"/>
      <c r="G39" s="616"/>
    </row>
    <row r="40" spans="1:9" x14ac:dyDescent="0.2">
      <c r="A40" s="614"/>
      <c r="B40" s="615"/>
      <c r="C40" s="617" t="s">
        <v>3039</v>
      </c>
      <c r="D40" s="615"/>
      <c r="E40" s="615"/>
      <c r="F40" s="615"/>
      <c r="G40" s="618">
        <f>G38/4</f>
        <v>12204400</v>
      </c>
    </row>
    <row r="41" spans="1:9" ht="13.5" thickBot="1" x14ac:dyDescent="0.25">
      <c r="A41" s="619"/>
      <c r="B41" s="620"/>
      <c r="C41" s="620"/>
      <c r="D41" s="620"/>
      <c r="E41" s="620"/>
      <c r="F41" s="620"/>
      <c r="G41" s="621"/>
    </row>
    <row r="42" spans="1:9" ht="13.5" thickBot="1" x14ac:dyDescent="0.25">
      <c r="A42" s="614"/>
      <c r="B42" s="615"/>
      <c r="C42" s="615"/>
      <c r="D42" s="615"/>
      <c r="E42" s="615"/>
      <c r="F42" s="615"/>
      <c r="G42" s="616"/>
    </row>
    <row r="43" spans="1:9" x14ac:dyDescent="0.2">
      <c r="A43" s="599">
        <v>24</v>
      </c>
      <c r="B43" s="952" t="s">
        <v>2683</v>
      </c>
      <c r="C43" s="612" t="s">
        <v>3040</v>
      </c>
      <c r="D43" s="612">
        <v>16500000</v>
      </c>
      <c r="E43" s="612">
        <v>4</v>
      </c>
      <c r="F43" s="612">
        <v>1</v>
      </c>
      <c r="G43" s="613">
        <f>D43*E43*F43</f>
        <v>66000000</v>
      </c>
    </row>
    <row r="44" spans="1:9" x14ac:dyDescent="0.2">
      <c r="A44" s="614"/>
      <c r="B44" s="953"/>
      <c r="C44" s="615" t="s">
        <v>3041</v>
      </c>
      <c r="D44" s="615">
        <v>1250000</v>
      </c>
      <c r="E44" s="615">
        <v>4</v>
      </c>
      <c r="F44" s="615">
        <v>1</v>
      </c>
      <c r="G44" s="616">
        <f>D44*E44*F44</f>
        <v>5000000</v>
      </c>
    </row>
    <row r="45" spans="1:9" x14ac:dyDescent="0.2">
      <c r="A45" s="614"/>
      <c r="B45" s="615"/>
      <c r="C45" s="615"/>
      <c r="D45" s="615"/>
      <c r="E45" s="615"/>
      <c r="F45" s="615"/>
      <c r="G45" s="616"/>
    </row>
    <row r="46" spans="1:9" x14ac:dyDescent="0.2">
      <c r="A46" s="614"/>
      <c r="B46" s="615"/>
      <c r="C46" s="617" t="s">
        <v>2775</v>
      </c>
      <c r="D46" s="615"/>
      <c r="E46" s="615"/>
      <c r="F46" s="615"/>
      <c r="G46" s="618">
        <f>SUM(G43:G45)</f>
        <v>71000000</v>
      </c>
    </row>
    <row r="47" spans="1:9" x14ac:dyDescent="0.2">
      <c r="A47" s="614"/>
      <c r="B47" s="615"/>
      <c r="C47" s="617"/>
      <c r="D47" s="615"/>
      <c r="E47" s="615"/>
      <c r="F47" s="615"/>
      <c r="G47" s="616"/>
    </row>
    <row r="48" spans="1:9" x14ac:dyDescent="0.2">
      <c r="A48" s="614"/>
      <c r="B48" s="615"/>
      <c r="C48" s="617" t="s">
        <v>3039</v>
      </c>
      <c r="D48" s="615"/>
      <c r="E48" s="615"/>
      <c r="F48" s="615"/>
      <c r="G48" s="618">
        <f>G46/4</f>
        <v>17750000</v>
      </c>
    </row>
    <row r="49" spans="1:7" ht="13.5" thickBot="1" x14ac:dyDescent="0.25">
      <c r="A49" s="619"/>
      <c r="B49" s="620"/>
      <c r="C49" s="620"/>
      <c r="D49" s="620"/>
      <c r="E49" s="620"/>
      <c r="F49" s="620"/>
      <c r="G49" s="621"/>
    </row>
    <row r="50" spans="1:7" ht="13.5" thickBot="1" x14ac:dyDescent="0.25">
      <c r="A50" s="614"/>
      <c r="B50" s="615"/>
      <c r="C50" s="615"/>
      <c r="D50" s="615"/>
      <c r="E50" s="615"/>
      <c r="F50" s="615"/>
      <c r="G50" s="616"/>
    </row>
    <row r="51" spans="1:7" x14ac:dyDescent="0.2">
      <c r="A51" s="599">
        <v>32</v>
      </c>
      <c r="B51" s="611" t="s">
        <v>2688</v>
      </c>
      <c r="C51" s="612" t="s">
        <v>2688</v>
      </c>
      <c r="D51" s="612">
        <v>6070000</v>
      </c>
      <c r="E51" s="612">
        <v>4</v>
      </c>
      <c r="F51" s="612">
        <v>1</v>
      </c>
      <c r="G51" s="613">
        <f>D51*E51*F51</f>
        <v>24280000</v>
      </c>
    </row>
    <row r="52" spans="1:7" x14ac:dyDescent="0.2">
      <c r="A52" s="614"/>
      <c r="B52" s="615"/>
      <c r="C52" s="615"/>
      <c r="D52" s="615"/>
      <c r="E52" s="615"/>
      <c r="F52" s="615"/>
      <c r="G52" s="616"/>
    </row>
    <row r="53" spans="1:7" x14ac:dyDescent="0.2">
      <c r="A53" s="614"/>
      <c r="B53" s="615"/>
      <c r="C53" s="617" t="s">
        <v>2775</v>
      </c>
      <c r="D53" s="615"/>
      <c r="E53" s="615"/>
      <c r="F53" s="615"/>
      <c r="G53" s="618">
        <f>SUM(G51:G52)</f>
        <v>24280000</v>
      </c>
    </row>
    <row r="54" spans="1:7" x14ac:dyDescent="0.2">
      <c r="A54" s="614"/>
      <c r="B54" s="615"/>
      <c r="C54" s="617"/>
      <c r="D54" s="615"/>
      <c r="E54" s="615"/>
      <c r="F54" s="615"/>
      <c r="G54" s="616"/>
    </row>
    <row r="55" spans="1:7" x14ac:dyDescent="0.2">
      <c r="A55" s="614"/>
      <c r="B55" s="615"/>
      <c r="C55" s="617" t="s">
        <v>3039</v>
      </c>
      <c r="D55" s="615"/>
      <c r="E55" s="615"/>
      <c r="F55" s="615"/>
      <c r="G55" s="618">
        <f>G53/4</f>
        <v>6070000</v>
      </c>
    </row>
    <row r="56" spans="1:7" ht="13.5" thickBot="1" x14ac:dyDescent="0.25">
      <c r="A56" s="619"/>
      <c r="B56" s="620"/>
      <c r="C56" s="620"/>
      <c r="D56" s="620"/>
      <c r="E56" s="620"/>
      <c r="F56" s="620"/>
      <c r="G56" s="621"/>
    </row>
    <row r="57" spans="1:7" ht="13.5" thickBot="1" x14ac:dyDescent="0.25">
      <c r="A57" s="614"/>
      <c r="B57" s="615"/>
      <c r="C57" s="615"/>
      <c r="D57" s="615"/>
      <c r="E57" s="615"/>
      <c r="F57" s="615"/>
      <c r="G57" s="616"/>
    </row>
    <row r="58" spans="1:7" x14ac:dyDescent="0.2">
      <c r="A58" s="599">
        <v>33</v>
      </c>
      <c r="B58" s="611" t="s">
        <v>3042</v>
      </c>
      <c r="C58" s="612" t="s">
        <v>3042</v>
      </c>
      <c r="D58" s="612">
        <v>6070000</v>
      </c>
      <c r="E58" s="612">
        <v>4</v>
      </c>
      <c r="F58" s="612">
        <v>1</v>
      </c>
      <c r="G58" s="613">
        <f>D58*E58*F58</f>
        <v>24280000</v>
      </c>
    </row>
    <row r="59" spans="1:7" x14ac:dyDescent="0.2">
      <c r="A59" s="614"/>
      <c r="B59" s="615"/>
      <c r="C59" s="615"/>
      <c r="D59" s="615"/>
      <c r="E59" s="615"/>
      <c r="F59" s="615"/>
      <c r="G59" s="616"/>
    </row>
    <row r="60" spans="1:7" x14ac:dyDescent="0.2">
      <c r="A60" s="614"/>
      <c r="B60" s="615"/>
      <c r="C60" s="617" t="s">
        <v>2775</v>
      </c>
      <c r="D60" s="615"/>
      <c r="E60" s="615"/>
      <c r="F60" s="615"/>
      <c r="G60" s="618">
        <f>SUM(G58:G59)</f>
        <v>24280000</v>
      </c>
    </row>
    <row r="61" spans="1:7" x14ac:dyDescent="0.2">
      <c r="A61" s="614"/>
      <c r="B61" s="615"/>
      <c r="C61" s="617"/>
      <c r="D61" s="615"/>
      <c r="E61" s="615"/>
      <c r="F61" s="615"/>
      <c r="G61" s="616"/>
    </row>
    <row r="62" spans="1:7" x14ac:dyDescent="0.2">
      <c r="A62" s="614"/>
      <c r="B62" s="615"/>
      <c r="C62" s="617" t="s">
        <v>3039</v>
      </c>
      <c r="D62" s="615"/>
      <c r="E62" s="615"/>
      <c r="F62" s="615"/>
      <c r="G62" s="618">
        <f>G60/4</f>
        <v>6070000</v>
      </c>
    </row>
    <row r="63" spans="1:7" ht="13.5" thickBot="1" x14ac:dyDescent="0.25">
      <c r="A63" s="619"/>
      <c r="B63" s="620"/>
      <c r="C63" s="620"/>
      <c r="D63" s="620"/>
      <c r="E63" s="620"/>
      <c r="F63" s="620"/>
      <c r="G63" s="621"/>
    </row>
    <row r="64" spans="1:7" ht="13.5" thickBot="1" x14ac:dyDescent="0.25"/>
    <row r="65" spans="1:8" ht="25.5" x14ac:dyDescent="0.2">
      <c r="A65" s="457">
        <v>37</v>
      </c>
      <c r="B65" s="611" t="s">
        <v>2691</v>
      </c>
      <c r="C65" s="612" t="s">
        <v>3043</v>
      </c>
      <c r="D65" s="323">
        <v>3200000</v>
      </c>
      <c r="E65" s="459">
        <v>11</v>
      </c>
      <c r="F65" s="460">
        <f>D65*E65</f>
        <v>35200000</v>
      </c>
      <c r="G65" s="479"/>
      <c r="H65" s="480"/>
    </row>
    <row r="66" spans="1:8" x14ac:dyDescent="0.2">
      <c r="A66" s="479"/>
      <c r="B66" s="480"/>
      <c r="C66" s="480"/>
      <c r="D66" s="566"/>
      <c r="E66" s="480"/>
      <c r="F66" s="567"/>
      <c r="G66" s="479"/>
      <c r="H66" s="480"/>
    </row>
    <row r="67" spans="1:8" x14ac:dyDescent="0.2">
      <c r="A67" s="479"/>
      <c r="B67" s="480"/>
      <c r="C67" s="568" t="s">
        <v>3044</v>
      </c>
      <c r="D67" s="569"/>
      <c r="E67" s="568"/>
      <c r="F67" s="570">
        <f>SUM(F65:F65)</f>
        <v>35200000</v>
      </c>
      <c r="G67" s="479"/>
      <c r="H67" s="480"/>
    </row>
    <row r="68" spans="1:8" ht="13.5" thickBot="1" x14ac:dyDescent="0.25">
      <c r="A68" s="483"/>
      <c r="B68" s="484"/>
      <c r="C68" s="571"/>
      <c r="D68" s="572"/>
      <c r="E68" s="571"/>
      <c r="F68" s="573"/>
      <c r="G68" s="479"/>
      <c r="H68" s="480"/>
    </row>
    <row r="71" spans="1:8" x14ac:dyDescent="0.2">
      <c r="A71" s="584" t="s">
        <v>2658</v>
      </c>
    </row>
    <row r="72" spans="1:8" x14ac:dyDescent="0.2">
      <c r="A72" s="622"/>
      <c r="B72" s="623" t="s">
        <v>16</v>
      </c>
      <c r="C72" s="624" t="s">
        <v>2899</v>
      </c>
      <c r="D72" s="624" t="s">
        <v>3045</v>
      </c>
      <c r="E72" s="624" t="s">
        <v>1944</v>
      </c>
    </row>
    <row r="73" spans="1:8" x14ac:dyDescent="0.2">
      <c r="A73" s="625"/>
      <c r="B73" s="626"/>
      <c r="C73" s="627">
        <v>0.3</v>
      </c>
      <c r="D73" s="628">
        <v>0.3</v>
      </c>
      <c r="E73" s="629"/>
    </row>
    <row r="74" spans="1:8" x14ac:dyDescent="0.2">
      <c r="A74" s="630" t="s">
        <v>3046</v>
      </c>
      <c r="B74" s="631" t="s">
        <v>3047</v>
      </c>
      <c r="C74" s="631"/>
      <c r="D74" s="631"/>
      <c r="E74" s="631"/>
    </row>
    <row r="75" spans="1:8" x14ac:dyDescent="0.2">
      <c r="A75" s="625"/>
      <c r="B75" s="632" t="s">
        <v>3048</v>
      </c>
      <c r="C75" s="633">
        <v>12000000</v>
      </c>
      <c r="D75" s="634">
        <f>C75*30%</f>
        <v>3600000</v>
      </c>
      <c r="E75" s="634">
        <f t="shared" ref="E75:E80" si="2">D75*3</f>
        <v>10800000</v>
      </c>
    </row>
    <row r="76" spans="1:8" x14ac:dyDescent="0.2">
      <c r="A76" s="625"/>
      <c r="B76" s="632" t="s">
        <v>3037</v>
      </c>
      <c r="C76" s="633">
        <v>1600000</v>
      </c>
      <c r="D76" s="634">
        <f>C76*0.3</f>
        <v>480000</v>
      </c>
      <c r="E76" s="634">
        <f t="shared" si="2"/>
        <v>1440000</v>
      </c>
    </row>
    <row r="77" spans="1:8" x14ac:dyDescent="0.2">
      <c r="A77" s="625"/>
      <c r="B77" s="632" t="s">
        <v>3049</v>
      </c>
      <c r="C77" s="633">
        <v>2500000</v>
      </c>
      <c r="D77" s="634">
        <f>C77*0.3</f>
        <v>750000</v>
      </c>
      <c r="E77" s="634">
        <f t="shared" si="2"/>
        <v>2250000</v>
      </c>
    </row>
    <row r="78" spans="1:8" x14ac:dyDescent="0.2">
      <c r="A78" s="625"/>
      <c r="B78" s="632" t="s">
        <v>3050</v>
      </c>
      <c r="C78" s="633">
        <v>2000000</v>
      </c>
      <c r="D78" s="634">
        <f>C78*0.3</f>
        <v>600000</v>
      </c>
      <c r="E78" s="634">
        <f t="shared" si="2"/>
        <v>1800000</v>
      </c>
    </row>
    <row r="79" spans="1:8" x14ac:dyDescent="0.2">
      <c r="A79" s="625"/>
      <c r="B79" s="632" t="s">
        <v>3051</v>
      </c>
      <c r="C79" s="633">
        <v>1000000</v>
      </c>
      <c r="D79" s="634">
        <f>C79*0.3</f>
        <v>300000</v>
      </c>
      <c r="E79" s="634">
        <f t="shared" si="2"/>
        <v>900000</v>
      </c>
    </row>
    <row r="80" spans="1:8" ht="25.5" x14ac:dyDescent="0.2">
      <c r="A80" s="625"/>
      <c r="B80" s="635" t="s">
        <v>3052</v>
      </c>
      <c r="C80" s="636">
        <v>800000</v>
      </c>
      <c r="D80" s="636">
        <f>C80*8*0.3</f>
        <v>1920000</v>
      </c>
      <c r="E80" s="634">
        <f t="shared" si="2"/>
        <v>5760000</v>
      </c>
    </row>
    <row r="81" spans="1:5" x14ac:dyDescent="0.2">
      <c r="A81" s="625"/>
      <c r="B81" s="635"/>
      <c r="C81" s="636"/>
      <c r="D81" s="636"/>
      <c r="E81" s="637">
        <f>SUM(E75:E80)</f>
        <v>22950000</v>
      </c>
    </row>
    <row r="84" spans="1:5" x14ac:dyDescent="0.2">
      <c r="A84" s="584" t="s">
        <v>2660</v>
      </c>
    </row>
    <row r="85" spans="1:5" x14ac:dyDescent="0.2">
      <c r="A85" s="638"/>
      <c r="B85" s="623" t="s">
        <v>16</v>
      </c>
      <c r="C85" s="624" t="s">
        <v>2899</v>
      </c>
      <c r="D85" s="624" t="s">
        <v>3045</v>
      </c>
      <c r="E85" s="624" t="s">
        <v>1944</v>
      </c>
    </row>
    <row r="86" spans="1:5" x14ac:dyDescent="0.2">
      <c r="A86" s="639"/>
      <c r="B86" s="640"/>
      <c r="C86" s="641" t="s">
        <v>3053</v>
      </c>
      <c r="D86" s="642">
        <v>0.4</v>
      </c>
      <c r="E86" s="643"/>
    </row>
    <row r="87" spans="1:5" x14ac:dyDescent="0.2">
      <c r="A87" s="644" t="s">
        <v>3054</v>
      </c>
      <c r="B87" s="645" t="s">
        <v>2714</v>
      </c>
      <c r="C87" s="646" t="s">
        <v>2899</v>
      </c>
      <c r="D87" s="646" t="s">
        <v>3045</v>
      </c>
      <c r="E87" s="646" t="s">
        <v>1944</v>
      </c>
    </row>
    <row r="88" spans="1:5" x14ac:dyDescent="0.2">
      <c r="A88" s="639"/>
      <c r="B88" s="647" t="s">
        <v>3055</v>
      </c>
      <c r="C88" s="648">
        <f>1000*8135.74</f>
        <v>8135740</v>
      </c>
      <c r="D88" s="648">
        <f t="shared" ref="D88:D93" si="3">C88*0.4</f>
        <v>3254296</v>
      </c>
      <c r="E88" s="648">
        <f>D88*3</f>
        <v>9762888</v>
      </c>
    </row>
    <row r="89" spans="1:5" x14ac:dyDescent="0.2">
      <c r="A89" s="639"/>
      <c r="B89" s="647" t="s">
        <v>3037</v>
      </c>
      <c r="C89" s="648">
        <f>150*8135.74</f>
        <v>1220361</v>
      </c>
      <c r="D89" s="648">
        <f t="shared" si="3"/>
        <v>488144.4</v>
      </c>
      <c r="E89" s="648">
        <f t="shared" ref="E89:E96" si="4">D89*3</f>
        <v>1464433.2000000002</v>
      </c>
    </row>
    <row r="90" spans="1:5" x14ac:dyDescent="0.2">
      <c r="A90" s="639"/>
      <c r="B90" s="647" t="s">
        <v>3049</v>
      </c>
      <c r="C90" s="648">
        <f>120*8135.74</f>
        <v>976288.79999999993</v>
      </c>
      <c r="D90" s="648">
        <f t="shared" si="3"/>
        <v>390515.52</v>
      </c>
      <c r="E90" s="648">
        <f t="shared" si="4"/>
        <v>1171546.56</v>
      </c>
    </row>
    <row r="91" spans="1:5" x14ac:dyDescent="0.2">
      <c r="A91" s="639"/>
      <c r="B91" s="647" t="s">
        <v>3050</v>
      </c>
      <c r="C91" s="648">
        <f>250*8135.74</f>
        <v>2033935</v>
      </c>
      <c r="D91" s="648">
        <f t="shared" si="3"/>
        <v>813574</v>
      </c>
      <c r="E91" s="648">
        <f t="shared" si="4"/>
        <v>2440722</v>
      </c>
    </row>
    <row r="92" spans="1:5" x14ac:dyDescent="0.2">
      <c r="A92" s="639"/>
      <c r="B92" s="647" t="s">
        <v>3051</v>
      </c>
      <c r="C92" s="648">
        <f>100*8135.74</f>
        <v>813574</v>
      </c>
      <c r="D92" s="648">
        <f t="shared" si="3"/>
        <v>325429.60000000003</v>
      </c>
      <c r="E92" s="648">
        <f>D92*3</f>
        <v>976288.8</v>
      </c>
    </row>
    <row r="93" spans="1:5" x14ac:dyDescent="0.2">
      <c r="A93" s="639"/>
      <c r="B93" s="647" t="s">
        <v>3056</v>
      </c>
      <c r="C93" s="648">
        <f>120*8135.74</f>
        <v>976288.79999999993</v>
      </c>
      <c r="D93" s="648">
        <f t="shared" si="3"/>
        <v>390515.52</v>
      </c>
      <c r="E93" s="648">
        <f>D93*3</f>
        <v>1171546.56</v>
      </c>
    </row>
    <row r="94" spans="1:5" x14ac:dyDescent="0.2">
      <c r="A94" s="639"/>
      <c r="B94" s="647"/>
      <c r="C94" s="648"/>
      <c r="D94" s="648"/>
      <c r="E94" s="649">
        <f>SUM(E88:E93)</f>
        <v>16987425.120000001</v>
      </c>
    </row>
    <row r="95" spans="1:5" x14ac:dyDescent="0.2">
      <c r="A95" s="639"/>
      <c r="B95" s="647"/>
      <c r="C95" s="648"/>
      <c r="D95" s="648"/>
      <c r="E95" s="648"/>
    </row>
    <row r="96" spans="1:5" x14ac:dyDescent="0.2">
      <c r="A96" s="650" t="s">
        <v>3057</v>
      </c>
      <c r="B96" s="645" t="s">
        <v>2715</v>
      </c>
      <c r="C96" s="648">
        <f>100*8135.74</f>
        <v>813574</v>
      </c>
      <c r="D96" s="648">
        <f>C96*0.4</f>
        <v>325429.60000000003</v>
      </c>
      <c r="E96" s="648">
        <f t="shared" si="4"/>
        <v>976288.8</v>
      </c>
    </row>
    <row r="97" spans="1:5" x14ac:dyDescent="0.2">
      <c r="A97" s="650" t="s">
        <v>3058</v>
      </c>
      <c r="B97" s="645" t="s">
        <v>2716</v>
      </c>
      <c r="C97" s="648">
        <f>50*8135.74</f>
        <v>406787</v>
      </c>
      <c r="D97" s="648">
        <f>C97*0.4</f>
        <v>162714.80000000002</v>
      </c>
      <c r="E97" s="648">
        <f>D97*3</f>
        <v>488144.4</v>
      </c>
    </row>
    <row r="100" spans="1:5" x14ac:dyDescent="0.2">
      <c r="A100" s="584" t="s">
        <v>2659</v>
      </c>
    </row>
    <row r="101" spans="1:5" x14ac:dyDescent="0.2">
      <c r="A101" s="638"/>
      <c r="B101" s="623" t="s">
        <v>16</v>
      </c>
      <c r="C101" s="624" t="s">
        <v>2899</v>
      </c>
      <c r="D101" s="624" t="s">
        <v>3045</v>
      </c>
      <c r="E101" s="624" t="s">
        <v>1944</v>
      </c>
    </row>
    <row r="102" spans="1:5" x14ac:dyDescent="0.2">
      <c r="A102" s="639"/>
      <c r="B102" s="640"/>
      <c r="C102" s="641" t="s">
        <v>3059</v>
      </c>
      <c r="D102" s="642">
        <v>0.3</v>
      </c>
      <c r="E102" s="643"/>
    </row>
    <row r="103" spans="1:5" x14ac:dyDescent="0.2">
      <c r="A103" s="644" t="s">
        <v>3081</v>
      </c>
      <c r="B103" s="651" t="s">
        <v>2730</v>
      </c>
      <c r="C103" s="646" t="s">
        <v>2899</v>
      </c>
      <c r="D103" s="646" t="s">
        <v>3045</v>
      </c>
      <c r="E103" s="646" t="s">
        <v>1944</v>
      </c>
    </row>
    <row r="104" spans="1:5" x14ac:dyDescent="0.2">
      <c r="A104" s="639"/>
      <c r="B104" s="647" t="s">
        <v>3055</v>
      </c>
      <c r="C104" s="648">
        <v>9800000</v>
      </c>
      <c r="D104" s="648">
        <f t="shared" ref="D104:D109" si="5">C104*0.3</f>
        <v>2940000</v>
      </c>
      <c r="E104" s="648">
        <f>D104*3</f>
        <v>8820000</v>
      </c>
    </row>
    <row r="105" spans="1:5" x14ac:dyDescent="0.2">
      <c r="A105" s="639"/>
      <c r="B105" s="647" t="s">
        <v>3037</v>
      </c>
      <c r="C105" s="648">
        <v>1300000</v>
      </c>
      <c r="D105" s="648">
        <f t="shared" si="5"/>
        <v>390000</v>
      </c>
      <c r="E105" s="648">
        <f t="shared" ref="E105:E109" si="6">D105*3</f>
        <v>1170000</v>
      </c>
    </row>
    <row r="106" spans="1:5" x14ac:dyDescent="0.2">
      <c r="A106" s="639"/>
      <c r="B106" s="647" t="s">
        <v>3049</v>
      </c>
      <c r="C106" s="648">
        <v>1000000</v>
      </c>
      <c r="D106" s="648">
        <f t="shared" si="5"/>
        <v>300000</v>
      </c>
      <c r="E106" s="648">
        <f t="shared" si="6"/>
        <v>900000</v>
      </c>
    </row>
    <row r="107" spans="1:5" x14ac:dyDescent="0.2">
      <c r="A107" s="639"/>
      <c r="B107" s="647" t="s">
        <v>3050</v>
      </c>
      <c r="C107" s="648">
        <v>2000000</v>
      </c>
      <c r="D107" s="648">
        <f t="shared" si="5"/>
        <v>600000</v>
      </c>
      <c r="E107" s="648">
        <f t="shared" si="6"/>
        <v>1800000</v>
      </c>
    </row>
    <row r="108" spans="1:5" x14ac:dyDescent="0.2">
      <c r="A108" s="639"/>
      <c r="B108" s="647" t="s">
        <v>3051</v>
      </c>
      <c r="C108" s="648">
        <v>900000</v>
      </c>
      <c r="D108" s="648">
        <f t="shared" si="5"/>
        <v>270000</v>
      </c>
      <c r="E108" s="648">
        <f t="shared" si="6"/>
        <v>810000</v>
      </c>
    </row>
    <row r="109" spans="1:5" x14ac:dyDescent="0.2">
      <c r="A109" s="639"/>
      <c r="B109" s="647" t="s">
        <v>3056</v>
      </c>
      <c r="C109" s="648">
        <v>1000000</v>
      </c>
      <c r="D109" s="648">
        <f t="shared" si="5"/>
        <v>300000</v>
      </c>
      <c r="E109" s="648">
        <f t="shared" si="6"/>
        <v>900000</v>
      </c>
    </row>
    <row r="110" spans="1:5" x14ac:dyDescent="0.2">
      <c r="A110" s="639"/>
      <c r="B110" s="647"/>
      <c r="C110" s="648"/>
      <c r="D110" s="648"/>
      <c r="E110" s="649">
        <f>SUM(E104:E109)</f>
        <v>14400000</v>
      </c>
    </row>
    <row r="111" spans="1:5" x14ac:dyDescent="0.2">
      <c r="A111" s="639"/>
      <c r="B111" s="647"/>
      <c r="C111" s="648"/>
      <c r="D111" s="648"/>
      <c r="E111" s="648"/>
    </row>
    <row r="112" spans="1:5" x14ac:dyDescent="0.2">
      <c r="A112" s="650" t="s">
        <v>3060</v>
      </c>
      <c r="B112" s="651" t="s">
        <v>2715</v>
      </c>
      <c r="C112" s="648">
        <v>800000</v>
      </c>
      <c r="D112" s="648">
        <f>C112*0.3</f>
        <v>240000</v>
      </c>
      <c r="E112" s="648">
        <f>D112*3</f>
        <v>720000</v>
      </c>
    </row>
    <row r="113" spans="1:5" x14ac:dyDescent="0.2">
      <c r="A113" s="650" t="s">
        <v>3061</v>
      </c>
      <c r="B113" s="651" t="s">
        <v>2731</v>
      </c>
      <c r="C113" s="648">
        <v>500000</v>
      </c>
      <c r="D113" s="648">
        <f>C113*0.3</f>
        <v>150000</v>
      </c>
      <c r="E113" s="648">
        <f>D113*3</f>
        <v>450000</v>
      </c>
    </row>
    <row r="114" spans="1:5" x14ac:dyDescent="0.2">
      <c r="A114" s="639"/>
      <c r="B114" s="647"/>
      <c r="C114" s="648"/>
      <c r="D114" s="648"/>
      <c r="E114" s="648"/>
    </row>
  </sheetData>
  <mergeCells count="2">
    <mergeCell ref="B43:B44"/>
    <mergeCell ref="C15:E15"/>
  </mergeCell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92D050"/>
  </sheetPr>
  <dimension ref="A1"/>
  <sheetViews>
    <sheetView workbookViewId="0">
      <selection activeCell="H31" sqref="H31"/>
    </sheetView>
  </sheetViews>
  <sheetFormatPr defaultColWidth="9" defaultRowHeight="15.7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92D050"/>
  </sheetPr>
  <dimension ref="A1:C18"/>
  <sheetViews>
    <sheetView workbookViewId="0">
      <selection activeCell="H31" sqref="H31"/>
    </sheetView>
  </sheetViews>
  <sheetFormatPr defaultColWidth="9" defaultRowHeight="15.75" x14ac:dyDescent="0.25"/>
  <sheetData>
    <row r="1" spans="1:3" x14ac:dyDescent="0.25">
      <c r="A1" s="49"/>
      <c r="B1" s="50"/>
      <c r="C1" s="51"/>
    </row>
    <row r="2" spans="1:3" x14ac:dyDescent="0.25">
      <c r="A2" s="52"/>
      <c r="B2" s="53"/>
      <c r="C2" s="54"/>
    </row>
    <row r="3" spans="1:3" x14ac:dyDescent="0.25">
      <c r="A3" s="52"/>
      <c r="B3" s="53"/>
      <c r="C3" s="54"/>
    </row>
    <row r="4" spans="1:3" x14ac:dyDescent="0.25">
      <c r="A4" s="52"/>
      <c r="B4" s="53"/>
      <c r="C4" s="54"/>
    </row>
    <row r="5" spans="1:3" x14ac:dyDescent="0.25">
      <c r="A5" s="52"/>
      <c r="B5" s="53"/>
      <c r="C5" s="54"/>
    </row>
    <row r="6" spans="1:3" x14ac:dyDescent="0.25">
      <c r="A6" s="52"/>
      <c r="B6" s="53"/>
      <c r="C6" s="54"/>
    </row>
    <row r="7" spans="1:3" x14ac:dyDescent="0.25">
      <c r="A7" s="52"/>
      <c r="B7" s="53"/>
      <c r="C7" s="54"/>
    </row>
    <row r="8" spans="1:3" x14ac:dyDescent="0.25">
      <c r="A8" s="52"/>
      <c r="B8" s="53"/>
      <c r="C8" s="54"/>
    </row>
    <row r="9" spans="1:3" x14ac:dyDescent="0.25">
      <c r="A9" s="52"/>
      <c r="B9" s="53"/>
      <c r="C9" s="54"/>
    </row>
    <row r="10" spans="1:3" x14ac:dyDescent="0.25">
      <c r="A10" s="52"/>
      <c r="B10" s="53"/>
      <c r="C10" s="54"/>
    </row>
    <row r="11" spans="1:3" x14ac:dyDescent="0.25">
      <c r="A11" s="52"/>
      <c r="B11" s="53"/>
      <c r="C11" s="54"/>
    </row>
    <row r="12" spans="1:3" x14ac:dyDescent="0.25">
      <c r="A12" s="52"/>
      <c r="B12" s="53"/>
      <c r="C12" s="54"/>
    </row>
    <row r="13" spans="1:3" x14ac:dyDescent="0.25">
      <c r="A13" s="52"/>
      <c r="B13" s="53"/>
      <c r="C13" s="54"/>
    </row>
    <row r="14" spans="1:3" x14ac:dyDescent="0.25">
      <c r="A14" s="52"/>
      <c r="B14" s="53"/>
      <c r="C14" s="54"/>
    </row>
    <row r="15" spans="1:3" x14ac:dyDescent="0.25">
      <c r="A15" s="52"/>
      <c r="B15" s="53"/>
      <c r="C15" s="54"/>
    </row>
    <row r="16" spans="1:3" x14ac:dyDescent="0.25">
      <c r="A16" s="52"/>
      <c r="B16" s="53"/>
      <c r="C16" s="54"/>
    </row>
    <row r="17" spans="1:3" x14ac:dyDescent="0.25">
      <c r="A17" s="52"/>
      <c r="B17" s="53"/>
      <c r="C17" s="54"/>
    </row>
    <row r="18" spans="1:3" x14ac:dyDescent="0.25">
      <c r="A18" s="55"/>
      <c r="B18" s="56"/>
      <c r="C18" s="57"/>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0000"/>
  </sheetPr>
  <dimension ref="A1:R19"/>
  <sheetViews>
    <sheetView zoomScale="70" zoomScaleNormal="70" workbookViewId="0">
      <selection activeCell="H31" sqref="H31"/>
    </sheetView>
  </sheetViews>
  <sheetFormatPr defaultColWidth="9" defaultRowHeight="15" x14ac:dyDescent="0.25"/>
  <cols>
    <col min="1" max="1" width="7.125" style="132" customWidth="1"/>
    <col min="2" max="2" width="57.25" style="132" customWidth="1"/>
    <col min="3" max="3" width="11.125" style="132" customWidth="1"/>
    <col min="4" max="4" width="50.75" style="132" customWidth="1"/>
    <col min="5" max="5" width="15.25" style="132" customWidth="1"/>
    <col min="6" max="6" width="64.75" style="132" customWidth="1"/>
    <col min="7" max="16384" width="9" style="132"/>
  </cols>
  <sheetData>
    <row r="1" spans="1:18" ht="23.25" x14ac:dyDescent="0.25">
      <c r="A1" s="957" t="s">
        <v>1903</v>
      </c>
      <c r="B1" s="957"/>
      <c r="C1" s="957"/>
      <c r="D1" s="957"/>
      <c r="E1" s="957"/>
      <c r="F1" s="957"/>
      <c r="G1" s="139"/>
      <c r="H1" s="139"/>
      <c r="I1" s="139"/>
    </row>
    <row r="2" spans="1:18" ht="23.25" x14ac:dyDescent="0.25">
      <c r="A2" s="140"/>
      <c r="B2" s="140"/>
      <c r="C2" s="140"/>
      <c r="D2" s="140"/>
      <c r="E2" s="140"/>
      <c r="F2" s="140"/>
      <c r="G2" s="139"/>
      <c r="H2" s="139"/>
      <c r="I2" s="139"/>
      <c r="R2" s="132" t="s">
        <v>1902</v>
      </c>
    </row>
    <row r="3" spans="1:18" ht="23.25" x14ac:dyDescent="0.25">
      <c r="A3" s="140"/>
      <c r="B3" s="140"/>
      <c r="C3" s="140"/>
      <c r="D3" s="140"/>
      <c r="E3" s="140"/>
      <c r="F3" s="140"/>
      <c r="G3" s="139"/>
      <c r="H3" s="139"/>
      <c r="I3" s="139"/>
      <c r="R3" s="132" t="s">
        <v>1901</v>
      </c>
    </row>
    <row r="4" spans="1:18" ht="31.5" customHeight="1" x14ac:dyDescent="0.25">
      <c r="A4" s="138"/>
      <c r="C4" s="958" t="s">
        <v>1745</v>
      </c>
      <c r="D4" s="958"/>
      <c r="E4" s="959" t="s">
        <v>1900</v>
      </c>
      <c r="F4" s="959"/>
      <c r="R4" s="132" t="s">
        <v>1899</v>
      </c>
    </row>
    <row r="5" spans="1:18" ht="61.5" customHeight="1" x14ac:dyDescent="0.25">
      <c r="A5" s="137" t="s">
        <v>1898</v>
      </c>
      <c r="B5" s="137" t="s">
        <v>1897</v>
      </c>
      <c r="C5" s="136" t="s">
        <v>1896</v>
      </c>
      <c r="D5" s="136" t="s">
        <v>1894</v>
      </c>
      <c r="E5" s="135" t="s">
        <v>1895</v>
      </c>
      <c r="F5" s="135" t="s">
        <v>1894</v>
      </c>
    </row>
    <row r="6" spans="1:18" ht="99.75" x14ac:dyDescent="0.25">
      <c r="A6" s="134" t="s">
        <v>1893</v>
      </c>
      <c r="B6" s="133" t="s">
        <v>1892</v>
      </c>
      <c r="C6" s="353"/>
      <c r="D6" s="354"/>
      <c r="E6" s="353"/>
      <c r="F6" s="354"/>
    </row>
    <row r="7" spans="1:18" ht="28.5" x14ac:dyDescent="0.25">
      <c r="A7" s="134" t="s">
        <v>1891</v>
      </c>
      <c r="B7" s="133" t="s">
        <v>1890</v>
      </c>
      <c r="C7" s="353"/>
      <c r="D7" s="354"/>
      <c r="E7" s="353"/>
      <c r="F7" s="354"/>
    </row>
    <row r="8" spans="1:18" ht="28.5" x14ac:dyDescent="0.25">
      <c r="A8" s="134" t="s">
        <v>1889</v>
      </c>
      <c r="B8" s="133" t="s">
        <v>1888</v>
      </c>
      <c r="C8" s="353"/>
      <c r="D8" s="354"/>
      <c r="E8" s="353"/>
      <c r="F8" s="354"/>
    </row>
    <row r="9" spans="1:18" ht="28.5" x14ac:dyDescent="0.25">
      <c r="A9" s="134" t="s">
        <v>1887</v>
      </c>
      <c r="B9" s="133" t="s">
        <v>1886</v>
      </c>
      <c r="C9" s="353"/>
      <c r="D9" s="354"/>
      <c r="E9" s="353"/>
      <c r="F9" s="354"/>
    </row>
    <row r="10" spans="1:18" ht="28.5" x14ac:dyDescent="0.25">
      <c r="A10" s="134" t="s">
        <v>1885</v>
      </c>
      <c r="B10" s="133" t="s">
        <v>1884</v>
      </c>
      <c r="C10" s="353"/>
      <c r="D10" s="354"/>
      <c r="E10" s="353"/>
      <c r="F10" s="354"/>
    </row>
    <row r="11" spans="1:18" ht="39.75" customHeight="1" x14ac:dyDescent="0.25">
      <c r="A11" s="134" t="s">
        <v>1883</v>
      </c>
      <c r="B11" s="133" t="s">
        <v>1882</v>
      </c>
      <c r="C11" s="353"/>
      <c r="D11" s="354"/>
      <c r="E11" s="353"/>
      <c r="F11" s="354"/>
    </row>
    <row r="12" spans="1:18" ht="28.5" x14ac:dyDescent="0.25">
      <c r="A12" s="134" t="s">
        <v>1881</v>
      </c>
      <c r="B12" s="133" t="s">
        <v>1880</v>
      </c>
      <c r="C12" s="353"/>
      <c r="D12" s="354"/>
      <c r="E12" s="353"/>
      <c r="F12" s="354"/>
    </row>
    <row r="13" spans="1:18" ht="42.75" x14ac:dyDescent="0.25">
      <c r="A13" s="134" t="s">
        <v>1879</v>
      </c>
      <c r="B13" s="133" t="s">
        <v>1878</v>
      </c>
      <c r="C13" s="353"/>
      <c r="D13" s="354"/>
      <c r="E13" s="353"/>
      <c r="F13" s="354"/>
    </row>
    <row r="14" spans="1:18" ht="71.25" x14ac:dyDescent="0.25">
      <c r="A14" s="134" t="s">
        <v>1877</v>
      </c>
      <c r="B14" s="133" t="s">
        <v>1876</v>
      </c>
      <c r="C14" s="353"/>
      <c r="D14" s="354"/>
      <c r="E14" s="353"/>
      <c r="F14" s="354"/>
    </row>
    <row r="15" spans="1:18" ht="85.5" x14ac:dyDescent="0.25">
      <c r="A15" s="134" t="s">
        <v>1875</v>
      </c>
      <c r="B15" s="133" t="s">
        <v>1874</v>
      </c>
      <c r="C15" s="353"/>
      <c r="D15" s="354"/>
      <c r="E15" s="353"/>
      <c r="F15" s="354"/>
    </row>
    <row r="16" spans="1:18" ht="42.75" x14ac:dyDescent="0.25">
      <c r="A16" s="134" t="s">
        <v>1872</v>
      </c>
      <c r="B16" s="133" t="s">
        <v>1873</v>
      </c>
      <c r="C16" s="353"/>
      <c r="D16" s="354"/>
      <c r="E16" s="353"/>
      <c r="F16" s="354"/>
    </row>
    <row r="17" spans="1:6" ht="28.5" x14ac:dyDescent="0.25">
      <c r="A17" s="134" t="s">
        <v>1872</v>
      </c>
      <c r="B17" s="133" t="s">
        <v>1871</v>
      </c>
      <c r="C17" s="353"/>
      <c r="D17" s="354"/>
      <c r="E17" s="353"/>
      <c r="F17" s="354"/>
    </row>
    <row r="18" spans="1:6" ht="85.5" x14ac:dyDescent="0.25">
      <c r="A18" s="134" t="s">
        <v>1869</v>
      </c>
      <c r="B18" s="133" t="s">
        <v>1870</v>
      </c>
      <c r="C18" s="353"/>
      <c r="D18" s="354"/>
      <c r="E18" s="353"/>
      <c r="F18" s="354"/>
    </row>
    <row r="19" spans="1:6" ht="57" x14ac:dyDescent="0.25">
      <c r="A19" s="134" t="s">
        <v>1869</v>
      </c>
      <c r="B19" s="133" t="s">
        <v>1868</v>
      </c>
      <c r="C19" s="353"/>
      <c r="D19" s="354"/>
      <c r="E19" s="353"/>
      <c r="F19" s="354"/>
    </row>
  </sheetData>
  <sheetProtection password="FB8C" sheet="1" objects="1" scenarios="1" formatColumns="0" formatRows="0"/>
  <mergeCells count="3">
    <mergeCell ref="A1:F1"/>
    <mergeCell ref="C4:D4"/>
    <mergeCell ref="E4:F4"/>
  </mergeCells>
  <dataValidations count="1">
    <dataValidation type="list" allowBlank="1" showInputMessage="1" showErrorMessage="1" sqref="C6:C19 E6:E19">
      <formula1>YesNo</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G158"/>
  <sheetViews>
    <sheetView workbookViewId="0"/>
  </sheetViews>
  <sheetFormatPr defaultRowHeight="15.75" x14ac:dyDescent="0.25"/>
  <sheetData>
    <row r="1" spans="1:33" x14ac:dyDescent="0.25">
      <c r="A1" t="s">
        <v>2110</v>
      </c>
      <c r="B1" t="s">
        <v>2101</v>
      </c>
      <c r="Y1" s="217" t="s">
        <v>1959</v>
      </c>
      <c r="Z1" s="217" t="s">
        <v>1960</v>
      </c>
      <c r="AA1" t="s">
        <v>2111</v>
      </c>
      <c r="AB1" t="s">
        <v>1976</v>
      </c>
      <c r="AC1" t="s">
        <v>2113</v>
      </c>
      <c r="AD1" t="s">
        <v>2102</v>
      </c>
      <c r="AE1" t="s">
        <v>2117</v>
      </c>
      <c r="AF1" t="s">
        <v>2118</v>
      </c>
      <c r="AG1" t="s">
        <v>2119</v>
      </c>
    </row>
    <row r="2" spans="1:33" x14ac:dyDescent="0.25">
      <c r="Y2" s="217"/>
      <c r="Z2" s="217"/>
      <c r="AA2" s="217" t="s">
        <v>288</v>
      </c>
      <c r="AB2" s="217" t="s">
        <v>1168</v>
      </c>
      <c r="AC2" s="217" t="s">
        <v>2114</v>
      </c>
      <c r="AD2" s="217" t="s">
        <v>2103</v>
      </c>
      <c r="AE2" s="217" t="s">
        <v>1824</v>
      </c>
      <c r="AF2" s="217" t="s">
        <v>288</v>
      </c>
      <c r="AG2" s="217" t="s">
        <v>2120</v>
      </c>
    </row>
    <row r="3" spans="1:33" x14ac:dyDescent="0.25">
      <c r="AA3" s="217" t="s">
        <v>20</v>
      </c>
      <c r="AB3" s="217" t="s">
        <v>1169</v>
      </c>
      <c r="AC3" s="217" t="s">
        <v>2115</v>
      </c>
      <c r="AD3" s="217" t="s">
        <v>2104</v>
      </c>
      <c r="AE3" s="217" t="s">
        <v>1823</v>
      </c>
      <c r="AF3" s="217" t="s">
        <v>20</v>
      </c>
      <c r="AG3" s="217" t="s">
        <v>2121</v>
      </c>
    </row>
    <row r="4" spans="1:33" x14ac:dyDescent="0.25">
      <c r="AA4" s="217" t="s">
        <v>8</v>
      </c>
      <c r="AB4" s="217" t="s">
        <v>1170</v>
      </c>
      <c r="AC4" s="217" t="s">
        <v>2116</v>
      </c>
      <c r="AD4" s="217" t="s">
        <v>2105</v>
      </c>
      <c r="AE4" s="217" t="s">
        <v>1822</v>
      </c>
      <c r="AF4" s="217" t="s">
        <v>8</v>
      </c>
      <c r="AG4" s="217" t="s">
        <v>2122</v>
      </c>
    </row>
    <row r="5" spans="1:33" x14ac:dyDescent="0.25">
      <c r="AA5" s="217" t="s">
        <v>855</v>
      </c>
      <c r="AB5" s="217" t="s">
        <v>1171</v>
      </c>
      <c r="AC5" s="217" t="s">
        <v>1967</v>
      </c>
      <c r="AD5" s="217" t="s">
        <v>1967</v>
      </c>
      <c r="AE5" s="217" t="s">
        <v>1821</v>
      </c>
      <c r="AF5" s="217" t="s">
        <v>855</v>
      </c>
      <c r="AG5" s="217" t="s">
        <v>2123</v>
      </c>
    </row>
    <row r="6" spans="1:33" x14ac:dyDescent="0.25">
      <c r="AA6" s="217" t="s">
        <v>859</v>
      </c>
      <c r="AC6" s="217" t="s">
        <v>1968</v>
      </c>
      <c r="AD6" s="217" t="s">
        <v>1968</v>
      </c>
      <c r="AE6" s="217" t="s">
        <v>1820</v>
      </c>
      <c r="AF6" s="217" t="s">
        <v>859</v>
      </c>
      <c r="AG6" s="217" t="s">
        <v>2124</v>
      </c>
    </row>
    <row r="7" spans="1:33" x14ac:dyDescent="0.25">
      <c r="AA7" s="217" t="s">
        <v>835</v>
      </c>
      <c r="AC7" s="217" t="s">
        <v>1969</v>
      </c>
      <c r="AD7" s="217" t="s">
        <v>1969</v>
      </c>
      <c r="AE7" s="217" t="s">
        <v>1826</v>
      </c>
      <c r="AF7" s="217" t="s">
        <v>835</v>
      </c>
      <c r="AG7" s="217" t="s">
        <v>2125</v>
      </c>
    </row>
    <row r="8" spans="1:33" x14ac:dyDescent="0.25">
      <c r="AA8" s="217" t="s">
        <v>871</v>
      </c>
      <c r="AC8" s="217" t="s">
        <v>1970</v>
      </c>
      <c r="AD8" s="217" t="s">
        <v>1970</v>
      </c>
      <c r="AE8" s="217" t="s">
        <v>1813</v>
      </c>
      <c r="AF8" s="217" t="s">
        <v>871</v>
      </c>
      <c r="AG8" s="217" t="s">
        <v>2126</v>
      </c>
    </row>
    <row r="9" spans="1:33" x14ac:dyDescent="0.25">
      <c r="AA9" s="217" t="s">
        <v>875</v>
      </c>
      <c r="AC9" s="217" t="s">
        <v>1971</v>
      </c>
      <c r="AD9" s="217" t="s">
        <v>1971</v>
      </c>
      <c r="AE9" s="217" t="s">
        <v>1811</v>
      </c>
      <c r="AF9" s="217" t="s">
        <v>875</v>
      </c>
      <c r="AG9" s="217" t="s">
        <v>2127</v>
      </c>
    </row>
    <row r="10" spans="1:33" x14ac:dyDescent="0.25">
      <c r="AA10" s="217" t="s">
        <v>877</v>
      </c>
      <c r="AC10" s="217" t="s">
        <v>1972</v>
      </c>
      <c r="AD10" s="217" t="s">
        <v>1972</v>
      </c>
      <c r="AE10" s="217" t="s">
        <v>1815</v>
      </c>
      <c r="AF10" s="217" t="s">
        <v>877</v>
      </c>
      <c r="AG10" s="217" t="s">
        <v>2128</v>
      </c>
    </row>
    <row r="11" spans="1:33" x14ac:dyDescent="0.25">
      <c r="AA11" s="217" t="s">
        <v>891</v>
      </c>
      <c r="AC11" s="217" t="s">
        <v>1973</v>
      </c>
      <c r="AD11" s="217" t="s">
        <v>1973</v>
      </c>
      <c r="AE11" s="217" t="s">
        <v>1975</v>
      </c>
      <c r="AF11" s="217" t="s">
        <v>891</v>
      </c>
      <c r="AG11" s="217" t="s">
        <v>2129</v>
      </c>
    </row>
    <row r="12" spans="1:33" x14ac:dyDescent="0.25">
      <c r="AA12" s="217" t="s">
        <v>895</v>
      </c>
      <c r="AE12" s="217" t="s">
        <v>1974</v>
      </c>
      <c r="AF12" s="217" t="s">
        <v>895</v>
      </c>
      <c r="AG12" s="217" t="s">
        <v>2130</v>
      </c>
    </row>
    <row r="13" spans="1:33" x14ac:dyDescent="0.25">
      <c r="AA13" s="217" t="s">
        <v>903</v>
      </c>
      <c r="AE13" s="217" t="s">
        <v>2100</v>
      </c>
      <c r="AF13" s="217" t="s">
        <v>903</v>
      </c>
      <c r="AG13" s="217" t="s">
        <v>2131</v>
      </c>
    </row>
    <row r="14" spans="1:33" x14ac:dyDescent="0.25">
      <c r="AA14" s="217" t="s">
        <v>905</v>
      </c>
      <c r="AE14" s="217" t="s">
        <v>0</v>
      </c>
      <c r="AF14" s="217" t="s">
        <v>905</v>
      </c>
      <c r="AG14" s="217" t="s">
        <v>2132</v>
      </c>
    </row>
    <row r="15" spans="1:33" x14ac:dyDescent="0.25">
      <c r="AA15" s="217" t="s">
        <v>918</v>
      </c>
      <c r="AE15" s="217" t="s">
        <v>1825</v>
      </c>
      <c r="AF15" s="217" t="s">
        <v>918</v>
      </c>
      <c r="AG15" s="217" t="s">
        <v>2133</v>
      </c>
    </row>
    <row r="16" spans="1:33" x14ac:dyDescent="0.25">
      <c r="AA16" s="217" t="s">
        <v>844</v>
      </c>
      <c r="AF16" s="217" t="s">
        <v>844</v>
      </c>
      <c r="AG16" s="217" t="s">
        <v>2134</v>
      </c>
    </row>
    <row r="17" spans="27:33" x14ac:dyDescent="0.25">
      <c r="AA17" s="217" t="s">
        <v>934</v>
      </c>
      <c r="AF17" s="217" t="s">
        <v>934</v>
      </c>
      <c r="AG17" s="217" t="s">
        <v>2135</v>
      </c>
    </row>
    <row r="18" spans="27:33" x14ac:dyDescent="0.25">
      <c r="AA18" s="217" t="s">
        <v>936</v>
      </c>
      <c r="AF18" s="217" t="s">
        <v>936</v>
      </c>
      <c r="AG18" s="217" t="s">
        <v>2136</v>
      </c>
    </row>
    <row r="19" spans="27:33" x14ac:dyDescent="0.25">
      <c r="AA19" s="217" t="s">
        <v>942</v>
      </c>
      <c r="AF19" s="217" t="s">
        <v>942</v>
      </c>
      <c r="AG19" s="217" t="s">
        <v>2137</v>
      </c>
    </row>
    <row r="20" spans="27:33" x14ac:dyDescent="0.25">
      <c r="AA20" s="217" t="s">
        <v>945</v>
      </c>
      <c r="AF20" s="217" t="s">
        <v>945</v>
      </c>
      <c r="AG20" s="217" t="s">
        <v>2138</v>
      </c>
    </row>
    <row r="21" spans="27:33" x14ac:dyDescent="0.25">
      <c r="AA21" s="217" t="s">
        <v>959</v>
      </c>
      <c r="AF21" s="217" t="s">
        <v>959</v>
      </c>
      <c r="AG21" s="217" t="s">
        <v>2139</v>
      </c>
    </row>
    <row r="22" spans="27:33" x14ac:dyDescent="0.25">
      <c r="AA22" s="217" t="s">
        <v>961</v>
      </c>
      <c r="AF22" s="217" t="s">
        <v>961</v>
      </c>
      <c r="AG22" s="217" t="s">
        <v>2140</v>
      </c>
    </row>
    <row r="23" spans="27:33" x14ac:dyDescent="0.25">
      <c r="AA23" s="217" t="s">
        <v>832</v>
      </c>
      <c r="AF23" s="217" t="s">
        <v>832</v>
      </c>
      <c r="AG23" s="217" t="s">
        <v>2141</v>
      </c>
    </row>
    <row r="24" spans="27:33" x14ac:dyDescent="0.25">
      <c r="AA24" s="217" t="s">
        <v>970</v>
      </c>
      <c r="AF24" s="217" t="s">
        <v>970</v>
      </c>
    </row>
    <row r="25" spans="27:33" x14ac:dyDescent="0.25">
      <c r="AA25" s="217" t="s">
        <v>972</v>
      </c>
      <c r="AF25" s="217" t="s">
        <v>972</v>
      </c>
    </row>
    <row r="26" spans="27:33" x14ac:dyDescent="0.25">
      <c r="AA26" s="217" t="s">
        <v>833</v>
      </c>
      <c r="AF26" s="217" t="s">
        <v>833</v>
      </c>
    </row>
    <row r="27" spans="27:33" x14ac:dyDescent="0.25">
      <c r="AA27" s="217" t="s">
        <v>974</v>
      </c>
      <c r="AF27" s="217" t="s">
        <v>974</v>
      </c>
    </row>
    <row r="28" spans="27:33" x14ac:dyDescent="0.25">
      <c r="AA28" s="217" t="s">
        <v>990</v>
      </c>
      <c r="AF28" s="217" t="s">
        <v>990</v>
      </c>
    </row>
    <row r="29" spans="27:33" x14ac:dyDescent="0.25">
      <c r="AA29" s="217" t="s">
        <v>1007</v>
      </c>
      <c r="AF29" s="217" t="s">
        <v>1007</v>
      </c>
    </row>
    <row r="30" spans="27:33" x14ac:dyDescent="0.25">
      <c r="AA30" s="217" t="s">
        <v>1011</v>
      </c>
      <c r="AF30" s="217" t="s">
        <v>1011</v>
      </c>
    </row>
    <row r="31" spans="27:33" x14ac:dyDescent="0.25">
      <c r="AA31" s="217" t="s">
        <v>1013</v>
      </c>
      <c r="AF31" s="217" t="s">
        <v>1013</v>
      </c>
    </row>
    <row r="32" spans="27:33" x14ac:dyDescent="0.25">
      <c r="AA32" s="217" t="s">
        <v>1023</v>
      </c>
      <c r="AF32" s="217" t="s">
        <v>1023</v>
      </c>
    </row>
    <row r="33" spans="27:32" x14ac:dyDescent="0.25">
      <c r="AA33" s="217" t="s">
        <v>1034</v>
      </c>
      <c r="AF33" s="217" t="s">
        <v>1034</v>
      </c>
    </row>
    <row r="34" spans="27:32" x14ac:dyDescent="0.25">
      <c r="AA34" s="217" t="s">
        <v>1036</v>
      </c>
      <c r="AF34" s="217" t="s">
        <v>1036</v>
      </c>
    </row>
    <row r="35" spans="27:32" x14ac:dyDescent="0.25">
      <c r="AA35" s="217" t="s">
        <v>829</v>
      </c>
      <c r="AF35" s="217" t="s">
        <v>829</v>
      </c>
    </row>
    <row r="36" spans="27:32" x14ac:dyDescent="0.25">
      <c r="AA36" s="217" t="s">
        <v>1049</v>
      </c>
      <c r="AF36" s="217" t="s">
        <v>1049</v>
      </c>
    </row>
    <row r="37" spans="27:32" x14ac:dyDescent="0.25">
      <c r="AA37" s="217" t="s">
        <v>1051</v>
      </c>
      <c r="AF37" s="217" t="s">
        <v>1051</v>
      </c>
    </row>
    <row r="38" spans="27:32" x14ac:dyDescent="0.25">
      <c r="AA38" s="217" t="s">
        <v>1055</v>
      </c>
      <c r="AF38" s="217" t="s">
        <v>1055</v>
      </c>
    </row>
    <row r="39" spans="27:32" x14ac:dyDescent="0.25">
      <c r="AA39" s="217" t="s">
        <v>1061</v>
      </c>
      <c r="AF39" s="217" t="s">
        <v>1061</v>
      </c>
    </row>
    <row r="40" spans="27:32" x14ac:dyDescent="0.25">
      <c r="AA40" s="217" t="s">
        <v>1063</v>
      </c>
      <c r="AF40" s="217" t="s">
        <v>1063</v>
      </c>
    </row>
    <row r="41" spans="27:32" x14ac:dyDescent="0.25">
      <c r="AA41" s="217" t="s">
        <v>1082</v>
      </c>
      <c r="AF41" s="217" t="s">
        <v>1082</v>
      </c>
    </row>
    <row r="42" spans="27:32" x14ac:dyDescent="0.25">
      <c r="AA42" s="217" t="s">
        <v>1086</v>
      </c>
      <c r="AF42" s="217" t="s">
        <v>1086</v>
      </c>
    </row>
    <row r="43" spans="27:32" x14ac:dyDescent="0.25">
      <c r="AA43" s="217" t="s">
        <v>1092</v>
      </c>
      <c r="AF43" s="217" t="s">
        <v>1092</v>
      </c>
    </row>
    <row r="44" spans="27:32" x14ac:dyDescent="0.25">
      <c r="AA44" s="217" t="s">
        <v>1094</v>
      </c>
      <c r="AF44" s="217" t="s">
        <v>1094</v>
      </c>
    </row>
    <row r="45" spans="27:32" x14ac:dyDescent="0.25">
      <c r="AA45" s="217" t="s">
        <v>1099</v>
      </c>
      <c r="AF45" s="217" t="s">
        <v>1099</v>
      </c>
    </row>
    <row r="46" spans="27:32" x14ac:dyDescent="0.25">
      <c r="AA46" s="217" t="s">
        <v>1109</v>
      </c>
      <c r="AF46" s="217" t="s">
        <v>1109</v>
      </c>
    </row>
    <row r="47" spans="27:32" x14ac:dyDescent="0.25">
      <c r="AA47" s="217" t="s">
        <v>1111</v>
      </c>
      <c r="AF47" s="217" t="s">
        <v>1111</v>
      </c>
    </row>
    <row r="48" spans="27:32" x14ac:dyDescent="0.25">
      <c r="AA48" s="217" t="s">
        <v>1127</v>
      </c>
      <c r="AF48" s="217" t="s">
        <v>1127</v>
      </c>
    </row>
    <row r="49" spans="27:32" x14ac:dyDescent="0.25">
      <c r="AA49" s="217" t="s">
        <v>1131</v>
      </c>
      <c r="AF49" s="217" t="s">
        <v>1131</v>
      </c>
    </row>
    <row r="50" spans="27:32" x14ac:dyDescent="0.25">
      <c r="AA50" s="217" t="s">
        <v>1134</v>
      </c>
      <c r="AF50" s="217" t="s">
        <v>1134</v>
      </c>
    </row>
    <row r="51" spans="27:32" x14ac:dyDescent="0.25">
      <c r="AA51" s="217" t="s">
        <v>841</v>
      </c>
      <c r="AF51" s="217" t="s">
        <v>841</v>
      </c>
    </row>
    <row r="52" spans="27:32" x14ac:dyDescent="0.25">
      <c r="AA52" s="217" t="s">
        <v>828</v>
      </c>
      <c r="AF52" s="217" t="s">
        <v>828</v>
      </c>
    </row>
    <row r="53" spans="27:32" x14ac:dyDescent="0.25">
      <c r="AA53" s="217" t="s">
        <v>843</v>
      </c>
      <c r="AF53" s="217" t="s">
        <v>843</v>
      </c>
    </row>
    <row r="54" spans="27:32" x14ac:dyDescent="0.25">
      <c r="AA54" s="217" t="s">
        <v>838</v>
      </c>
      <c r="AF54" s="217" t="s">
        <v>838</v>
      </c>
    </row>
    <row r="55" spans="27:32" x14ac:dyDescent="0.25">
      <c r="AA55" s="217" t="s">
        <v>831</v>
      </c>
      <c r="AF55" s="217" t="s">
        <v>831</v>
      </c>
    </row>
    <row r="56" spans="27:32" x14ac:dyDescent="0.25">
      <c r="AA56" s="217" t="s">
        <v>968</v>
      </c>
      <c r="AF56" s="217" t="s">
        <v>968</v>
      </c>
    </row>
    <row r="57" spans="27:32" x14ac:dyDescent="0.25">
      <c r="AA57" s="217" t="s">
        <v>924</v>
      </c>
      <c r="AF57" s="217" t="s">
        <v>924</v>
      </c>
    </row>
    <row r="58" spans="27:32" x14ac:dyDescent="0.25">
      <c r="AA58" s="217" t="s">
        <v>853</v>
      </c>
      <c r="AF58" s="217" t="s">
        <v>853</v>
      </c>
    </row>
    <row r="59" spans="27:32" x14ac:dyDescent="0.25">
      <c r="AA59" s="217" t="s">
        <v>857</v>
      </c>
      <c r="AF59" s="217" t="s">
        <v>857</v>
      </c>
    </row>
    <row r="60" spans="27:32" x14ac:dyDescent="0.25">
      <c r="AA60" s="217" t="s">
        <v>863</v>
      </c>
      <c r="AF60" s="217" t="s">
        <v>863</v>
      </c>
    </row>
    <row r="61" spans="27:32" x14ac:dyDescent="0.25">
      <c r="AA61" s="217" t="s">
        <v>865</v>
      </c>
      <c r="AF61" s="217" t="s">
        <v>865</v>
      </c>
    </row>
    <row r="62" spans="27:32" x14ac:dyDescent="0.25">
      <c r="AA62" s="217" t="s">
        <v>867</v>
      </c>
      <c r="AF62" s="217" t="s">
        <v>867</v>
      </c>
    </row>
    <row r="63" spans="27:32" x14ac:dyDescent="0.25">
      <c r="AA63" s="217" t="s">
        <v>869</v>
      </c>
      <c r="AF63" s="217" t="s">
        <v>869</v>
      </c>
    </row>
    <row r="64" spans="27:32" x14ac:dyDescent="0.25">
      <c r="AA64" s="217" t="s">
        <v>873</v>
      </c>
      <c r="AF64" s="217" t="s">
        <v>873</v>
      </c>
    </row>
    <row r="65" spans="27:32" x14ac:dyDescent="0.25">
      <c r="AA65" s="217" t="s">
        <v>879</v>
      </c>
      <c r="AF65" s="217" t="s">
        <v>879</v>
      </c>
    </row>
    <row r="66" spans="27:32" x14ac:dyDescent="0.25">
      <c r="AA66" s="217" t="s">
        <v>881</v>
      </c>
      <c r="AF66" s="217" t="s">
        <v>881</v>
      </c>
    </row>
    <row r="67" spans="27:32" x14ac:dyDescent="0.25">
      <c r="AA67" s="217" t="s">
        <v>883</v>
      </c>
      <c r="AF67" s="217" t="s">
        <v>883</v>
      </c>
    </row>
    <row r="68" spans="27:32" x14ac:dyDescent="0.25">
      <c r="AA68" s="217" t="s">
        <v>885</v>
      </c>
      <c r="AF68" s="217" t="s">
        <v>885</v>
      </c>
    </row>
    <row r="69" spans="27:32" x14ac:dyDescent="0.25">
      <c r="AA69" s="217" t="s">
        <v>887</v>
      </c>
      <c r="AF69" s="217" t="s">
        <v>887</v>
      </c>
    </row>
    <row r="70" spans="27:32" x14ac:dyDescent="0.25">
      <c r="AA70" s="217" t="s">
        <v>889</v>
      </c>
      <c r="AF70" s="217" t="s">
        <v>889</v>
      </c>
    </row>
    <row r="71" spans="27:32" x14ac:dyDescent="0.25">
      <c r="AA71" s="217" t="s">
        <v>893</v>
      </c>
      <c r="AF71" s="217" t="s">
        <v>893</v>
      </c>
    </row>
    <row r="72" spans="27:32" x14ac:dyDescent="0.25">
      <c r="AA72" s="217" t="s">
        <v>897</v>
      </c>
      <c r="AF72" s="217" t="s">
        <v>897</v>
      </c>
    </row>
    <row r="73" spans="27:32" x14ac:dyDescent="0.25">
      <c r="AA73" s="217" t="s">
        <v>570</v>
      </c>
      <c r="AF73" s="217" t="s">
        <v>570</v>
      </c>
    </row>
    <row r="74" spans="27:32" x14ac:dyDescent="0.25">
      <c r="AA74" s="217" t="s">
        <v>901</v>
      </c>
      <c r="AF74" s="217" t="s">
        <v>901</v>
      </c>
    </row>
    <row r="75" spans="27:32" x14ac:dyDescent="0.25">
      <c r="AA75" s="217" t="s">
        <v>907</v>
      </c>
      <c r="AF75" s="217" t="s">
        <v>907</v>
      </c>
    </row>
    <row r="76" spans="27:32" x14ac:dyDescent="0.25">
      <c r="AA76" s="217" t="s">
        <v>909</v>
      </c>
      <c r="AF76" s="217" t="s">
        <v>909</v>
      </c>
    </row>
    <row r="77" spans="27:32" x14ac:dyDescent="0.25">
      <c r="AA77" s="217" t="s">
        <v>911</v>
      </c>
      <c r="AF77" s="217" t="s">
        <v>911</v>
      </c>
    </row>
    <row r="78" spans="27:32" x14ac:dyDescent="0.25">
      <c r="AA78" s="217" t="s">
        <v>913</v>
      </c>
      <c r="AF78" s="217" t="s">
        <v>913</v>
      </c>
    </row>
    <row r="79" spans="27:32" x14ac:dyDescent="0.25">
      <c r="AA79" s="217" t="s">
        <v>915</v>
      </c>
      <c r="AF79" s="217" t="s">
        <v>915</v>
      </c>
    </row>
    <row r="80" spans="27:32" x14ac:dyDescent="0.25">
      <c r="AA80" s="217" t="s">
        <v>920</v>
      </c>
      <c r="AF80" s="217" t="s">
        <v>920</v>
      </c>
    </row>
    <row r="81" spans="27:32" x14ac:dyDescent="0.25">
      <c r="AA81" s="217" t="s">
        <v>922</v>
      </c>
      <c r="AF81" s="217" t="s">
        <v>922</v>
      </c>
    </row>
    <row r="82" spans="27:32" x14ac:dyDescent="0.25">
      <c r="AA82" s="217" t="s">
        <v>926</v>
      </c>
      <c r="AF82" s="217" t="s">
        <v>926</v>
      </c>
    </row>
    <row r="83" spans="27:32" x14ac:dyDescent="0.25">
      <c r="AA83" s="217" t="s">
        <v>928</v>
      </c>
      <c r="AF83" s="217" t="s">
        <v>928</v>
      </c>
    </row>
    <row r="84" spans="27:32" x14ac:dyDescent="0.25">
      <c r="AA84" s="217" t="s">
        <v>930</v>
      </c>
      <c r="AF84" s="217" t="s">
        <v>930</v>
      </c>
    </row>
    <row r="85" spans="27:32" x14ac:dyDescent="0.25">
      <c r="AA85" s="217" t="s">
        <v>932</v>
      </c>
      <c r="AF85" s="217" t="s">
        <v>932</v>
      </c>
    </row>
    <row r="86" spans="27:32" x14ac:dyDescent="0.25">
      <c r="AA86" s="217" t="s">
        <v>938</v>
      </c>
      <c r="AF86" s="217" t="s">
        <v>938</v>
      </c>
    </row>
    <row r="87" spans="27:32" x14ac:dyDescent="0.25">
      <c r="AA87" s="217" t="s">
        <v>940</v>
      </c>
      <c r="AF87" s="217" t="s">
        <v>940</v>
      </c>
    </row>
    <row r="88" spans="27:32" x14ac:dyDescent="0.25">
      <c r="AA88" s="217" t="s">
        <v>947</v>
      </c>
      <c r="AF88" s="217" t="s">
        <v>947</v>
      </c>
    </row>
    <row r="89" spans="27:32" x14ac:dyDescent="0.25">
      <c r="AA89" s="217" t="s">
        <v>949</v>
      </c>
      <c r="AF89" s="217" t="s">
        <v>949</v>
      </c>
    </row>
    <row r="90" spans="27:32" x14ac:dyDescent="0.25">
      <c r="AA90" s="217" t="s">
        <v>951</v>
      </c>
      <c r="AF90" s="217" t="s">
        <v>951</v>
      </c>
    </row>
    <row r="91" spans="27:32" x14ac:dyDescent="0.25">
      <c r="AA91" s="217" t="s">
        <v>953</v>
      </c>
      <c r="AF91" s="217" t="s">
        <v>953</v>
      </c>
    </row>
    <row r="92" spans="27:32" x14ac:dyDescent="0.25">
      <c r="AA92" s="217" t="s">
        <v>955</v>
      </c>
      <c r="AF92" s="217" t="s">
        <v>955</v>
      </c>
    </row>
    <row r="93" spans="27:32" x14ac:dyDescent="0.25">
      <c r="AA93" s="217" t="s">
        <v>957</v>
      </c>
      <c r="AF93" s="217" t="s">
        <v>957</v>
      </c>
    </row>
    <row r="94" spans="27:32" x14ac:dyDescent="0.25">
      <c r="AA94" s="217" t="s">
        <v>964</v>
      </c>
      <c r="AF94" s="217" t="s">
        <v>964</v>
      </c>
    </row>
    <row r="95" spans="27:32" x14ac:dyDescent="0.25">
      <c r="AA95" s="217" t="s">
        <v>966</v>
      </c>
      <c r="AF95" s="217" t="s">
        <v>966</v>
      </c>
    </row>
    <row r="96" spans="27:32" x14ac:dyDescent="0.25">
      <c r="AA96" s="217" t="s">
        <v>976</v>
      </c>
      <c r="AF96" s="217" t="s">
        <v>976</v>
      </c>
    </row>
    <row r="97" spans="27:32" x14ac:dyDescent="0.25">
      <c r="AA97" s="217" t="s">
        <v>978</v>
      </c>
      <c r="AF97" s="217" t="s">
        <v>978</v>
      </c>
    </row>
    <row r="98" spans="27:32" x14ac:dyDescent="0.25">
      <c r="AA98" s="217" t="s">
        <v>980</v>
      </c>
      <c r="AF98" s="217" t="s">
        <v>980</v>
      </c>
    </row>
    <row r="99" spans="27:32" x14ac:dyDescent="0.25">
      <c r="AA99" s="217" t="s">
        <v>982</v>
      </c>
      <c r="AF99" s="217" t="s">
        <v>982</v>
      </c>
    </row>
    <row r="100" spans="27:32" x14ac:dyDescent="0.25">
      <c r="AA100" s="217" t="s">
        <v>984</v>
      </c>
      <c r="AF100" s="217" t="s">
        <v>984</v>
      </c>
    </row>
    <row r="101" spans="27:32" x14ac:dyDescent="0.25">
      <c r="AA101" s="217" t="s">
        <v>986</v>
      </c>
      <c r="AF101" s="217" t="s">
        <v>986</v>
      </c>
    </row>
    <row r="102" spans="27:32" x14ac:dyDescent="0.25">
      <c r="AA102" s="217" t="s">
        <v>988</v>
      </c>
      <c r="AF102" s="217" t="s">
        <v>988</v>
      </c>
    </row>
    <row r="103" spans="27:32" x14ac:dyDescent="0.25">
      <c r="AA103" s="217" t="s">
        <v>992</v>
      </c>
      <c r="AF103" s="217" t="s">
        <v>992</v>
      </c>
    </row>
    <row r="104" spans="27:32" x14ac:dyDescent="0.25">
      <c r="AA104" s="217" t="s">
        <v>994</v>
      </c>
      <c r="AF104" s="217" t="s">
        <v>994</v>
      </c>
    </row>
    <row r="105" spans="27:32" x14ac:dyDescent="0.25">
      <c r="AA105" s="217" t="s">
        <v>996</v>
      </c>
      <c r="AF105" s="217" t="s">
        <v>996</v>
      </c>
    </row>
    <row r="106" spans="27:32" x14ac:dyDescent="0.25">
      <c r="AA106" s="217" t="s">
        <v>998</v>
      </c>
      <c r="AF106" s="217" t="s">
        <v>998</v>
      </c>
    </row>
    <row r="107" spans="27:32" x14ac:dyDescent="0.25">
      <c r="AA107" s="217" t="s">
        <v>1000</v>
      </c>
      <c r="AF107" s="217" t="s">
        <v>1000</v>
      </c>
    </row>
    <row r="108" spans="27:32" x14ac:dyDescent="0.25">
      <c r="AA108" s="217" t="s">
        <v>52</v>
      </c>
      <c r="AF108" s="217" t="s">
        <v>52</v>
      </c>
    </row>
    <row r="109" spans="27:32" x14ac:dyDescent="0.25">
      <c r="AA109" s="217" t="s">
        <v>1003</v>
      </c>
      <c r="AF109" s="217" t="s">
        <v>1003</v>
      </c>
    </row>
    <row r="110" spans="27:32" x14ac:dyDescent="0.25">
      <c r="AA110" s="217" t="s">
        <v>1005</v>
      </c>
      <c r="AF110" s="217" t="s">
        <v>1005</v>
      </c>
    </row>
    <row r="111" spans="27:32" x14ac:dyDescent="0.25">
      <c r="AA111" s="217" t="s">
        <v>1009</v>
      </c>
      <c r="AF111" s="217" t="s">
        <v>1009</v>
      </c>
    </row>
    <row r="112" spans="27:32" x14ac:dyDescent="0.25">
      <c r="AA112" s="217" t="s">
        <v>1015</v>
      </c>
      <c r="AF112" s="217" t="s">
        <v>1015</v>
      </c>
    </row>
    <row r="113" spans="27:32" x14ac:dyDescent="0.25">
      <c r="AA113" s="217" t="s">
        <v>1017</v>
      </c>
      <c r="AF113" s="217" t="s">
        <v>1017</v>
      </c>
    </row>
    <row r="114" spans="27:32" x14ac:dyDescent="0.25">
      <c r="AA114" s="217" t="s">
        <v>1019</v>
      </c>
      <c r="AF114" s="217" t="s">
        <v>1019</v>
      </c>
    </row>
    <row r="115" spans="27:32" x14ac:dyDescent="0.25">
      <c r="AA115" s="217" t="s">
        <v>1021</v>
      </c>
      <c r="AF115" s="217" t="s">
        <v>1021</v>
      </c>
    </row>
    <row r="116" spans="27:32" x14ac:dyDescent="0.25">
      <c r="AA116" s="217" t="s">
        <v>1025</v>
      </c>
      <c r="AF116" s="217" t="s">
        <v>1025</v>
      </c>
    </row>
    <row r="117" spans="27:32" x14ac:dyDescent="0.25">
      <c r="AA117" s="217" t="s">
        <v>1027</v>
      </c>
      <c r="AF117" s="217" t="s">
        <v>1027</v>
      </c>
    </row>
    <row r="118" spans="27:32" x14ac:dyDescent="0.25">
      <c r="AA118" s="217" t="s">
        <v>1029</v>
      </c>
      <c r="AF118" s="217" t="s">
        <v>1029</v>
      </c>
    </row>
    <row r="119" spans="27:32" x14ac:dyDescent="0.25">
      <c r="AA119" s="217" t="s">
        <v>1031</v>
      </c>
      <c r="AF119" s="217" t="s">
        <v>1031</v>
      </c>
    </row>
    <row r="120" spans="27:32" x14ac:dyDescent="0.25">
      <c r="AA120" s="217" t="s">
        <v>1038</v>
      </c>
      <c r="AF120" s="217" t="s">
        <v>1038</v>
      </c>
    </row>
    <row r="121" spans="27:32" x14ac:dyDescent="0.25">
      <c r="AA121" s="217" t="s">
        <v>1041</v>
      </c>
      <c r="AF121" s="217" t="s">
        <v>1041</v>
      </c>
    </row>
    <row r="122" spans="27:32" x14ac:dyDescent="0.25">
      <c r="AA122" s="217" t="s">
        <v>1043</v>
      </c>
      <c r="AF122" s="217" t="s">
        <v>1043</v>
      </c>
    </row>
    <row r="123" spans="27:32" x14ac:dyDescent="0.25">
      <c r="AA123" s="217" t="s">
        <v>1045</v>
      </c>
      <c r="AF123" s="217" t="s">
        <v>1045</v>
      </c>
    </row>
    <row r="124" spans="27:32" x14ac:dyDescent="0.25">
      <c r="AA124" s="217" t="s">
        <v>1047</v>
      </c>
      <c r="AF124" s="217" t="s">
        <v>1047</v>
      </c>
    </row>
    <row r="125" spans="27:32" x14ac:dyDescent="0.25">
      <c r="AA125" s="217" t="s">
        <v>839</v>
      </c>
      <c r="AF125" s="217" t="s">
        <v>839</v>
      </c>
    </row>
    <row r="126" spans="27:32" x14ac:dyDescent="0.25">
      <c r="AA126" s="217" t="s">
        <v>1053</v>
      </c>
      <c r="AF126" s="217" t="s">
        <v>1053</v>
      </c>
    </row>
    <row r="127" spans="27:32" x14ac:dyDescent="0.25">
      <c r="AA127" s="217" t="s">
        <v>1057</v>
      </c>
      <c r="AF127" s="217" t="s">
        <v>1057</v>
      </c>
    </row>
    <row r="128" spans="27:32" x14ac:dyDescent="0.25">
      <c r="AA128" s="217" t="s">
        <v>1059</v>
      </c>
      <c r="AF128" s="217" t="s">
        <v>1059</v>
      </c>
    </row>
    <row r="129" spans="27:32" x14ac:dyDescent="0.25">
      <c r="AA129" s="217" t="s">
        <v>1065</v>
      </c>
      <c r="AF129" s="217" t="s">
        <v>1065</v>
      </c>
    </row>
    <row r="130" spans="27:32" x14ac:dyDescent="0.25">
      <c r="AA130" s="217" t="s">
        <v>1067</v>
      </c>
      <c r="AF130" s="217" t="s">
        <v>1067</v>
      </c>
    </row>
    <row r="131" spans="27:32" x14ac:dyDescent="0.25">
      <c r="AA131" s="217" t="s">
        <v>1069</v>
      </c>
      <c r="AF131" s="217" t="s">
        <v>1069</v>
      </c>
    </row>
    <row r="132" spans="27:32" x14ac:dyDescent="0.25">
      <c r="AA132" s="217" t="s">
        <v>1071</v>
      </c>
      <c r="AF132" s="217" t="s">
        <v>1071</v>
      </c>
    </row>
    <row r="133" spans="27:32" x14ac:dyDescent="0.25">
      <c r="AA133" s="217" t="s">
        <v>1073</v>
      </c>
      <c r="AF133" s="217" t="s">
        <v>1073</v>
      </c>
    </row>
    <row r="134" spans="27:32" x14ac:dyDescent="0.25">
      <c r="AA134" s="217" t="s">
        <v>1076</v>
      </c>
      <c r="AF134" s="217" t="s">
        <v>1076</v>
      </c>
    </row>
    <row r="135" spans="27:32" x14ac:dyDescent="0.25">
      <c r="AA135" s="217" t="s">
        <v>1078</v>
      </c>
      <c r="AF135" s="217" t="s">
        <v>1078</v>
      </c>
    </row>
    <row r="136" spans="27:32" x14ac:dyDescent="0.25">
      <c r="AA136" s="217" t="s">
        <v>1080</v>
      </c>
      <c r="AF136" s="217" t="s">
        <v>1080</v>
      </c>
    </row>
    <row r="137" spans="27:32" x14ac:dyDescent="0.25">
      <c r="AA137" s="217" t="s">
        <v>1084</v>
      </c>
      <c r="AF137" s="217" t="s">
        <v>1084</v>
      </c>
    </row>
    <row r="138" spans="27:32" x14ac:dyDescent="0.25">
      <c r="AA138" s="217" t="s">
        <v>1088</v>
      </c>
      <c r="AF138" s="217" t="s">
        <v>1088</v>
      </c>
    </row>
    <row r="139" spans="27:32" x14ac:dyDescent="0.25">
      <c r="AA139" s="217" t="s">
        <v>1090</v>
      </c>
      <c r="AF139" s="217" t="s">
        <v>1090</v>
      </c>
    </row>
    <row r="140" spans="27:32" x14ac:dyDescent="0.25">
      <c r="AA140" s="217" t="s">
        <v>1096</v>
      </c>
      <c r="AF140" s="217" t="s">
        <v>1096</v>
      </c>
    </row>
    <row r="141" spans="27:32" x14ac:dyDescent="0.25">
      <c r="AA141" s="217" t="s">
        <v>1101</v>
      </c>
      <c r="AF141" s="217" t="s">
        <v>1101</v>
      </c>
    </row>
    <row r="142" spans="27:32" x14ac:dyDescent="0.25">
      <c r="AA142" s="217" t="s">
        <v>1103</v>
      </c>
      <c r="AF142" s="217" t="s">
        <v>1103</v>
      </c>
    </row>
    <row r="143" spans="27:32" x14ac:dyDescent="0.25">
      <c r="AA143" s="217" t="s">
        <v>1105</v>
      </c>
      <c r="AF143" s="217" t="s">
        <v>1105</v>
      </c>
    </row>
    <row r="144" spans="27:32" x14ac:dyDescent="0.25">
      <c r="AA144" s="217" t="s">
        <v>1107</v>
      </c>
      <c r="AF144" s="217" t="s">
        <v>1107</v>
      </c>
    </row>
    <row r="145" spans="27:32" x14ac:dyDescent="0.25">
      <c r="AA145" s="217" t="s">
        <v>1113</v>
      </c>
      <c r="AF145" s="217" t="s">
        <v>1113</v>
      </c>
    </row>
    <row r="146" spans="27:32" x14ac:dyDescent="0.25">
      <c r="AA146" s="217" t="s">
        <v>1116</v>
      </c>
      <c r="AF146" s="217" t="s">
        <v>1116</v>
      </c>
    </row>
    <row r="147" spans="27:32" x14ac:dyDescent="0.25">
      <c r="AA147" s="217" t="s">
        <v>1118</v>
      </c>
      <c r="AF147" s="217" t="s">
        <v>1118</v>
      </c>
    </row>
    <row r="148" spans="27:32" x14ac:dyDescent="0.25">
      <c r="AA148" s="217" t="s">
        <v>1121</v>
      </c>
      <c r="AF148" s="217" t="s">
        <v>1121</v>
      </c>
    </row>
    <row r="149" spans="27:32" x14ac:dyDescent="0.25">
      <c r="AA149" s="217" t="s">
        <v>1123</v>
      </c>
      <c r="AF149" s="217" t="s">
        <v>1123</v>
      </c>
    </row>
    <row r="150" spans="27:32" x14ac:dyDescent="0.25">
      <c r="AA150" s="217" t="s">
        <v>1125</v>
      </c>
      <c r="AF150" s="217" t="s">
        <v>1125</v>
      </c>
    </row>
    <row r="151" spans="27:32" x14ac:dyDescent="0.25">
      <c r="AA151" s="217" t="s">
        <v>1129</v>
      </c>
      <c r="AF151" s="217" t="s">
        <v>1129</v>
      </c>
    </row>
    <row r="152" spans="27:32" x14ac:dyDescent="0.25">
      <c r="AA152" s="217" t="s">
        <v>1132</v>
      </c>
      <c r="AF152" s="217" t="s">
        <v>1132</v>
      </c>
    </row>
    <row r="153" spans="27:32" x14ac:dyDescent="0.25">
      <c r="AA153" s="217" t="s">
        <v>2112</v>
      </c>
      <c r="AF153" s="217" t="s">
        <v>2112</v>
      </c>
    </row>
    <row r="154" spans="27:32" x14ac:dyDescent="0.25">
      <c r="AA154" s="217" t="s">
        <v>1801</v>
      </c>
      <c r="AF154" s="217" t="s">
        <v>1801</v>
      </c>
    </row>
    <row r="155" spans="27:32" x14ac:dyDescent="0.25">
      <c r="AA155" s="217" t="s">
        <v>1802</v>
      </c>
      <c r="AF155" s="217" t="s">
        <v>1802</v>
      </c>
    </row>
    <row r="156" spans="27:32" x14ac:dyDescent="0.25">
      <c r="AA156" s="217" t="s">
        <v>1803</v>
      </c>
      <c r="AF156" s="217" t="s">
        <v>1803</v>
      </c>
    </row>
    <row r="157" spans="27:32" x14ac:dyDescent="0.25">
      <c r="AA157" s="217" t="s">
        <v>1804</v>
      </c>
      <c r="AF157" s="217" t="s">
        <v>1804</v>
      </c>
    </row>
    <row r="158" spans="27:32" x14ac:dyDescent="0.25">
      <c r="AA158" s="217" t="s">
        <v>1748</v>
      </c>
      <c r="AF158" s="217" t="s">
        <v>1748</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ckager Shell Object" dvAspect="DVASPECT_ICON" shapeId="4097" r:id="rId4">
          <objectPr defaultSize="0" r:id="rId5">
            <anchor moveWithCells="1">
              <from>
                <xdr:col>0</xdr:col>
                <xdr:colOff>0</xdr:colOff>
                <xdr:row>0</xdr:row>
                <xdr:rowOff>0</xdr:rowOff>
              </from>
              <to>
                <xdr:col>5</xdr:col>
                <xdr:colOff>304800</xdr:colOff>
                <xdr:row>2</xdr:row>
                <xdr:rowOff>114300</xdr:rowOff>
              </to>
            </anchor>
          </objectPr>
        </oleObject>
      </mc:Choice>
      <mc:Fallback>
        <oleObject progId="Packager Shell Object" dvAspect="DVASPECT_ICON" shapeId="4097" r:id="rId4"/>
      </mc:Fallback>
    </mc:AlternateContent>
    <mc:AlternateContent xmlns:mc="http://schemas.openxmlformats.org/markup-compatibility/2006">
      <mc:Choice Requires="x14">
        <oleObject progId="Packager Shell Object" dvAspect="DVASPECT_ICON" shapeId="4102" r:id="rId6">
          <objectPr defaultSize="0" r:id="rId7">
            <anchor moveWithCells="1">
              <from>
                <xdr:col>0</xdr:col>
                <xdr:colOff>0</xdr:colOff>
                <xdr:row>0</xdr:row>
                <xdr:rowOff>0</xdr:rowOff>
              </from>
              <to>
                <xdr:col>0</xdr:col>
                <xdr:colOff>552450</xdr:colOff>
                <xdr:row>2</xdr:row>
                <xdr:rowOff>114300</xdr:rowOff>
              </to>
            </anchor>
          </objectPr>
        </oleObject>
      </mc:Choice>
      <mc:Fallback>
        <oleObject progId="Packager Shell Object" dvAspect="DVASPECT_ICON" shapeId="4102" r:id="rId6"/>
      </mc:Fallback>
    </mc:AlternateContent>
    <mc:AlternateContent xmlns:mc="http://schemas.openxmlformats.org/markup-compatibility/2006">
      <mc:Choice Requires="x14">
        <oleObject progId="Packager Shell Object" dvAspect="DVASPECT_ICON" shapeId="4103" r:id="rId8">
          <objectPr defaultSize="0" r:id="rId9">
            <anchor moveWithCells="1">
              <from>
                <xdr:col>0</xdr:col>
                <xdr:colOff>0</xdr:colOff>
                <xdr:row>0</xdr:row>
                <xdr:rowOff>0</xdr:rowOff>
              </from>
              <to>
                <xdr:col>1</xdr:col>
                <xdr:colOff>333375</xdr:colOff>
                <xdr:row>2</xdr:row>
                <xdr:rowOff>114300</xdr:rowOff>
              </to>
            </anchor>
          </objectPr>
        </oleObject>
      </mc:Choice>
      <mc:Fallback>
        <oleObject progId="Packager Shell Object" dvAspect="DVASPECT_ICON" shapeId="4103"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sheetPr>
  <dimension ref="A1:CL1005"/>
  <sheetViews>
    <sheetView showGridLines="0" tabSelected="1" zoomScale="80" zoomScaleNormal="80" zoomScaleSheetLayoutView="70" workbookViewId="0">
      <pane xSplit="8" ySplit="4" topLeftCell="I25" activePane="bottomRight" state="frozen"/>
      <selection pane="topRight" activeCell="I1" sqref="I1"/>
      <selection pane="bottomLeft" activeCell="A5" sqref="A5"/>
      <selection pane="bottomRight" activeCell="A25" sqref="A25"/>
    </sheetView>
  </sheetViews>
  <sheetFormatPr defaultColWidth="11" defaultRowHeight="12.75" outlineLevelCol="1" x14ac:dyDescent="0.2"/>
  <cols>
    <col min="1" max="1" width="11.5" style="271" customWidth="1"/>
    <col min="2" max="2" width="11.125" style="113" hidden="1" customWidth="1"/>
    <col min="3" max="3" width="16.75" style="274" customWidth="1"/>
    <col min="4" max="4" width="16.75" style="102" hidden="1" customWidth="1"/>
    <col min="5" max="5" width="16.75" style="277" customWidth="1"/>
    <col min="6" max="6" width="7.625" style="102" hidden="1" customWidth="1"/>
    <col min="7" max="7" width="12.25" style="102" hidden="1" customWidth="1"/>
    <col min="8" max="8" width="27.5" style="274" customWidth="1"/>
    <col min="9" max="9" width="23.625" style="114" customWidth="1"/>
    <col min="10" max="10" width="8.25" style="114" hidden="1" customWidth="1"/>
    <col min="11" max="11" width="7" style="102" hidden="1" customWidth="1"/>
    <col min="12" max="12" width="8.5" style="102" hidden="1" customWidth="1"/>
    <col min="13" max="13" width="15.75" style="100" customWidth="1"/>
    <col min="14" max="14" width="11.625" style="251" customWidth="1"/>
    <col min="15" max="15" width="12.25" style="286" customWidth="1"/>
    <col min="16" max="16" width="13.25" style="115" hidden="1" customWidth="1"/>
    <col min="17" max="17" width="7.625" style="115" hidden="1" customWidth="1"/>
    <col min="18" max="18" width="10.625" style="115" hidden="1" customWidth="1"/>
    <col min="19" max="19" width="11.75" style="115" hidden="1" customWidth="1"/>
    <col min="20" max="20" width="18.5" style="116" customWidth="1"/>
    <col min="21" max="21" width="8.75" style="117" hidden="1" customWidth="1"/>
    <col min="22" max="22" width="10.125" style="100" customWidth="1"/>
    <col min="23" max="23" width="10.25" style="118" customWidth="1"/>
    <col min="24" max="25" width="13.75" style="253" customWidth="1" outlineLevel="1"/>
    <col min="26" max="26" width="13.75" style="260" customWidth="1" outlineLevel="1"/>
    <col min="27" max="27" width="19.25" style="257" customWidth="1" outlineLevel="1"/>
    <col min="28" max="28" width="13.75" style="253" customWidth="1" outlineLevel="1"/>
    <col min="29" max="29" width="19.25" style="257" customWidth="1" outlineLevel="1"/>
    <col min="30" max="30" width="13.75" style="253" customWidth="1" outlineLevel="1"/>
    <col min="31" max="31" width="19.25" style="257" customWidth="1" outlineLevel="1"/>
    <col min="32" max="32" width="13.75" style="253" customWidth="1" outlineLevel="1"/>
    <col min="33" max="33" width="19.25" style="257" customWidth="1" outlineLevel="1"/>
    <col min="34" max="34" width="13.75" style="257" customWidth="1" outlineLevel="1"/>
    <col min="35" max="35" width="19.25" style="257" customWidth="1" outlineLevel="1"/>
    <col min="36" max="36" width="2.25" style="113" customWidth="1"/>
    <col min="37" max="37" width="13.75" style="253" customWidth="1" outlineLevel="1"/>
    <col min="38" max="38" width="16.75" style="253" customWidth="1" outlineLevel="1"/>
    <col min="39" max="39" width="13.75" style="253" customWidth="1" outlineLevel="1"/>
    <col min="40" max="40" width="19.25" style="257" customWidth="1" outlineLevel="1"/>
    <col min="41" max="41" width="13.75" style="253" customWidth="1" outlineLevel="1"/>
    <col min="42" max="42" width="19.25" style="257" customWidth="1" outlineLevel="1"/>
    <col min="43" max="43" width="13.75" style="253" customWidth="1" outlineLevel="1"/>
    <col min="44" max="44" width="19.25" style="257" customWidth="1" outlineLevel="1"/>
    <col min="45" max="45" width="13.75" style="253" customWidth="1" outlineLevel="1"/>
    <col min="46" max="46" width="19.25" style="257" customWidth="1" outlineLevel="1"/>
    <col min="47" max="47" width="13.75" style="257" customWidth="1" outlineLevel="1"/>
    <col min="48" max="48" width="19.25" style="257" customWidth="1" outlineLevel="1"/>
    <col min="49" max="49" width="1.75" style="269" customWidth="1"/>
    <col min="50" max="52" width="13.75" style="253" customWidth="1" outlineLevel="1"/>
    <col min="53" max="53" width="15.75" style="257" customWidth="1" outlineLevel="1"/>
    <col min="54" max="54" width="13.75" style="253" customWidth="1" outlineLevel="1"/>
    <col min="55" max="55" width="11" style="257" customWidth="1" outlineLevel="1"/>
    <col min="56" max="56" width="13.75" style="253" customWidth="1" outlineLevel="1"/>
    <col min="57" max="57" width="11" style="257" customWidth="1" outlineLevel="1"/>
    <col min="58" max="58" width="13.75" style="253" customWidth="1" outlineLevel="1"/>
    <col min="59" max="59" width="15.25" style="257" customWidth="1" outlineLevel="1"/>
    <col min="60" max="60" width="13.75" style="257" customWidth="1" outlineLevel="1"/>
    <col min="61" max="61" width="16.75" style="270" customWidth="1" outlineLevel="1"/>
    <col min="62" max="62" width="2.25" style="269" customWidth="1"/>
    <col min="63" max="65" width="13.75" style="253" customWidth="1" outlineLevel="1"/>
    <col min="66" max="66" width="11" style="257" customWidth="1" outlineLevel="1"/>
    <col min="67" max="67" width="13.75" style="253" customWidth="1" outlineLevel="1"/>
    <col min="68" max="68" width="15.25" style="257" customWidth="1" outlineLevel="1"/>
    <col min="69" max="69" width="13.75" style="253" customWidth="1" outlineLevel="1"/>
    <col min="70" max="70" width="15.25" style="257" customWidth="1" outlineLevel="1"/>
    <col min="71" max="71" width="13.75" style="270" customWidth="1" outlineLevel="1"/>
    <col min="72" max="72" width="15.25" style="257" customWidth="1" outlineLevel="1"/>
    <col min="73" max="73" width="13.75" style="257" customWidth="1" outlineLevel="1"/>
    <col min="74" max="74" width="16.75" style="257" customWidth="1" outlineLevel="1"/>
    <col min="75" max="75" width="2" style="269" customWidth="1" outlineLevel="1"/>
    <col min="76" max="76" width="13.75" style="257" customWidth="1" outlineLevel="1"/>
    <col min="77" max="77" width="20.25" style="257" customWidth="1" outlineLevel="1"/>
    <col min="78" max="78" width="27.125" style="274" customWidth="1"/>
    <col min="79" max="79" width="32.125" style="274" customWidth="1"/>
    <col min="80" max="80" width="0" style="100" hidden="1" customWidth="1"/>
    <col min="81" max="81" width="5.25" style="100" hidden="1" customWidth="1"/>
    <col min="82" max="82" width="5.5" style="100" hidden="1" customWidth="1"/>
    <col min="83" max="83" width="4.5" style="100" hidden="1" customWidth="1"/>
    <col min="84" max="85" width="14.25" style="288" customWidth="1"/>
    <col min="86" max="87" width="16.125" style="288" customWidth="1"/>
    <col min="88" max="88" width="0" style="98" hidden="1" customWidth="1"/>
    <col min="89" max="89" width="11" style="100"/>
    <col min="90" max="90" width="11" style="113"/>
    <col min="91" max="16384" width="11" style="100"/>
  </cols>
  <sheetData>
    <row r="1" spans="1:90" ht="16.5" thickBot="1" x14ac:dyDescent="0.3">
      <c r="A1" s="289" t="s">
        <v>1937</v>
      </c>
      <c r="B1" s="311"/>
      <c r="C1" s="312"/>
      <c r="D1" s="313"/>
      <c r="E1" s="314"/>
      <c r="F1" s="313"/>
      <c r="G1" s="313"/>
      <c r="H1" s="312"/>
      <c r="I1" s="315"/>
      <c r="J1" s="315"/>
      <c r="K1" s="313"/>
      <c r="L1" s="313"/>
      <c r="M1" s="316"/>
      <c r="N1" s="317"/>
      <c r="O1" s="318"/>
      <c r="P1" s="319"/>
      <c r="Q1" s="319"/>
      <c r="R1" s="319"/>
      <c r="S1" s="319"/>
      <c r="T1" s="320"/>
      <c r="U1" s="321"/>
      <c r="V1" s="316"/>
      <c r="W1" s="322"/>
      <c r="X1" s="323"/>
      <c r="Y1" s="323"/>
      <c r="Z1" s="324"/>
      <c r="AA1" s="290">
        <f>SUBTOTAL(109,AA5:AA1005)</f>
        <v>1451516.5496134602</v>
      </c>
      <c r="AB1" s="291"/>
      <c r="AC1" s="290">
        <f t="shared" ref="AC1:BY1" si="0">SUBTOTAL(109,AC5:AC1005)</f>
        <v>294720.31315088726</v>
      </c>
      <c r="AD1" s="291"/>
      <c r="AE1" s="290">
        <f t="shared" si="0"/>
        <v>217075.38567376204</v>
      </c>
      <c r="AF1" s="291"/>
      <c r="AG1" s="290">
        <f t="shared" si="0"/>
        <v>283621.58501355263</v>
      </c>
      <c r="AH1" s="292"/>
      <c r="AI1" s="290">
        <f t="shared" si="0"/>
        <v>2246933.8334516636</v>
      </c>
      <c r="AJ1" s="293"/>
      <c r="AK1" s="291"/>
      <c r="AL1" s="291"/>
      <c r="AM1" s="291"/>
      <c r="AN1" s="294">
        <f>SUBTOTAL(109,AN5:AN1005)</f>
        <v>1460333.3750126862</v>
      </c>
      <c r="AO1" s="291"/>
      <c r="AP1" s="294">
        <f t="shared" si="0"/>
        <v>276858.99165088736</v>
      </c>
      <c r="AQ1" s="291"/>
      <c r="AR1" s="294">
        <f t="shared" si="0"/>
        <v>208593.54817376201</v>
      </c>
      <c r="AS1" s="291"/>
      <c r="AT1" s="294">
        <f t="shared" si="0"/>
        <v>284139.7475135526</v>
      </c>
      <c r="AU1" s="292"/>
      <c r="AV1" s="295">
        <f t="shared" si="0"/>
        <v>2229925.6623508893</v>
      </c>
      <c r="AW1" s="296"/>
      <c r="AX1" s="291"/>
      <c r="AY1" s="291"/>
      <c r="AZ1" s="291"/>
      <c r="BA1" s="294">
        <f t="shared" si="0"/>
        <v>1486191.8176191491</v>
      </c>
      <c r="BB1" s="291"/>
      <c r="BC1" s="294">
        <f t="shared" si="0"/>
        <v>500118.16648696351</v>
      </c>
      <c r="BD1" s="291"/>
      <c r="BE1" s="294">
        <f t="shared" si="0"/>
        <v>218121.76317376201</v>
      </c>
      <c r="BF1" s="291"/>
      <c r="BG1" s="294">
        <f t="shared" si="0"/>
        <v>250358.46326418835</v>
      </c>
      <c r="BH1" s="292"/>
      <c r="BI1" s="294">
        <f t="shared" si="0"/>
        <v>2454790.2105440642</v>
      </c>
      <c r="BJ1" s="296"/>
      <c r="BK1" s="291"/>
      <c r="BL1" s="291"/>
      <c r="BM1" s="291"/>
      <c r="BN1" s="294">
        <f t="shared" si="0"/>
        <v>0</v>
      </c>
      <c r="BO1" s="291"/>
      <c r="BP1" s="294">
        <f t="shared" si="0"/>
        <v>0</v>
      </c>
      <c r="BQ1" s="291"/>
      <c r="BR1" s="294">
        <f t="shared" si="0"/>
        <v>0</v>
      </c>
      <c r="BS1" s="297"/>
      <c r="BT1" s="294">
        <f t="shared" si="0"/>
        <v>0</v>
      </c>
      <c r="BU1" s="292"/>
      <c r="BV1" s="294">
        <f t="shared" si="0"/>
        <v>0</v>
      </c>
      <c r="BW1" s="296"/>
      <c r="BX1" s="292"/>
      <c r="BY1" s="294">
        <f t="shared" si="0"/>
        <v>6931649.7063466152</v>
      </c>
      <c r="BZ1" s="312"/>
      <c r="CA1" s="312"/>
      <c r="CB1" s="316"/>
      <c r="CC1" s="316"/>
      <c r="CD1" s="316"/>
      <c r="CE1" s="316"/>
      <c r="CF1" s="325"/>
      <c r="CG1" s="325"/>
      <c r="CH1" s="325"/>
      <c r="CI1" s="326"/>
      <c r="CJ1" s="100"/>
    </row>
    <row r="2" spans="1:90" s="310" customFormat="1" ht="16.5" thickBot="1" x14ac:dyDescent="0.3">
      <c r="A2" s="272" t="s">
        <v>1938</v>
      </c>
      <c r="B2" s="247"/>
      <c r="C2" s="275"/>
      <c r="D2" s="187"/>
      <c r="E2" s="278"/>
      <c r="F2" s="187"/>
      <c r="G2" s="187"/>
      <c r="H2" s="280"/>
      <c r="I2" s="186"/>
      <c r="J2" s="186"/>
      <c r="K2" s="187"/>
      <c r="L2" s="187"/>
      <c r="M2" s="188"/>
      <c r="N2" s="252"/>
      <c r="O2" s="287"/>
      <c r="P2" s="189"/>
      <c r="Q2" s="189"/>
      <c r="R2" s="189"/>
      <c r="S2" s="189"/>
      <c r="T2" s="190"/>
      <c r="U2" s="191"/>
      <c r="V2" s="188"/>
      <c r="W2" s="192"/>
      <c r="X2" s="254"/>
      <c r="Y2" s="254"/>
      <c r="Z2" s="261"/>
      <c r="AA2" s="351">
        <f>Setup!C20</f>
        <v>43101</v>
      </c>
      <c r="AB2" s="254"/>
      <c r="AC2" s="351">
        <f>Setup!C22</f>
        <v>43191</v>
      </c>
      <c r="AD2" s="254"/>
      <c r="AE2" s="351">
        <f>Setup!C24</f>
        <v>43282</v>
      </c>
      <c r="AF2" s="254"/>
      <c r="AG2" s="351">
        <f>Setup!C26</f>
        <v>43374</v>
      </c>
      <c r="AH2" s="263"/>
      <c r="AI2" s="263"/>
      <c r="AJ2" s="185"/>
      <c r="AK2" s="254"/>
      <c r="AL2" s="254"/>
      <c r="AM2" s="254"/>
      <c r="AN2" s="352">
        <f>Setup!E20</f>
        <v>43466</v>
      </c>
      <c r="AO2" s="254"/>
      <c r="AP2" s="352">
        <f>Setup!E22</f>
        <v>43556</v>
      </c>
      <c r="AQ2" s="254"/>
      <c r="AR2" s="352">
        <f>Setup!E24</f>
        <v>43647</v>
      </c>
      <c r="AS2" s="254"/>
      <c r="AT2" s="352">
        <f>Setup!E26</f>
        <v>43739</v>
      </c>
      <c r="AU2" s="263"/>
      <c r="AV2" s="263"/>
      <c r="AW2" s="264"/>
      <c r="AX2" s="254"/>
      <c r="AY2" s="254"/>
      <c r="AZ2" s="254"/>
      <c r="BA2" s="352">
        <f>Setup!G20</f>
        <v>43831</v>
      </c>
      <c r="BB2" s="254"/>
      <c r="BC2" s="352">
        <f>Setup!G22</f>
        <v>43922</v>
      </c>
      <c r="BD2" s="254"/>
      <c r="BE2" s="352">
        <f>Setup!G24</f>
        <v>44013</v>
      </c>
      <c r="BF2" s="254"/>
      <c r="BG2" s="352">
        <f>Setup!G26</f>
        <v>44105</v>
      </c>
      <c r="BH2" s="263"/>
      <c r="BI2" s="265"/>
      <c r="BJ2" s="264"/>
      <c r="BK2" s="254"/>
      <c r="BL2" s="254"/>
      <c r="BM2" s="254"/>
      <c r="BN2" s="352" t="str">
        <f>Setup!I20</f>
        <v/>
      </c>
      <c r="BO2" s="254"/>
      <c r="BP2" s="352" t="str">
        <f>Setup!I22</f>
        <v/>
      </c>
      <c r="BQ2" s="254"/>
      <c r="BR2" s="352" t="str">
        <f>Setup!I24</f>
        <v/>
      </c>
      <c r="BS2" s="265"/>
      <c r="BT2" s="352" t="str">
        <f>Setup!I26</f>
        <v/>
      </c>
      <c r="BU2" s="263"/>
      <c r="BV2" s="263"/>
      <c r="BW2" s="264"/>
      <c r="BX2" s="263"/>
      <c r="BY2" s="263"/>
      <c r="BZ2" s="280"/>
      <c r="CA2" s="280"/>
      <c r="CB2" s="188"/>
      <c r="CC2" s="188"/>
      <c r="CD2" s="188"/>
      <c r="CE2" s="188"/>
      <c r="CF2" s="285"/>
      <c r="CG2" s="285"/>
      <c r="CH2" s="285"/>
      <c r="CI2" s="327"/>
      <c r="CL2" s="355"/>
    </row>
    <row r="3" spans="1:90" s="310" customFormat="1" ht="16.5" thickBot="1" x14ac:dyDescent="0.3">
      <c r="A3" s="272" t="s">
        <v>1939</v>
      </c>
      <c r="B3" s="247"/>
      <c r="C3" s="275"/>
      <c r="D3" s="187"/>
      <c r="E3" s="278"/>
      <c r="F3" s="187"/>
      <c r="G3" s="187"/>
      <c r="H3" s="280"/>
      <c r="I3" s="186"/>
      <c r="J3" s="186"/>
      <c r="K3" s="187"/>
      <c r="L3" s="187"/>
      <c r="M3" s="188"/>
      <c r="N3" s="252"/>
      <c r="O3" s="287"/>
      <c r="P3" s="189"/>
      <c r="Q3" s="189"/>
      <c r="R3" s="189"/>
      <c r="S3" s="189"/>
      <c r="T3" s="190"/>
      <c r="U3" s="191"/>
      <c r="V3" s="188"/>
      <c r="W3" s="192"/>
      <c r="X3" s="254"/>
      <c r="Y3" s="254"/>
      <c r="Z3" s="261"/>
      <c r="AA3" s="351">
        <f>Setup!C21</f>
        <v>43190</v>
      </c>
      <c r="AB3" s="254"/>
      <c r="AC3" s="351">
        <f>Setup!C23</f>
        <v>43281</v>
      </c>
      <c r="AD3" s="254"/>
      <c r="AE3" s="351">
        <f>Setup!C25</f>
        <v>43373</v>
      </c>
      <c r="AF3" s="254"/>
      <c r="AG3" s="351">
        <f>Setup!C27</f>
        <v>43465</v>
      </c>
      <c r="AH3" s="263"/>
      <c r="AI3" s="263"/>
      <c r="AJ3" s="185"/>
      <c r="AK3" s="254"/>
      <c r="AL3" s="254"/>
      <c r="AM3" s="254"/>
      <c r="AN3" s="352">
        <f>Setup!E21</f>
        <v>43555</v>
      </c>
      <c r="AO3" s="254"/>
      <c r="AP3" s="352">
        <f>Setup!E23</f>
        <v>43646</v>
      </c>
      <c r="AQ3" s="254"/>
      <c r="AR3" s="352">
        <f>Setup!E25</f>
        <v>43738</v>
      </c>
      <c r="AS3" s="254"/>
      <c r="AT3" s="352">
        <f>Setup!E27</f>
        <v>43830</v>
      </c>
      <c r="AU3" s="263"/>
      <c r="AV3" s="263"/>
      <c r="AW3" s="264"/>
      <c r="AX3" s="254"/>
      <c r="AY3" s="254"/>
      <c r="AZ3" s="254"/>
      <c r="BA3" s="352">
        <f>Setup!G21</f>
        <v>43921</v>
      </c>
      <c r="BB3" s="254"/>
      <c r="BC3" s="352">
        <f>Setup!G23</f>
        <v>44012</v>
      </c>
      <c r="BD3" s="254"/>
      <c r="BE3" s="352">
        <f>Setup!G25</f>
        <v>44104</v>
      </c>
      <c r="BF3" s="254"/>
      <c r="BG3" s="352">
        <f>Setup!G27</f>
        <v>44196</v>
      </c>
      <c r="BH3" s="263"/>
      <c r="BI3" s="265"/>
      <c r="BJ3" s="264"/>
      <c r="BK3" s="254"/>
      <c r="BL3" s="254"/>
      <c r="BM3" s="254"/>
      <c r="BN3" s="352" t="str">
        <f>Setup!I21</f>
        <v/>
      </c>
      <c r="BO3" s="254"/>
      <c r="BP3" s="352" t="str">
        <f>Setup!I23</f>
        <v/>
      </c>
      <c r="BQ3" s="254"/>
      <c r="BR3" s="352" t="str">
        <f>Setup!I25</f>
        <v/>
      </c>
      <c r="BS3" s="265"/>
      <c r="BT3" s="352" t="str">
        <f>Setup!I27</f>
        <v/>
      </c>
      <c r="BU3" s="263"/>
      <c r="BV3" s="263"/>
      <c r="BW3" s="264"/>
      <c r="BX3" s="263"/>
      <c r="BY3" s="263"/>
      <c r="BZ3" s="280"/>
      <c r="CA3" s="280"/>
      <c r="CB3" s="188"/>
      <c r="CC3" s="188"/>
      <c r="CD3" s="188"/>
      <c r="CE3" s="188"/>
      <c r="CF3" s="285"/>
      <c r="CG3" s="285"/>
      <c r="CH3" s="285"/>
      <c r="CI3" s="327"/>
      <c r="CL3" s="355"/>
    </row>
    <row r="4" spans="1:90" s="104" customFormat="1" ht="45.75" customHeight="1" x14ac:dyDescent="0.25">
      <c r="A4" s="298" t="str">
        <f ca="1">Translations!$A$97</f>
        <v>Budget Line No.</v>
      </c>
      <c r="B4" s="299" t="s">
        <v>1267</v>
      </c>
      <c r="C4" s="299" t="str">
        <f ca="1">Translations!$A$98</f>
        <v>Module</v>
      </c>
      <c r="D4" s="300" t="s">
        <v>1980</v>
      </c>
      <c r="E4" s="299" t="str">
        <f ca="1">Translations!$A$99</f>
        <v>Intervention</v>
      </c>
      <c r="F4" s="301" t="s">
        <v>1265</v>
      </c>
      <c r="G4" s="300" t="s">
        <v>1799</v>
      </c>
      <c r="H4" s="299" t="str">
        <f ca="1">Translations!$A$100</f>
        <v>Activity Description</v>
      </c>
      <c r="I4" s="299" t="str">
        <f ca="1">Translations!$A$141</f>
        <v>Cost Input</v>
      </c>
      <c r="J4" s="302" t="s">
        <v>1800</v>
      </c>
      <c r="K4" s="300" t="s">
        <v>1263</v>
      </c>
      <c r="L4" s="300" t="s">
        <v>2034</v>
      </c>
      <c r="M4" s="299" t="s">
        <v>2043</v>
      </c>
      <c r="N4" s="299" t="str">
        <f>Setup!A72</f>
        <v>Geography/Location</v>
      </c>
      <c r="O4" s="299" t="s">
        <v>2051</v>
      </c>
      <c r="P4" s="300" t="s">
        <v>1961</v>
      </c>
      <c r="Q4" s="300" t="s">
        <v>1977</v>
      </c>
      <c r="R4" s="300" t="s">
        <v>1978</v>
      </c>
      <c r="S4" s="300" t="s">
        <v>1942</v>
      </c>
      <c r="T4" s="299" t="str">
        <f ca="1">Translations!$A$101</f>
        <v>Unit of Measure</v>
      </c>
      <c r="U4" s="300" t="s">
        <v>2035</v>
      </c>
      <c r="V4" s="299" t="str">
        <f ca="1">Translations!$A$102</f>
        <v>Payment Currency</v>
      </c>
      <c r="W4" s="299" t="s">
        <v>1942</v>
      </c>
      <c r="X4" s="303" t="str">
        <f ca="1">Translations!$A$44</f>
        <v>Y1 Unit Cost (Payment Currency)</v>
      </c>
      <c r="Y4" s="303" t="str">
        <f ca="1">Translations!$A$152</f>
        <v>Y1 Unit Cost (Grant Currency)</v>
      </c>
      <c r="Z4" s="303" t="str">
        <f ca="1">Translations!$A$45</f>
        <v>Q1 Quantity</v>
      </c>
      <c r="AA4" s="303" t="str">
        <f ca="1">Translations!$A$46</f>
        <v>Q1 Cash Outflow</v>
      </c>
      <c r="AB4" s="303" t="str">
        <f ca="1">Translations!$A$47</f>
        <v>Q2 Quantity</v>
      </c>
      <c r="AC4" s="303" t="str">
        <f ca="1">Translations!$A$48</f>
        <v>Q2 Cash Outflow</v>
      </c>
      <c r="AD4" s="303" t="str">
        <f ca="1">Translations!$A$49</f>
        <v>Q3 Quantity</v>
      </c>
      <c r="AE4" s="303" t="str">
        <f ca="1">Translations!$A$50</f>
        <v xml:space="preserve">Q3 Cash Outflow </v>
      </c>
      <c r="AF4" s="303" t="str">
        <f ca="1">Translations!$A$51</f>
        <v>Q4 Quantity</v>
      </c>
      <c r="AG4" s="303" t="str">
        <f ca="1">Translations!$A$52</f>
        <v>Q4 Cash Outflow</v>
      </c>
      <c r="AH4" s="303" t="str">
        <f ca="1">Translations!$A$53</f>
        <v>Y1 Total Quantity</v>
      </c>
      <c r="AI4" s="303" t="str">
        <f ca="1">Translations!$A$54</f>
        <v>Y1 Total Cash Outflow</v>
      </c>
      <c r="AJ4" s="304" t="s">
        <v>2025</v>
      </c>
      <c r="AK4" s="303" t="str">
        <f ca="1">Translations!$A$55</f>
        <v>Y2 Unit Cost (Payment Currency)</v>
      </c>
      <c r="AL4" s="303" t="str">
        <f ca="1">Translations!$A$153</f>
        <v>Y2 Unit Cost (Grant Currency)</v>
      </c>
      <c r="AM4" s="303" t="str">
        <f ca="1">Translations!$A$56</f>
        <v>Q5 Quantity</v>
      </c>
      <c r="AN4" s="303" t="str">
        <f ca="1">Translations!$A$57</f>
        <v>Q5 Cash Outflow</v>
      </c>
      <c r="AO4" s="303" t="str">
        <f ca="1">Translations!$A$58</f>
        <v>Q6 Quantity</v>
      </c>
      <c r="AP4" s="303" t="str">
        <f ca="1">Translations!$A$59</f>
        <v>Q6 Cash Outflow</v>
      </c>
      <c r="AQ4" s="303" t="str">
        <f ca="1">Translations!$A$60</f>
        <v>Q7 Quantity</v>
      </c>
      <c r="AR4" s="303" t="str">
        <f ca="1">Translations!$A$61</f>
        <v>Q7 Cash Outflow</v>
      </c>
      <c r="AS4" s="303" t="str">
        <f ca="1">Translations!$A$62</f>
        <v>Q8 Quantity</v>
      </c>
      <c r="AT4" s="303" t="str">
        <f ca="1">Translations!$A$63</f>
        <v>Q8 Cash Outflow</v>
      </c>
      <c r="AU4" s="303" t="str">
        <f ca="1">Translations!$A$64</f>
        <v>Y2 Total Quantity</v>
      </c>
      <c r="AV4" s="303" t="str">
        <f ca="1">Translations!$A$65</f>
        <v>Y2 Total Cash Outflow</v>
      </c>
      <c r="AW4" s="305" t="s">
        <v>2026</v>
      </c>
      <c r="AX4" s="303" t="str">
        <f ca="1">Translations!$A$66</f>
        <v>Y3 Unit Cost (Payment Currency)</v>
      </c>
      <c r="AY4" s="303" t="str">
        <f ca="1">Translations!$A$154</f>
        <v>Y3 Unit Cost (Grant Currency)</v>
      </c>
      <c r="AZ4" s="303" t="str">
        <f ca="1">Translations!$A$67</f>
        <v>Q9 Quantity</v>
      </c>
      <c r="BA4" s="303" t="str">
        <f ca="1">Translations!$A$68</f>
        <v>Q9 Cash Outflow</v>
      </c>
      <c r="BB4" s="303" t="str">
        <f ca="1">Translations!$A$69</f>
        <v>Q10 Quantity</v>
      </c>
      <c r="BC4" s="303" t="str">
        <f ca="1">Translations!$A$70</f>
        <v>Q10 Cash Outflow</v>
      </c>
      <c r="BD4" s="303" t="str">
        <f ca="1">Translations!$A$71</f>
        <v>Q11 Quantity</v>
      </c>
      <c r="BE4" s="303" t="str">
        <f ca="1">Translations!$A$72</f>
        <v>Q11 Cash Outflow</v>
      </c>
      <c r="BF4" s="303" t="str">
        <f ca="1">Translations!$A$73</f>
        <v>Q12 Quantity</v>
      </c>
      <c r="BG4" s="303" t="str">
        <f ca="1">Translations!$A$74</f>
        <v>Q12 Cash Outflow</v>
      </c>
      <c r="BH4" s="303" t="str">
        <f ca="1">Translations!$A$75</f>
        <v>Y3 Total Quantity</v>
      </c>
      <c r="BI4" s="303" t="str">
        <f ca="1">Translations!$A$76</f>
        <v>Y3 Total Cash Outflow</v>
      </c>
      <c r="BJ4" s="305" t="s">
        <v>2027</v>
      </c>
      <c r="BK4" s="303" t="str">
        <f ca="1">Translations!$A$77</f>
        <v>Y4 Unit Cost (Payment Currency)</v>
      </c>
      <c r="BL4" s="303" t="str">
        <f ca="1">Translations!$A$155</f>
        <v>Y4 Unit Cost (Grant Currency)</v>
      </c>
      <c r="BM4" s="303" t="str">
        <f ca="1">Translations!$A$78</f>
        <v>Q13 Quantity</v>
      </c>
      <c r="BN4" s="303" t="str">
        <f ca="1">Translations!$A$79</f>
        <v>Q13 Cash Outflow</v>
      </c>
      <c r="BO4" s="303" t="str">
        <f ca="1">Translations!$A$80</f>
        <v>Q14 Quantity</v>
      </c>
      <c r="BP4" s="303" t="str">
        <f ca="1">Translations!$A$81</f>
        <v>Q14 Cash Outflow</v>
      </c>
      <c r="BQ4" s="303" t="str">
        <f ca="1">Translations!$A$82</f>
        <v>Q15 Quantity</v>
      </c>
      <c r="BR4" s="303" t="str">
        <f ca="1">Translations!$A$83</f>
        <v>Q15 Cash Outflow</v>
      </c>
      <c r="BS4" s="303" t="str">
        <f ca="1">Translations!$A$84</f>
        <v>Q16 Quantity</v>
      </c>
      <c r="BT4" s="303" t="str">
        <f ca="1">Translations!$A$85</f>
        <v>Q16 Cash Outflow</v>
      </c>
      <c r="BU4" s="303" t="str">
        <f ca="1">Translations!$A$86</f>
        <v>Y4 Total Quantity</v>
      </c>
      <c r="BV4" s="303" t="str">
        <f ca="1">Translations!$A$87</f>
        <v>Y4 Total Cash Outflow</v>
      </c>
      <c r="BW4" s="305" t="s">
        <v>2028</v>
      </c>
      <c r="BX4" s="303" t="str">
        <f ca="1">Translations!$A$88</f>
        <v>Y1-4 Total Quantity</v>
      </c>
      <c r="BY4" s="303" t="str">
        <f ca="1">Translations!$A$89</f>
        <v>Y1-4 Total Cash Outflow</v>
      </c>
      <c r="BZ4" s="299" t="str">
        <f ca="1">Translations!$A$94</f>
        <v>Assumptions to Support Unit Cost</v>
      </c>
      <c r="CA4" s="299" t="str">
        <f ca="1">Translations!$A$95</f>
        <v>Justification/Comments</v>
      </c>
      <c r="CB4" s="306"/>
      <c r="CC4" s="307" t="s">
        <v>1266</v>
      </c>
      <c r="CD4" s="306"/>
      <c r="CE4" s="306"/>
      <c r="CF4" s="308" t="s">
        <v>1805</v>
      </c>
      <c r="CG4" s="308" t="s">
        <v>1806</v>
      </c>
      <c r="CH4" s="308" t="s">
        <v>1807</v>
      </c>
      <c r="CI4" s="308" t="s">
        <v>1867</v>
      </c>
      <c r="CJ4" s="309"/>
    </row>
    <row r="5" spans="1:90" s="112" customFormat="1" ht="51" x14ac:dyDescent="0.25">
      <c r="A5" s="97">
        <v>1</v>
      </c>
      <c r="B5" s="105" t="str">
        <f t="shared" ref="B5:B15" si="1">CONCATENATE(D5,"-",F5,"-",N5)</f>
        <v>a1O36000001EGFCEA4-a1O36000001EGGZEA4-Nationwide</v>
      </c>
      <c r="C5" s="276" t="s">
        <v>2154</v>
      </c>
      <c r="D5" s="101" t="str">
        <f>IFERROR(IF(VLOOKUP(C5,'Data Sheet'!$A$3:$D$26,4,FALSE)=0,"",VLOOKUP(C5,'Data Sheet'!$A$3:$D$26,4,FALSE)),"")</f>
        <v>a1O36000001EGFCEA4</v>
      </c>
      <c r="E5" s="279" t="s">
        <v>2232</v>
      </c>
      <c r="F5" s="103" t="str">
        <f>IFERROR(IF(VLOOKUP(E5,'Data Sheet'!$C$29:$E$174,3,FALSE)=0,"",VLOOKUP(E5,'Data Sheet'!$C$29:$E$174,3,FALSE)),"")</f>
        <v>a1O36000001EGGZEA4</v>
      </c>
      <c r="G5" s="106" t="str">
        <f t="shared" ref="G5:G69" si="2">CONCATENATE(D5,"-",F5)</f>
        <v>a1O36000001EGFCEA4-a1O36000001EGGZEA4</v>
      </c>
      <c r="H5" s="273" t="s">
        <v>2661</v>
      </c>
      <c r="I5" s="107" t="s">
        <v>2732</v>
      </c>
      <c r="J5" s="249" t="str">
        <f>LEFT(I5,SEARCH(".",I5,1)+1)</f>
        <v>12.5</v>
      </c>
      <c r="K5" s="101" t="str">
        <f>IFERROR(INDEX('Data Sheet'!$C$198:$C$275,MATCH(I5,'Data Sheet'!$F$198:$F$275,0)),"")</f>
        <v>a2C360000007DB4EAM</v>
      </c>
      <c r="L5" s="250">
        <f>IFERROR(INDEX('Data Sheet'!$G$198:$G$275,MATCH(I5,'Data Sheet'!$F$198:$F$275,0)),"")</f>
        <v>12.5</v>
      </c>
      <c r="M5" s="248" t="s">
        <v>2657</v>
      </c>
      <c r="N5" s="248" t="s">
        <v>2759</v>
      </c>
      <c r="O5" s="248" t="s">
        <v>2128</v>
      </c>
      <c r="P5" s="108" t="str">
        <f>IFERROR(INDEX(Setup!$D$44:$D$70,MATCH(M5,Setup!$K$44:$K$70,0))&amp;"","")</f>
        <v>SR</v>
      </c>
      <c r="Q5" s="108" t="str">
        <f>IFERROR(INDEX(Setup!$E$44:$E$70,MATCH(M5,Setup!$K$44:$K$70,0))&amp;"","")</f>
        <v>Government - Ministry of Health</v>
      </c>
      <c r="R5" s="108" t="str">
        <f>IFERROR(INDEX(Setup!$L$44:$L$70,MATCH(M5,Setup!$K$44:$K$70,0))&amp;"","")</f>
        <v/>
      </c>
      <c r="S5" s="108" t="str">
        <f>Setup!$C$30</f>
        <v>USD</v>
      </c>
      <c r="T5" s="109" t="str">
        <f>IFERROR(INDEX('Data Sheet'!$B$198:$B$275,MATCH(I5,'Data Sheet'!$F$198:$F$275,0)),"")</f>
        <v>N/A</v>
      </c>
      <c r="U5" s="110">
        <f>IFERROR(INDEX('Data Sheet'!$D$198:$D$275,MATCH(I5,'Data Sheet'!$F$198:$F$275,0)),"")</f>
        <v>12</v>
      </c>
      <c r="V5" s="415" t="s">
        <v>992</v>
      </c>
      <c r="W5" s="195" t="str">
        <f>IF(V5=Setup!$C$30,"Grant",IF(V5=Setup!$C$31,"Local",IF(V5=Setup!$C$32,"Other",IF(ISBLANK(V5),"","Other"))))</f>
        <v>Local</v>
      </c>
      <c r="X5" s="574">
        <v>178823565.19999999</v>
      </c>
      <c r="Y5" s="259">
        <f>IF(X5&lt;&gt;"",X5/VLOOKUP($V5,Setup!$C$30:$D$41,2,0),"")</f>
        <v>21857.155956437826</v>
      </c>
      <c r="Z5" s="262">
        <v>1</v>
      </c>
      <c r="AA5" s="256">
        <f>IFERROR(IF(AND(NOT(Z5=""),NOT(Y5="")),Z5*Y5,""),"")</f>
        <v>21857.155956437826</v>
      </c>
      <c r="AB5" s="262">
        <v>1</v>
      </c>
      <c r="AC5" s="258">
        <f t="shared" ref="AC5:AC68" si="3">IFERROR(IF(AND(NOT(AB5=""),NOT(Y5="")),AB5*Y5,""),"")</f>
        <v>21857.155956437826</v>
      </c>
      <c r="AD5" s="262">
        <v>1</v>
      </c>
      <c r="AE5" s="258">
        <f t="shared" ref="AE5:AE68" si="4">IFERROR(IF(AND(NOT(AD5=""),NOT(Y5="")),AD5*Y5,""),"")</f>
        <v>21857.155956437826</v>
      </c>
      <c r="AF5" s="262">
        <v>1</v>
      </c>
      <c r="AG5" s="256">
        <f t="shared" ref="AG5:AG68" si="5">IFERROR(IF(AND(NOT(AF5=""),NOT(Y5="")),AF5*Y5,""),"")</f>
        <v>21857.155956437826</v>
      </c>
      <c r="AH5" s="256">
        <f>IFERROR(IF(OR(NOT(Z5=""),NOT(AF5=""),NOT(AB5=""),NOT(AD5="")),Z5+AF5+AB5+AD5,""),"")</f>
        <v>4</v>
      </c>
      <c r="AI5" s="256">
        <f t="shared" ref="AI5:AI68" si="6">IF(SUM(AA5,AC5,AE5,AG5)&gt;0,SUM(AA5,AC5,AE5,AG5),"")</f>
        <v>87428.623825751303</v>
      </c>
      <c r="AJ5" s="111"/>
      <c r="AK5" s="255">
        <v>178823565.19999999</v>
      </c>
      <c r="AL5" s="259">
        <f>IF(AK5&lt;&gt;"",AK5/VLOOKUP($V5,Setup!$C$30:$D$41,2,0),"")</f>
        <v>21857.155956437826</v>
      </c>
      <c r="AM5" s="266">
        <v>1</v>
      </c>
      <c r="AN5" s="258">
        <f>IFERROR(IF(AND(NOT(AM5=""),NOT(AL5="")),AM5*$AL5,""),"")</f>
        <v>21857.155956437826</v>
      </c>
      <c r="AO5" s="266">
        <v>1</v>
      </c>
      <c r="AP5" s="258">
        <f>IFERROR(IF(AND(NOT(AO5=""),NOT(AL5="")),AO5*$AL5,""),"")</f>
        <v>21857.155956437826</v>
      </c>
      <c r="AQ5" s="266">
        <v>1</v>
      </c>
      <c r="AR5" s="258">
        <f>IFERROR(IF(AND(NOT(AQ5=""),NOT(AL5="")),AQ5*$AL5,""),"")</f>
        <v>21857.155956437826</v>
      </c>
      <c r="AS5" s="266">
        <v>1</v>
      </c>
      <c r="AT5" s="256">
        <f>IFERROR(IF(AND(NOT(AS5=""),NOT(AL5="")),AS5*$AL5,""),"")</f>
        <v>21857.155956437826</v>
      </c>
      <c r="AU5" s="256">
        <f t="shared" ref="AU5:AU68" si="7">IFERROR(IF(OR(NOT(AM5=""),NOT(AS5=""),NOT(AO5=""),NOT(AQ5="")),AM5+AS5+AO5+AQ5,""),"")</f>
        <v>4</v>
      </c>
      <c r="AV5" s="256">
        <f t="shared" ref="AV5:AV68" si="8">IF(SUM(AN5,AT5,AP5,AR5)&gt;0,SUM(AN5,AT5,AP5,AR5),"")</f>
        <v>87428.623825751303</v>
      </c>
      <c r="AW5" s="267"/>
      <c r="AX5" s="255">
        <v>178823565.19999999</v>
      </c>
      <c r="AY5" s="259">
        <f>IF(AX5&lt;&gt;"",AX5/VLOOKUP($V5,Setup!$C$30:$D$41,2,0),"")</f>
        <v>21857.155956437826</v>
      </c>
      <c r="AZ5" s="268">
        <v>1</v>
      </c>
      <c r="BA5" s="258">
        <f>IFERROR(IF(AND(NOT(AZ5=""),NOT(AY5="")),AZ5*$AY5,""),"")</f>
        <v>21857.155956437826</v>
      </c>
      <c r="BB5" s="268">
        <v>1</v>
      </c>
      <c r="BC5" s="258">
        <f>IFERROR(IF(AND(NOT(BB5=""),NOT(AY5="")),BB5*$AY5,""),"")</f>
        <v>21857.155956437826</v>
      </c>
      <c r="BD5" s="268">
        <v>1</v>
      </c>
      <c r="BE5" s="258">
        <f>IFERROR(IF(AND(NOT(BD5=""),NOT(AY5="")),BD5*$AY5,""),"")</f>
        <v>21857.155956437826</v>
      </c>
      <c r="BF5" s="268">
        <v>1</v>
      </c>
      <c r="BG5" s="256">
        <f>IFERROR(IF(AND(NOT(BF5=""),NOT(AY5="")),BF5*$AY5,""),"")</f>
        <v>21857.155956437826</v>
      </c>
      <c r="BH5" s="256">
        <f t="shared" ref="BH5:BH68" si="9">IFERROR(IF(OR(NOT(AZ5=""),NOT(BF5=""),NOT(BB5=""),NOT(BD5="")),AZ5+BF5+BB5+BD5,""),"")</f>
        <v>4</v>
      </c>
      <c r="BI5" s="256">
        <f t="shared" ref="BI5:BI68" si="10">IF(SUM(BA5,BG5,BC5,BE5)&gt;0,SUM(BA5,BG5,BC5,BE5),"")</f>
        <v>87428.623825751303</v>
      </c>
      <c r="BJ5" s="267"/>
      <c r="BK5" s="255"/>
      <c r="BL5" s="259" t="str">
        <f>IF(BK5&lt;&gt;"",BK5/VLOOKUP($V5,Setup!$C$30:$D$41,2,0),"")</f>
        <v/>
      </c>
      <c r="BM5" s="268"/>
      <c r="BN5" s="258" t="str">
        <f>IFERROR(IF(AND(NOT(BM5=""),NOT(BL5="")),BM5*$BL5,""),"")</f>
        <v/>
      </c>
      <c r="BO5" s="268"/>
      <c r="BP5" s="258" t="str">
        <f>IFERROR(IF(AND(NOT(BO5=""),NOT(BL5="")),BO5*$BL5,""),"")</f>
        <v/>
      </c>
      <c r="BQ5" s="268"/>
      <c r="BR5" s="258" t="str">
        <f>IFERROR(IF(AND(NOT(BQ5=""),NOT(BL5="")),BQ5*$BL5,""),"")</f>
        <v/>
      </c>
      <c r="BS5" s="268"/>
      <c r="BT5" s="256" t="str">
        <f>IFERROR(IF(AND(NOT(BS5=""),NOT(BL5="")),BS5*$BL5,""),"")</f>
        <v/>
      </c>
      <c r="BU5" s="256" t="str">
        <f t="shared" ref="BU5:BU68" si="11">IFERROR(IF(OR(NOT(BM5=""),NOT(BS5=""),NOT(BO5=""),NOT(BQ5="")),BM5+BS5+BO5+BQ5,""),"")</f>
        <v/>
      </c>
      <c r="BV5" s="256" t="str">
        <f t="shared" ref="BV5:BV68" si="12">IF(SUM(BN5,BT5,BP5,BR5)&gt;0,SUM(BN5,BT5,BP5,BR5),"")</f>
        <v/>
      </c>
      <c r="BW5" s="267"/>
      <c r="BX5" s="256">
        <f t="shared" ref="BX5:BX68" si="13">IF(SUM(AH5,AU5,BH5,BU5)&gt;0,SUM(AH5,AU5,BH5,BU5),"")</f>
        <v>12</v>
      </c>
      <c r="BY5" s="256">
        <f t="shared" ref="BY5:BY68" si="14">IF(SUM(AI5,AV5,BI5,BV5)&gt;0,SUM(AI5,AV5,BI5,BV5),"")</f>
        <v>262285.87147725391</v>
      </c>
      <c r="BZ5" s="281"/>
      <c r="CA5" s="282"/>
      <c r="CC5" s="112" t="str">
        <f t="shared" ref="CC5:CC68" ca="1" si="15">IF(OR(B5="--",IFERROR(MATCH(B5,OFFSET(B$4,0,0,ROW()-1,1),0),1)&lt;&gt;1),"",1)</f>
        <v/>
      </c>
      <c r="CF5" s="283"/>
      <c r="CG5" s="283"/>
      <c r="CH5" s="283"/>
      <c r="CI5" s="283"/>
      <c r="CL5" s="356" t="str">
        <f>IFERROR(VLOOKUP(C5,'Data Sheet'!$A$3:$B$26,2,FALSE),"")</f>
        <v>MCI-00002</v>
      </c>
    </row>
    <row r="6" spans="1:90" s="112" customFormat="1" ht="63.75" x14ac:dyDescent="0.25">
      <c r="A6" s="97">
        <v>2</v>
      </c>
      <c r="B6" s="105" t="str">
        <f t="shared" si="1"/>
        <v>a1O36000001EGFXEA4-a1O36000001EGIUEA4-Nationwide</v>
      </c>
      <c r="C6" s="276" t="s">
        <v>2181</v>
      </c>
      <c r="D6" s="101" t="str">
        <f>IFERROR(IF(VLOOKUP(C6,'Data Sheet'!$A$3:$D$26,4,FALSE)=0,"",VLOOKUP(C6,'Data Sheet'!$A$3:$D$26,4,FALSE)),"")</f>
        <v>a1O36000001EGFXEA4</v>
      </c>
      <c r="E6" s="279" t="s">
        <v>2412</v>
      </c>
      <c r="F6" s="103" t="str">
        <f>IFERROR(IF(VLOOKUP(E6,'Data Sheet'!$C$29:$E$174,3,FALSE)=0,"",VLOOKUP(E6,'Data Sheet'!$C$29:$E$174,3,FALSE)),"")</f>
        <v>a1O36000001EGIUEA4</v>
      </c>
      <c r="G6" s="106" t="str">
        <f t="shared" si="2"/>
        <v>a1O36000001EGFXEA4-a1O36000001EGIUEA4</v>
      </c>
      <c r="H6" s="273" t="s">
        <v>2662</v>
      </c>
      <c r="I6" s="107" t="s">
        <v>2733</v>
      </c>
      <c r="J6" s="249" t="str">
        <f>LEFT(I6,SEARCH(".",I6,1)+1)</f>
        <v>2.4</v>
      </c>
      <c r="K6" s="101" t="str">
        <f>IFERROR(INDEX('Data Sheet'!$C$198:$C$275,MATCH(I6,'Data Sheet'!$F$198:$F$275,0)),"")</f>
        <v>a2C360000007DB9EAM</v>
      </c>
      <c r="L6" s="250">
        <f>IFERROR(INDEX('Data Sheet'!$G$198:$G$275,MATCH(I6,'Data Sheet'!$F$198:$F$275,0)),"")</f>
        <v>2.4</v>
      </c>
      <c r="M6" s="248" t="s">
        <v>2657</v>
      </c>
      <c r="N6" s="248" t="s">
        <v>2759</v>
      </c>
      <c r="O6" s="248" t="s">
        <v>2128</v>
      </c>
      <c r="P6" s="108" t="str">
        <f>IFERROR(INDEX(Setup!$D$44:$D$70,MATCH(M6,Setup!$K$44:$K$70,0))&amp;"","")</f>
        <v>SR</v>
      </c>
      <c r="Q6" s="108" t="str">
        <f>IFERROR(INDEX(Setup!$E$44:$E$70,MATCH(M6,Setup!$K$44:$K$70,0))&amp;"","")</f>
        <v>Government - Ministry of Health</v>
      </c>
      <c r="R6" s="108" t="str">
        <f>IFERROR(INDEX(Setup!$L$44:$L$70,MATCH(M6,Setup!$K$44:$K$70,0))&amp;"","")</f>
        <v/>
      </c>
      <c r="S6" s="108" t="str">
        <f>Setup!$C$30</f>
        <v>USD</v>
      </c>
      <c r="T6" s="109" t="str">
        <f>IFERROR(INDEX('Data Sheet'!$B$198:$B$275,MATCH(I6,'Data Sheet'!$F$198:$F$275,0)),"")</f>
        <v>Average cost of event per participant per day</v>
      </c>
      <c r="U6" s="110">
        <f>IFERROR(INDEX('Data Sheet'!$D$198:$D$275,MATCH(I6,'Data Sheet'!$F$198:$F$275,0)),"")</f>
        <v>2</v>
      </c>
      <c r="V6" s="415" t="s">
        <v>992</v>
      </c>
      <c r="W6" s="195" t="str">
        <f>IF(V6=Setup!$C$30,"Grant",IF(V6=Setup!$C$31,"Local",IF(V6=Setup!$C$32,"Other",IF(ISBLANK(V6),"","Other"))))</f>
        <v>Local</v>
      </c>
      <c r="X6" s="255">
        <f>'Assumptions TRC'!G77</f>
        <v>572391.30434782605</v>
      </c>
      <c r="Y6" s="259">
        <f>IF(X6&lt;&gt;"",X6/VLOOKUP($V6,Setup!$C$30:$D$41,2,0),"")</f>
        <v>69.961953802044562</v>
      </c>
      <c r="Z6" s="262"/>
      <c r="AA6" s="256" t="str">
        <f t="shared" ref="AA6:AA14" si="16">IFERROR(IF(AND(NOT(Z6=""),NOT(Y6="")),Z6*Y6,""),"")</f>
        <v/>
      </c>
      <c r="AB6" s="262"/>
      <c r="AC6" s="258" t="str">
        <f t="shared" si="3"/>
        <v/>
      </c>
      <c r="AD6" s="262"/>
      <c r="AE6" s="258" t="str">
        <f t="shared" si="4"/>
        <v/>
      </c>
      <c r="AF6" s="262">
        <f>138*2</f>
        <v>276</v>
      </c>
      <c r="AG6" s="256">
        <f t="shared" si="5"/>
        <v>19309.4992493643</v>
      </c>
      <c r="AH6" s="256">
        <f>IFERROR(IF(OR(NOT(Z6=""),NOT(AF6=""),NOT(AB6=""),NOT(AD6="")),Z6+AF6+AB6+AD6,""),"")</f>
        <v>276</v>
      </c>
      <c r="AI6" s="256">
        <f t="shared" si="6"/>
        <v>19309.4992493643</v>
      </c>
      <c r="AJ6" s="111"/>
      <c r="AK6" s="255">
        <f t="shared" ref="AK6:AK17" si="17">X6</f>
        <v>572391.30434782605</v>
      </c>
      <c r="AL6" s="259">
        <f>IF(AK6&lt;&gt;"",AK6/VLOOKUP($V6,Setup!$C$30:$D$41,2,0),"")</f>
        <v>69.961953802044562</v>
      </c>
      <c r="AM6" s="266"/>
      <c r="AN6" s="258" t="str">
        <f t="shared" ref="AN6:AN68" si="18">IFERROR(IF(AND(NOT(AM6=""),NOT(AL6="")),AM6*$AL6,""),"")</f>
        <v/>
      </c>
      <c r="AO6" s="266"/>
      <c r="AP6" s="258" t="str">
        <f t="shared" ref="AP6:AP68" si="19">IFERROR(IF(AND(NOT(AO6=""),NOT(AL6="")),AO6*$AL6,""),"")</f>
        <v/>
      </c>
      <c r="AQ6" s="266"/>
      <c r="AR6" s="258" t="str">
        <f t="shared" ref="AR6:AR68" si="20">IFERROR(IF(AND(NOT(AQ6=""),NOT(AL6="")),AQ6*$AL6,""),"")</f>
        <v/>
      </c>
      <c r="AS6" s="266">
        <f>138*2</f>
        <v>276</v>
      </c>
      <c r="AT6" s="256">
        <f t="shared" ref="AT6:AT68" si="21">IFERROR(IF(AND(NOT(AS6=""),NOT(AL6="")),AS6*$AL6,""),"")</f>
        <v>19309.4992493643</v>
      </c>
      <c r="AU6" s="256">
        <f t="shared" si="7"/>
        <v>276</v>
      </c>
      <c r="AV6" s="256">
        <f t="shared" si="8"/>
        <v>19309.4992493643</v>
      </c>
      <c r="AW6" s="267"/>
      <c r="AX6" s="255">
        <f t="shared" ref="AX6:AX17" si="22">X6</f>
        <v>572391.30434782605</v>
      </c>
      <c r="AY6" s="259">
        <f>IF(AX6&lt;&gt;"",AX6/VLOOKUP($V6,Setup!$C$30:$D$41,2,0),"")</f>
        <v>69.961953802044562</v>
      </c>
      <c r="AZ6" s="268"/>
      <c r="BA6" s="258" t="str">
        <f t="shared" ref="BA6:BA68" si="23">IFERROR(IF(AND(NOT(AZ6=""),NOT(AY6="")),AZ6*$AY6,""),"")</f>
        <v/>
      </c>
      <c r="BB6" s="268"/>
      <c r="BC6" s="258" t="str">
        <f t="shared" ref="BC6:BC68" si="24">IFERROR(IF(AND(NOT(BB6=""),NOT(AY6="")),BB6*$AY6,""),"")</f>
        <v/>
      </c>
      <c r="BD6" s="268"/>
      <c r="BE6" s="258" t="str">
        <f t="shared" ref="BE6:BE68" si="25">IFERROR(IF(AND(NOT(BD6=""),NOT(AY6="")),BD6*$AY6,""),"")</f>
        <v/>
      </c>
      <c r="BF6" s="268"/>
      <c r="BG6" s="256" t="str">
        <f t="shared" ref="BG6:BG68" si="26">IFERROR(IF(AND(NOT(BF6=""),NOT(AY6="")),BF6*$AY6,""),"")</f>
        <v/>
      </c>
      <c r="BH6" s="256" t="str">
        <f t="shared" si="9"/>
        <v/>
      </c>
      <c r="BI6" s="256" t="str">
        <f t="shared" si="10"/>
        <v/>
      </c>
      <c r="BJ6" s="267"/>
      <c r="BK6" s="255"/>
      <c r="BL6" s="259" t="str">
        <f>IF(BK6&lt;&gt;"",BK6/VLOOKUP($V6,Setup!$C$30:$D$41,2,0),"")</f>
        <v/>
      </c>
      <c r="BM6" s="268"/>
      <c r="BN6" s="258" t="str">
        <f t="shared" ref="BN6:BN68" si="27">IFERROR(IF(AND(NOT(BM6=""),NOT(BL6="")),BM6*$BL6,""),"")</f>
        <v/>
      </c>
      <c r="BO6" s="268"/>
      <c r="BP6" s="258" t="str">
        <f t="shared" ref="BP6:BP68" si="28">IFERROR(IF(AND(NOT(BO6=""),NOT(BL6="")),BO6*$BL6,""),"")</f>
        <v/>
      </c>
      <c r="BQ6" s="268"/>
      <c r="BR6" s="258" t="str">
        <f t="shared" ref="BR6:BR68" si="29">IFERROR(IF(AND(NOT(BQ6=""),NOT(BL6="")),BQ6*$BL6,""),"")</f>
        <v/>
      </c>
      <c r="BS6" s="268"/>
      <c r="BT6" s="256" t="str">
        <f>IFERROR(IF(AND(NOT(BS6=""),NOT(BL6="")),BS6*$BL6,""),"")</f>
        <v/>
      </c>
      <c r="BU6" s="256" t="str">
        <f t="shared" si="11"/>
        <v/>
      </c>
      <c r="BV6" s="256" t="str">
        <f t="shared" si="12"/>
        <v/>
      </c>
      <c r="BW6" s="267"/>
      <c r="BX6" s="256">
        <f t="shared" si="13"/>
        <v>552</v>
      </c>
      <c r="BY6" s="256">
        <f t="shared" si="14"/>
        <v>38618.998498728601</v>
      </c>
      <c r="BZ6" s="281"/>
      <c r="CA6" s="282"/>
      <c r="CC6" s="112" t="str">
        <f t="shared" ca="1" si="15"/>
        <v/>
      </c>
      <c r="CF6" s="283"/>
      <c r="CG6" s="283"/>
      <c r="CH6" s="283"/>
      <c r="CI6" s="283"/>
      <c r="CL6" s="356" t="str">
        <f>IFERROR(VLOOKUP(C6,'Data Sheet'!$A$3:$B$26,2,FALSE),"")</f>
        <v>MCI-00023</v>
      </c>
    </row>
    <row r="7" spans="1:90" s="112" customFormat="1" ht="63.75" x14ac:dyDescent="0.25">
      <c r="A7" s="97">
        <v>3</v>
      </c>
      <c r="B7" s="105" t="str">
        <f t="shared" si="1"/>
        <v>a1O36000001qZ7vEAE-a1O36000001qZ96EAE-Provincial</v>
      </c>
      <c r="C7" s="276" t="s">
        <v>2148</v>
      </c>
      <c r="D7" s="101" t="str">
        <f>IFERROR(IF(VLOOKUP(C7,'Data Sheet'!$A$3:$D$26,4,FALSE)=0,"",VLOOKUP(C7,'Data Sheet'!$A$3:$D$26,4,FALSE)),"")</f>
        <v>a1O36000001qZ7vEAE</v>
      </c>
      <c r="E7" s="279" t="s">
        <v>2471</v>
      </c>
      <c r="F7" s="103" t="str">
        <f>IFERROR(IF(VLOOKUP(E7,'Data Sheet'!$C$29:$E$174,3,FALSE)=0,"",VLOOKUP(E7,'Data Sheet'!$C$29:$E$174,3,FALSE)),"")</f>
        <v>a1O36000001qZ96EAE</v>
      </c>
      <c r="G7" s="106" t="str">
        <f t="shared" si="2"/>
        <v>a1O36000001qZ7vEAE-a1O36000001qZ96EAE</v>
      </c>
      <c r="H7" s="273" t="s">
        <v>2663</v>
      </c>
      <c r="I7" s="107" t="s">
        <v>2734</v>
      </c>
      <c r="J7" s="249" t="str">
        <f t="shared" ref="J7:J69" si="30">LEFT(I7,SEARCH(".",I7,1)+1)</f>
        <v>2.5</v>
      </c>
      <c r="K7" s="101" t="str">
        <f>IFERROR(INDEX('Data Sheet'!$C$198:$C$275,MATCH(I7,'Data Sheet'!$F$198:$F$275,0)),"")</f>
        <v>a2C360000007DB6EAM</v>
      </c>
      <c r="L7" s="250">
        <f>IFERROR(INDEX('Data Sheet'!$G$198:$G$275,MATCH(I7,'Data Sheet'!$F$198:$F$275,0)),"")</f>
        <v>2.5</v>
      </c>
      <c r="M7" s="248" t="s">
        <v>2658</v>
      </c>
      <c r="N7" s="248" t="s">
        <v>2760</v>
      </c>
      <c r="O7" s="248" t="s">
        <v>2128</v>
      </c>
      <c r="P7" s="108" t="str">
        <f>IFERROR(INDEX(Setup!$D$44:$D$70,MATCH(M7,Setup!$K$44:$K$70,0))&amp;"","")</f>
        <v>PR</v>
      </c>
      <c r="Q7" s="108" t="str">
        <f>IFERROR(INDEX(Setup!$E$44:$E$70,MATCH(M7,Setup!$K$44:$K$70,0))&amp;"","")</f>
        <v>Civil Society - Community Based Organization</v>
      </c>
      <c r="R7" s="108" t="str">
        <f>IFERROR(INDEX(Setup!$L$44:$L$70,MATCH(M7,Setup!$K$44:$K$70,0))&amp;"","")</f>
        <v/>
      </c>
      <c r="S7" s="108" t="str">
        <f>Setup!$C$30</f>
        <v>USD</v>
      </c>
      <c r="T7" s="109" t="str">
        <f>IFERROR(INDEX('Data Sheet'!$B$198:$B$275,MATCH(I7,'Data Sheet'!$F$198:$F$275,0)),"")</f>
        <v>N/A</v>
      </c>
      <c r="U7" s="110">
        <f>IFERROR(INDEX('Data Sheet'!$D$198:$D$275,MATCH(I7,'Data Sheet'!$F$198:$F$275,0)),"")</f>
        <v>2</v>
      </c>
      <c r="V7" s="415" t="s">
        <v>992</v>
      </c>
      <c r="W7" s="195" t="str">
        <f>IF(V7=Setup!$C$30,"Grant",IF(V7=Setup!$C$31,"Local",IF(V7=Setup!$C$32,"Other",IF(ISBLANK(V7),"","Other"))))</f>
        <v>Local</v>
      </c>
      <c r="X7" s="255">
        <f>'Assumptions TRC'!C95</f>
        <v>50000</v>
      </c>
      <c r="Y7" s="259">
        <f>IF(X7&lt;&gt;"",X7/VLOOKUP($V7,Setup!$C$30:$D$41,2,0),"")</f>
        <v>6.1113746200038932</v>
      </c>
      <c r="Z7" s="262">
        <f>585*2/4</f>
        <v>292.5</v>
      </c>
      <c r="AA7" s="256">
        <f t="shared" si="16"/>
        <v>1787.5770763511387</v>
      </c>
      <c r="AB7" s="262">
        <f>585*2/4</f>
        <v>292.5</v>
      </c>
      <c r="AC7" s="258">
        <f t="shared" si="3"/>
        <v>1787.5770763511387</v>
      </c>
      <c r="AD7" s="262">
        <f>585*2/4</f>
        <v>292.5</v>
      </c>
      <c r="AE7" s="258">
        <f t="shared" si="4"/>
        <v>1787.5770763511387</v>
      </c>
      <c r="AF7" s="262">
        <f>585*2/4</f>
        <v>292.5</v>
      </c>
      <c r="AG7" s="256">
        <f t="shared" si="5"/>
        <v>1787.5770763511387</v>
      </c>
      <c r="AH7" s="256">
        <f t="shared" ref="AH7:AH11" si="31">IFERROR(IF(OR(NOT(Z7=""),NOT(AF7=""),NOT(AB7=""),NOT(AD7="")),Z7+AF7+AB7+AD7,""),"")</f>
        <v>1170</v>
      </c>
      <c r="AI7" s="256">
        <f t="shared" si="6"/>
        <v>7150.3083054045546</v>
      </c>
      <c r="AJ7" s="111"/>
      <c r="AK7" s="255">
        <f t="shared" si="17"/>
        <v>50000</v>
      </c>
      <c r="AL7" s="259">
        <f>IF(AK7&lt;&gt;"",AK7/VLOOKUP($V7,Setup!$C$30:$D$41,2,0),"")</f>
        <v>6.1113746200038932</v>
      </c>
      <c r="AM7" s="262">
        <f>585*2/4</f>
        <v>292.5</v>
      </c>
      <c r="AN7" s="258">
        <f t="shared" si="18"/>
        <v>1787.5770763511387</v>
      </c>
      <c r="AO7" s="262">
        <f>585*2/4</f>
        <v>292.5</v>
      </c>
      <c r="AP7" s="258">
        <f t="shared" si="19"/>
        <v>1787.5770763511387</v>
      </c>
      <c r="AQ7" s="262">
        <f>585*2/4</f>
        <v>292.5</v>
      </c>
      <c r="AR7" s="258">
        <f t="shared" si="20"/>
        <v>1787.5770763511387</v>
      </c>
      <c r="AS7" s="262">
        <f>585*2/4</f>
        <v>292.5</v>
      </c>
      <c r="AT7" s="256">
        <f t="shared" si="21"/>
        <v>1787.5770763511387</v>
      </c>
      <c r="AU7" s="256">
        <f t="shared" si="7"/>
        <v>1170</v>
      </c>
      <c r="AV7" s="256">
        <f t="shared" si="8"/>
        <v>7150.3083054045546</v>
      </c>
      <c r="AW7" s="267"/>
      <c r="AX7" s="255">
        <f t="shared" si="22"/>
        <v>50000</v>
      </c>
      <c r="AY7" s="259">
        <f>IF(AX7&lt;&gt;"",AX7/VLOOKUP($V7,Setup!$C$30:$D$41,2,0),"")</f>
        <v>6.1113746200038932</v>
      </c>
      <c r="AZ7" s="262">
        <f>585*2/4</f>
        <v>292.5</v>
      </c>
      <c r="BA7" s="258">
        <f t="shared" si="23"/>
        <v>1787.5770763511387</v>
      </c>
      <c r="BB7" s="262">
        <f>585*2/4</f>
        <v>292.5</v>
      </c>
      <c r="BC7" s="258">
        <f t="shared" si="24"/>
        <v>1787.5770763511387</v>
      </c>
      <c r="BD7" s="262">
        <f>585*2/4</f>
        <v>292.5</v>
      </c>
      <c r="BE7" s="258">
        <f t="shared" si="25"/>
        <v>1787.5770763511387</v>
      </c>
      <c r="BF7" s="262">
        <f>585*2/4</f>
        <v>292.5</v>
      </c>
      <c r="BG7" s="256">
        <f t="shared" si="26"/>
        <v>1787.5770763511387</v>
      </c>
      <c r="BH7" s="256">
        <f t="shared" si="9"/>
        <v>1170</v>
      </c>
      <c r="BI7" s="256">
        <f t="shared" si="10"/>
        <v>7150.3083054045546</v>
      </c>
      <c r="BJ7" s="267"/>
      <c r="BK7" s="255"/>
      <c r="BL7" s="259" t="str">
        <f>IF(BK7&lt;&gt;"",BK7/VLOOKUP($V7,Setup!$C$30:$D$41,2,0),"")</f>
        <v/>
      </c>
      <c r="BM7" s="268"/>
      <c r="BN7" s="258" t="str">
        <f t="shared" si="27"/>
        <v/>
      </c>
      <c r="BO7" s="268"/>
      <c r="BP7" s="258" t="str">
        <f t="shared" si="28"/>
        <v/>
      </c>
      <c r="BQ7" s="268"/>
      <c r="BR7" s="258" t="str">
        <f t="shared" si="29"/>
        <v/>
      </c>
      <c r="BS7" s="268"/>
      <c r="BT7" s="256" t="str">
        <f t="shared" ref="BT7:BT68" si="32">IFERROR(IF(AND(NOT(BS7=""),NOT(BL7="")),BS7*$BL7,""),"")</f>
        <v/>
      </c>
      <c r="BU7" s="256" t="str">
        <f t="shared" si="11"/>
        <v/>
      </c>
      <c r="BV7" s="256" t="str">
        <f t="shared" si="12"/>
        <v/>
      </c>
      <c r="BW7" s="267"/>
      <c r="BX7" s="256">
        <f t="shared" si="13"/>
        <v>3510</v>
      </c>
      <c r="BY7" s="256">
        <f t="shared" si="14"/>
        <v>21450.924916213662</v>
      </c>
      <c r="BZ7" s="281"/>
      <c r="CA7" s="282"/>
      <c r="CC7" s="112" t="str">
        <f t="shared" ca="1" si="15"/>
        <v/>
      </c>
      <c r="CF7" s="283"/>
      <c r="CG7" s="283"/>
      <c r="CH7" s="283"/>
      <c r="CI7" s="283"/>
      <c r="CL7" s="356" t="str">
        <f>IFERROR(VLOOKUP(C7,'Data Sheet'!$A$3:$B$26,2,FALSE),"")</f>
        <v>MCI-00534</v>
      </c>
    </row>
    <row r="8" spans="1:90" s="112" customFormat="1" ht="51" x14ac:dyDescent="0.25">
      <c r="A8" s="97">
        <v>4</v>
      </c>
      <c r="B8" s="105" t="str">
        <f t="shared" si="1"/>
        <v>a1O36000001qZ7vEAE-a1O36000001qZ96EAE-Provincial</v>
      </c>
      <c r="C8" s="276" t="s">
        <v>2148</v>
      </c>
      <c r="D8" s="101" t="str">
        <f>IFERROR(IF(VLOOKUP(C8,'Data Sheet'!$A$3:$D$26,4,FALSE)=0,"",VLOOKUP(C8,'Data Sheet'!$A$3:$D$26,4,FALSE)),"")</f>
        <v>a1O36000001qZ7vEAE</v>
      </c>
      <c r="E8" s="279" t="s">
        <v>2471</v>
      </c>
      <c r="F8" s="103" t="str">
        <f>IFERROR(IF(VLOOKUP(E8,'Data Sheet'!$C$29:$E$174,3,FALSE)=0,"",VLOOKUP(E8,'Data Sheet'!$C$29:$E$174,3,FALSE)),"")</f>
        <v>a1O36000001qZ96EAE</v>
      </c>
      <c r="G8" s="106" t="str">
        <f t="shared" si="2"/>
        <v>a1O36000001qZ7vEAE-a1O36000001qZ96EAE</v>
      </c>
      <c r="H8" s="273" t="s">
        <v>2664</v>
      </c>
      <c r="I8" s="107" t="s">
        <v>2733</v>
      </c>
      <c r="J8" s="249" t="str">
        <f t="shared" si="30"/>
        <v>2.4</v>
      </c>
      <c r="K8" s="101" t="str">
        <f>IFERROR(INDEX('Data Sheet'!$C$198:$C$275,MATCH(I8,'Data Sheet'!$F$198:$F$275,0)),"")</f>
        <v>a2C360000007DB9EAM</v>
      </c>
      <c r="L8" s="250">
        <f>IFERROR(INDEX('Data Sheet'!$G$198:$G$275,MATCH(I8,'Data Sheet'!$F$198:$F$275,0)),"")</f>
        <v>2.4</v>
      </c>
      <c r="M8" s="248" t="s">
        <v>2658</v>
      </c>
      <c r="N8" s="248" t="s">
        <v>2760</v>
      </c>
      <c r="O8" s="248" t="s">
        <v>2128</v>
      </c>
      <c r="P8" s="108" t="str">
        <f>IFERROR(INDEX(Setup!$D$44:$D$70,MATCH(M8,Setup!$K$44:$K$70,0))&amp;"","")</f>
        <v>PR</v>
      </c>
      <c r="Q8" s="108" t="str">
        <f>IFERROR(INDEX(Setup!$E$44:$E$70,MATCH(M8,Setup!$K$44:$K$70,0))&amp;"","")</f>
        <v>Civil Society - Community Based Organization</v>
      </c>
      <c r="R8" s="108" t="str">
        <f>IFERROR(INDEX(Setup!$L$44:$L$70,MATCH(M8,Setup!$K$44:$K$70,0))&amp;"","")</f>
        <v/>
      </c>
      <c r="S8" s="108" t="str">
        <f>Setup!$C$30</f>
        <v>USD</v>
      </c>
      <c r="T8" s="109" t="str">
        <f>IFERROR(INDEX('Data Sheet'!$B$198:$B$275,MATCH(I8,'Data Sheet'!$F$198:$F$275,0)),"")</f>
        <v>Average cost of event per participant per day</v>
      </c>
      <c r="U8" s="110">
        <f>IFERROR(INDEX('Data Sheet'!$D$198:$D$275,MATCH(I8,'Data Sheet'!$F$198:$F$275,0)),"")</f>
        <v>2</v>
      </c>
      <c r="V8" s="415" t="s">
        <v>992</v>
      </c>
      <c r="W8" s="195" t="str">
        <f>IF(V8=Setup!$C$30,"Grant",IF(V8=Setup!$C$31,"Local",IF(V8=Setup!$C$32,"Other",IF(ISBLANK(V8),"","Other"))))</f>
        <v>Local</v>
      </c>
      <c r="X8" s="255">
        <f>'Assumptions TRC'!G113</f>
        <v>66083.333333333328</v>
      </c>
      <c r="Y8" s="259">
        <f>IF(X8&lt;&gt;"",X8/VLOOKUP($V8,Setup!$C$30:$D$41,2,0),"")</f>
        <v>8.0772001227718118</v>
      </c>
      <c r="Z8" s="262">
        <f>60*2*2</f>
        <v>240</v>
      </c>
      <c r="AA8" s="256">
        <f t="shared" si="16"/>
        <v>1938.5280294652348</v>
      </c>
      <c r="AB8" s="262">
        <f>60*2*2</f>
        <v>240</v>
      </c>
      <c r="AC8" s="258">
        <f t="shared" si="3"/>
        <v>1938.5280294652348</v>
      </c>
      <c r="AD8" s="262">
        <f>60*2*2</f>
        <v>240</v>
      </c>
      <c r="AE8" s="258">
        <f t="shared" si="4"/>
        <v>1938.5280294652348</v>
      </c>
      <c r="AF8" s="262">
        <f>60*2*2</f>
        <v>240</v>
      </c>
      <c r="AG8" s="256">
        <f t="shared" si="5"/>
        <v>1938.5280294652348</v>
      </c>
      <c r="AH8" s="256">
        <f t="shared" si="31"/>
        <v>960</v>
      </c>
      <c r="AI8" s="256">
        <f t="shared" si="6"/>
        <v>7754.1121178609392</v>
      </c>
      <c r="AJ8" s="111"/>
      <c r="AK8" s="255">
        <f t="shared" si="17"/>
        <v>66083.333333333328</v>
      </c>
      <c r="AL8" s="259">
        <f>IF(AK8&lt;&gt;"",AK8/VLOOKUP($V8,Setup!$C$30:$D$41,2,0),"")</f>
        <v>8.0772001227718118</v>
      </c>
      <c r="AM8" s="262">
        <f>60*2*2</f>
        <v>240</v>
      </c>
      <c r="AN8" s="258">
        <f t="shared" si="18"/>
        <v>1938.5280294652348</v>
      </c>
      <c r="AO8" s="262">
        <f>60*2*2</f>
        <v>240</v>
      </c>
      <c r="AP8" s="258">
        <f t="shared" si="19"/>
        <v>1938.5280294652348</v>
      </c>
      <c r="AQ8" s="262">
        <f>60*2*2</f>
        <v>240</v>
      </c>
      <c r="AR8" s="258">
        <f t="shared" si="20"/>
        <v>1938.5280294652348</v>
      </c>
      <c r="AS8" s="262">
        <f>60*2*2</f>
        <v>240</v>
      </c>
      <c r="AT8" s="256">
        <f t="shared" si="21"/>
        <v>1938.5280294652348</v>
      </c>
      <c r="AU8" s="256">
        <f t="shared" si="7"/>
        <v>960</v>
      </c>
      <c r="AV8" s="256">
        <f t="shared" si="8"/>
        <v>7754.1121178609392</v>
      </c>
      <c r="AW8" s="267"/>
      <c r="AX8" s="255">
        <f t="shared" si="22"/>
        <v>66083.333333333328</v>
      </c>
      <c r="AY8" s="259">
        <f>IF(AX8&lt;&gt;"",AX8/VLOOKUP($V8,Setup!$C$30:$D$41,2,0),"")</f>
        <v>8.0772001227718118</v>
      </c>
      <c r="AZ8" s="262">
        <f>60*2*2</f>
        <v>240</v>
      </c>
      <c r="BA8" s="258">
        <f t="shared" si="23"/>
        <v>1938.5280294652348</v>
      </c>
      <c r="BB8" s="262">
        <f>60*2*2</f>
        <v>240</v>
      </c>
      <c r="BC8" s="258">
        <f t="shared" si="24"/>
        <v>1938.5280294652348</v>
      </c>
      <c r="BD8" s="262">
        <f>60*2*2</f>
        <v>240</v>
      </c>
      <c r="BE8" s="258">
        <f t="shared" si="25"/>
        <v>1938.5280294652348</v>
      </c>
      <c r="BF8" s="262">
        <f>60*2*2</f>
        <v>240</v>
      </c>
      <c r="BG8" s="256">
        <f t="shared" si="26"/>
        <v>1938.5280294652348</v>
      </c>
      <c r="BH8" s="256">
        <f t="shared" si="9"/>
        <v>960</v>
      </c>
      <c r="BI8" s="256">
        <f t="shared" si="10"/>
        <v>7754.1121178609392</v>
      </c>
      <c r="BJ8" s="267"/>
      <c r="BK8" s="255"/>
      <c r="BL8" s="259" t="str">
        <f>IF(BK8&lt;&gt;"",BK8/VLOOKUP($V8,Setup!$C$30:$D$41,2,0),"")</f>
        <v/>
      </c>
      <c r="BM8" s="268"/>
      <c r="BN8" s="258" t="str">
        <f t="shared" si="27"/>
        <v/>
      </c>
      <c r="BO8" s="268"/>
      <c r="BP8" s="258" t="str">
        <f t="shared" si="28"/>
        <v/>
      </c>
      <c r="BQ8" s="268"/>
      <c r="BR8" s="258" t="str">
        <f t="shared" si="29"/>
        <v/>
      </c>
      <c r="BS8" s="268"/>
      <c r="BT8" s="256" t="str">
        <f t="shared" si="32"/>
        <v/>
      </c>
      <c r="BU8" s="256" t="str">
        <f t="shared" si="11"/>
        <v/>
      </c>
      <c r="BV8" s="256" t="str">
        <f t="shared" si="12"/>
        <v/>
      </c>
      <c r="BW8" s="267"/>
      <c r="BX8" s="256">
        <f t="shared" si="13"/>
        <v>2880</v>
      </c>
      <c r="BY8" s="256">
        <f t="shared" si="14"/>
        <v>23262.336353582818</v>
      </c>
      <c r="BZ8" s="281"/>
      <c r="CA8" s="282"/>
      <c r="CC8" s="112" t="str">
        <f t="shared" ca="1" si="15"/>
        <v/>
      </c>
      <c r="CF8" s="283"/>
      <c r="CG8" s="283"/>
      <c r="CH8" s="283"/>
      <c r="CI8" s="283"/>
      <c r="CL8" s="356" t="str">
        <f>IFERROR(VLOOKUP(C8,'Data Sheet'!$A$3:$B$26,2,FALSE),"")</f>
        <v>MCI-00534</v>
      </c>
    </row>
    <row r="9" spans="1:90" s="112" customFormat="1" ht="51" x14ac:dyDescent="0.25">
      <c r="A9" s="97">
        <v>5</v>
      </c>
      <c r="B9" s="105" t="str">
        <f t="shared" si="1"/>
        <v>a1O36000001qZ7vEAE-a1O36000001qZ96EAE-Provincial</v>
      </c>
      <c r="C9" s="276" t="s">
        <v>2148</v>
      </c>
      <c r="D9" s="101" t="str">
        <f>IFERROR(IF(VLOOKUP(C9,'Data Sheet'!$A$3:$D$26,4,FALSE)=0,"",VLOOKUP(C9,'Data Sheet'!$A$3:$D$26,4,FALSE)),"")</f>
        <v>a1O36000001qZ7vEAE</v>
      </c>
      <c r="E9" s="279" t="s">
        <v>2471</v>
      </c>
      <c r="F9" s="103" t="str">
        <f>IFERROR(IF(VLOOKUP(E9,'Data Sheet'!$C$29:$E$174,3,FALSE)=0,"",VLOOKUP(E9,'Data Sheet'!$C$29:$E$174,3,FALSE)),"")</f>
        <v>a1O36000001qZ96EAE</v>
      </c>
      <c r="G9" s="106" t="str">
        <f t="shared" si="2"/>
        <v>a1O36000001qZ7vEAE-a1O36000001qZ96EAE</v>
      </c>
      <c r="H9" s="273" t="s">
        <v>2665</v>
      </c>
      <c r="I9" s="107" t="s">
        <v>2734</v>
      </c>
      <c r="J9" s="249" t="str">
        <f t="shared" si="30"/>
        <v>2.5</v>
      </c>
      <c r="K9" s="101" t="str">
        <f>IFERROR(INDEX('Data Sheet'!$C$198:$C$275,MATCH(I9,'Data Sheet'!$F$198:$F$275,0)),"")</f>
        <v>a2C360000007DB6EAM</v>
      </c>
      <c r="L9" s="250">
        <f>IFERROR(INDEX('Data Sheet'!$G$198:$G$275,MATCH(I9,'Data Sheet'!$F$198:$F$275,0)),"")</f>
        <v>2.5</v>
      </c>
      <c r="M9" s="248" t="s">
        <v>2658</v>
      </c>
      <c r="N9" s="248" t="s">
        <v>2760</v>
      </c>
      <c r="O9" s="248" t="s">
        <v>2128</v>
      </c>
      <c r="P9" s="108" t="str">
        <f>IFERROR(INDEX(Setup!$D$44:$D$70,MATCH(M9,Setup!$K$44:$K$70,0))&amp;"","")</f>
        <v>PR</v>
      </c>
      <c r="Q9" s="108" t="str">
        <f>IFERROR(INDEX(Setup!$E$44:$E$70,MATCH(M9,Setup!$K$44:$K$70,0))&amp;"","")</f>
        <v>Civil Society - Community Based Organization</v>
      </c>
      <c r="R9" s="108" t="str">
        <f>IFERROR(INDEX(Setup!$L$44:$L$70,MATCH(M9,Setup!$K$44:$K$70,0))&amp;"","")</f>
        <v/>
      </c>
      <c r="S9" s="108" t="str">
        <f>Setup!$C$30</f>
        <v>USD</v>
      </c>
      <c r="T9" s="109" t="str">
        <f>IFERROR(INDEX('Data Sheet'!$B$198:$B$275,MATCH(I9,'Data Sheet'!$F$198:$F$275,0)),"")</f>
        <v>N/A</v>
      </c>
      <c r="U9" s="110">
        <f>IFERROR(INDEX('Data Sheet'!$D$198:$D$275,MATCH(I9,'Data Sheet'!$F$198:$F$275,0)),"")</f>
        <v>2</v>
      </c>
      <c r="V9" s="415" t="s">
        <v>992</v>
      </c>
      <c r="W9" s="195" t="str">
        <f>IF(V9=Setup!$C$30,"Grant",IF(V9=Setup!$C$31,"Local",IF(V9=Setup!$C$32,"Other",IF(ISBLANK(V9),"","Other"))))</f>
        <v>Local</v>
      </c>
      <c r="X9" s="255">
        <f>'Assumptions TRC'!C116</f>
        <v>50000</v>
      </c>
      <c r="Y9" s="259">
        <f>IF(X9&lt;&gt;"",X9/VLOOKUP($V9,Setup!$C$30:$D$41,2,0),"")</f>
        <v>6.1113746200038932</v>
      </c>
      <c r="Z9" s="262">
        <f>25*3</f>
        <v>75</v>
      </c>
      <c r="AA9" s="256">
        <f t="shared" si="16"/>
        <v>458.353096500292</v>
      </c>
      <c r="AB9" s="262">
        <v>75</v>
      </c>
      <c r="AC9" s="258">
        <f t="shared" si="3"/>
        <v>458.353096500292</v>
      </c>
      <c r="AD9" s="262">
        <v>75</v>
      </c>
      <c r="AE9" s="258">
        <f t="shared" si="4"/>
        <v>458.353096500292</v>
      </c>
      <c r="AF9" s="262">
        <v>75</v>
      </c>
      <c r="AG9" s="256">
        <f t="shared" si="5"/>
        <v>458.353096500292</v>
      </c>
      <c r="AH9" s="256">
        <f t="shared" si="31"/>
        <v>300</v>
      </c>
      <c r="AI9" s="256">
        <f t="shared" si="6"/>
        <v>1833.412386001168</v>
      </c>
      <c r="AJ9" s="111"/>
      <c r="AK9" s="255">
        <f t="shared" si="17"/>
        <v>50000</v>
      </c>
      <c r="AL9" s="259">
        <f>IF(AK9&lt;&gt;"",AK9/VLOOKUP($V9,Setup!$C$30:$D$41,2,0),"")</f>
        <v>6.1113746200038932</v>
      </c>
      <c r="AM9" s="266">
        <v>75</v>
      </c>
      <c r="AN9" s="258">
        <f t="shared" si="18"/>
        <v>458.353096500292</v>
      </c>
      <c r="AO9" s="266">
        <v>75</v>
      </c>
      <c r="AP9" s="258">
        <f t="shared" si="19"/>
        <v>458.353096500292</v>
      </c>
      <c r="AQ9" s="266">
        <v>75</v>
      </c>
      <c r="AR9" s="258">
        <f t="shared" si="20"/>
        <v>458.353096500292</v>
      </c>
      <c r="AS9" s="266">
        <v>75</v>
      </c>
      <c r="AT9" s="256">
        <f t="shared" si="21"/>
        <v>458.353096500292</v>
      </c>
      <c r="AU9" s="256">
        <f t="shared" si="7"/>
        <v>300</v>
      </c>
      <c r="AV9" s="256">
        <f t="shared" si="8"/>
        <v>1833.412386001168</v>
      </c>
      <c r="AW9" s="267"/>
      <c r="AX9" s="255">
        <f t="shared" si="22"/>
        <v>50000</v>
      </c>
      <c r="AY9" s="259">
        <f>IF(AX9&lt;&gt;"",AX9/VLOOKUP($V9,Setup!$C$30:$D$41,2,0),"")</f>
        <v>6.1113746200038932</v>
      </c>
      <c r="AZ9" s="268">
        <v>75</v>
      </c>
      <c r="BA9" s="258">
        <f t="shared" si="23"/>
        <v>458.353096500292</v>
      </c>
      <c r="BB9" s="268">
        <v>75</v>
      </c>
      <c r="BC9" s="258">
        <f t="shared" si="24"/>
        <v>458.353096500292</v>
      </c>
      <c r="BD9" s="268">
        <v>75</v>
      </c>
      <c r="BE9" s="258">
        <f t="shared" si="25"/>
        <v>458.353096500292</v>
      </c>
      <c r="BF9" s="268">
        <v>75</v>
      </c>
      <c r="BG9" s="256">
        <f t="shared" si="26"/>
        <v>458.353096500292</v>
      </c>
      <c r="BH9" s="256">
        <f t="shared" si="9"/>
        <v>300</v>
      </c>
      <c r="BI9" s="256">
        <f t="shared" si="10"/>
        <v>1833.412386001168</v>
      </c>
      <c r="BJ9" s="267"/>
      <c r="BK9" s="255"/>
      <c r="BL9" s="259" t="str">
        <f>IF(BK9&lt;&gt;"",BK9/VLOOKUP($V9,Setup!$C$30:$D$41,2,0),"")</f>
        <v/>
      </c>
      <c r="BM9" s="268"/>
      <c r="BN9" s="258" t="str">
        <f t="shared" si="27"/>
        <v/>
      </c>
      <c r="BO9" s="268"/>
      <c r="BP9" s="258" t="str">
        <f t="shared" si="28"/>
        <v/>
      </c>
      <c r="BQ9" s="268"/>
      <c r="BR9" s="258" t="str">
        <f t="shared" si="29"/>
        <v/>
      </c>
      <c r="BS9" s="268"/>
      <c r="BT9" s="256" t="str">
        <f t="shared" si="32"/>
        <v/>
      </c>
      <c r="BU9" s="256" t="str">
        <f t="shared" si="11"/>
        <v/>
      </c>
      <c r="BV9" s="256" t="str">
        <f t="shared" si="12"/>
        <v/>
      </c>
      <c r="BW9" s="267"/>
      <c r="BX9" s="256">
        <f t="shared" si="13"/>
        <v>900</v>
      </c>
      <c r="BY9" s="256">
        <f t="shared" si="14"/>
        <v>5500.2371580035042</v>
      </c>
      <c r="BZ9" s="281"/>
      <c r="CA9" s="282"/>
      <c r="CC9" s="112" t="str">
        <f t="shared" ca="1" si="15"/>
        <v/>
      </c>
      <c r="CF9" s="283"/>
      <c r="CG9" s="283"/>
      <c r="CH9" s="283"/>
      <c r="CI9" s="283"/>
      <c r="CL9" s="356" t="str">
        <f>IFERROR(VLOOKUP(C9,'Data Sheet'!$A$3:$B$26,2,FALSE),"")</f>
        <v>MCI-00534</v>
      </c>
    </row>
    <row r="10" spans="1:90" s="112" customFormat="1" ht="51" x14ac:dyDescent="0.25">
      <c r="A10" s="97">
        <v>6</v>
      </c>
      <c r="B10" s="105" t="str">
        <f t="shared" si="1"/>
        <v>a1O36000001EGFXEA4-a1O36000001EGIVEA4-Nationwide</v>
      </c>
      <c r="C10" s="276" t="s">
        <v>2181</v>
      </c>
      <c r="D10" s="101" t="str">
        <f>IFERROR(IF(VLOOKUP(C10,'Data Sheet'!$A$3:$D$26,4,FALSE)=0,"",VLOOKUP(C10,'Data Sheet'!$A$3:$D$26,4,FALSE)),"")</f>
        <v>a1O36000001EGFXEA4</v>
      </c>
      <c r="E10" s="279" t="s">
        <v>2408</v>
      </c>
      <c r="F10" s="103" t="str">
        <f>IFERROR(IF(VLOOKUP(E10,'Data Sheet'!$C$29:$E$174,3,FALSE)=0,"",VLOOKUP(E10,'Data Sheet'!$C$29:$E$174,3,FALSE)),"")</f>
        <v>a1O36000001EGIVEA4</v>
      </c>
      <c r="G10" s="106" t="str">
        <f t="shared" si="2"/>
        <v>a1O36000001EGFXEA4-a1O36000001EGIVEA4</v>
      </c>
      <c r="H10" s="273" t="s">
        <v>2666</v>
      </c>
      <c r="I10" s="107" t="s">
        <v>2735</v>
      </c>
      <c r="J10" s="249" t="str">
        <f t="shared" si="30"/>
        <v>1.1</v>
      </c>
      <c r="K10" s="101" t="str">
        <f>IFERROR(INDEX('Data Sheet'!$C$198:$C$275,MATCH(I10,'Data Sheet'!$F$198:$F$275,0)),"")</f>
        <v>a2C360000007DA4EAM</v>
      </c>
      <c r="L10" s="250">
        <f>IFERROR(INDEX('Data Sheet'!$G$198:$G$275,MATCH(I10,'Data Sheet'!$F$198:$F$275,0)),"")</f>
        <v>1.1000000000000001</v>
      </c>
      <c r="M10" s="248" t="s">
        <v>2657</v>
      </c>
      <c r="N10" s="248" t="s">
        <v>2759</v>
      </c>
      <c r="O10" s="248" t="s">
        <v>2128</v>
      </c>
      <c r="P10" s="108" t="str">
        <f>IFERROR(INDEX(Setup!$D$44:$D$70,MATCH(M10,Setup!$K$44:$K$70,0))&amp;"","")</f>
        <v>SR</v>
      </c>
      <c r="Q10" s="108" t="str">
        <f>IFERROR(INDEX(Setup!$E$44:$E$70,MATCH(M10,Setup!$K$44:$K$70,0))&amp;"","")</f>
        <v>Government - Ministry of Health</v>
      </c>
      <c r="R10" s="108" t="str">
        <f>IFERROR(INDEX(Setup!$L$44:$L$70,MATCH(M10,Setup!$K$44:$K$70,0))&amp;"","")</f>
        <v/>
      </c>
      <c r="S10" s="108" t="str">
        <f>Setup!$C$30</f>
        <v>USD</v>
      </c>
      <c r="T10" s="109" t="str">
        <f>IFERROR(INDEX('Data Sheet'!$B$198:$B$275,MATCH(I10,'Data Sheet'!$F$198:$F$275,0)),"")</f>
        <v>Average gross salary per FTE (person) per quarter</v>
      </c>
      <c r="U10" s="110">
        <f>IFERROR(INDEX('Data Sheet'!$D$198:$D$275,MATCH(I10,'Data Sheet'!$F$198:$F$275,0)),"")</f>
        <v>1</v>
      </c>
      <c r="V10" s="415" t="s">
        <v>992</v>
      </c>
      <c r="W10" s="195" t="str">
        <f>IF(V10=Setup!$C$30,"Grant",IF(V10=Setup!$C$31,"Local",IF(V10=Setup!$C$32,"Other",IF(ISBLANK(V10),"","Other"))))</f>
        <v>Local</v>
      </c>
      <c r="X10" s="255">
        <f>'Assumptions HR'!H11</f>
        <v>20112500</v>
      </c>
      <c r="Y10" s="259">
        <f>IF(X10&lt;&gt;"",X10/VLOOKUP($V10,Setup!$C$30:$D$41,2,0),"")</f>
        <v>2458.3004408965662</v>
      </c>
      <c r="Z10" s="262">
        <v>6</v>
      </c>
      <c r="AA10" s="256">
        <f t="shared" si="16"/>
        <v>14749.802645379397</v>
      </c>
      <c r="AB10" s="262">
        <v>6</v>
      </c>
      <c r="AC10" s="258">
        <f t="shared" si="3"/>
        <v>14749.802645379397</v>
      </c>
      <c r="AD10" s="262">
        <v>6</v>
      </c>
      <c r="AE10" s="258">
        <f t="shared" si="4"/>
        <v>14749.802645379397</v>
      </c>
      <c r="AF10" s="262">
        <v>6</v>
      </c>
      <c r="AG10" s="256">
        <f t="shared" si="5"/>
        <v>14749.802645379397</v>
      </c>
      <c r="AH10" s="256">
        <f t="shared" si="31"/>
        <v>24</v>
      </c>
      <c r="AI10" s="256">
        <f t="shared" si="6"/>
        <v>58999.210581517589</v>
      </c>
      <c r="AJ10" s="111"/>
      <c r="AK10" s="255">
        <f t="shared" si="17"/>
        <v>20112500</v>
      </c>
      <c r="AL10" s="259">
        <f>IF(AK10&lt;&gt;"",AK10/VLOOKUP($V10,Setup!$C$30:$D$41,2,0),"")</f>
        <v>2458.3004408965662</v>
      </c>
      <c r="AM10" s="266">
        <v>6</v>
      </c>
      <c r="AN10" s="258">
        <f t="shared" si="18"/>
        <v>14749.802645379397</v>
      </c>
      <c r="AO10" s="266">
        <v>6</v>
      </c>
      <c r="AP10" s="258">
        <f t="shared" si="19"/>
        <v>14749.802645379397</v>
      </c>
      <c r="AQ10" s="266">
        <v>6</v>
      </c>
      <c r="AR10" s="258">
        <f t="shared" si="20"/>
        <v>14749.802645379397</v>
      </c>
      <c r="AS10" s="266">
        <v>6</v>
      </c>
      <c r="AT10" s="256">
        <f t="shared" si="21"/>
        <v>14749.802645379397</v>
      </c>
      <c r="AU10" s="256">
        <f t="shared" si="7"/>
        <v>24</v>
      </c>
      <c r="AV10" s="256">
        <f t="shared" si="8"/>
        <v>58999.210581517589</v>
      </c>
      <c r="AW10" s="267"/>
      <c r="AX10" s="255">
        <f t="shared" si="22"/>
        <v>20112500</v>
      </c>
      <c r="AY10" s="259">
        <f>IF(AX10&lt;&gt;"",AX10/VLOOKUP($V10,Setup!$C$30:$D$41,2,0),"")</f>
        <v>2458.3004408965662</v>
      </c>
      <c r="AZ10" s="268">
        <v>6</v>
      </c>
      <c r="BA10" s="258">
        <f t="shared" si="23"/>
        <v>14749.802645379397</v>
      </c>
      <c r="BB10" s="268">
        <v>6</v>
      </c>
      <c r="BC10" s="258">
        <f t="shared" si="24"/>
        <v>14749.802645379397</v>
      </c>
      <c r="BD10" s="268">
        <v>6</v>
      </c>
      <c r="BE10" s="258">
        <f t="shared" si="25"/>
        <v>14749.802645379397</v>
      </c>
      <c r="BF10" s="268">
        <v>6</v>
      </c>
      <c r="BG10" s="256">
        <f t="shared" si="26"/>
        <v>14749.802645379397</v>
      </c>
      <c r="BH10" s="256">
        <f t="shared" si="9"/>
        <v>24</v>
      </c>
      <c r="BI10" s="256">
        <f t="shared" si="10"/>
        <v>58999.210581517589</v>
      </c>
      <c r="BJ10" s="267"/>
      <c r="BK10" s="255"/>
      <c r="BL10" s="259" t="str">
        <f>IF(BK10&lt;&gt;"",BK10/VLOOKUP($V10,Setup!$C$30:$D$41,2,0),"")</f>
        <v/>
      </c>
      <c r="BM10" s="268"/>
      <c r="BN10" s="258" t="str">
        <f t="shared" si="27"/>
        <v/>
      </c>
      <c r="BO10" s="268"/>
      <c r="BP10" s="258" t="str">
        <f t="shared" si="28"/>
        <v/>
      </c>
      <c r="BQ10" s="268"/>
      <c r="BR10" s="258" t="str">
        <f t="shared" si="29"/>
        <v/>
      </c>
      <c r="BS10" s="268"/>
      <c r="BT10" s="256" t="str">
        <f t="shared" si="32"/>
        <v/>
      </c>
      <c r="BU10" s="256" t="str">
        <f t="shared" si="11"/>
        <v/>
      </c>
      <c r="BV10" s="256" t="str">
        <f t="shared" si="12"/>
        <v/>
      </c>
      <c r="BW10" s="267"/>
      <c r="BX10" s="256">
        <f t="shared" si="13"/>
        <v>72</v>
      </c>
      <c r="BY10" s="256">
        <f t="shared" si="14"/>
        <v>176997.63174455275</v>
      </c>
      <c r="BZ10" s="281"/>
      <c r="CA10" s="282"/>
      <c r="CC10" s="112" t="str">
        <f t="shared" ca="1" si="15"/>
        <v/>
      </c>
      <c r="CF10" s="283"/>
      <c r="CG10" s="283"/>
      <c r="CH10" s="283"/>
      <c r="CI10" s="283"/>
      <c r="CL10" s="356" t="str">
        <f>IFERROR(VLOOKUP(C10,'Data Sheet'!$A$3:$B$26,2,FALSE),"")</f>
        <v>MCI-00023</v>
      </c>
    </row>
    <row r="11" spans="1:90" s="112" customFormat="1" ht="51" x14ac:dyDescent="0.25">
      <c r="A11" s="97">
        <v>7</v>
      </c>
      <c r="B11" s="105" t="str">
        <f t="shared" si="1"/>
        <v>a1O36000001EGFXEA4-a1O36000001EGIVEA4-Nationwide</v>
      </c>
      <c r="C11" s="276" t="s">
        <v>2181</v>
      </c>
      <c r="D11" s="101" t="str">
        <f>IFERROR(IF(VLOOKUP(C11,'Data Sheet'!$A$3:$D$26,4,FALSE)=0,"",VLOOKUP(C11,'Data Sheet'!$A$3:$D$26,4,FALSE)),"")</f>
        <v>a1O36000001EGFXEA4</v>
      </c>
      <c r="E11" s="279" t="s">
        <v>2408</v>
      </c>
      <c r="F11" s="103" t="str">
        <f>IFERROR(IF(VLOOKUP(E11,'Data Sheet'!$C$29:$E$174,3,FALSE)=0,"",VLOOKUP(E11,'Data Sheet'!$C$29:$E$174,3,FALSE)),"")</f>
        <v>a1O36000001EGIVEA4</v>
      </c>
      <c r="G11" s="106" t="str">
        <f t="shared" si="2"/>
        <v>a1O36000001EGFXEA4-a1O36000001EGIVEA4</v>
      </c>
      <c r="H11" s="273" t="s">
        <v>2667</v>
      </c>
      <c r="I11" s="107" t="s">
        <v>2735</v>
      </c>
      <c r="J11" s="249" t="str">
        <f t="shared" si="30"/>
        <v>1.1</v>
      </c>
      <c r="K11" s="101" t="str">
        <f>IFERROR(INDEX('Data Sheet'!$C$198:$C$275,MATCH(I11,'Data Sheet'!$F$198:$F$275,0)),"")</f>
        <v>a2C360000007DA4EAM</v>
      </c>
      <c r="L11" s="250">
        <f>IFERROR(INDEX('Data Sheet'!$G$198:$G$275,MATCH(I11,'Data Sheet'!$F$198:$F$275,0)),"")</f>
        <v>1.1000000000000001</v>
      </c>
      <c r="M11" s="248" t="s">
        <v>2657</v>
      </c>
      <c r="N11" s="248" t="s">
        <v>2759</v>
      </c>
      <c r="O11" s="248" t="s">
        <v>2128</v>
      </c>
      <c r="P11" s="108" t="str">
        <f>IFERROR(INDEX(Setup!$D$44:$D$70,MATCH(M11,Setup!$K$44:$K$70,0))&amp;"","")</f>
        <v>SR</v>
      </c>
      <c r="Q11" s="108" t="str">
        <f>IFERROR(INDEX(Setup!$E$44:$E$70,MATCH(M11,Setup!$K$44:$K$70,0))&amp;"","")</f>
        <v>Government - Ministry of Health</v>
      </c>
      <c r="R11" s="108" t="str">
        <f>IFERROR(INDEX(Setup!$L$44:$L$70,MATCH(M11,Setup!$K$44:$K$70,0))&amp;"","")</f>
        <v/>
      </c>
      <c r="S11" s="108" t="str">
        <f>Setup!$C$30</f>
        <v>USD</v>
      </c>
      <c r="T11" s="109" t="str">
        <f>IFERROR(INDEX('Data Sheet'!$B$198:$B$275,MATCH(I11,'Data Sheet'!$F$198:$F$275,0)),"")</f>
        <v>Average gross salary per FTE (person) per quarter</v>
      </c>
      <c r="U11" s="110">
        <f>IFERROR(INDEX('Data Sheet'!$D$198:$D$275,MATCH(I11,'Data Sheet'!$F$198:$F$275,0)),"")</f>
        <v>1</v>
      </c>
      <c r="V11" s="415" t="s">
        <v>992</v>
      </c>
      <c r="W11" s="195" t="str">
        <f>IF(V11=Setup!$C$30,"Grant",IF(V11=Setup!$C$31,"Local",IF(V11=Setup!$C$32,"Other",IF(ISBLANK(V11),"","Other"))))</f>
        <v>Local</v>
      </c>
      <c r="X11" s="255">
        <f>'Assumptions HR'!H18</f>
        <v>3864900</v>
      </c>
      <c r="Y11" s="259">
        <f>IF(X11&lt;&gt;"",X11/VLOOKUP($V11,Setup!$C$30:$D$41,2,0),"")</f>
        <v>472.39703537706094</v>
      </c>
      <c r="Z11" s="262">
        <v>8</v>
      </c>
      <c r="AA11" s="256">
        <f t="shared" si="16"/>
        <v>3779.1762830164876</v>
      </c>
      <c r="AB11" s="262">
        <v>8</v>
      </c>
      <c r="AC11" s="258">
        <f t="shared" si="3"/>
        <v>3779.1762830164876</v>
      </c>
      <c r="AD11" s="262">
        <v>8</v>
      </c>
      <c r="AE11" s="258">
        <f t="shared" si="4"/>
        <v>3779.1762830164876</v>
      </c>
      <c r="AF11" s="262">
        <v>8</v>
      </c>
      <c r="AG11" s="256">
        <f t="shared" si="5"/>
        <v>3779.1762830164876</v>
      </c>
      <c r="AH11" s="256">
        <f t="shared" si="31"/>
        <v>32</v>
      </c>
      <c r="AI11" s="256">
        <f t="shared" si="6"/>
        <v>15116.70513206595</v>
      </c>
      <c r="AJ11" s="111"/>
      <c r="AK11" s="255">
        <f t="shared" si="17"/>
        <v>3864900</v>
      </c>
      <c r="AL11" s="259">
        <f>IF(AK11&lt;&gt;"",AK11/VLOOKUP($V11,Setup!$C$30:$D$41,2,0),"")</f>
        <v>472.39703537706094</v>
      </c>
      <c r="AM11" s="266">
        <v>8</v>
      </c>
      <c r="AN11" s="258">
        <f t="shared" si="18"/>
        <v>3779.1762830164876</v>
      </c>
      <c r="AO11" s="266">
        <v>8</v>
      </c>
      <c r="AP11" s="258">
        <f t="shared" si="19"/>
        <v>3779.1762830164876</v>
      </c>
      <c r="AQ11" s="266">
        <v>8</v>
      </c>
      <c r="AR11" s="258">
        <f t="shared" si="20"/>
        <v>3779.1762830164876</v>
      </c>
      <c r="AS11" s="266">
        <v>8</v>
      </c>
      <c r="AT11" s="256">
        <f t="shared" si="21"/>
        <v>3779.1762830164876</v>
      </c>
      <c r="AU11" s="256">
        <f t="shared" si="7"/>
        <v>32</v>
      </c>
      <c r="AV11" s="256">
        <f t="shared" si="8"/>
        <v>15116.70513206595</v>
      </c>
      <c r="AW11" s="267"/>
      <c r="AX11" s="255">
        <f t="shared" si="22"/>
        <v>3864900</v>
      </c>
      <c r="AY11" s="259">
        <f>IF(AX11&lt;&gt;"",AX11/VLOOKUP($V11,Setup!$C$30:$D$41,2,0),"")</f>
        <v>472.39703537706094</v>
      </c>
      <c r="AZ11" s="268">
        <v>8</v>
      </c>
      <c r="BA11" s="258">
        <f t="shared" si="23"/>
        <v>3779.1762830164876</v>
      </c>
      <c r="BB11" s="268">
        <v>8</v>
      </c>
      <c r="BC11" s="258">
        <f t="shared" si="24"/>
        <v>3779.1762830164876</v>
      </c>
      <c r="BD11" s="268">
        <v>8</v>
      </c>
      <c r="BE11" s="258">
        <f t="shared" si="25"/>
        <v>3779.1762830164876</v>
      </c>
      <c r="BF11" s="268">
        <v>8</v>
      </c>
      <c r="BG11" s="256">
        <f t="shared" si="26"/>
        <v>3779.1762830164876</v>
      </c>
      <c r="BH11" s="256">
        <f t="shared" si="9"/>
        <v>32</v>
      </c>
      <c r="BI11" s="256">
        <f t="shared" si="10"/>
        <v>15116.70513206595</v>
      </c>
      <c r="BJ11" s="267"/>
      <c r="BK11" s="255"/>
      <c r="BL11" s="259" t="str">
        <f>IF(BK11&lt;&gt;"",BK11/VLOOKUP($V11,Setup!$C$30:$D$41,2,0),"")</f>
        <v/>
      </c>
      <c r="BM11" s="268"/>
      <c r="BN11" s="258" t="str">
        <f t="shared" si="27"/>
        <v/>
      </c>
      <c r="BO11" s="268"/>
      <c r="BP11" s="258" t="str">
        <f t="shared" si="28"/>
        <v/>
      </c>
      <c r="BQ11" s="268"/>
      <c r="BR11" s="258" t="str">
        <f t="shared" si="29"/>
        <v/>
      </c>
      <c r="BS11" s="268"/>
      <c r="BT11" s="256" t="str">
        <f t="shared" si="32"/>
        <v/>
      </c>
      <c r="BU11" s="256" t="str">
        <f t="shared" si="11"/>
        <v/>
      </c>
      <c r="BV11" s="256" t="str">
        <f t="shared" si="12"/>
        <v/>
      </c>
      <c r="BW11" s="267"/>
      <c r="BX11" s="256">
        <f t="shared" si="13"/>
        <v>96</v>
      </c>
      <c r="BY11" s="256">
        <f t="shared" si="14"/>
        <v>45350.115396197849</v>
      </c>
      <c r="BZ11" s="281"/>
      <c r="CA11" s="282"/>
      <c r="CC11" s="112" t="str">
        <f t="shared" ca="1" si="15"/>
        <v/>
      </c>
      <c r="CF11" s="283"/>
      <c r="CG11" s="283"/>
      <c r="CH11" s="283"/>
      <c r="CI11" s="283"/>
      <c r="CL11" s="356" t="str">
        <f>IFERROR(VLOOKUP(C11,'Data Sheet'!$A$3:$B$26,2,FALSE),"")</f>
        <v>MCI-00023</v>
      </c>
    </row>
    <row r="12" spans="1:90" s="112" customFormat="1" ht="51" x14ac:dyDescent="0.25">
      <c r="A12" s="97">
        <v>8</v>
      </c>
      <c r="B12" s="105" t="str">
        <f t="shared" si="1"/>
        <v>a1O36000001EGFXEA4-a1O36000001EGIXEA4-Nationwide</v>
      </c>
      <c r="C12" s="276" t="s">
        <v>2181</v>
      </c>
      <c r="D12" s="101" t="str">
        <f>IFERROR(IF(VLOOKUP(C12,'Data Sheet'!$A$3:$D$26,4,FALSE)=0,"",VLOOKUP(C12,'Data Sheet'!$A$3:$D$26,4,FALSE)),"")</f>
        <v>a1O36000001EGFXEA4</v>
      </c>
      <c r="E12" s="279" t="s">
        <v>2410</v>
      </c>
      <c r="F12" s="103" t="str">
        <f>IFERROR(IF(VLOOKUP(E12,'Data Sheet'!$C$29:$E$174,3,FALSE)=0,"",VLOOKUP(E12,'Data Sheet'!$C$29:$E$174,3,FALSE)),"")</f>
        <v>a1O36000001EGIXEA4</v>
      </c>
      <c r="G12" s="106" t="str">
        <f t="shared" si="2"/>
        <v>a1O36000001EGFXEA4-a1O36000001EGIXEA4</v>
      </c>
      <c r="H12" s="273" t="s">
        <v>2668</v>
      </c>
      <c r="I12" s="107" t="s">
        <v>2736</v>
      </c>
      <c r="J12" s="249" t="str">
        <f t="shared" si="30"/>
        <v>1.4</v>
      </c>
      <c r="K12" s="101" t="str">
        <f>IFERROR(INDEX('Data Sheet'!$C$198:$C$275,MATCH(I12,'Data Sheet'!$F$198:$F$275,0)),"")</f>
        <v>a2C360000007DB5EAM</v>
      </c>
      <c r="L12" s="250">
        <f>IFERROR(INDEX('Data Sheet'!$G$198:$G$275,MATCH(I12,'Data Sheet'!$F$198:$F$275,0)),"")</f>
        <v>1.4</v>
      </c>
      <c r="M12" s="248" t="s">
        <v>2657</v>
      </c>
      <c r="N12" s="248" t="s">
        <v>2759</v>
      </c>
      <c r="O12" s="248" t="s">
        <v>2128</v>
      </c>
      <c r="P12" s="108" t="str">
        <f>IFERROR(INDEX(Setup!$D$44:$D$70,MATCH(M12,Setup!$K$44:$K$70,0))&amp;"","")</f>
        <v>SR</v>
      </c>
      <c r="Q12" s="108" t="str">
        <f>IFERROR(INDEX(Setup!$E$44:$E$70,MATCH(M12,Setup!$K$44:$K$70,0))&amp;"","")</f>
        <v>Government - Ministry of Health</v>
      </c>
      <c r="R12" s="108" t="str">
        <f>IFERROR(INDEX(Setup!$L$44:$L$70,MATCH(M12,Setup!$K$44:$K$70,0))&amp;"","")</f>
        <v/>
      </c>
      <c r="S12" s="108" t="str">
        <f>Setup!$C$30</f>
        <v>USD</v>
      </c>
      <c r="T12" s="109" t="str">
        <f>IFERROR(INDEX('Data Sheet'!$B$198:$B$275,MATCH(I12,'Data Sheet'!$F$198:$F$275,0)),"")</f>
        <v>N/A</v>
      </c>
      <c r="U12" s="110">
        <f>IFERROR(INDEX('Data Sheet'!$D$198:$D$275,MATCH(I12,'Data Sheet'!$F$198:$F$275,0)),"")</f>
        <v>1</v>
      </c>
      <c r="V12" s="415" t="s">
        <v>992</v>
      </c>
      <c r="W12" s="195" t="str">
        <f>IF(V12=Setup!$C$30,"Grant",IF(V12=Setup!$C$31,"Local",IF(V12=Setup!$C$32,"Other",IF(ISBLANK(V12),"","Other"))))</f>
        <v>Local</v>
      </c>
      <c r="X12" s="255">
        <f>'Assumptions HR'!H25</f>
        <v>1947000</v>
      </c>
      <c r="Y12" s="259">
        <f>IF(X12&lt;&gt;"",X12/VLOOKUP($V12,Setup!$C$30:$D$41,2,0),"")</f>
        <v>237.9769277029516</v>
      </c>
      <c r="Z12" s="262">
        <v>15</v>
      </c>
      <c r="AA12" s="256">
        <f t="shared" si="16"/>
        <v>3569.6539155442738</v>
      </c>
      <c r="AB12" s="262">
        <v>15</v>
      </c>
      <c r="AC12" s="258">
        <f t="shared" si="3"/>
        <v>3569.6539155442738</v>
      </c>
      <c r="AD12" s="262">
        <v>15</v>
      </c>
      <c r="AE12" s="258">
        <f t="shared" si="4"/>
        <v>3569.6539155442738</v>
      </c>
      <c r="AF12" s="262">
        <v>15</v>
      </c>
      <c r="AG12" s="256">
        <f t="shared" si="5"/>
        <v>3569.6539155442738</v>
      </c>
      <c r="AH12" s="256">
        <f t="shared" ref="AH12:AH68" si="33">IFERROR(IF(OR(NOT(Z12=""),NOT(AF12=""),NOT(AB12=""),NOT(AD12="")),Z12+AF12+AB12+AD12,""),"")</f>
        <v>60</v>
      </c>
      <c r="AI12" s="256">
        <f t="shared" si="6"/>
        <v>14278.615662177095</v>
      </c>
      <c r="AJ12" s="111"/>
      <c r="AK12" s="255">
        <f t="shared" si="17"/>
        <v>1947000</v>
      </c>
      <c r="AL12" s="259">
        <f>IF(AK12&lt;&gt;"",AK12/VLOOKUP($V12,Setup!$C$30:$D$41,2,0),"")</f>
        <v>237.9769277029516</v>
      </c>
      <c r="AM12" s="266">
        <v>15</v>
      </c>
      <c r="AN12" s="258">
        <f t="shared" si="18"/>
        <v>3569.6539155442738</v>
      </c>
      <c r="AO12" s="266">
        <v>15</v>
      </c>
      <c r="AP12" s="258">
        <f t="shared" si="19"/>
        <v>3569.6539155442738</v>
      </c>
      <c r="AQ12" s="266">
        <v>15</v>
      </c>
      <c r="AR12" s="258">
        <f t="shared" si="20"/>
        <v>3569.6539155442738</v>
      </c>
      <c r="AS12" s="266">
        <v>15</v>
      </c>
      <c r="AT12" s="256">
        <f t="shared" si="21"/>
        <v>3569.6539155442738</v>
      </c>
      <c r="AU12" s="256">
        <f t="shared" si="7"/>
        <v>60</v>
      </c>
      <c r="AV12" s="256">
        <f t="shared" si="8"/>
        <v>14278.615662177095</v>
      </c>
      <c r="AW12" s="267"/>
      <c r="AX12" s="255">
        <f t="shared" si="22"/>
        <v>1947000</v>
      </c>
      <c r="AY12" s="259">
        <f>IF(AX12&lt;&gt;"",AX12/VLOOKUP($V12,Setup!$C$30:$D$41,2,0),"")</f>
        <v>237.9769277029516</v>
      </c>
      <c r="AZ12" s="268">
        <v>15</v>
      </c>
      <c r="BA12" s="258">
        <f t="shared" si="23"/>
        <v>3569.6539155442738</v>
      </c>
      <c r="BB12" s="268">
        <v>15</v>
      </c>
      <c r="BC12" s="258">
        <f t="shared" si="24"/>
        <v>3569.6539155442738</v>
      </c>
      <c r="BD12" s="268">
        <v>15</v>
      </c>
      <c r="BE12" s="258">
        <f t="shared" si="25"/>
        <v>3569.6539155442738</v>
      </c>
      <c r="BF12" s="268">
        <v>15</v>
      </c>
      <c r="BG12" s="256">
        <f t="shared" si="26"/>
        <v>3569.6539155442738</v>
      </c>
      <c r="BH12" s="256">
        <f t="shared" si="9"/>
        <v>60</v>
      </c>
      <c r="BI12" s="256">
        <f t="shared" si="10"/>
        <v>14278.615662177095</v>
      </c>
      <c r="BJ12" s="267"/>
      <c r="BK12" s="255"/>
      <c r="BL12" s="259" t="str">
        <f>IF(BK12&lt;&gt;"",BK12/VLOOKUP($V12,Setup!$C$30:$D$41,2,0),"")</f>
        <v/>
      </c>
      <c r="BM12" s="268"/>
      <c r="BN12" s="258" t="str">
        <f t="shared" si="27"/>
        <v/>
      </c>
      <c r="BO12" s="268"/>
      <c r="BP12" s="258" t="str">
        <f t="shared" si="28"/>
        <v/>
      </c>
      <c r="BQ12" s="268"/>
      <c r="BR12" s="258" t="str">
        <f t="shared" si="29"/>
        <v/>
      </c>
      <c r="BS12" s="268"/>
      <c r="BT12" s="256" t="str">
        <f t="shared" si="32"/>
        <v/>
      </c>
      <c r="BU12" s="256" t="str">
        <f t="shared" si="11"/>
        <v/>
      </c>
      <c r="BV12" s="256" t="str">
        <f t="shared" si="12"/>
        <v/>
      </c>
      <c r="BW12" s="267"/>
      <c r="BX12" s="256">
        <f t="shared" si="13"/>
        <v>180</v>
      </c>
      <c r="BY12" s="256">
        <f t="shared" si="14"/>
        <v>42835.846986531287</v>
      </c>
      <c r="BZ12" s="281"/>
      <c r="CA12" s="282"/>
      <c r="CC12" s="112" t="str">
        <f t="shared" ca="1" si="15"/>
        <v/>
      </c>
      <c r="CF12" s="283"/>
      <c r="CG12" s="283"/>
      <c r="CH12" s="283"/>
      <c r="CI12" s="283"/>
      <c r="CL12" s="356" t="str">
        <f>IFERROR(VLOOKUP(C12,'Data Sheet'!$A$3:$B$26,2,FALSE),"")</f>
        <v>MCI-00023</v>
      </c>
    </row>
    <row r="13" spans="1:90" s="112" customFormat="1" ht="51" x14ac:dyDescent="0.25">
      <c r="A13" s="97">
        <v>9</v>
      </c>
      <c r="B13" s="105" t="str">
        <f t="shared" si="1"/>
        <v>a1O36000001EGFXEA4-a1O36000001EGIVEA4-Nationwide</v>
      </c>
      <c r="C13" s="276" t="s">
        <v>2181</v>
      </c>
      <c r="D13" s="101" t="str">
        <f>IFERROR(IF(VLOOKUP(C13,'Data Sheet'!$A$3:$D$26,4,FALSE)=0,"",VLOOKUP(C13,'Data Sheet'!$A$3:$D$26,4,FALSE)),"")</f>
        <v>a1O36000001EGFXEA4</v>
      </c>
      <c r="E13" s="279" t="s">
        <v>2408</v>
      </c>
      <c r="F13" s="103" t="str">
        <f>IFERROR(IF(VLOOKUP(E13,'Data Sheet'!$C$29:$E$174,3,FALSE)=0,"",VLOOKUP(E13,'Data Sheet'!$C$29:$E$174,3,FALSE)),"")</f>
        <v>a1O36000001EGIVEA4</v>
      </c>
      <c r="G13" s="106" t="str">
        <f t="shared" si="2"/>
        <v>a1O36000001EGFXEA4-a1O36000001EGIVEA4</v>
      </c>
      <c r="H13" s="273" t="s">
        <v>2669</v>
      </c>
      <c r="I13" s="107" t="s">
        <v>2737</v>
      </c>
      <c r="J13" s="249" t="str">
        <f t="shared" si="30"/>
        <v>11.1</v>
      </c>
      <c r="K13" s="101" t="str">
        <f>IFERROR(INDEX('Data Sheet'!$C$198:$C$275,MATCH(I13,'Data Sheet'!$F$198:$F$275,0)),"")</f>
        <v>a2C360000007DAuEAM</v>
      </c>
      <c r="L13" s="250">
        <f>IFERROR(INDEX('Data Sheet'!$G$198:$G$275,MATCH(I13,'Data Sheet'!$F$198:$F$275,0)),"")</f>
        <v>11.1</v>
      </c>
      <c r="M13" s="248" t="s">
        <v>2506</v>
      </c>
      <c r="N13" s="248" t="s">
        <v>2759</v>
      </c>
      <c r="O13" s="248" t="s">
        <v>2128</v>
      </c>
      <c r="P13" s="108" t="str">
        <f>IFERROR(INDEX(Setup!$D$44:$D$70,MATCH(M13,Setup!$K$44:$K$70,0))&amp;"","")</f>
        <v>PR</v>
      </c>
      <c r="Q13" s="108" t="str">
        <f>IFERROR(INDEX(Setup!$E$44:$E$70,MATCH(M13,Setup!$K$44:$K$70,0))&amp;"","")</f>
        <v>Government - Ministry of Health</v>
      </c>
      <c r="R13" s="108" t="str">
        <f>IFERROR(INDEX(Setup!$L$44:$L$70,MATCH(M13,Setup!$K$44:$K$70,0))&amp;"","")</f>
        <v>0013600000xoEHUAA2</v>
      </c>
      <c r="S13" s="108" t="str">
        <f>Setup!$C$30</f>
        <v>USD</v>
      </c>
      <c r="T13" s="109" t="str">
        <f>IFERROR(INDEX('Data Sheet'!$B$198:$B$275,MATCH(I13,'Data Sheet'!$F$198:$F$275,0)),"")</f>
        <v>Average office cost per office unit per quarter</v>
      </c>
      <c r="U13" s="110">
        <f>IFERROR(INDEX('Data Sheet'!$D$198:$D$275,MATCH(I13,'Data Sheet'!$F$198:$F$275,0)),"")</f>
        <v>11</v>
      </c>
      <c r="V13" s="415" t="s">
        <v>992</v>
      </c>
      <c r="W13" s="195" t="str">
        <f>IF(V13=Setup!$C$30,"Grant",IF(V13=Setup!$C$31,"Local",IF(V13=Setup!$C$32,"Other",IF(ISBLANK(V13),"","Other"))))</f>
        <v>Local</v>
      </c>
      <c r="X13" s="255">
        <f>'Assumptions Other'!G15</f>
        <v>16500000</v>
      </c>
      <c r="Y13" s="259">
        <f>IF(X13&lt;&gt;"",X13/VLOOKUP($V13,Setup!$C$30:$D$41,2,0),"")</f>
        <v>2016.7536246012849</v>
      </c>
      <c r="Z13" s="262">
        <v>1</v>
      </c>
      <c r="AA13" s="256">
        <f t="shared" si="16"/>
        <v>2016.7536246012849</v>
      </c>
      <c r="AB13" s="262">
        <v>1</v>
      </c>
      <c r="AC13" s="258">
        <f t="shared" si="3"/>
        <v>2016.7536246012849</v>
      </c>
      <c r="AD13" s="262">
        <v>1</v>
      </c>
      <c r="AE13" s="258">
        <f t="shared" si="4"/>
        <v>2016.7536246012849</v>
      </c>
      <c r="AF13" s="262">
        <v>1</v>
      </c>
      <c r="AG13" s="256">
        <f t="shared" si="5"/>
        <v>2016.7536246012849</v>
      </c>
      <c r="AH13" s="256">
        <f t="shared" si="33"/>
        <v>4</v>
      </c>
      <c r="AI13" s="256">
        <f t="shared" si="6"/>
        <v>8067.0144984051394</v>
      </c>
      <c r="AJ13" s="111"/>
      <c r="AK13" s="255">
        <f t="shared" si="17"/>
        <v>16500000</v>
      </c>
      <c r="AL13" s="259">
        <f>IF(AK13&lt;&gt;"",AK13/VLOOKUP($V13,Setup!$C$30:$D$41,2,0),"")</f>
        <v>2016.7536246012849</v>
      </c>
      <c r="AM13" s="262">
        <v>1</v>
      </c>
      <c r="AN13" s="258">
        <f t="shared" si="18"/>
        <v>2016.7536246012849</v>
      </c>
      <c r="AO13" s="266">
        <v>1</v>
      </c>
      <c r="AP13" s="258">
        <f t="shared" si="19"/>
        <v>2016.7536246012849</v>
      </c>
      <c r="AQ13" s="266">
        <v>1</v>
      </c>
      <c r="AR13" s="258">
        <f t="shared" si="20"/>
        <v>2016.7536246012849</v>
      </c>
      <c r="AS13" s="266">
        <v>1</v>
      </c>
      <c r="AT13" s="256">
        <f t="shared" si="21"/>
        <v>2016.7536246012849</v>
      </c>
      <c r="AU13" s="256">
        <f t="shared" si="7"/>
        <v>4</v>
      </c>
      <c r="AV13" s="256">
        <f t="shared" si="8"/>
        <v>8067.0144984051394</v>
      </c>
      <c r="AW13" s="267"/>
      <c r="AX13" s="255">
        <f t="shared" si="22"/>
        <v>16500000</v>
      </c>
      <c r="AY13" s="259">
        <f>IF(AX13&lt;&gt;"",AX13/VLOOKUP($V13,Setup!$C$30:$D$41,2,0),"")</f>
        <v>2016.7536246012849</v>
      </c>
      <c r="AZ13" s="268">
        <v>1</v>
      </c>
      <c r="BA13" s="258">
        <f t="shared" si="23"/>
        <v>2016.7536246012849</v>
      </c>
      <c r="BB13" s="268">
        <v>1</v>
      </c>
      <c r="BC13" s="258">
        <f t="shared" si="24"/>
        <v>2016.7536246012849</v>
      </c>
      <c r="BD13" s="268">
        <v>1</v>
      </c>
      <c r="BE13" s="258">
        <f t="shared" si="25"/>
        <v>2016.7536246012849</v>
      </c>
      <c r="BF13" s="268">
        <v>1</v>
      </c>
      <c r="BG13" s="256">
        <f t="shared" si="26"/>
        <v>2016.7536246012849</v>
      </c>
      <c r="BH13" s="256">
        <f t="shared" si="9"/>
        <v>4</v>
      </c>
      <c r="BI13" s="256">
        <f t="shared" si="10"/>
        <v>8067.0144984051394</v>
      </c>
      <c r="BJ13" s="267"/>
      <c r="BK13" s="255"/>
      <c r="BL13" s="259" t="str">
        <f>IF(BK13&lt;&gt;"",BK13/VLOOKUP($V13,Setup!$C$30:$D$41,2,0),"")</f>
        <v/>
      </c>
      <c r="BM13" s="268"/>
      <c r="BN13" s="258" t="str">
        <f t="shared" si="27"/>
        <v/>
      </c>
      <c r="BO13" s="268"/>
      <c r="BP13" s="258" t="str">
        <f t="shared" si="28"/>
        <v/>
      </c>
      <c r="BQ13" s="268"/>
      <c r="BR13" s="258" t="str">
        <f t="shared" si="29"/>
        <v/>
      </c>
      <c r="BS13" s="268"/>
      <c r="BT13" s="256" t="str">
        <f t="shared" si="32"/>
        <v/>
      </c>
      <c r="BU13" s="256" t="str">
        <f t="shared" si="11"/>
        <v/>
      </c>
      <c r="BV13" s="256" t="str">
        <f t="shared" si="12"/>
        <v/>
      </c>
      <c r="BW13" s="267"/>
      <c r="BX13" s="256">
        <f t="shared" si="13"/>
        <v>12</v>
      </c>
      <c r="BY13" s="256">
        <f t="shared" si="14"/>
        <v>24201.043495215417</v>
      </c>
      <c r="BZ13" s="281"/>
      <c r="CA13" s="282"/>
      <c r="CC13" s="112" t="str">
        <f t="shared" ca="1" si="15"/>
        <v/>
      </c>
      <c r="CF13" s="283"/>
      <c r="CG13" s="283"/>
      <c r="CH13" s="283"/>
      <c r="CI13" s="283"/>
      <c r="CL13" s="356" t="str">
        <f>IFERROR(VLOOKUP(C13,'Data Sheet'!$A$3:$B$26,2,FALSE),"")</f>
        <v>MCI-00023</v>
      </c>
    </row>
    <row r="14" spans="1:90" s="112" customFormat="1" ht="51" x14ac:dyDescent="0.25">
      <c r="A14" s="97">
        <v>10</v>
      </c>
      <c r="B14" s="105" t="str">
        <f t="shared" si="1"/>
        <v>a1O36000001EGFXEA4-a1O36000001EGIVEA4-Nationwide</v>
      </c>
      <c r="C14" s="276" t="s">
        <v>2181</v>
      </c>
      <c r="D14" s="101" t="str">
        <f>IFERROR(IF(VLOOKUP(C14,'Data Sheet'!$A$3:$D$26,4,FALSE)=0,"",VLOOKUP(C14,'Data Sheet'!$A$3:$D$26,4,FALSE)),"")</f>
        <v>a1O36000001EGFXEA4</v>
      </c>
      <c r="E14" s="279" t="s">
        <v>2408</v>
      </c>
      <c r="F14" s="103" t="str">
        <f>IFERROR(IF(VLOOKUP(E14,'Data Sheet'!$C$29:$E$174,3,FALSE)=0,"",VLOOKUP(E14,'Data Sheet'!$C$29:$E$174,3,FALSE)),"")</f>
        <v>a1O36000001EGIVEA4</v>
      </c>
      <c r="G14" s="106" t="str">
        <f t="shared" si="2"/>
        <v>a1O36000001EGFXEA4-a1O36000001EGIVEA4</v>
      </c>
      <c r="H14" s="273" t="s">
        <v>2670</v>
      </c>
      <c r="I14" s="107" t="s">
        <v>2738</v>
      </c>
      <c r="J14" s="249" t="str">
        <f t="shared" si="30"/>
        <v>9.4</v>
      </c>
      <c r="K14" s="101" t="str">
        <f>IFERROR(INDEX('Data Sheet'!$C$198:$C$275,MATCH(I14,'Data Sheet'!$F$198:$F$275,0)),"")</f>
        <v>a2C360000007DArEAM</v>
      </c>
      <c r="L14" s="250">
        <f>IFERROR(INDEX('Data Sheet'!$G$198:$G$275,MATCH(I14,'Data Sheet'!$F$198:$F$275,0)),"")</f>
        <v>9.4</v>
      </c>
      <c r="M14" s="248" t="s">
        <v>2506</v>
      </c>
      <c r="N14" s="248" t="s">
        <v>2759</v>
      </c>
      <c r="O14" s="248" t="s">
        <v>2128</v>
      </c>
      <c r="P14" s="108" t="str">
        <f>IFERROR(INDEX(Setup!$D$44:$D$70,MATCH(M14,Setup!$K$44:$K$70,0))&amp;"","")</f>
        <v>PR</v>
      </c>
      <c r="Q14" s="108" t="str">
        <f>IFERROR(INDEX(Setup!$E$44:$E$70,MATCH(M14,Setup!$K$44:$K$70,0))&amp;"","")</f>
        <v>Government - Ministry of Health</v>
      </c>
      <c r="R14" s="108" t="str">
        <f>IFERROR(INDEX(Setup!$L$44:$L$70,MATCH(M14,Setup!$K$44:$K$70,0))&amp;"","")</f>
        <v>0013600000xoEHUAA2</v>
      </c>
      <c r="S14" s="108" t="str">
        <f>Setup!$C$30</f>
        <v>USD</v>
      </c>
      <c r="T14" s="109" t="str">
        <f>IFERROR(INDEX('Data Sheet'!$B$198:$B$275,MATCH(I14,'Data Sheet'!$F$198:$F$275,0)),"")</f>
        <v>N/A</v>
      </c>
      <c r="U14" s="110">
        <f>IFERROR(INDEX('Data Sheet'!$D$198:$D$275,MATCH(I14,'Data Sheet'!$F$198:$F$275,0)),"")</f>
        <v>9</v>
      </c>
      <c r="V14" s="415" t="s">
        <v>992</v>
      </c>
      <c r="W14" s="195" t="str">
        <f>IF(V14=Setup!$C$30,"Grant",IF(V14=Setup!$C$31,"Local",IF(V14=Setup!$C$32,"Other",IF(ISBLANK(V14),"","Other"))))</f>
        <v>Local</v>
      </c>
      <c r="X14" s="255">
        <f>'Assumptions Other'!G23*0.22</f>
        <v>6600000</v>
      </c>
      <c r="Y14" s="259">
        <f>IF(X14&lt;&gt;"",X14/VLOOKUP($V14,Setup!$C$30:$D$41,2,0),"")</f>
        <v>806.70144984051387</v>
      </c>
      <c r="Z14" s="262">
        <v>1</v>
      </c>
      <c r="AA14" s="256">
        <f t="shared" si="16"/>
        <v>806.70144984051387</v>
      </c>
      <c r="AB14" s="262">
        <v>1</v>
      </c>
      <c r="AC14" s="258">
        <f t="shared" si="3"/>
        <v>806.70144984051387</v>
      </c>
      <c r="AD14" s="262">
        <v>1</v>
      </c>
      <c r="AE14" s="258">
        <f t="shared" si="4"/>
        <v>806.70144984051387</v>
      </c>
      <c r="AF14" s="262">
        <v>1</v>
      </c>
      <c r="AG14" s="256">
        <f t="shared" si="5"/>
        <v>806.70144984051387</v>
      </c>
      <c r="AH14" s="256">
        <f t="shared" si="33"/>
        <v>4</v>
      </c>
      <c r="AI14" s="256">
        <f t="shared" si="6"/>
        <v>3226.8057993620555</v>
      </c>
      <c r="AJ14" s="111"/>
      <c r="AK14" s="255">
        <f t="shared" si="17"/>
        <v>6600000</v>
      </c>
      <c r="AL14" s="259">
        <f>IF(AK14&lt;&gt;"",AK14/VLOOKUP($V14,Setup!$C$30:$D$41,2,0),"")</f>
        <v>806.70144984051387</v>
      </c>
      <c r="AM14" s="262">
        <v>1</v>
      </c>
      <c r="AN14" s="258">
        <f t="shared" si="18"/>
        <v>806.70144984051387</v>
      </c>
      <c r="AO14" s="262">
        <v>1</v>
      </c>
      <c r="AP14" s="258">
        <f t="shared" si="19"/>
        <v>806.70144984051387</v>
      </c>
      <c r="AQ14" s="262">
        <v>1</v>
      </c>
      <c r="AR14" s="258">
        <f t="shared" si="20"/>
        <v>806.70144984051387</v>
      </c>
      <c r="AS14" s="262">
        <v>1</v>
      </c>
      <c r="AT14" s="256">
        <f t="shared" si="21"/>
        <v>806.70144984051387</v>
      </c>
      <c r="AU14" s="256">
        <f t="shared" si="7"/>
        <v>4</v>
      </c>
      <c r="AV14" s="256">
        <f t="shared" si="8"/>
        <v>3226.8057993620555</v>
      </c>
      <c r="AW14" s="267"/>
      <c r="AX14" s="255">
        <f t="shared" si="22"/>
        <v>6600000</v>
      </c>
      <c r="AY14" s="259">
        <f>IF(AX14&lt;&gt;"",AX14/VLOOKUP($V14,Setup!$C$30:$D$41,2,0),"")</f>
        <v>806.70144984051387</v>
      </c>
      <c r="AZ14" s="262">
        <v>1</v>
      </c>
      <c r="BA14" s="258">
        <f t="shared" si="23"/>
        <v>806.70144984051387</v>
      </c>
      <c r="BB14" s="262">
        <v>1</v>
      </c>
      <c r="BC14" s="258">
        <f t="shared" si="24"/>
        <v>806.70144984051387</v>
      </c>
      <c r="BD14" s="262">
        <v>1</v>
      </c>
      <c r="BE14" s="258">
        <f t="shared" si="25"/>
        <v>806.70144984051387</v>
      </c>
      <c r="BF14" s="262">
        <v>1</v>
      </c>
      <c r="BG14" s="256">
        <f t="shared" si="26"/>
        <v>806.70144984051387</v>
      </c>
      <c r="BH14" s="256">
        <f t="shared" si="9"/>
        <v>4</v>
      </c>
      <c r="BI14" s="256">
        <f t="shared" si="10"/>
        <v>3226.8057993620555</v>
      </c>
      <c r="BJ14" s="267"/>
      <c r="BK14" s="255"/>
      <c r="BL14" s="259" t="str">
        <f>IF(BK14&lt;&gt;"",BK14/VLOOKUP($V14,Setup!$C$30:$D$41,2,0),"")</f>
        <v/>
      </c>
      <c r="BM14" s="268"/>
      <c r="BN14" s="258" t="str">
        <f t="shared" si="27"/>
        <v/>
      </c>
      <c r="BO14" s="268"/>
      <c r="BP14" s="258" t="str">
        <f t="shared" si="28"/>
        <v/>
      </c>
      <c r="BQ14" s="268"/>
      <c r="BR14" s="258" t="str">
        <f t="shared" si="29"/>
        <v/>
      </c>
      <c r="BS14" s="268"/>
      <c r="BT14" s="256" t="str">
        <f t="shared" si="32"/>
        <v/>
      </c>
      <c r="BU14" s="256" t="str">
        <f t="shared" si="11"/>
        <v/>
      </c>
      <c r="BV14" s="256" t="str">
        <f t="shared" si="12"/>
        <v/>
      </c>
      <c r="BW14" s="267"/>
      <c r="BX14" s="256">
        <f t="shared" si="13"/>
        <v>12</v>
      </c>
      <c r="BY14" s="256">
        <f t="shared" si="14"/>
        <v>9680.4173980861669</v>
      </c>
      <c r="BZ14" s="281"/>
      <c r="CA14" s="282"/>
      <c r="CC14" s="112" t="str">
        <f t="shared" ca="1" si="15"/>
        <v/>
      </c>
      <c r="CF14" s="283"/>
      <c r="CG14" s="283"/>
      <c r="CH14" s="283"/>
      <c r="CI14" s="283"/>
      <c r="CL14" s="356" t="str">
        <f>IFERROR(VLOOKUP(C14,'Data Sheet'!$A$3:$B$26,2,FALSE),"")</f>
        <v>MCI-00023</v>
      </c>
    </row>
    <row r="15" spans="1:90" s="112" customFormat="1" ht="51" x14ac:dyDescent="0.25">
      <c r="A15" s="97">
        <v>11</v>
      </c>
      <c r="B15" s="105" t="str">
        <f t="shared" si="1"/>
        <v>a1O36000001EGFXEA4-a1O36000001EGIVEA4-Nationwide</v>
      </c>
      <c r="C15" s="276" t="s">
        <v>2181</v>
      </c>
      <c r="D15" s="101" t="str">
        <f>IFERROR(IF(VLOOKUP(C15,'Data Sheet'!$A$3:$D$26,4,FALSE)=0,"",VLOOKUP(C15,'Data Sheet'!$A$3:$D$26,4,FALSE)),"")</f>
        <v>a1O36000001EGFXEA4</v>
      </c>
      <c r="E15" s="279" t="s">
        <v>2408</v>
      </c>
      <c r="F15" s="103" t="str">
        <f>IFERROR(IF(VLOOKUP(E15,'Data Sheet'!$C$29:$E$174,3,FALSE)=0,"",VLOOKUP(E15,'Data Sheet'!$C$29:$E$174,3,FALSE)),"")</f>
        <v>a1O36000001EGIVEA4</v>
      </c>
      <c r="G15" s="106" t="str">
        <f t="shared" si="2"/>
        <v>a1O36000001EGFXEA4-a1O36000001EGIVEA4</v>
      </c>
      <c r="H15" s="273" t="s">
        <v>2671</v>
      </c>
      <c r="I15" s="107" t="s">
        <v>2736</v>
      </c>
      <c r="J15" s="249" t="str">
        <f t="shared" si="30"/>
        <v>1.4</v>
      </c>
      <c r="K15" s="101" t="str">
        <f>IFERROR(INDEX('Data Sheet'!$C$198:$C$275,MATCH(I15,'Data Sheet'!$F$198:$F$275,0)),"")</f>
        <v>a2C360000007DB5EAM</v>
      </c>
      <c r="L15" s="250">
        <f>IFERROR(INDEX('Data Sheet'!$G$198:$G$275,MATCH(I15,'Data Sheet'!$F$198:$F$275,0)),"")</f>
        <v>1.4</v>
      </c>
      <c r="M15" s="248" t="s">
        <v>2506</v>
      </c>
      <c r="N15" s="248" t="s">
        <v>2759</v>
      </c>
      <c r="O15" s="248" t="s">
        <v>2128</v>
      </c>
      <c r="P15" s="108" t="str">
        <f>IFERROR(INDEX(Setup!$D$44:$D$70,MATCH(M15,Setup!$K$44:$K$70,0))&amp;"","")</f>
        <v>PR</v>
      </c>
      <c r="Q15" s="108" t="str">
        <f>IFERROR(INDEX(Setup!$E$44:$E$70,MATCH(M15,Setup!$K$44:$K$70,0))&amp;"","")</f>
        <v>Government - Ministry of Health</v>
      </c>
      <c r="R15" s="108" t="str">
        <f>IFERROR(INDEX(Setup!$L$44:$L$70,MATCH(M15,Setup!$K$44:$K$70,0))&amp;"","")</f>
        <v>0013600000xoEHUAA2</v>
      </c>
      <c r="S15" s="108" t="str">
        <f>Setup!$C$30</f>
        <v>USD</v>
      </c>
      <c r="T15" s="109" t="str">
        <f>IFERROR(INDEX('Data Sheet'!$B$198:$B$275,MATCH(I15,'Data Sheet'!$F$198:$F$275,0)),"")</f>
        <v>N/A</v>
      </c>
      <c r="U15" s="110">
        <f>IFERROR(INDEX('Data Sheet'!$D$198:$D$275,MATCH(I15,'Data Sheet'!$F$198:$F$275,0)),"")</f>
        <v>1</v>
      </c>
      <c r="V15" s="415" t="s">
        <v>992</v>
      </c>
      <c r="W15" s="195" t="str">
        <f>IF(V15=Setup!$C$30,"Grant",IF(V15=Setup!$C$31,"Local",IF(V15=Setup!$C$32,"Other",IF(ISBLANK(V15),"","Other"))))</f>
        <v>Local</v>
      </c>
      <c r="X15" s="255">
        <f>2500000*0.4</f>
        <v>1000000</v>
      </c>
      <c r="Y15" s="259">
        <f>IF(X15&lt;&gt;"",X15/VLOOKUP($V15,Setup!$C$30:$D$41,2,0),"")</f>
        <v>122.22749240007786</v>
      </c>
      <c r="Z15" s="262">
        <v>11</v>
      </c>
      <c r="AA15" s="256">
        <f t="shared" ref="AA15:AA68" si="34">IFERROR(IF(AND(NOT(Z15=""),NOT(Y15="")),Z15*Y15,""),"")</f>
        <v>1344.5024164008564</v>
      </c>
      <c r="AB15" s="262"/>
      <c r="AC15" s="258" t="str">
        <f t="shared" si="3"/>
        <v/>
      </c>
      <c r="AD15" s="262"/>
      <c r="AE15" s="258" t="str">
        <f t="shared" si="4"/>
        <v/>
      </c>
      <c r="AF15" s="262"/>
      <c r="AG15" s="256" t="str">
        <f t="shared" si="5"/>
        <v/>
      </c>
      <c r="AH15" s="256">
        <f t="shared" si="33"/>
        <v>11</v>
      </c>
      <c r="AI15" s="256">
        <f t="shared" si="6"/>
        <v>1344.5024164008564</v>
      </c>
      <c r="AJ15" s="111"/>
      <c r="AK15" s="255">
        <f t="shared" si="17"/>
        <v>1000000</v>
      </c>
      <c r="AL15" s="259">
        <f>IF(AK15&lt;&gt;"",AK15/VLOOKUP($V15,Setup!$C$30:$D$41,2,0),"")</f>
        <v>122.22749240007786</v>
      </c>
      <c r="AM15" s="262">
        <v>11</v>
      </c>
      <c r="AN15" s="258">
        <f t="shared" si="18"/>
        <v>1344.5024164008564</v>
      </c>
      <c r="AO15" s="266"/>
      <c r="AP15" s="258" t="str">
        <f t="shared" si="19"/>
        <v/>
      </c>
      <c r="AQ15" s="266"/>
      <c r="AR15" s="258" t="str">
        <f t="shared" si="20"/>
        <v/>
      </c>
      <c r="AS15" s="266"/>
      <c r="AT15" s="256" t="str">
        <f t="shared" si="21"/>
        <v/>
      </c>
      <c r="AU15" s="256">
        <f t="shared" si="7"/>
        <v>11</v>
      </c>
      <c r="AV15" s="256">
        <f t="shared" si="8"/>
        <v>1344.5024164008564</v>
      </c>
      <c r="AW15" s="267"/>
      <c r="AX15" s="255">
        <f t="shared" si="22"/>
        <v>1000000</v>
      </c>
      <c r="AY15" s="259">
        <f>IF(AX15&lt;&gt;"",AX15/VLOOKUP($V15,Setup!$C$30:$D$41,2,0),"")</f>
        <v>122.22749240007786</v>
      </c>
      <c r="AZ15" s="262">
        <v>11</v>
      </c>
      <c r="BA15" s="258">
        <f t="shared" si="23"/>
        <v>1344.5024164008564</v>
      </c>
      <c r="BB15" s="268"/>
      <c r="BC15" s="258" t="str">
        <f t="shared" si="24"/>
        <v/>
      </c>
      <c r="BD15" s="268"/>
      <c r="BE15" s="258" t="str">
        <f t="shared" si="25"/>
        <v/>
      </c>
      <c r="BF15" s="268"/>
      <c r="BG15" s="256" t="str">
        <f t="shared" si="26"/>
        <v/>
      </c>
      <c r="BH15" s="256">
        <f t="shared" si="9"/>
        <v>11</v>
      </c>
      <c r="BI15" s="256">
        <f t="shared" si="10"/>
        <v>1344.5024164008564</v>
      </c>
      <c r="BJ15" s="267"/>
      <c r="BK15" s="255"/>
      <c r="BL15" s="259" t="str">
        <f>IF(BK15&lt;&gt;"",BK15/VLOOKUP($V15,Setup!$C$30:$D$41,2,0),"")</f>
        <v/>
      </c>
      <c r="BM15" s="268"/>
      <c r="BN15" s="258" t="str">
        <f t="shared" si="27"/>
        <v/>
      </c>
      <c r="BO15" s="268"/>
      <c r="BP15" s="258" t="str">
        <f t="shared" si="28"/>
        <v/>
      </c>
      <c r="BQ15" s="268"/>
      <c r="BR15" s="258" t="str">
        <f t="shared" si="29"/>
        <v/>
      </c>
      <c r="BS15" s="268"/>
      <c r="BT15" s="256" t="str">
        <f t="shared" si="32"/>
        <v/>
      </c>
      <c r="BU15" s="256" t="str">
        <f t="shared" si="11"/>
        <v/>
      </c>
      <c r="BV15" s="256" t="str">
        <f t="shared" si="12"/>
        <v/>
      </c>
      <c r="BW15" s="267"/>
      <c r="BX15" s="256">
        <f t="shared" si="13"/>
        <v>33</v>
      </c>
      <c r="BY15" s="256">
        <f t="shared" si="14"/>
        <v>4033.5072492025693</v>
      </c>
      <c r="BZ15" s="281"/>
      <c r="CA15" s="282"/>
      <c r="CC15" s="112" t="str">
        <f t="shared" ca="1" si="15"/>
        <v/>
      </c>
      <c r="CF15" s="283"/>
      <c r="CG15" s="283"/>
      <c r="CH15" s="283"/>
      <c r="CI15" s="283"/>
      <c r="CL15" s="356" t="str">
        <f>IFERROR(VLOOKUP(C15,'Data Sheet'!$A$3:$B$26,2,FALSE),"")</f>
        <v>MCI-00023</v>
      </c>
    </row>
    <row r="16" spans="1:90" s="112" customFormat="1" ht="51" x14ac:dyDescent="0.25">
      <c r="A16" s="97">
        <v>12</v>
      </c>
      <c r="B16" s="105" t="str">
        <f t="shared" ref="B16:B77" si="35">CONCATENATE(D16,"-",F16,"-",N16)</f>
        <v>a1O36000001EGFXEA4-a1O36000001EGIVEA4-Nationwide</v>
      </c>
      <c r="C16" s="276" t="s">
        <v>2181</v>
      </c>
      <c r="D16" s="101" t="str">
        <f>IFERROR(IF(VLOOKUP(C16,'Data Sheet'!$A$3:$D$26,4,FALSE)=0,"",VLOOKUP(C16,'Data Sheet'!$A$3:$D$26,4,FALSE)),"")</f>
        <v>a1O36000001EGFXEA4</v>
      </c>
      <c r="E16" s="279" t="s">
        <v>2408</v>
      </c>
      <c r="F16" s="103" t="str">
        <f>IFERROR(IF(VLOOKUP(E16,'Data Sheet'!$C$29:$E$174,3,FALSE)=0,"",VLOOKUP(E16,'Data Sheet'!$C$29:$E$174,3,FALSE)),"")</f>
        <v>a1O36000001EGIVEA4</v>
      </c>
      <c r="G16" s="106" t="str">
        <f t="shared" si="2"/>
        <v>a1O36000001EGFXEA4-a1O36000001EGIVEA4</v>
      </c>
      <c r="H16" s="273" t="s">
        <v>2672</v>
      </c>
      <c r="I16" s="107" t="s">
        <v>2739</v>
      </c>
      <c r="J16" s="249" t="str">
        <f t="shared" si="30"/>
        <v>9.1</v>
      </c>
      <c r="K16" s="101" t="str">
        <f>IFERROR(INDEX('Data Sheet'!$C$198:$C$275,MATCH(I16,'Data Sheet'!$F$198:$F$275,0)),"")</f>
        <v>a2C360000007DAoEAM</v>
      </c>
      <c r="L16" s="250">
        <f>IFERROR(INDEX('Data Sheet'!$G$198:$G$275,MATCH(I16,'Data Sheet'!$F$198:$F$275,0)),"")</f>
        <v>9.1</v>
      </c>
      <c r="M16" s="248" t="s">
        <v>2506</v>
      </c>
      <c r="N16" s="248" t="s">
        <v>2759</v>
      </c>
      <c r="O16" s="248" t="s">
        <v>2128</v>
      </c>
      <c r="P16" s="108" t="str">
        <f>IFERROR(INDEX(Setup!$D$44:$D$70,MATCH(M16,Setup!$K$44:$K$70,0))&amp;"","")</f>
        <v>PR</v>
      </c>
      <c r="Q16" s="108" t="str">
        <f>IFERROR(INDEX(Setup!$E$44:$E$70,MATCH(M16,Setup!$K$44:$K$70,0))&amp;"","")</f>
        <v>Government - Ministry of Health</v>
      </c>
      <c r="R16" s="108" t="str">
        <f>IFERROR(INDEX(Setup!$L$44:$L$70,MATCH(M16,Setup!$K$44:$K$70,0))&amp;"","")</f>
        <v>0013600000xoEHUAA2</v>
      </c>
      <c r="S16" s="108" t="str">
        <f>Setup!$C$30</f>
        <v>USD</v>
      </c>
      <c r="T16" s="109" t="str">
        <f>IFERROR(INDEX('Data Sheet'!$B$198:$B$275,MATCH(I16,'Data Sheet'!$F$198:$F$275,0)),"")</f>
        <v>N/A</v>
      </c>
      <c r="U16" s="110">
        <f>IFERROR(INDEX('Data Sheet'!$D$198:$D$275,MATCH(I16,'Data Sheet'!$F$198:$F$275,0)),"")</f>
        <v>9</v>
      </c>
      <c r="V16" s="415" t="s">
        <v>992</v>
      </c>
      <c r="W16" s="195" t="str">
        <f>IF(V16=Setup!$C$30,"Grant",IF(V16=Setup!$C$31,"Local",IF(V16=Setup!$C$32,"Other",IF(ISBLANK(V16),"","Other"))))</f>
        <v>Local</v>
      </c>
      <c r="X16" s="255"/>
      <c r="Y16" s="259" t="str">
        <f>IF(X16&lt;&gt;"",X16/VLOOKUP($V16,Setup!$C$30:$D$41,2,0),"")</f>
        <v/>
      </c>
      <c r="Z16" s="262"/>
      <c r="AA16" s="256" t="str">
        <f t="shared" si="34"/>
        <v/>
      </c>
      <c r="AB16" s="262"/>
      <c r="AC16" s="258" t="str">
        <f t="shared" si="3"/>
        <v/>
      </c>
      <c r="AD16" s="262"/>
      <c r="AE16" s="258" t="str">
        <f t="shared" si="4"/>
        <v/>
      </c>
      <c r="AF16" s="262"/>
      <c r="AG16" s="256" t="str">
        <f t="shared" si="5"/>
        <v/>
      </c>
      <c r="AH16" s="256" t="str">
        <f t="shared" si="33"/>
        <v/>
      </c>
      <c r="AI16" s="256" t="str">
        <f t="shared" si="6"/>
        <v/>
      </c>
      <c r="AJ16" s="111"/>
      <c r="AK16" s="255">
        <f t="shared" si="17"/>
        <v>0</v>
      </c>
      <c r="AL16" s="259">
        <f>IF(AK16&lt;&gt;"",AK16/VLOOKUP($V16,Setup!$C$30:$D$41,2,0),"")</f>
        <v>0</v>
      </c>
      <c r="AM16" s="266"/>
      <c r="AN16" s="258" t="str">
        <f t="shared" si="18"/>
        <v/>
      </c>
      <c r="AO16" s="266"/>
      <c r="AP16" s="258" t="str">
        <f t="shared" si="19"/>
        <v/>
      </c>
      <c r="AQ16" s="266"/>
      <c r="AR16" s="258" t="str">
        <f t="shared" si="20"/>
        <v/>
      </c>
      <c r="AS16" s="266"/>
      <c r="AT16" s="256" t="str">
        <f t="shared" si="21"/>
        <v/>
      </c>
      <c r="AU16" s="256" t="str">
        <f t="shared" si="7"/>
        <v/>
      </c>
      <c r="AV16" s="256" t="str">
        <f t="shared" si="8"/>
        <v/>
      </c>
      <c r="AW16" s="267"/>
      <c r="AX16" s="255">
        <f t="shared" si="22"/>
        <v>0</v>
      </c>
      <c r="AY16" s="259">
        <f>IF(AX16&lt;&gt;"",AX16/VLOOKUP($V16,Setup!$C$30:$D$41,2,0),"")</f>
        <v>0</v>
      </c>
      <c r="AZ16" s="268"/>
      <c r="BA16" s="258" t="str">
        <f t="shared" si="23"/>
        <v/>
      </c>
      <c r="BB16" s="268"/>
      <c r="BC16" s="258" t="str">
        <f t="shared" si="24"/>
        <v/>
      </c>
      <c r="BD16" s="268"/>
      <c r="BE16" s="258" t="str">
        <f t="shared" si="25"/>
        <v/>
      </c>
      <c r="BF16" s="268"/>
      <c r="BG16" s="256" t="str">
        <f t="shared" si="26"/>
        <v/>
      </c>
      <c r="BH16" s="256" t="str">
        <f t="shared" si="9"/>
        <v/>
      </c>
      <c r="BI16" s="256" t="str">
        <f t="shared" si="10"/>
        <v/>
      </c>
      <c r="BJ16" s="267"/>
      <c r="BK16" s="255"/>
      <c r="BL16" s="259" t="str">
        <f>IF(BK16&lt;&gt;"",BK16/VLOOKUP($V16,Setup!$C$30:$D$41,2,0),"")</f>
        <v/>
      </c>
      <c r="BM16" s="268"/>
      <c r="BN16" s="258" t="str">
        <f t="shared" si="27"/>
        <v/>
      </c>
      <c r="BO16" s="268"/>
      <c r="BP16" s="258" t="str">
        <f t="shared" si="28"/>
        <v/>
      </c>
      <c r="BQ16" s="268"/>
      <c r="BR16" s="258" t="str">
        <f t="shared" si="29"/>
        <v/>
      </c>
      <c r="BS16" s="268"/>
      <c r="BT16" s="256" t="str">
        <f t="shared" si="32"/>
        <v/>
      </c>
      <c r="BU16" s="256" t="str">
        <f t="shared" si="11"/>
        <v/>
      </c>
      <c r="BV16" s="256" t="str">
        <f t="shared" si="12"/>
        <v/>
      </c>
      <c r="BW16" s="267"/>
      <c r="BX16" s="256" t="str">
        <f t="shared" si="13"/>
        <v/>
      </c>
      <c r="BY16" s="256" t="str">
        <f t="shared" si="14"/>
        <v/>
      </c>
      <c r="BZ16" s="281"/>
      <c r="CA16" s="282"/>
      <c r="CC16" s="112" t="str">
        <f t="shared" ca="1" si="15"/>
        <v/>
      </c>
      <c r="CF16" s="283"/>
      <c r="CG16" s="283"/>
      <c r="CH16" s="283"/>
      <c r="CI16" s="283"/>
      <c r="CL16" s="356" t="str">
        <f>IFERROR(VLOOKUP(C16,'Data Sheet'!$A$3:$B$26,2,FALSE),"")</f>
        <v>MCI-00023</v>
      </c>
    </row>
    <row r="17" spans="1:90" s="112" customFormat="1" ht="51" x14ac:dyDescent="0.25">
      <c r="A17" s="97">
        <v>13</v>
      </c>
      <c r="B17" s="105" t="str">
        <f t="shared" si="35"/>
        <v>a1O36000001EGFXEA4-a1O36000001EGIVEA4-Nationwide</v>
      </c>
      <c r="C17" s="276" t="s">
        <v>2181</v>
      </c>
      <c r="D17" s="101" t="str">
        <f>IFERROR(IF(VLOOKUP(C17,'Data Sheet'!$A$3:$D$26,4,FALSE)=0,"",VLOOKUP(C17,'Data Sheet'!$A$3:$D$26,4,FALSE)),"")</f>
        <v>a1O36000001EGFXEA4</v>
      </c>
      <c r="E17" s="279" t="s">
        <v>2408</v>
      </c>
      <c r="F17" s="103" t="str">
        <f>IFERROR(IF(VLOOKUP(E17,'Data Sheet'!$C$29:$E$174,3,FALSE)=0,"",VLOOKUP(E17,'Data Sheet'!$C$29:$E$174,3,FALSE)),"")</f>
        <v>a1O36000001EGIVEA4</v>
      </c>
      <c r="G17" s="106" t="str">
        <f t="shared" si="2"/>
        <v>a1O36000001EGFXEA4-a1O36000001EGIVEA4</v>
      </c>
      <c r="H17" s="273" t="s">
        <v>2673</v>
      </c>
      <c r="I17" s="107" t="s">
        <v>2740</v>
      </c>
      <c r="J17" s="249" t="str">
        <f t="shared" si="30"/>
        <v>3.4</v>
      </c>
      <c r="K17" s="101" t="str">
        <f>IFERROR(INDEX('Data Sheet'!$C$198:$C$275,MATCH(I17,'Data Sheet'!$F$198:$F$275,0)),"")</f>
        <v>a2C360000007DA8EAM</v>
      </c>
      <c r="L17" s="250">
        <f>IFERROR(INDEX('Data Sheet'!$G$198:$G$275,MATCH(I17,'Data Sheet'!$F$198:$F$275,0)),"")</f>
        <v>3.4</v>
      </c>
      <c r="M17" s="248" t="s">
        <v>2506</v>
      </c>
      <c r="N17" s="248" t="s">
        <v>2759</v>
      </c>
      <c r="O17" s="248" t="s">
        <v>2128</v>
      </c>
      <c r="P17" s="108" t="str">
        <f>IFERROR(INDEX(Setup!$D$44:$D$70,MATCH(M17,Setup!$K$44:$K$70,0))&amp;"","")</f>
        <v>PR</v>
      </c>
      <c r="Q17" s="108" t="str">
        <f>IFERROR(INDEX(Setup!$E$44:$E$70,MATCH(M17,Setup!$K$44:$K$70,0))&amp;"","")</f>
        <v>Government - Ministry of Health</v>
      </c>
      <c r="R17" s="108" t="str">
        <f>IFERROR(INDEX(Setup!$L$44:$L$70,MATCH(M17,Setup!$K$44:$K$70,0))&amp;"","")</f>
        <v>0013600000xoEHUAA2</v>
      </c>
      <c r="S17" s="108" t="str">
        <f>Setup!$C$30</f>
        <v>USD</v>
      </c>
      <c r="T17" s="109" t="str">
        <f>IFERROR(INDEX('Data Sheet'!$B$198:$B$275,MATCH(I17,'Data Sheet'!$F$198:$F$275,0)),"")</f>
        <v>N/A</v>
      </c>
      <c r="U17" s="110">
        <f>IFERROR(INDEX('Data Sheet'!$D$198:$D$275,MATCH(I17,'Data Sheet'!$F$198:$F$275,0)),"")</f>
        <v>3</v>
      </c>
      <c r="V17" s="415" t="s">
        <v>8</v>
      </c>
      <c r="W17" s="195" t="str">
        <f>IF(V17=Setup!$C$30,"Grant",IF(V17=Setup!$C$31,"Local",IF(V17=Setup!$C$32,"Other",IF(ISBLANK(V17),"","Other"))))</f>
        <v>Grant</v>
      </c>
      <c r="X17" s="255">
        <f>'Assumptions Other'!G28*0.36</f>
        <v>9000</v>
      </c>
      <c r="Y17" s="259">
        <f>IF(X17&lt;&gt;"",X17/VLOOKUP($V17,Setup!$C$30:$D$41,2,0),"")</f>
        <v>9000</v>
      </c>
      <c r="Z17" s="262"/>
      <c r="AA17" s="256" t="str">
        <f t="shared" si="34"/>
        <v/>
      </c>
      <c r="AB17" s="262"/>
      <c r="AC17" s="258" t="str">
        <f t="shared" si="3"/>
        <v/>
      </c>
      <c r="AD17" s="262">
        <v>1</v>
      </c>
      <c r="AE17" s="258">
        <f t="shared" si="4"/>
        <v>9000</v>
      </c>
      <c r="AF17" s="262"/>
      <c r="AG17" s="256" t="str">
        <f t="shared" si="5"/>
        <v/>
      </c>
      <c r="AH17" s="256">
        <f t="shared" si="33"/>
        <v>1</v>
      </c>
      <c r="AI17" s="256">
        <f t="shared" si="6"/>
        <v>9000</v>
      </c>
      <c r="AJ17" s="111"/>
      <c r="AK17" s="255">
        <f t="shared" si="17"/>
        <v>9000</v>
      </c>
      <c r="AL17" s="259">
        <f>IF(AK17&lt;&gt;"",AK17/VLOOKUP($V17,Setup!$C$30:$D$41,2,0),"")</f>
        <v>9000</v>
      </c>
      <c r="AM17" s="266"/>
      <c r="AN17" s="258" t="str">
        <f t="shared" si="18"/>
        <v/>
      </c>
      <c r="AO17" s="266"/>
      <c r="AP17" s="258" t="str">
        <f t="shared" si="19"/>
        <v/>
      </c>
      <c r="AQ17" s="266"/>
      <c r="AR17" s="258" t="str">
        <f t="shared" si="20"/>
        <v/>
      </c>
      <c r="AS17" s="266"/>
      <c r="AT17" s="256" t="str">
        <f t="shared" si="21"/>
        <v/>
      </c>
      <c r="AU17" s="256" t="str">
        <f t="shared" si="7"/>
        <v/>
      </c>
      <c r="AV17" s="256" t="str">
        <f t="shared" si="8"/>
        <v/>
      </c>
      <c r="AW17" s="267"/>
      <c r="AX17" s="255">
        <f t="shared" si="22"/>
        <v>9000</v>
      </c>
      <c r="AY17" s="259">
        <f>IF(AX17&lt;&gt;"",AX17/VLOOKUP($V17,Setup!$C$30:$D$41,2,0),"")</f>
        <v>9000</v>
      </c>
      <c r="AZ17" s="268"/>
      <c r="BA17" s="258" t="str">
        <f t="shared" si="23"/>
        <v/>
      </c>
      <c r="BB17" s="268"/>
      <c r="BC17" s="258" t="str">
        <f t="shared" si="24"/>
        <v/>
      </c>
      <c r="BD17" s="268">
        <v>1</v>
      </c>
      <c r="BE17" s="258">
        <f t="shared" si="25"/>
        <v>9000</v>
      </c>
      <c r="BF17" s="268"/>
      <c r="BG17" s="256" t="str">
        <f t="shared" si="26"/>
        <v/>
      </c>
      <c r="BH17" s="256">
        <f t="shared" si="9"/>
        <v>1</v>
      </c>
      <c r="BI17" s="256">
        <f t="shared" si="10"/>
        <v>9000</v>
      </c>
      <c r="BJ17" s="267"/>
      <c r="BK17" s="255"/>
      <c r="BL17" s="259" t="str">
        <f>IF(BK17&lt;&gt;"",BK17/VLOOKUP($V17,Setup!$C$30:$D$41,2,0),"")</f>
        <v/>
      </c>
      <c r="BM17" s="268"/>
      <c r="BN17" s="258" t="str">
        <f t="shared" si="27"/>
        <v/>
      </c>
      <c r="BO17" s="268"/>
      <c r="BP17" s="258" t="str">
        <f t="shared" si="28"/>
        <v/>
      </c>
      <c r="BQ17" s="268"/>
      <c r="BR17" s="258" t="str">
        <f t="shared" si="29"/>
        <v/>
      </c>
      <c r="BS17" s="268"/>
      <c r="BT17" s="256" t="str">
        <f t="shared" si="32"/>
        <v/>
      </c>
      <c r="BU17" s="256" t="str">
        <f t="shared" si="11"/>
        <v/>
      </c>
      <c r="BV17" s="256" t="str">
        <f t="shared" si="12"/>
        <v/>
      </c>
      <c r="BW17" s="267"/>
      <c r="BX17" s="256">
        <f t="shared" si="13"/>
        <v>2</v>
      </c>
      <c r="BY17" s="256">
        <f t="shared" si="14"/>
        <v>18000</v>
      </c>
      <c r="BZ17" s="281"/>
      <c r="CA17" s="282"/>
      <c r="CC17" s="112" t="str">
        <f t="shared" ca="1" si="15"/>
        <v/>
      </c>
      <c r="CF17" s="283"/>
      <c r="CG17" s="283"/>
      <c r="CH17" s="283"/>
      <c r="CI17" s="283"/>
      <c r="CL17" s="356" t="str">
        <f>IFERROR(VLOOKUP(C17,'Data Sheet'!$A$3:$B$26,2,FALSE),"")</f>
        <v>MCI-00023</v>
      </c>
    </row>
    <row r="18" spans="1:90" s="112" customFormat="1" ht="51" x14ac:dyDescent="0.25">
      <c r="A18" s="97">
        <v>14</v>
      </c>
      <c r="B18" s="105" t="str">
        <f t="shared" si="35"/>
        <v>a1O36000001EGFXEA4-a1O36000001EGIVEA4-Nationwide</v>
      </c>
      <c r="C18" s="276" t="s">
        <v>2181</v>
      </c>
      <c r="D18" s="101" t="str">
        <f>IFERROR(IF(VLOOKUP(C18,'Data Sheet'!$A$3:$D$26,4,FALSE)=0,"",VLOOKUP(C18,'Data Sheet'!$A$3:$D$26,4,FALSE)),"")</f>
        <v>a1O36000001EGFXEA4</v>
      </c>
      <c r="E18" s="279" t="s">
        <v>2408</v>
      </c>
      <c r="F18" s="103" t="str">
        <f>IFERROR(IF(VLOOKUP(E18,'Data Sheet'!$C$29:$E$174,3,FALSE)=0,"",VLOOKUP(E18,'Data Sheet'!$C$29:$E$174,3,FALSE)),"")</f>
        <v>a1O36000001EGIVEA4</v>
      </c>
      <c r="G18" s="106" t="str">
        <f t="shared" si="2"/>
        <v>a1O36000001EGFXEA4-a1O36000001EGIVEA4</v>
      </c>
      <c r="H18" s="273" t="s">
        <v>2674</v>
      </c>
      <c r="I18" s="107" t="s">
        <v>2741</v>
      </c>
      <c r="J18" s="249" t="str">
        <f t="shared" si="30"/>
        <v>3.1</v>
      </c>
      <c r="K18" s="101" t="str">
        <f>IFERROR(INDEX('Data Sheet'!$C$198:$C$275,MATCH(I18,'Data Sheet'!$F$198:$F$275,0)),"")</f>
        <v>a2C360000007DA5EAM</v>
      </c>
      <c r="L18" s="250">
        <f>IFERROR(INDEX('Data Sheet'!$G$198:$G$275,MATCH(I18,'Data Sheet'!$F$198:$F$275,0)),"")</f>
        <v>3.1</v>
      </c>
      <c r="M18" s="248" t="s">
        <v>2506</v>
      </c>
      <c r="N18" s="248" t="s">
        <v>2759</v>
      </c>
      <c r="O18" s="248" t="s">
        <v>2128</v>
      </c>
      <c r="P18" s="108" t="str">
        <f>IFERROR(INDEX(Setup!$D$44:$D$70,MATCH(M18,Setup!$K$44:$K$70,0))&amp;"","")</f>
        <v>PR</v>
      </c>
      <c r="Q18" s="108" t="str">
        <f>IFERROR(INDEX(Setup!$E$44:$E$70,MATCH(M18,Setup!$K$44:$K$70,0))&amp;"","")</f>
        <v>Government - Ministry of Health</v>
      </c>
      <c r="R18" s="108" t="str">
        <f>IFERROR(INDEX(Setup!$L$44:$L$70,MATCH(M18,Setup!$K$44:$K$70,0))&amp;"","")</f>
        <v>0013600000xoEHUAA2</v>
      </c>
      <c r="S18" s="108" t="str">
        <f>Setup!$C$30</f>
        <v>USD</v>
      </c>
      <c r="T18" s="109" t="str">
        <f>IFERROR(INDEX('Data Sheet'!$B$198:$B$275,MATCH(I18,'Data Sheet'!$F$198:$F$275,0)),"")</f>
        <v>Consultant fee per person per workday</v>
      </c>
      <c r="U18" s="110">
        <f>IFERROR(INDEX('Data Sheet'!$D$198:$D$275,MATCH(I18,'Data Sheet'!$F$198:$F$275,0)),"")</f>
        <v>3</v>
      </c>
      <c r="V18" s="415" t="s">
        <v>8</v>
      </c>
      <c r="W18" s="195" t="str">
        <f>IF(V18=Setup!$C$30,"Grant",IF(V18=Setup!$C$31,"Local",IF(V18=Setup!$C$32,"Other",IF(ISBLANK(V18),"","Other"))))</f>
        <v>Grant</v>
      </c>
      <c r="X18" s="255">
        <f>135600/4/2*0.5</f>
        <v>8475</v>
      </c>
      <c r="Y18" s="259">
        <f>IF(X18&lt;&gt;"",X18/VLOOKUP($V18,Setup!$C$30:$D$41,2,0),"")</f>
        <v>8475</v>
      </c>
      <c r="Z18" s="262">
        <v>2</v>
      </c>
      <c r="AA18" s="256">
        <f t="shared" si="34"/>
        <v>16950</v>
      </c>
      <c r="AB18" s="262">
        <v>2</v>
      </c>
      <c r="AC18" s="258">
        <f t="shared" si="3"/>
        <v>16950</v>
      </c>
      <c r="AD18" s="262">
        <v>2</v>
      </c>
      <c r="AE18" s="258">
        <f t="shared" si="4"/>
        <v>16950</v>
      </c>
      <c r="AF18" s="262">
        <v>2</v>
      </c>
      <c r="AG18" s="256">
        <f t="shared" si="5"/>
        <v>16950</v>
      </c>
      <c r="AH18" s="256">
        <f t="shared" si="33"/>
        <v>8</v>
      </c>
      <c r="AI18" s="256">
        <f t="shared" si="6"/>
        <v>67800</v>
      </c>
      <c r="AJ18" s="111"/>
      <c r="AK18" s="255">
        <f>X18</f>
        <v>8475</v>
      </c>
      <c r="AL18" s="259">
        <f>IF(AK18&lt;&gt;"",AK18/VLOOKUP($V18,Setup!$C$30:$D$41,2,0),"")</f>
        <v>8475</v>
      </c>
      <c r="AM18" s="262">
        <v>2</v>
      </c>
      <c r="AN18" s="258">
        <f t="shared" si="18"/>
        <v>16950</v>
      </c>
      <c r="AO18" s="262">
        <v>2</v>
      </c>
      <c r="AP18" s="258">
        <f t="shared" si="19"/>
        <v>16950</v>
      </c>
      <c r="AQ18" s="262">
        <v>2</v>
      </c>
      <c r="AR18" s="258">
        <f t="shared" si="20"/>
        <v>16950</v>
      </c>
      <c r="AS18" s="262">
        <v>2</v>
      </c>
      <c r="AT18" s="256">
        <f t="shared" si="21"/>
        <v>16950</v>
      </c>
      <c r="AU18" s="256">
        <f t="shared" si="7"/>
        <v>8</v>
      </c>
      <c r="AV18" s="256">
        <f t="shared" si="8"/>
        <v>67800</v>
      </c>
      <c r="AW18" s="267"/>
      <c r="AX18" s="255">
        <f>X18</f>
        <v>8475</v>
      </c>
      <c r="AY18" s="259">
        <f>IF(AX18&lt;&gt;"",AX18/VLOOKUP($V18,Setup!$C$30:$D$41,2,0),"")</f>
        <v>8475</v>
      </c>
      <c r="AZ18" s="262">
        <v>2</v>
      </c>
      <c r="BA18" s="258">
        <f t="shared" si="23"/>
        <v>16950</v>
      </c>
      <c r="BB18" s="262">
        <v>2</v>
      </c>
      <c r="BC18" s="258">
        <f t="shared" si="24"/>
        <v>16950</v>
      </c>
      <c r="BD18" s="262">
        <v>2</v>
      </c>
      <c r="BE18" s="258">
        <f t="shared" si="25"/>
        <v>16950</v>
      </c>
      <c r="BF18" s="262">
        <v>2</v>
      </c>
      <c r="BG18" s="256">
        <f t="shared" si="26"/>
        <v>16950</v>
      </c>
      <c r="BH18" s="256">
        <f t="shared" si="9"/>
        <v>8</v>
      </c>
      <c r="BI18" s="256">
        <f t="shared" si="10"/>
        <v>67800</v>
      </c>
      <c r="BJ18" s="267"/>
      <c r="BK18" s="255"/>
      <c r="BL18" s="259" t="str">
        <f>IF(BK18&lt;&gt;"",BK18/VLOOKUP($V18,Setup!$C$30:$D$41,2,0),"")</f>
        <v/>
      </c>
      <c r="BM18" s="268"/>
      <c r="BN18" s="258" t="str">
        <f t="shared" si="27"/>
        <v/>
      </c>
      <c r="BO18" s="268"/>
      <c r="BP18" s="258" t="str">
        <f t="shared" si="28"/>
        <v/>
      </c>
      <c r="BQ18" s="268"/>
      <c r="BR18" s="258" t="str">
        <f t="shared" si="29"/>
        <v/>
      </c>
      <c r="BS18" s="268"/>
      <c r="BT18" s="256" t="str">
        <f t="shared" si="32"/>
        <v/>
      </c>
      <c r="BU18" s="256" t="str">
        <f t="shared" si="11"/>
        <v/>
      </c>
      <c r="BV18" s="256" t="str">
        <f t="shared" si="12"/>
        <v/>
      </c>
      <c r="BW18" s="267"/>
      <c r="BX18" s="256">
        <f t="shared" si="13"/>
        <v>24</v>
      </c>
      <c r="BY18" s="256">
        <f t="shared" si="14"/>
        <v>203400</v>
      </c>
      <c r="BZ18" s="281"/>
      <c r="CA18" s="282"/>
      <c r="CC18" s="112" t="str">
        <f t="shared" ca="1" si="15"/>
        <v/>
      </c>
      <c r="CF18" s="283"/>
      <c r="CG18" s="283"/>
      <c r="CH18" s="283"/>
      <c r="CI18" s="283"/>
      <c r="CL18" s="356" t="str">
        <f>IFERROR(VLOOKUP(C18,'Data Sheet'!$A$3:$B$26,2,FALSE),"")</f>
        <v>MCI-00023</v>
      </c>
    </row>
    <row r="19" spans="1:90" s="112" customFormat="1" ht="51" x14ac:dyDescent="0.25">
      <c r="A19" s="97">
        <v>15</v>
      </c>
      <c r="B19" s="105" t="str">
        <f t="shared" si="35"/>
        <v>a1O36000001EGFXEA4-a1O36000001EGIVEA4-Nationwide</v>
      </c>
      <c r="C19" s="276" t="s">
        <v>2181</v>
      </c>
      <c r="D19" s="101" t="str">
        <f>IFERROR(IF(VLOOKUP(C19,'Data Sheet'!$A$3:$D$26,4,FALSE)=0,"",VLOOKUP(C19,'Data Sheet'!$A$3:$D$26,4,FALSE)),"")</f>
        <v>a1O36000001EGFXEA4</v>
      </c>
      <c r="E19" s="279" t="s">
        <v>2408</v>
      </c>
      <c r="F19" s="103" t="str">
        <f>IFERROR(IF(VLOOKUP(E19,'Data Sheet'!$C$29:$E$174,3,FALSE)=0,"",VLOOKUP(E19,'Data Sheet'!$C$29:$E$174,3,FALSE)),"")</f>
        <v>a1O36000001EGIVEA4</v>
      </c>
      <c r="G19" s="106" t="str">
        <f t="shared" si="2"/>
        <v>a1O36000001EGFXEA4-a1O36000001EGIVEA4</v>
      </c>
      <c r="H19" s="273" t="s">
        <v>2675</v>
      </c>
      <c r="I19" s="107" t="s">
        <v>2735</v>
      </c>
      <c r="J19" s="249" t="str">
        <f t="shared" si="30"/>
        <v>1.1</v>
      </c>
      <c r="K19" s="101" t="str">
        <f>IFERROR(INDEX('Data Sheet'!$C$198:$C$275,MATCH(I19,'Data Sheet'!$F$198:$F$275,0)),"")</f>
        <v>a2C360000007DA4EAM</v>
      </c>
      <c r="L19" s="250">
        <f>IFERROR(INDEX('Data Sheet'!$G$198:$G$275,MATCH(I19,'Data Sheet'!$F$198:$F$275,0)),"")</f>
        <v>1.1000000000000001</v>
      </c>
      <c r="M19" s="248" t="s">
        <v>2506</v>
      </c>
      <c r="N19" s="248" t="s">
        <v>2759</v>
      </c>
      <c r="O19" s="248" t="s">
        <v>2128</v>
      </c>
      <c r="P19" s="108" t="str">
        <f>IFERROR(INDEX(Setup!$D$44:$D$70,MATCH(M19,Setup!$K$44:$K$70,0))&amp;"","")</f>
        <v>PR</v>
      </c>
      <c r="Q19" s="108" t="str">
        <f>IFERROR(INDEX(Setup!$E$44:$E$70,MATCH(M19,Setup!$K$44:$K$70,0))&amp;"","")</f>
        <v>Government - Ministry of Health</v>
      </c>
      <c r="R19" s="108" t="str">
        <f>IFERROR(INDEX(Setup!$L$44:$L$70,MATCH(M19,Setup!$K$44:$K$70,0))&amp;"","")</f>
        <v>0013600000xoEHUAA2</v>
      </c>
      <c r="S19" s="108" t="str">
        <f>Setup!$C$30</f>
        <v>USD</v>
      </c>
      <c r="T19" s="109" t="str">
        <f>IFERROR(INDEX('Data Sheet'!$B$198:$B$275,MATCH(I19,'Data Sheet'!$F$198:$F$275,0)),"")</f>
        <v>Average gross salary per FTE (person) per quarter</v>
      </c>
      <c r="U19" s="110">
        <f>IFERROR(INDEX('Data Sheet'!$D$198:$D$275,MATCH(I19,'Data Sheet'!$F$198:$F$275,0)),"")</f>
        <v>1</v>
      </c>
      <c r="V19" s="415" t="s">
        <v>992</v>
      </c>
      <c r="W19" s="195" t="str">
        <f>IF(V19=Setup!$C$30,"Grant",IF(V19=Setup!$C$31,"Local",IF(V19=Setup!$C$32,"Other",IF(ISBLANK(V19),"","Other"))))</f>
        <v>Local</v>
      </c>
      <c r="X19" s="255">
        <f>'Assumptions HR'!H43</f>
        <v>45274460.558108114</v>
      </c>
      <c r="Y19" s="259">
        <f>IF(X19&lt;&gt;"",X19/VLOOKUP($V19,Setup!$C$30:$D$41,2,0),"")</f>
        <v>5533.7837837837842</v>
      </c>
      <c r="Z19" s="262">
        <v>3.6999999999999997</v>
      </c>
      <c r="AA19" s="256">
        <f t="shared" si="34"/>
        <v>20475</v>
      </c>
      <c r="AB19" s="262">
        <v>3.6999999999999997</v>
      </c>
      <c r="AC19" s="258">
        <f t="shared" si="3"/>
        <v>20475</v>
      </c>
      <c r="AD19" s="262">
        <v>3.6999999999999997</v>
      </c>
      <c r="AE19" s="258">
        <f t="shared" si="4"/>
        <v>20475</v>
      </c>
      <c r="AF19" s="262">
        <v>3.6999999999999997</v>
      </c>
      <c r="AG19" s="256">
        <f t="shared" si="5"/>
        <v>20475</v>
      </c>
      <c r="AH19" s="256">
        <f t="shared" si="33"/>
        <v>14.799999999999999</v>
      </c>
      <c r="AI19" s="256">
        <f t="shared" si="6"/>
        <v>81900</v>
      </c>
      <c r="AJ19" s="111"/>
      <c r="AK19" s="255">
        <f>X19*1.03</f>
        <v>46632694.374851361</v>
      </c>
      <c r="AL19" s="259">
        <f>IF(AK19&lt;&gt;"",AK19/VLOOKUP($V19,Setup!$C$30:$D$41,2,0),"")</f>
        <v>5699.7972972972984</v>
      </c>
      <c r="AM19" s="262">
        <v>3.6999999999999997</v>
      </c>
      <c r="AN19" s="258">
        <f t="shared" si="18"/>
        <v>21089.250000000004</v>
      </c>
      <c r="AO19" s="262">
        <v>3.6999999999999997</v>
      </c>
      <c r="AP19" s="258">
        <f t="shared" si="19"/>
        <v>21089.250000000004</v>
      </c>
      <c r="AQ19" s="262">
        <v>3.6999999999999997</v>
      </c>
      <c r="AR19" s="258">
        <f t="shared" si="20"/>
        <v>21089.250000000004</v>
      </c>
      <c r="AS19" s="262">
        <v>3.6999999999999997</v>
      </c>
      <c r="AT19" s="256">
        <f t="shared" si="21"/>
        <v>21089.250000000004</v>
      </c>
      <c r="AU19" s="256">
        <f t="shared" si="7"/>
        <v>14.799999999999999</v>
      </c>
      <c r="AV19" s="256">
        <f t="shared" si="8"/>
        <v>84357.000000000015</v>
      </c>
      <c r="AW19" s="267"/>
      <c r="AX19" s="255">
        <f>AK19*1.03</f>
        <v>48031675.206096902</v>
      </c>
      <c r="AY19" s="259">
        <f>IF(AX19&lt;&gt;"",AX19/VLOOKUP($V19,Setup!$C$30:$D$41,2,0),"")</f>
        <v>5870.7912162162174</v>
      </c>
      <c r="AZ19" s="262">
        <v>3.6999999999999997</v>
      </c>
      <c r="BA19" s="258">
        <f t="shared" si="23"/>
        <v>21721.927500000002</v>
      </c>
      <c r="BB19" s="262">
        <v>3.6999999999999997</v>
      </c>
      <c r="BC19" s="258">
        <f t="shared" si="24"/>
        <v>21721.927500000002</v>
      </c>
      <c r="BD19" s="262">
        <v>3.6999999999999997</v>
      </c>
      <c r="BE19" s="258">
        <f t="shared" si="25"/>
        <v>21721.927500000002</v>
      </c>
      <c r="BF19" s="262">
        <v>3.6999999999999997</v>
      </c>
      <c r="BG19" s="256">
        <f t="shared" si="26"/>
        <v>21721.927500000002</v>
      </c>
      <c r="BH19" s="256">
        <f t="shared" si="9"/>
        <v>14.799999999999999</v>
      </c>
      <c r="BI19" s="256">
        <f t="shared" si="10"/>
        <v>86887.71</v>
      </c>
      <c r="BJ19" s="267"/>
      <c r="BK19" s="255"/>
      <c r="BL19" s="259" t="str">
        <f>IF(BK19&lt;&gt;"",BK19/VLOOKUP($V19,Setup!$C$30:$D$41,2,0),"")</f>
        <v/>
      </c>
      <c r="BM19" s="268"/>
      <c r="BN19" s="258" t="str">
        <f t="shared" si="27"/>
        <v/>
      </c>
      <c r="BO19" s="268"/>
      <c r="BP19" s="258" t="str">
        <f t="shared" si="28"/>
        <v/>
      </c>
      <c r="BQ19" s="268"/>
      <c r="BR19" s="258" t="str">
        <f t="shared" si="29"/>
        <v/>
      </c>
      <c r="BS19" s="268"/>
      <c r="BT19" s="256" t="str">
        <f t="shared" si="32"/>
        <v/>
      </c>
      <c r="BU19" s="256" t="str">
        <f t="shared" si="11"/>
        <v/>
      </c>
      <c r="BV19" s="256" t="str">
        <f t="shared" si="12"/>
        <v/>
      </c>
      <c r="BW19" s="267"/>
      <c r="BX19" s="256">
        <f t="shared" si="13"/>
        <v>44.4</v>
      </c>
      <c r="BY19" s="256">
        <f t="shared" si="14"/>
        <v>253144.71000000002</v>
      </c>
      <c r="BZ19" s="281"/>
      <c r="CA19" s="282"/>
      <c r="CC19" s="112" t="str">
        <f t="shared" ca="1" si="15"/>
        <v/>
      </c>
      <c r="CF19" s="283"/>
      <c r="CG19" s="283"/>
      <c r="CH19" s="283"/>
      <c r="CI19" s="283"/>
      <c r="CL19" s="356" t="str">
        <f>IFERROR(VLOOKUP(C19,'Data Sheet'!$A$3:$B$26,2,FALSE),"")</f>
        <v>MCI-00023</v>
      </c>
    </row>
    <row r="20" spans="1:90" s="112" customFormat="1" ht="51" x14ac:dyDescent="0.25">
      <c r="A20" s="97">
        <v>16</v>
      </c>
      <c r="B20" s="105" t="str">
        <f t="shared" si="35"/>
        <v>a1O36000001EGFXEA4-a1O36000001EGIVEA4-Nationwide</v>
      </c>
      <c r="C20" s="276" t="s">
        <v>2181</v>
      </c>
      <c r="D20" s="101" t="str">
        <f>IFERROR(IF(VLOOKUP(C20,'Data Sheet'!$A$3:$D$26,4,FALSE)=0,"",VLOOKUP(C20,'Data Sheet'!$A$3:$D$26,4,FALSE)),"")</f>
        <v>a1O36000001EGFXEA4</v>
      </c>
      <c r="E20" s="279" t="s">
        <v>2408</v>
      </c>
      <c r="F20" s="103" t="str">
        <f>IFERROR(IF(VLOOKUP(E20,'Data Sheet'!$C$29:$E$174,3,FALSE)=0,"",VLOOKUP(E20,'Data Sheet'!$C$29:$E$174,3,FALSE)),"")</f>
        <v>a1O36000001EGIVEA4</v>
      </c>
      <c r="G20" s="106" t="str">
        <f t="shared" si="2"/>
        <v>a1O36000001EGFXEA4-a1O36000001EGIVEA4</v>
      </c>
      <c r="H20" s="273" t="s">
        <v>2676</v>
      </c>
      <c r="I20" s="107" t="s">
        <v>2742</v>
      </c>
      <c r="J20" s="249" t="str">
        <f t="shared" si="30"/>
        <v>3.3</v>
      </c>
      <c r="K20" s="101" t="str">
        <f>IFERROR(INDEX('Data Sheet'!$C$198:$C$275,MATCH(I20,'Data Sheet'!$F$198:$F$275,0)),"")</f>
        <v>a2C360000007DA7EAM</v>
      </c>
      <c r="L20" s="250">
        <f>IFERROR(INDEX('Data Sheet'!$G$198:$G$275,MATCH(I20,'Data Sheet'!$F$198:$F$275,0)),"")</f>
        <v>3.3</v>
      </c>
      <c r="M20" s="248" t="s">
        <v>2506</v>
      </c>
      <c r="N20" s="248" t="s">
        <v>2759</v>
      </c>
      <c r="O20" s="248" t="s">
        <v>2128</v>
      </c>
      <c r="P20" s="108" t="str">
        <f>IFERROR(INDEX(Setup!$D$44:$D$70,MATCH(M20,Setup!$K$44:$K$70,0))&amp;"","")</f>
        <v>PR</v>
      </c>
      <c r="Q20" s="108" t="str">
        <f>IFERROR(INDEX(Setup!$E$44:$E$70,MATCH(M20,Setup!$K$44:$K$70,0))&amp;"","")</f>
        <v>Government - Ministry of Health</v>
      </c>
      <c r="R20" s="108" t="str">
        <f>IFERROR(INDEX(Setup!$L$44:$L$70,MATCH(M20,Setup!$K$44:$K$70,0))&amp;"","")</f>
        <v>0013600000xoEHUAA2</v>
      </c>
      <c r="S20" s="108" t="str">
        <f>Setup!$C$30</f>
        <v>USD</v>
      </c>
      <c r="T20" s="109" t="str">
        <f>IFERROR(INDEX('Data Sheet'!$B$198:$B$275,MATCH(I20,'Data Sheet'!$F$198:$F$275,0)),"")</f>
        <v>N/A</v>
      </c>
      <c r="U20" s="110">
        <f>IFERROR(INDEX('Data Sheet'!$D$198:$D$275,MATCH(I20,'Data Sheet'!$F$198:$F$275,0)),"")</f>
        <v>3</v>
      </c>
      <c r="V20" s="415" t="s">
        <v>8</v>
      </c>
      <c r="W20" s="195" t="str">
        <f>IF(V20=Setup!$C$30,"Grant",IF(V20=Setup!$C$31,"Local",IF(V20=Setup!$C$32,"Other",IF(ISBLANK(V20),"","Other"))))</f>
        <v>Grant</v>
      </c>
      <c r="X20" s="255">
        <v>25000</v>
      </c>
      <c r="Y20" s="259">
        <f>IF(X20&lt;&gt;"",X20/VLOOKUP($V20,Setup!$C$30:$D$41,2,0),"")</f>
        <v>25000</v>
      </c>
      <c r="Z20" s="262"/>
      <c r="AA20" s="256" t="str">
        <f t="shared" si="34"/>
        <v/>
      </c>
      <c r="AB20" s="262"/>
      <c r="AC20" s="258" t="str">
        <f t="shared" si="3"/>
        <v/>
      </c>
      <c r="AD20" s="262"/>
      <c r="AE20" s="258" t="str">
        <f t="shared" si="4"/>
        <v/>
      </c>
      <c r="AF20" s="262">
        <v>1</v>
      </c>
      <c r="AG20" s="256">
        <f t="shared" si="5"/>
        <v>25000</v>
      </c>
      <c r="AH20" s="256">
        <f t="shared" si="33"/>
        <v>1</v>
      </c>
      <c r="AI20" s="256">
        <f t="shared" si="6"/>
        <v>25000</v>
      </c>
      <c r="AJ20" s="111"/>
      <c r="AK20" s="255">
        <f>X20</f>
        <v>25000</v>
      </c>
      <c r="AL20" s="259">
        <f>IF(AK20&lt;&gt;"",AK20/VLOOKUP($V20,Setup!$C$30:$D$41,2,0),"")</f>
        <v>25000</v>
      </c>
      <c r="AM20" s="266"/>
      <c r="AN20" s="258" t="str">
        <f t="shared" si="18"/>
        <v/>
      </c>
      <c r="AO20" s="266"/>
      <c r="AP20" s="258" t="str">
        <f t="shared" si="19"/>
        <v/>
      </c>
      <c r="AQ20" s="266"/>
      <c r="AR20" s="258" t="str">
        <f t="shared" si="20"/>
        <v/>
      </c>
      <c r="AS20" s="266">
        <v>1</v>
      </c>
      <c r="AT20" s="256">
        <f t="shared" si="21"/>
        <v>25000</v>
      </c>
      <c r="AU20" s="256">
        <f t="shared" si="7"/>
        <v>1</v>
      </c>
      <c r="AV20" s="256">
        <f t="shared" si="8"/>
        <v>25000</v>
      </c>
      <c r="AW20" s="267"/>
      <c r="AX20" s="255">
        <f>X20</f>
        <v>25000</v>
      </c>
      <c r="AY20" s="259">
        <f>IF(AX20&lt;&gt;"",AX20/VLOOKUP($V20,Setup!$C$30:$D$41,2,0),"")</f>
        <v>25000</v>
      </c>
      <c r="AZ20" s="268"/>
      <c r="BA20" s="258" t="str">
        <f t="shared" si="23"/>
        <v/>
      </c>
      <c r="BB20" s="268"/>
      <c r="BC20" s="258" t="str">
        <f t="shared" si="24"/>
        <v/>
      </c>
      <c r="BD20" s="268"/>
      <c r="BE20" s="258" t="str">
        <f t="shared" si="25"/>
        <v/>
      </c>
      <c r="BF20" s="268">
        <v>1</v>
      </c>
      <c r="BG20" s="256">
        <f t="shared" si="26"/>
        <v>25000</v>
      </c>
      <c r="BH20" s="256">
        <f t="shared" si="9"/>
        <v>1</v>
      </c>
      <c r="BI20" s="256">
        <f t="shared" si="10"/>
        <v>25000</v>
      </c>
      <c r="BJ20" s="267"/>
      <c r="BK20" s="255"/>
      <c r="BL20" s="259" t="str">
        <f>IF(BK20&lt;&gt;"",BK20/VLOOKUP($V20,Setup!$C$30:$D$41,2,0),"")</f>
        <v/>
      </c>
      <c r="BM20" s="268"/>
      <c r="BN20" s="258" t="str">
        <f t="shared" si="27"/>
        <v/>
      </c>
      <c r="BO20" s="268"/>
      <c r="BP20" s="258" t="str">
        <f t="shared" si="28"/>
        <v/>
      </c>
      <c r="BQ20" s="268"/>
      <c r="BR20" s="258" t="str">
        <f t="shared" si="29"/>
        <v/>
      </c>
      <c r="BS20" s="268"/>
      <c r="BT20" s="256" t="str">
        <f t="shared" si="32"/>
        <v/>
      </c>
      <c r="BU20" s="256" t="str">
        <f t="shared" si="11"/>
        <v/>
      </c>
      <c r="BV20" s="256" t="str">
        <f t="shared" si="12"/>
        <v/>
      </c>
      <c r="BW20" s="267"/>
      <c r="BX20" s="256">
        <f t="shared" si="13"/>
        <v>3</v>
      </c>
      <c r="BY20" s="256">
        <f t="shared" si="14"/>
        <v>75000</v>
      </c>
      <c r="BZ20" s="281"/>
      <c r="CA20" s="282"/>
      <c r="CC20" s="112" t="str">
        <f t="shared" ca="1" si="15"/>
        <v/>
      </c>
      <c r="CF20" s="283"/>
      <c r="CG20" s="283"/>
      <c r="CH20" s="283"/>
      <c r="CI20" s="283"/>
      <c r="CL20" s="356" t="str">
        <f>IFERROR(VLOOKUP(C20,'Data Sheet'!$A$3:$B$26,2,FALSE),"")</f>
        <v>MCI-00023</v>
      </c>
    </row>
    <row r="21" spans="1:90" s="112" customFormat="1" ht="51" x14ac:dyDescent="0.25">
      <c r="A21" s="97">
        <v>17</v>
      </c>
      <c r="B21" s="105" t="str">
        <f t="shared" si="35"/>
        <v>a1O36000001EGFXEA4-a1O36000001EGIVEA4-Nationwide</v>
      </c>
      <c r="C21" s="414" t="s">
        <v>2181</v>
      </c>
      <c r="D21" s="101" t="str">
        <f>IFERROR(IF(VLOOKUP(C21,'Data Sheet'!$A$3:$D$26,4,FALSE)=0,"",VLOOKUP(C21,'Data Sheet'!$A$3:$D$26,4,FALSE)),"")</f>
        <v>a1O36000001EGFXEA4</v>
      </c>
      <c r="E21" s="279" t="s">
        <v>2408</v>
      </c>
      <c r="F21" s="103" t="str">
        <f>IFERROR(IF(VLOOKUP(E21,'Data Sheet'!$C$29:$E$174,3,FALSE)=0,"",VLOOKUP(E21,'Data Sheet'!$C$29:$E$174,3,FALSE)),"")</f>
        <v>a1O36000001EGIVEA4</v>
      </c>
      <c r="G21" s="106" t="str">
        <f t="shared" si="2"/>
        <v>a1O36000001EGFXEA4-a1O36000001EGIVEA4</v>
      </c>
      <c r="H21" s="273" t="s">
        <v>2677</v>
      </c>
      <c r="I21" s="107" t="s">
        <v>2739</v>
      </c>
      <c r="J21" s="249" t="str">
        <f t="shared" si="30"/>
        <v>9.1</v>
      </c>
      <c r="K21" s="101" t="str">
        <f>IFERROR(INDEX('Data Sheet'!$C$198:$C$275,MATCH(I21,'Data Sheet'!$F$198:$F$275,0)),"")</f>
        <v>a2C360000007DAoEAM</v>
      </c>
      <c r="L21" s="250">
        <f>IFERROR(INDEX('Data Sheet'!$G$198:$G$275,MATCH(I21,'Data Sheet'!$F$198:$F$275,0)),"")</f>
        <v>9.1</v>
      </c>
      <c r="M21" s="248" t="s">
        <v>2506</v>
      </c>
      <c r="N21" s="248" t="s">
        <v>2759</v>
      </c>
      <c r="O21" s="248" t="s">
        <v>2128</v>
      </c>
      <c r="P21" s="108" t="str">
        <f>IFERROR(INDEX(Setup!$D$44:$D$70,MATCH(M21,Setup!$K$44:$K$70,0))&amp;"","")</f>
        <v>PR</v>
      </c>
      <c r="Q21" s="108" t="str">
        <f>IFERROR(INDEX(Setup!$E$44:$E$70,MATCH(M21,Setup!$K$44:$K$70,0))&amp;"","")</f>
        <v>Government - Ministry of Health</v>
      </c>
      <c r="R21" s="108" t="str">
        <f>IFERROR(INDEX(Setup!$L$44:$L$70,MATCH(M21,Setup!$K$44:$K$70,0))&amp;"","")</f>
        <v>0013600000xoEHUAA2</v>
      </c>
      <c r="S21" s="108" t="str">
        <f>Setup!$C$30</f>
        <v>USD</v>
      </c>
      <c r="T21" s="109" t="str">
        <f>IFERROR(INDEX('Data Sheet'!$B$198:$B$275,MATCH(I21,'Data Sheet'!$F$198:$F$275,0)),"")</f>
        <v>N/A</v>
      </c>
      <c r="U21" s="110">
        <f>IFERROR(INDEX('Data Sheet'!$D$198:$D$275,MATCH(I21,'Data Sheet'!$F$198:$F$275,0)),"")</f>
        <v>9</v>
      </c>
      <c r="V21" s="415" t="s">
        <v>8</v>
      </c>
      <c r="W21" s="195" t="str">
        <f>IF(V21=Setup!$C$30,"Grant",IF(V21=Setup!$C$31,"Local",IF(V21=Setup!$C$32,"Other",IF(ISBLANK(V21),"","Other"))))</f>
        <v>Grant</v>
      </c>
      <c r="X21" s="255">
        <f>10000*0.23</f>
        <v>2300</v>
      </c>
      <c r="Y21" s="259">
        <f>IF(X21&lt;&gt;"",X21/VLOOKUP($V21,Setup!$C$30:$D$41,2,0),"")</f>
        <v>2300</v>
      </c>
      <c r="Z21" s="262"/>
      <c r="AA21" s="256" t="str">
        <f t="shared" si="34"/>
        <v/>
      </c>
      <c r="AB21" s="262">
        <v>1</v>
      </c>
      <c r="AC21" s="258">
        <f t="shared" si="3"/>
        <v>2300</v>
      </c>
      <c r="AD21" s="262"/>
      <c r="AE21" s="258" t="str">
        <f t="shared" si="4"/>
        <v/>
      </c>
      <c r="AF21" s="262"/>
      <c r="AG21" s="256" t="str">
        <f t="shared" si="5"/>
        <v/>
      </c>
      <c r="AH21" s="256">
        <f t="shared" si="33"/>
        <v>1</v>
      </c>
      <c r="AI21" s="256">
        <f t="shared" si="6"/>
        <v>2300</v>
      </c>
      <c r="AJ21" s="111"/>
      <c r="AK21" s="255">
        <f>X21</f>
        <v>2300</v>
      </c>
      <c r="AL21" s="259">
        <f>IF(AK21&lt;&gt;"",AK21/VLOOKUP($V21,Setup!$C$30:$D$41,2,0),"")</f>
        <v>2300</v>
      </c>
      <c r="AM21" s="266">
        <v>1</v>
      </c>
      <c r="AN21" s="258">
        <f t="shared" si="18"/>
        <v>2300</v>
      </c>
      <c r="AO21" s="266"/>
      <c r="AP21" s="258" t="str">
        <f t="shared" si="19"/>
        <v/>
      </c>
      <c r="AQ21" s="266"/>
      <c r="AR21" s="258" t="str">
        <f t="shared" si="20"/>
        <v/>
      </c>
      <c r="AS21" s="266"/>
      <c r="AT21" s="256" t="str">
        <f t="shared" si="21"/>
        <v/>
      </c>
      <c r="AU21" s="256">
        <f t="shared" si="7"/>
        <v>1</v>
      </c>
      <c r="AV21" s="256">
        <f t="shared" si="8"/>
        <v>2300</v>
      </c>
      <c r="AW21" s="267"/>
      <c r="AX21" s="255">
        <f>X21</f>
        <v>2300</v>
      </c>
      <c r="AY21" s="259">
        <f>IF(AX21&lt;&gt;"",AX21/VLOOKUP($V21,Setup!$C$30:$D$41,2,0),"")</f>
        <v>2300</v>
      </c>
      <c r="AZ21" s="268">
        <v>1</v>
      </c>
      <c r="BA21" s="258">
        <f t="shared" si="23"/>
        <v>2300</v>
      </c>
      <c r="BB21" s="268"/>
      <c r="BC21" s="258" t="str">
        <f t="shared" si="24"/>
        <v/>
      </c>
      <c r="BD21" s="268"/>
      <c r="BE21" s="258" t="str">
        <f t="shared" si="25"/>
        <v/>
      </c>
      <c r="BF21" s="268"/>
      <c r="BG21" s="256" t="str">
        <f t="shared" si="26"/>
        <v/>
      </c>
      <c r="BH21" s="256">
        <f t="shared" si="9"/>
        <v>1</v>
      </c>
      <c r="BI21" s="256">
        <f t="shared" si="10"/>
        <v>2300</v>
      </c>
      <c r="BJ21" s="267"/>
      <c r="BK21" s="255"/>
      <c r="BL21" s="259" t="str">
        <f>IF(BK21&lt;&gt;"",BK21/VLOOKUP($V21,Setup!$C$30:$D$41,2,0),"")</f>
        <v/>
      </c>
      <c r="BM21" s="268"/>
      <c r="BN21" s="258" t="str">
        <f t="shared" si="27"/>
        <v/>
      </c>
      <c r="BO21" s="268"/>
      <c r="BP21" s="258" t="str">
        <f t="shared" si="28"/>
        <v/>
      </c>
      <c r="BQ21" s="268"/>
      <c r="BR21" s="258" t="str">
        <f t="shared" si="29"/>
        <v/>
      </c>
      <c r="BS21" s="268"/>
      <c r="BT21" s="256" t="str">
        <f t="shared" si="32"/>
        <v/>
      </c>
      <c r="BU21" s="256" t="str">
        <f t="shared" si="11"/>
        <v/>
      </c>
      <c r="BV21" s="256" t="str">
        <f t="shared" si="12"/>
        <v/>
      </c>
      <c r="BW21" s="267"/>
      <c r="BX21" s="256">
        <f t="shared" si="13"/>
        <v>3</v>
      </c>
      <c r="BY21" s="256">
        <f t="shared" si="14"/>
        <v>6900</v>
      </c>
      <c r="BZ21" s="281"/>
      <c r="CA21" s="282"/>
      <c r="CC21" s="112" t="str">
        <f t="shared" ca="1" si="15"/>
        <v/>
      </c>
      <c r="CF21" s="283"/>
      <c r="CG21" s="283"/>
      <c r="CH21" s="283"/>
      <c r="CI21" s="283"/>
      <c r="CL21" s="356" t="str">
        <f>IFERROR(VLOOKUP(C21,'Data Sheet'!$A$3:$B$26,2,FALSE),"")</f>
        <v>MCI-00023</v>
      </c>
    </row>
    <row r="22" spans="1:90" s="112" customFormat="1" ht="51" x14ac:dyDescent="0.25">
      <c r="A22" s="97">
        <v>18</v>
      </c>
      <c r="B22" s="105" t="str">
        <f t="shared" si="35"/>
        <v>a1O36000001qZ7vEAE-a1O36000001qZ97EAE-Provincial</v>
      </c>
      <c r="C22" s="276" t="s">
        <v>2148</v>
      </c>
      <c r="D22" s="101" t="str">
        <f>IFERROR(IF(VLOOKUP(C22,'Data Sheet'!$A$3:$D$26,4,FALSE)=0,"",VLOOKUP(C22,'Data Sheet'!$A$3:$D$26,4,FALSE)),"")</f>
        <v>a1O36000001qZ7vEAE</v>
      </c>
      <c r="E22" s="279" t="s">
        <v>2467</v>
      </c>
      <c r="F22" s="103" t="str">
        <f>IFERROR(IF(VLOOKUP(E22,'Data Sheet'!$C$29:$E$174,3,FALSE)=0,"",VLOOKUP(E22,'Data Sheet'!$C$29:$E$174,3,FALSE)),"")</f>
        <v>a1O36000001qZ97EAE</v>
      </c>
      <c r="G22" s="106" t="str">
        <f t="shared" si="2"/>
        <v>a1O36000001qZ7vEAE-a1O36000001qZ97EAE</v>
      </c>
      <c r="H22" s="273" t="s">
        <v>2678</v>
      </c>
      <c r="I22" s="107" t="s">
        <v>2734</v>
      </c>
      <c r="J22" s="249" t="str">
        <f t="shared" si="30"/>
        <v>2.5</v>
      </c>
      <c r="K22" s="101" t="str">
        <f>IFERROR(INDEX('Data Sheet'!$C$198:$C$275,MATCH(I22,'Data Sheet'!$F$198:$F$275,0)),"")</f>
        <v>a2C360000007DB6EAM</v>
      </c>
      <c r="L22" s="250">
        <f>IFERROR(INDEX('Data Sheet'!$G$198:$G$275,MATCH(I22,'Data Sheet'!$F$198:$F$275,0)),"")</f>
        <v>2.5</v>
      </c>
      <c r="M22" s="248" t="s">
        <v>2658</v>
      </c>
      <c r="N22" s="248" t="s">
        <v>2760</v>
      </c>
      <c r="O22" s="248" t="s">
        <v>2128</v>
      </c>
      <c r="P22" s="108" t="str">
        <f>IFERROR(INDEX(Setup!$D$44:$D$70,MATCH(M22,Setup!$K$44:$K$70,0))&amp;"","")</f>
        <v>PR</v>
      </c>
      <c r="Q22" s="108" t="str">
        <f>IFERROR(INDEX(Setup!$E$44:$E$70,MATCH(M22,Setup!$K$44:$K$70,0))&amp;"","")</f>
        <v>Civil Society - Community Based Organization</v>
      </c>
      <c r="R22" s="108" t="str">
        <f>IFERROR(INDEX(Setup!$L$44:$L$70,MATCH(M22,Setup!$K$44:$K$70,0))&amp;"","")</f>
        <v/>
      </c>
      <c r="S22" s="108" t="str">
        <f>Setup!$C$30</f>
        <v>USD</v>
      </c>
      <c r="T22" s="109" t="str">
        <f>IFERROR(INDEX('Data Sheet'!$B$198:$B$275,MATCH(I22,'Data Sheet'!$F$198:$F$275,0)),"")</f>
        <v>N/A</v>
      </c>
      <c r="U22" s="110">
        <f>IFERROR(INDEX('Data Sheet'!$D$198:$D$275,MATCH(I22,'Data Sheet'!$F$198:$F$275,0)),"")</f>
        <v>2</v>
      </c>
      <c r="V22" s="415" t="s">
        <v>992</v>
      </c>
      <c r="W22" s="195" t="str">
        <f>IF(V22=Setup!$C$30,"Grant",IF(V22=Setup!$C$31,"Local",IF(V22=Setup!$C$32,"Other",IF(ISBLANK(V22),"","Other"))))</f>
        <v>Local</v>
      </c>
      <c r="X22" s="255">
        <f>'Assumptions TRC'!C120</f>
        <v>50000</v>
      </c>
      <c r="Y22" s="259">
        <f>IF(X22&lt;&gt;"",X22/VLOOKUP($V22,Setup!$C$30:$D$41,2,0),"")</f>
        <v>6.1113746200038932</v>
      </c>
      <c r="Z22" s="262">
        <v>25</v>
      </c>
      <c r="AA22" s="256">
        <f t="shared" si="34"/>
        <v>152.78436550009732</v>
      </c>
      <c r="AB22" s="262">
        <v>25</v>
      </c>
      <c r="AC22" s="258">
        <f t="shared" si="3"/>
        <v>152.78436550009732</v>
      </c>
      <c r="AD22" s="262">
        <v>25</v>
      </c>
      <c r="AE22" s="258">
        <f t="shared" si="4"/>
        <v>152.78436550009732</v>
      </c>
      <c r="AF22" s="262">
        <v>25</v>
      </c>
      <c r="AG22" s="256">
        <f t="shared" si="5"/>
        <v>152.78436550009732</v>
      </c>
      <c r="AH22" s="256">
        <f t="shared" si="33"/>
        <v>100</v>
      </c>
      <c r="AI22" s="256">
        <f t="shared" si="6"/>
        <v>611.13746200038929</v>
      </c>
      <c r="AJ22" s="111"/>
      <c r="AK22" s="255">
        <f>X22</f>
        <v>50000</v>
      </c>
      <c r="AL22" s="259">
        <f>IF(AK22&lt;&gt;"",AK22/VLOOKUP($V22,Setup!$C$30:$D$41,2,0),"")</f>
        <v>6.1113746200038932</v>
      </c>
      <c r="AM22" s="266">
        <v>25</v>
      </c>
      <c r="AN22" s="258">
        <f t="shared" si="18"/>
        <v>152.78436550009732</v>
      </c>
      <c r="AO22" s="266">
        <v>25</v>
      </c>
      <c r="AP22" s="258">
        <f t="shared" si="19"/>
        <v>152.78436550009732</v>
      </c>
      <c r="AQ22" s="266">
        <v>25</v>
      </c>
      <c r="AR22" s="258">
        <f t="shared" si="20"/>
        <v>152.78436550009732</v>
      </c>
      <c r="AS22" s="266">
        <v>25</v>
      </c>
      <c r="AT22" s="256">
        <f t="shared" si="21"/>
        <v>152.78436550009732</v>
      </c>
      <c r="AU22" s="256">
        <f t="shared" si="7"/>
        <v>100</v>
      </c>
      <c r="AV22" s="256">
        <f t="shared" si="8"/>
        <v>611.13746200038929</v>
      </c>
      <c r="AW22" s="267"/>
      <c r="AX22" s="255">
        <f>X22</f>
        <v>50000</v>
      </c>
      <c r="AY22" s="259">
        <f>IF(AX22&lt;&gt;"",AX22/VLOOKUP($V22,Setup!$C$30:$D$41,2,0),"")</f>
        <v>6.1113746200038932</v>
      </c>
      <c r="AZ22" s="268">
        <v>25</v>
      </c>
      <c r="BA22" s="258">
        <f t="shared" si="23"/>
        <v>152.78436550009732</v>
      </c>
      <c r="BB22" s="268">
        <v>25</v>
      </c>
      <c r="BC22" s="258">
        <f t="shared" si="24"/>
        <v>152.78436550009732</v>
      </c>
      <c r="BD22" s="268">
        <v>25</v>
      </c>
      <c r="BE22" s="258">
        <f t="shared" si="25"/>
        <v>152.78436550009732</v>
      </c>
      <c r="BF22" s="268">
        <v>25</v>
      </c>
      <c r="BG22" s="256">
        <f t="shared" si="26"/>
        <v>152.78436550009732</v>
      </c>
      <c r="BH22" s="256">
        <f t="shared" si="9"/>
        <v>100</v>
      </c>
      <c r="BI22" s="256">
        <f t="shared" si="10"/>
        <v>611.13746200038929</v>
      </c>
      <c r="BJ22" s="267"/>
      <c r="BK22" s="255"/>
      <c r="BL22" s="259" t="str">
        <f>IF(BK22&lt;&gt;"",BK22/VLOOKUP($V22,Setup!$C$30:$D$41,2,0),"")</f>
        <v/>
      </c>
      <c r="BM22" s="268"/>
      <c r="BN22" s="258" t="str">
        <f t="shared" si="27"/>
        <v/>
      </c>
      <c r="BO22" s="268"/>
      <c r="BP22" s="258" t="str">
        <f t="shared" si="28"/>
        <v/>
      </c>
      <c r="BQ22" s="268"/>
      <c r="BR22" s="258" t="str">
        <f t="shared" si="29"/>
        <v/>
      </c>
      <c r="BS22" s="268"/>
      <c r="BT22" s="256" t="str">
        <f t="shared" si="32"/>
        <v/>
      </c>
      <c r="BU22" s="256" t="str">
        <f t="shared" si="11"/>
        <v/>
      </c>
      <c r="BV22" s="256" t="str">
        <f t="shared" si="12"/>
        <v/>
      </c>
      <c r="BW22" s="267"/>
      <c r="BX22" s="256">
        <f t="shared" si="13"/>
        <v>300</v>
      </c>
      <c r="BY22" s="256">
        <f t="shared" si="14"/>
        <v>1833.4123860011678</v>
      </c>
      <c r="BZ22" s="281"/>
      <c r="CA22" s="282"/>
      <c r="CC22" s="112" t="str">
        <f t="shared" ca="1" si="15"/>
        <v/>
      </c>
      <c r="CF22" s="283"/>
      <c r="CG22" s="283"/>
      <c r="CH22" s="283"/>
      <c r="CI22" s="283"/>
      <c r="CL22" s="356" t="str">
        <f>IFERROR(VLOOKUP(C22,'Data Sheet'!$A$3:$B$26,2,FALSE),"")</f>
        <v>MCI-00534</v>
      </c>
    </row>
    <row r="23" spans="1:90" s="112" customFormat="1" ht="63.75" x14ac:dyDescent="0.25">
      <c r="A23" s="97">
        <v>19</v>
      </c>
      <c r="B23" s="105" t="str">
        <f t="shared" si="35"/>
        <v>a1O36000001EGFHEA4-a1O36000001EGH8EAO-Provincial</v>
      </c>
      <c r="C23" s="276" t="s">
        <v>2211</v>
      </c>
      <c r="D23" s="101" t="str">
        <f>IFERROR(IF(VLOOKUP(C23,'Data Sheet'!$A$3:$D$26,4,FALSE)=0,"",VLOOKUP(C23,'Data Sheet'!$A$3:$D$26,4,FALSE)),"")</f>
        <v>a1O36000001EGFHEA4</v>
      </c>
      <c r="E23" s="279" t="s">
        <v>2318</v>
      </c>
      <c r="F23" s="103" t="str">
        <f>IFERROR(IF(VLOOKUP(E23,'Data Sheet'!$C$29:$E$174,3,FALSE)=0,"",VLOOKUP(E23,'Data Sheet'!$C$29:$E$174,3,FALSE)),"")</f>
        <v>a1O36000001EGH8EAO</v>
      </c>
      <c r="G23" s="106" t="str">
        <f t="shared" si="2"/>
        <v>a1O36000001EGFHEA4-a1O36000001EGH8EAO</v>
      </c>
      <c r="H23" s="273" t="s">
        <v>2679</v>
      </c>
      <c r="I23" s="107" t="s">
        <v>2743</v>
      </c>
      <c r="J23" s="249" t="str">
        <f t="shared" si="30"/>
        <v>2.3</v>
      </c>
      <c r="K23" s="101" t="str">
        <f>IFERROR(INDEX('Data Sheet'!$C$198:$C$275,MATCH(I23,'Data Sheet'!$F$198:$F$275,0)),"")</f>
        <v>a2C360000007DB3EAM</v>
      </c>
      <c r="L23" s="250">
        <f>IFERROR(INDEX('Data Sheet'!$G$198:$G$275,MATCH(I23,'Data Sheet'!$F$198:$F$275,0)),"")</f>
        <v>2.2999999999999998</v>
      </c>
      <c r="M23" s="248" t="s">
        <v>2658</v>
      </c>
      <c r="N23" s="248" t="s">
        <v>2760</v>
      </c>
      <c r="O23" s="248" t="s">
        <v>2128</v>
      </c>
      <c r="P23" s="108" t="str">
        <f>IFERROR(INDEX(Setup!$D$44:$D$70,MATCH(M23,Setup!$K$44:$K$70,0))&amp;"","")</f>
        <v>PR</v>
      </c>
      <c r="Q23" s="108" t="str">
        <f>IFERROR(INDEX(Setup!$E$44:$E$70,MATCH(M23,Setup!$K$44:$K$70,0))&amp;"","")</f>
        <v>Civil Society - Community Based Organization</v>
      </c>
      <c r="R23" s="108" t="str">
        <f>IFERROR(INDEX(Setup!$L$44:$L$70,MATCH(M23,Setup!$K$44:$K$70,0))&amp;"","")</f>
        <v/>
      </c>
      <c r="S23" s="108" t="str">
        <f>Setup!$C$30</f>
        <v>USD</v>
      </c>
      <c r="T23" s="109" t="str">
        <f>IFERROR(INDEX('Data Sheet'!$B$198:$B$275,MATCH(I23,'Data Sheet'!$F$198:$F$275,0)),"")</f>
        <v>Average cost of subsistence per person per day</v>
      </c>
      <c r="U23" s="110">
        <f>IFERROR(INDEX('Data Sheet'!$D$198:$D$275,MATCH(I23,'Data Sheet'!$F$198:$F$275,0)),"")</f>
        <v>2</v>
      </c>
      <c r="V23" s="415" t="s">
        <v>992</v>
      </c>
      <c r="W23" s="195" t="str">
        <f>IF(V23=Setup!$C$30,"Grant",IF(V23=Setup!$C$31,"Local",IF(V23=Setup!$C$32,"Other",IF(ISBLANK(V23),"","Other"))))</f>
        <v>Local</v>
      </c>
      <c r="X23" s="255">
        <f>'Assumptions TRC'!G133</f>
        <v>450000</v>
      </c>
      <c r="Y23" s="259">
        <f>IF(X23&lt;&gt;"",X23/VLOOKUP($V23,Setup!$C$30:$D$41,2,0),"")</f>
        <v>55.002371580035039</v>
      </c>
      <c r="Z23" s="262">
        <f>3*4*8</f>
        <v>96</v>
      </c>
      <c r="AA23" s="256">
        <f t="shared" si="34"/>
        <v>5280.227671683364</v>
      </c>
      <c r="AB23" s="262">
        <v>96</v>
      </c>
      <c r="AC23" s="258">
        <f t="shared" si="3"/>
        <v>5280.227671683364</v>
      </c>
      <c r="AD23" s="262">
        <v>96</v>
      </c>
      <c r="AE23" s="258">
        <f t="shared" si="4"/>
        <v>5280.227671683364</v>
      </c>
      <c r="AF23" s="262">
        <v>96</v>
      </c>
      <c r="AG23" s="256">
        <f t="shared" si="5"/>
        <v>5280.227671683364</v>
      </c>
      <c r="AH23" s="256">
        <f t="shared" si="33"/>
        <v>384</v>
      </c>
      <c r="AI23" s="256">
        <f t="shared" si="6"/>
        <v>21120.910686733456</v>
      </c>
      <c r="AJ23" s="111"/>
      <c r="AK23" s="255">
        <f>X23</f>
        <v>450000</v>
      </c>
      <c r="AL23" s="259">
        <f>IF(AK23&lt;&gt;"",AK23/VLOOKUP($V23,Setup!$C$30:$D$41,2,0),"")</f>
        <v>55.002371580035039</v>
      </c>
      <c r="AM23" s="266">
        <v>96</v>
      </c>
      <c r="AN23" s="258">
        <f t="shared" si="18"/>
        <v>5280.227671683364</v>
      </c>
      <c r="AO23" s="266">
        <v>96</v>
      </c>
      <c r="AP23" s="258">
        <f t="shared" si="19"/>
        <v>5280.227671683364</v>
      </c>
      <c r="AQ23" s="266">
        <v>96</v>
      </c>
      <c r="AR23" s="258">
        <f t="shared" si="20"/>
        <v>5280.227671683364</v>
      </c>
      <c r="AS23" s="266">
        <v>96</v>
      </c>
      <c r="AT23" s="256">
        <f t="shared" si="21"/>
        <v>5280.227671683364</v>
      </c>
      <c r="AU23" s="256">
        <f t="shared" si="7"/>
        <v>384</v>
      </c>
      <c r="AV23" s="256">
        <f t="shared" si="8"/>
        <v>21120.910686733456</v>
      </c>
      <c r="AW23" s="267"/>
      <c r="AX23" s="255">
        <f>X23</f>
        <v>450000</v>
      </c>
      <c r="AY23" s="259">
        <f>IF(AX23&lt;&gt;"",AX23/VLOOKUP($V23,Setup!$C$30:$D$41,2,0),"")</f>
        <v>55.002371580035039</v>
      </c>
      <c r="AZ23" s="268">
        <v>96</v>
      </c>
      <c r="BA23" s="258">
        <f t="shared" si="23"/>
        <v>5280.227671683364</v>
      </c>
      <c r="BB23" s="268">
        <v>96</v>
      </c>
      <c r="BC23" s="258">
        <f t="shared" si="24"/>
        <v>5280.227671683364</v>
      </c>
      <c r="BD23" s="268">
        <v>96</v>
      </c>
      <c r="BE23" s="258">
        <f t="shared" si="25"/>
        <v>5280.227671683364</v>
      </c>
      <c r="BF23" s="268">
        <v>96</v>
      </c>
      <c r="BG23" s="256">
        <f t="shared" si="26"/>
        <v>5280.227671683364</v>
      </c>
      <c r="BH23" s="256">
        <f t="shared" si="9"/>
        <v>384</v>
      </c>
      <c r="BI23" s="256">
        <f t="shared" si="10"/>
        <v>21120.910686733456</v>
      </c>
      <c r="BJ23" s="267"/>
      <c r="BK23" s="255"/>
      <c r="BL23" s="259" t="str">
        <f>IF(BK23&lt;&gt;"",BK23/VLOOKUP($V23,Setup!$C$30:$D$41,2,0),"")</f>
        <v/>
      </c>
      <c r="BM23" s="268"/>
      <c r="BN23" s="258" t="str">
        <f t="shared" si="27"/>
        <v/>
      </c>
      <c r="BO23" s="268"/>
      <c r="BP23" s="258" t="str">
        <f t="shared" si="28"/>
        <v/>
      </c>
      <c r="BQ23" s="268"/>
      <c r="BR23" s="258" t="str">
        <f t="shared" si="29"/>
        <v/>
      </c>
      <c r="BS23" s="268"/>
      <c r="BT23" s="256" t="str">
        <f t="shared" si="32"/>
        <v/>
      </c>
      <c r="BU23" s="256" t="str">
        <f t="shared" si="11"/>
        <v/>
      </c>
      <c r="BV23" s="256" t="str">
        <f t="shared" si="12"/>
        <v/>
      </c>
      <c r="BW23" s="267"/>
      <c r="BX23" s="256">
        <f t="shared" si="13"/>
        <v>1152</v>
      </c>
      <c r="BY23" s="256">
        <f t="shared" si="14"/>
        <v>63362.732060200367</v>
      </c>
      <c r="BZ23" s="281"/>
      <c r="CA23" s="282"/>
      <c r="CC23" s="112" t="str">
        <f t="shared" ca="1" si="15"/>
        <v/>
      </c>
      <c r="CF23" s="283"/>
      <c r="CG23" s="283"/>
      <c r="CH23" s="283"/>
      <c r="CI23" s="283"/>
      <c r="CL23" s="356" t="str">
        <f>IFERROR(VLOOKUP(C23,'Data Sheet'!$A$3:$B$26,2,FALSE),"")</f>
        <v>MCI-00007</v>
      </c>
    </row>
    <row r="24" spans="1:90" s="112" customFormat="1" ht="51" x14ac:dyDescent="0.25">
      <c r="A24" s="97">
        <v>20</v>
      </c>
      <c r="B24" s="105" t="str">
        <f t="shared" si="35"/>
        <v>a1O36000001EGFHEA4-a1O36000001EGH4EAO-Nationwide</v>
      </c>
      <c r="C24" s="276" t="s">
        <v>2211</v>
      </c>
      <c r="D24" s="101" t="str">
        <f>IFERROR(IF(VLOOKUP(C24,'Data Sheet'!$A$3:$D$26,4,FALSE)=0,"",VLOOKUP(C24,'Data Sheet'!$A$3:$D$26,4,FALSE)),"")</f>
        <v>a1O36000001EGFHEA4</v>
      </c>
      <c r="E24" s="279" t="s">
        <v>2320</v>
      </c>
      <c r="F24" s="103" t="str">
        <f>IFERROR(IF(VLOOKUP(E24,'Data Sheet'!$C$29:$E$174,3,FALSE)=0,"",VLOOKUP(E24,'Data Sheet'!$C$29:$E$174,3,FALSE)),"")</f>
        <v>a1O36000001EGH4EAO</v>
      </c>
      <c r="G24" s="106" t="str">
        <f t="shared" si="2"/>
        <v>a1O36000001EGFHEA4-a1O36000001EGH4EAO</v>
      </c>
      <c r="H24" s="273" t="s">
        <v>2680</v>
      </c>
      <c r="I24" s="107" t="s">
        <v>2744</v>
      </c>
      <c r="J24" s="249" t="str">
        <f t="shared" si="30"/>
        <v>4.1</v>
      </c>
      <c r="K24" s="101" t="str">
        <f>IFERROR(INDEX('Data Sheet'!$C$198:$C$275,MATCH(I24,'Data Sheet'!$F$198:$F$275,0)),"")</f>
        <v>a2C360000007DAAEA2</v>
      </c>
      <c r="L24" s="250">
        <f>IFERROR(INDEX('Data Sheet'!$G$198:$G$275,MATCH(I24,'Data Sheet'!$F$198:$F$275,0)),"")</f>
        <v>4.0999999999999996</v>
      </c>
      <c r="M24" s="248" t="s">
        <v>2657</v>
      </c>
      <c r="N24" s="248" t="s">
        <v>2759</v>
      </c>
      <c r="O24" s="248" t="s">
        <v>2757</v>
      </c>
      <c r="P24" s="108" t="str">
        <f>IFERROR(INDEX(Setup!$D$44:$D$70,MATCH(M24,Setup!$K$44:$K$70,0))&amp;"","")</f>
        <v>SR</v>
      </c>
      <c r="Q24" s="108" t="str">
        <f>IFERROR(INDEX(Setup!$E$44:$E$70,MATCH(M24,Setup!$K$44:$K$70,0))&amp;"","")</f>
        <v>Government - Ministry of Health</v>
      </c>
      <c r="R24" s="108" t="str">
        <f>IFERROR(INDEX(Setup!$L$44:$L$70,MATCH(M24,Setup!$K$44:$K$70,0))&amp;"","")</f>
        <v/>
      </c>
      <c r="S24" s="108" t="str">
        <f>Setup!$C$30</f>
        <v>USD</v>
      </c>
      <c r="T24" s="109" t="str">
        <f>IFERROR(INDEX('Data Sheet'!$B$198:$B$275,MATCH(I24,'Data Sheet'!$F$198:$F$275,0)),"")</f>
        <v>Cost of a pack</v>
      </c>
      <c r="U24" s="110">
        <f>IFERROR(INDEX('Data Sheet'!$D$198:$D$275,MATCH(I24,'Data Sheet'!$F$198:$F$275,0)),"")</f>
        <v>4</v>
      </c>
      <c r="V24" s="415" t="s">
        <v>8</v>
      </c>
      <c r="W24" s="195" t="str">
        <f>IF(V24=Setup!$C$30,"Grant",IF(V24=Setup!$C$31,"Local",IF(V24=Setup!$C$32,"Other",IF(ISBLANK(V24),"","Other"))))</f>
        <v>Grant</v>
      </c>
      <c r="X24" s="574">
        <f>696435/96266</f>
        <v>7.2344856958843202</v>
      </c>
      <c r="Y24" s="259">
        <f>IF(X24&lt;&gt;"",X24/VLOOKUP($V24,Setup!$C$30:$D$41,2,0),"")</f>
        <v>7.2344856958843202</v>
      </c>
      <c r="Z24" s="262">
        <f>96266</f>
        <v>96266</v>
      </c>
      <c r="AA24" s="256">
        <f t="shared" si="34"/>
        <v>696435</v>
      </c>
      <c r="AB24" s="262"/>
      <c r="AC24" s="258" t="str">
        <f t="shared" si="3"/>
        <v/>
      </c>
      <c r="AD24" s="262"/>
      <c r="AE24" s="258" t="str">
        <f t="shared" si="4"/>
        <v/>
      </c>
      <c r="AF24" s="262"/>
      <c r="AG24" s="256" t="str">
        <f t="shared" si="5"/>
        <v/>
      </c>
      <c r="AH24" s="256">
        <f t="shared" si="33"/>
        <v>96266</v>
      </c>
      <c r="AI24" s="256">
        <f t="shared" si="6"/>
        <v>696435</v>
      </c>
      <c r="AJ24" s="111"/>
      <c r="AK24" s="574">
        <f>674244/105134</f>
        <v>6.4131869804249817</v>
      </c>
      <c r="AL24" s="259">
        <f>IF(AK24&lt;&gt;"",AK24/VLOOKUP($V24,Setup!$C$30:$D$41,2,0),"")</f>
        <v>6.4131869804249817</v>
      </c>
      <c r="AM24" s="266">
        <f>105134</f>
        <v>105134</v>
      </c>
      <c r="AN24" s="258">
        <f t="shared" si="18"/>
        <v>674244</v>
      </c>
      <c r="AO24" s="266"/>
      <c r="AP24" s="258" t="str">
        <f t="shared" si="19"/>
        <v/>
      </c>
      <c r="AQ24" s="266"/>
      <c r="AR24" s="258" t="str">
        <f t="shared" si="20"/>
        <v/>
      </c>
      <c r="AS24" s="266"/>
      <c r="AT24" s="256" t="str">
        <f t="shared" si="21"/>
        <v/>
      </c>
      <c r="AU24" s="256">
        <f t="shared" si="7"/>
        <v>105134</v>
      </c>
      <c r="AV24" s="256">
        <f t="shared" si="8"/>
        <v>674244</v>
      </c>
      <c r="AW24" s="267"/>
      <c r="AX24" s="574">
        <f>664421.091/109513</f>
        <v>6.067052231241953</v>
      </c>
      <c r="AY24" s="259">
        <f>IF(AX24&lt;&gt;"",AX24/VLOOKUP($V24,Setup!$C$30:$D$41,2,0),"")</f>
        <v>6.067052231241953</v>
      </c>
      <c r="AZ24" s="268">
        <f>109513</f>
        <v>109513</v>
      </c>
      <c r="BA24" s="258">
        <f t="shared" si="23"/>
        <v>664421.09100000001</v>
      </c>
      <c r="BB24" s="268"/>
      <c r="BC24" s="258" t="str">
        <f t="shared" si="24"/>
        <v/>
      </c>
      <c r="BD24" s="268"/>
      <c r="BE24" s="258" t="str">
        <f t="shared" si="25"/>
        <v/>
      </c>
      <c r="BF24" s="268"/>
      <c r="BG24" s="256" t="str">
        <f t="shared" si="26"/>
        <v/>
      </c>
      <c r="BH24" s="256">
        <f t="shared" si="9"/>
        <v>109513</v>
      </c>
      <c r="BI24" s="256">
        <f t="shared" si="10"/>
        <v>664421.09100000001</v>
      </c>
      <c r="BJ24" s="267"/>
      <c r="BK24" s="255"/>
      <c r="BL24" s="259" t="str">
        <f>IF(BK24&lt;&gt;"",BK24/VLOOKUP($V24,Setup!$C$30:$D$41,2,0),"")</f>
        <v/>
      </c>
      <c r="BM24" s="268"/>
      <c r="BN24" s="258" t="str">
        <f t="shared" si="27"/>
        <v/>
      </c>
      <c r="BO24" s="268"/>
      <c r="BP24" s="258" t="str">
        <f t="shared" si="28"/>
        <v/>
      </c>
      <c r="BQ24" s="268"/>
      <c r="BR24" s="258" t="str">
        <f t="shared" si="29"/>
        <v/>
      </c>
      <c r="BS24" s="268"/>
      <c r="BT24" s="256" t="str">
        <f t="shared" si="32"/>
        <v/>
      </c>
      <c r="BU24" s="256" t="str">
        <f t="shared" si="11"/>
        <v/>
      </c>
      <c r="BV24" s="256" t="str">
        <f t="shared" si="12"/>
        <v/>
      </c>
      <c r="BW24" s="267"/>
      <c r="BX24" s="256">
        <f t="shared" si="13"/>
        <v>310913</v>
      </c>
      <c r="BY24" s="256">
        <f t="shared" si="14"/>
        <v>2035100.091</v>
      </c>
      <c r="BZ24" s="281"/>
      <c r="CA24" s="282"/>
      <c r="CC24" s="112" t="str">
        <f t="shared" ca="1" si="15"/>
        <v/>
      </c>
      <c r="CF24" s="283"/>
      <c r="CG24" s="283"/>
      <c r="CH24" s="283"/>
      <c r="CI24" s="283"/>
      <c r="CL24" s="356" t="str">
        <f>IFERROR(VLOOKUP(C24,'Data Sheet'!$A$3:$B$26,2,FALSE),"")</f>
        <v>MCI-00007</v>
      </c>
    </row>
    <row r="25" spans="1:90" s="112" customFormat="1" ht="51" x14ac:dyDescent="0.25">
      <c r="A25" s="97">
        <v>21</v>
      </c>
      <c r="B25" s="105" t="str">
        <f t="shared" si="35"/>
        <v>a1O36000001EGFHEA4-a1O36000001EGH4EAO-Nationwide</v>
      </c>
      <c r="C25" s="276" t="s">
        <v>2211</v>
      </c>
      <c r="D25" s="101" t="str">
        <f>IFERROR(IF(VLOOKUP(C25,'Data Sheet'!$A$3:$D$26,4,FALSE)=0,"",VLOOKUP(C25,'Data Sheet'!$A$3:$D$26,4,FALSE)),"")</f>
        <v>a1O36000001EGFHEA4</v>
      </c>
      <c r="E25" s="279" t="s">
        <v>2320</v>
      </c>
      <c r="F25" s="103" t="str">
        <f>IFERROR(IF(VLOOKUP(E25,'Data Sheet'!$C$29:$E$174,3,FALSE)=0,"",VLOOKUP(E25,'Data Sheet'!$C$29:$E$174,3,FALSE)),"")</f>
        <v>a1O36000001EGH4EAO</v>
      </c>
      <c r="G25" s="106" t="str">
        <f t="shared" si="2"/>
        <v>a1O36000001EGFHEA4-a1O36000001EGH4EAO</v>
      </c>
      <c r="H25" s="273" t="s">
        <v>2681</v>
      </c>
      <c r="I25" s="107" t="s">
        <v>3328</v>
      </c>
      <c r="J25" s="249" t="str">
        <f>LEFT(I25,SEARCH(".",I25,1)+1)</f>
        <v>7.2</v>
      </c>
      <c r="K25" s="101" t="str">
        <f>IFERROR(INDEX('Data Sheet'!$C$198:$C$275,MATCH(I25,'Data Sheet'!$F$198:$F$275,0)),"")</f>
        <v>a2C360000007DAcEAM</v>
      </c>
      <c r="L25" s="250">
        <f>IFERROR(INDEX('Data Sheet'!$G$198:$G$275,MATCH(I25,'Data Sheet'!$F$198:$F$275,0)),"")</f>
        <v>7.2</v>
      </c>
      <c r="M25" s="248" t="s">
        <v>2657</v>
      </c>
      <c r="N25" s="248" t="s">
        <v>2759</v>
      </c>
      <c r="O25" s="248" t="s">
        <v>2757</v>
      </c>
      <c r="P25" s="108" t="str">
        <f>IFERROR(INDEX(Setup!$D$44:$D$70,MATCH(M25,Setup!$K$44:$K$70,0))&amp;"","")</f>
        <v>SR</v>
      </c>
      <c r="Q25" s="108" t="str">
        <f>IFERROR(INDEX(Setup!$E$44:$E$70,MATCH(M25,Setup!$K$44:$K$70,0))&amp;"","")</f>
        <v>Government - Ministry of Health</v>
      </c>
      <c r="R25" s="108" t="str">
        <f>IFERROR(INDEX(Setup!$L$44:$L$70,MATCH(M25,Setup!$K$44:$K$70,0))&amp;"","")</f>
        <v/>
      </c>
      <c r="S25" s="108" t="str">
        <f>Setup!$C$30</f>
        <v>USD</v>
      </c>
      <c r="T25" s="109" t="str">
        <f>IFERROR(INDEX('Data Sheet'!$B$198:$B$275,MATCH(I25,'Data Sheet'!$F$198:$F$275,0)),"")</f>
        <v>N/A</v>
      </c>
      <c r="U25" s="110">
        <f>IFERROR(INDEX('Data Sheet'!$D$198:$D$275,MATCH(I25,'Data Sheet'!$F$198:$F$275,0)),"")</f>
        <v>7</v>
      </c>
      <c r="V25" s="415" t="s">
        <v>8</v>
      </c>
      <c r="W25" s="195" t="str">
        <f>IF(V25=Setup!$C$30,"Grant",IF(V25=Setup!$C$31,"Local",IF(V25=Setup!$C$32,"Other",IF(ISBLANK(V25),"","Other"))))</f>
        <v>Grant</v>
      </c>
      <c r="X25" s="574">
        <v>188037.52560000002</v>
      </c>
      <c r="Y25" s="259">
        <f>IF(X25&lt;&gt;"",X25/VLOOKUP($V25,Setup!$C$30:$D$41,2,0),"")</f>
        <v>188037.52560000002</v>
      </c>
      <c r="Z25" s="262">
        <v>1</v>
      </c>
      <c r="AA25" s="256">
        <f t="shared" si="34"/>
        <v>188037.52560000002</v>
      </c>
      <c r="AB25" s="262"/>
      <c r="AC25" s="258" t="str">
        <f t="shared" si="3"/>
        <v/>
      </c>
      <c r="AD25" s="262"/>
      <c r="AE25" s="258" t="str">
        <f t="shared" si="4"/>
        <v/>
      </c>
      <c r="AF25" s="262"/>
      <c r="AG25" s="256" t="str">
        <f t="shared" si="5"/>
        <v/>
      </c>
      <c r="AH25" s="256">
        <f t="shared" si="33"/>
        <v>1</v>
      </c>
      <c r="AI25" s="256">
        <f t="shared" si="6"/>
        <v>188037.52560000002</v>
      </c>
      <c r="AJ25" s="111"/>
      <c r="AK25" s="574">
        <v>182045.83680000005</v>
      </c>
      <c r="AL25" s="259">
        <f>IF(AK25&lt;&gt;"",AK25/VLOOKUP($V25,Setup!$C$30:$D$41,2,0),"")</f>
        <v>182045.83680000005</v>
      </c>
      <c r="AM25" s="266">
        <v>1</v>
      </c>
      <c r="AN25" s="258">
        <f t="shared" si="18"/>
        <v>182045.83680000005</v>
      </c>
      <c r="AO25" s="266"/>
      <c r="AP25" s="258" t="str">
        <f t="shared" si="19"/>
        <v/>
      </c>
      <c r="AQ25" s="266"/>
      <c r="AR25" s="258" t="str">
        <f t="shared" si="20"/>
        <v/>
      </c>
      <c r="AS25" s="266"/>
      <c r="AT25" s="256" t="str">
        <f t="shared" si="21"/>
        <v/>
      </c>
      <c r="AU25" s="256">
        <f t="shared" si="7"/>
        <v>1</v>
      </c>
      <c r="AV25" s="256">
        <f t="shared" si="8"/>
        <v>182045.83680000005</v>
      </c>
      <c r="AW25" s="267"/>
      <c r="AX25" s="574">
        <v>179393.69457000002</v>
      </c>
      <c r="AY25" s="259">
        <f>IF(AX25&lt;&gt;"",AX25/VLOOKUP($V25,Setup!$C$30:$D$41,2,0),"")</f>
        <v>179393.69457000002</v>
      </c>
      <c r="AZ25" s="268">
        <v>1</v>
      </c>
      <c r="BA25" s="258">
        <f t="shared" si="23"/>
        <v>179393.69457000002</v>
      </c>
      <c r="BB25" s="268"/>
      <c r="BC25" s="258" t="str">
        <f t="shared" si="24"/>
        <v/>
      </c>
      <c r="BD25" s="268"/>
      <c r="BE25" s="258" t="str">
        <f t="shared" si="25"/>
        <v/>
      </c>
      <c r="BF25" s="268"/>
      <c r="BG25" s="256" t="str">
        <f t="shared" si="26"/>
        <v/>
      </c>
      <c r="BH25" s="256">
        <f t="shared" si="9"/>
        <v>1</v>
      </c>
      <c r="BI25" s="256">
        <f t="shared" si="10"/>
        <v>179393.69457000002</v>
      </c>
      <c r="BJ25" s="267"/>
      <c r="BK25" s="255"/>
      <c r="BL25" s="259" t="str">
        <f>IF(BK25&lt;&gt;"",BK25/VLOOKUP($V25,Setup!$C$30:$D$41,2,0),"")</f>
        <v/>
      </c>
      <c r="BM25" s="268"/>
      <c r="BN25" s="258" t="str">
        <f t="shared" si="27"/>
        <v/>
      </c>
      <c r="BO25" s="268"/>
      <c r="BP25" s="258" t="str">
        <f t="shared" si="28"/>
        <v/>
      </c>
      <c r="BQ25" s="268"/>
      <c r="BR25" s="258" t="str">
        <f t="shared" si="29"/>
        <v/>
      </c>
      <c r="BS25" s="268"/>
      <c r="BT25" s="256" t="str">
        <f t="shared" si="32"/>
        <v/>
      </c>
      <c r="BU25" s="256" t="str">
        <f t="shared" si="11"/>
        <v/>
      </c>
      <c r="BV25" s="256" t="str">
        <f t="shared" si="12"/>
        <v/>
      </c>
      <c r="BW25" s="267"/>
      <c r="BX25" s="256">
        <f t="shared" si="13"/>
        <v>3</v>
      </c>
      <c r="BY25" s="256">
        <f t="shared" si="14"/>
        <v>549477.05697000015</v>
      </c>
      <c r="BZ25" s="281"/>
      <c r="CA25" s="282"/>
      <c r="CC25" s="112" t="str">
        <f t="shared" ca="1" si="15"/>
        <v/>
      </c>
      <c r="CF25" s="283"/>
      <c r="CG25" s="283"/>
      <c r="CH25" s="283"/>
      <c r="CI25" s="283"/>
      <c r="CL25" s="356" t="str">
        <f>IFERROR(VLOOKUP(C25,'Data Sheet'!$A$3:$B$26,2,FALSE),"")</f>
        <v>MCI-00007</v>
      </c>
    </row>
    <row r="26" spans="1:90" s="112" customFormat="1" ht="51" x14ac:dyDescent="0.25">
      <c r="A26" s="97">
        <v>22</v>
      </c>
      <c r="B26" s="105" t="str">
        <f t="shared" si="35"/>
        <v>a1O36000001EGFHEA4-a1O36000001EGH4EAO-Nationwide</v>
      </c>
      <c r="C26" s="276" t="s">
        <v>2211</v>
      </c>
      <c r="D26" s="101" t="str">
        <f>IFERROR(IF(VLOOKUP(C26,'Data Sheet'!$A$3:$D$26,4,FALSE)=0,"",VLOOKUP(C26,'Data Sheet'!$A$3:$D$26,4,FALSE)),"")</f>
        <v>a1O36000001EGFHEA4</v>
      </c>
      <c r="E26" s="279" t="s">
        <v>2320</v>
      </c>
      <c r="F26" s="103" t="str">
        <f>IFERROR(IF(VLOOKUP(E26,'Data Sheet'!$C$29:$E$174,3,FALSE)=0,"",VLOOKUP(E26,'Data Sheet'!$C$29:$E$174,3,FALSE)),"")</f>
        <v>a1O36000001EGH4EAO</v>
      </c>
      <c r="G26" s="106" t="str">
        <f t="shared" si="2"/>
        <v>a1O36000001EGFHEA4-a1O36000001EGH4EAO</v>
      </c>
      <c r="H26" s="273" t="s">
        <v>3140</v>
      </c>
      <c r="I26" s="107" t="s">
        <v>3329</v>
      </c>
      <c r="J26" s="249" t="str">
        <f t="shared" si="30"/>
        <v>7.5</v>
      </c>
      <c r="K26" s="101" t="str">
        <f>IFERROR(INDEX('Data Sheet'!$C$198:$C$275,MATCH(I26,'Data Sheet'!$F$198:$F$275,0)),"")</f>
        <v>a2C360000007DAfEAM</v>
      </c>
      <c r="L26" s="250">
        <f>IFERROR(INDEX('Data Sheet'!$G$198:$G$275,MATCH(I26,'Data Sheet'!$F$198:$F$275,0)),"")</f>
        <v>7.5</v>
      </c>
      <c r="M26" s="248" t="s">
        <v>2657</v>
      </c>
      <c r="N26" s="248" t="s">
        <v>2759</v>
      </c>
      <c r="O26" s="248" t="s">
        <v>2757</v>
      </c>
      <c r="P26" s="108" t="str">
        <f>IFERROR(INDEX(Setup!$D$44:$D$70,MATCH(M26,Setup!$K$44:$K$70,0))&amp;"","")</f>
        <v>SR</v>
      </c>
      <c r="Q26" s="108" t="str">
        <f>IFERROR(INDEX(Setup!$E$44:$E$70,MATCH(M26,Setup!$K$44:$K$70,0))&amp;"","")</f>
        <v>Government - Ministry of Health</v>
      </c>
      <c r="R26" s="108" t="str">
        <f>IFERROR(INDEX(Setup!$L$44:$L$70,MATCH(M26,Setup!$K$44:$K$70,0))&amp;"","")</f>
        <v/>
      </c>
      <c r="S26" s="108" t="str">
        <f>Setup!$C$30</f>
        <v>USD</v>
      </c>
      <c r="T26" s="109" t="str">
        <f>IFERROR(INDEX('Data Sheet'!$B$198:$B$275,MATCH(I26,'Data Sheet'!$F$198:$F$275,0)),"")</f>
        <v>N/A</v>
      </c>
      <c r="U26" s="110">
        <f>IFERROR(INDEX('Data Sheet'!$D$198:$D$275,MATCH(I26,'Data Sheet'!$F$198:$F$275,0)),"")</f>
        <v>7</v>
      </c>
      <c r="V26" s="415" t="s">
        <v>8</v>
      </c>
      <c r="W26" s="195" t="str">
        <f>IF(V26=Setup!$C$30,"Grant",IF(V26=Setup!$C$31,"Local",IF(V26=Setup!$C$32,"Other",IF(ISBLANK(V26),"","Other"))))</f>
        <v>Grant</v>
      </c>
      <c r="X26" s="574">
        <v>15000</v>
      </c>
      <c r="Y26" s="259">
        <f>IF(X26&lt;&gt;"",X26/VLOOKUP($V26,Setup!$C$30:$D$41,2,0),"")</f>
        <v>15000</v>
      </c>
      <c r="Z26" s="262"/>
      <c r="AA26" s="256" t="str">
        <f t="shared" si="34"/>
        <v/>
      </c>
      <c r="AB26" s="262"/>
      <c r="AC26" s="258" t="str">
        <f t="shared" si="3"/>
        <v/>
      </c>
      <c r="AD26" s="262"/>
      <c r="AE26" s="258" t="str">
        <f t="shared" si="4"/>
        <v/>
      </c>
      <c r="AF26" s="262">
        <v>1</v>
      </c>
      <c r="AG26" s="256">
        <f t="shared" si="5"/>
        <v>15000</v>
      </c>
      <c r="AH26" s="256">
        <f t="shared" si="33"/>
        <v>1</v>
      </c>
      <c r="AI26" s="256">
        <f t="shared" si="6"/>
        <v>15000</v>
      </c>
      <c r="AJ26" s="111"/>
      <c r="AK26" s="574">
        <v>15000</v>
      </c>
      <c r="AL26" s="259">
        <f>IF(AK26&lt;&gt;"",AK26/VLOOKUP($V26,Setup!$C$30:$D$41,2,0),"")</f>
        <v>15000</v>
      </c>
      <c r="AM26" s="266"/>
      <c r="AN26" s="258" t="str">
        <f t="shared" si="18"/>
        <v/>
      </c>
      <c r="AO26" s="266"/>
      <c r="AP26" s="258" t="str">
        <f t="shared" si="19"/>
        <v/>
      </c>
      <c r="AQ26" s="266"/>
      <c r="AR26" s="258" t="str">
        <f t="shared" si="20"/>
        <v/>
      </c>
      <c r="AS26" s="266">
        <v>1</v>
      </c>
      <c r="AT26" s="256">
        <f t="shared" si="21"/>
        <v>15000</v>
      </c>
      <c r="AU26" s="256">
        <f t="shared" si="7"/>
        <v>1</v>
      </c>
      <c r="AV26" s="256">
        <f t="shared" si="8"/>
        <v>15000</v>
      </c>
      <c r="AW26" s="267"/>
      <c r="AX26" s="255"/>
      <c r="AY26" s="259" t="str">
        <f>IF(AX26&lt;&gt;"",AX26/VLOOKUP($V26,Setup!$C$30:$D$41,2,0),"")</f>
        <v/>
      </c>
      <c r="AZ26" s="268"/>
      <c r="BA26" s="258" t="str">
        <f t="shared" si="23"/>
        <v/>
      </c>
      <c r="BB26" s="268"/>
      <c r="BC26" s="258" t="str">
        <f t="shared" si="24"/>
        <v/>
      </c>
      <c r="BD26" s="268"/>
      <c r="BE26" s="258" t="str">
        <f t="shared" si="25"/>
        <v/>
      </c>
      <c r="BF26" s="268"/>
      <c r="BG26" s="256" t="str">
        <f t="shared" si="26"/>
        <v/>
      </c>
      <c r="BH26" s="256" t="str">
        <f t="shared" si="9"/>
        <v/>
      </c>
      <c r="BI26" s="256" t="str">
        <f t="shared" si="10"/>
        <v/>
      </c>
      <c r="BJ26" s="267"/>
      <c r="BK26" s="255"/>
      <c r="BL26" s="259" t="str">
        <f>IF(BK26&lt;&gt;"",BK26/VLOOKUP($V26,Setup!$C$30:$D$41,2,0),"")</f>
        <v/>
      </c>
      <c r="BM26" s="268"/>
      <c r="BN26" s="258" t="str">
        <f t="shared" si="27"/>
        <v/>
      </c>
      <c r="BO26" s="268"/>
      <c r="BP26" s="258" t="str">
        <f t="shared" si="28"/>
        <v/>
      </c>
      <c r="BQ26" s="268"/>
      <c r="BR26" s="258" t="str">
        <f t="shared" si="29"/>
        <v/>
      </c>
      <c r="BS26" s="268"/>
      <c r="BT26" s="256" t="str">
        <f t="shared" si="32"/>
        <v/>
      </c>
      <c r="BU26" s="256" t="str">
        <f t="shared" si="11"/>
        <v/>
      </c>
      <c r="BV26" s="256" t="str">
        <f t="shared" si="12"/>
        <v/>
      </c>
      <c r="BW26" s="267"/>
      <c r="BX26" s="256">
        <f t="shared" si="13"/>
        <v>2</v>
      </c>
      <c r="BY26" s="256">
        <f t="shared" si="14"/>
        <v>30000</v>
      </c>
      <c r="BZ26" s="281"/>
      <c r="CA26" s="282"/>
      <c r="CC26" s="112" t="str">
        <f t="shared" ca="1" si="15"/>
        <v/>
      </c>
      <c r="CF26" s="283"/>
      <c r="CG26" s="283"/>
      <c r="CH26" s="283"/>
      <c r="CI26" s="283"/>
      <c r="CL26" s="356" t="str">
        <f>IFERROR(VLOOKUP(C26,'Data Sheet'!$A$3:$B$26,2,FALSE),"")</f>
        <v>MCI-00007</v>
      </c>
    </row>
    <row r="27" spans="1:90" s="112" customFormat="1" ht="51" x14ac:dyDescent="0.25">
      <c r="A27" s="97">
        <v>23</v>
      </c>
      <c r="B27" s="105" t="str">
        <f t="shared" si="35"/>
        <v>a1O36000001EGFXEA4-a1O36000001EGIVEA4-Nationwide</v>
      </c>
      <c r="C27" s="276" t="s">
        <v>2181</v>
      </c>
      <c r="D27" s="101" t="str">
        <f>IFERROR(IF(VLOOKUP(C27,'Data Sheet'!$A$3:$D$26,4,FALSE)=0,"",VLOOKUP(C27,'Data Sheet'!$A$3:$D$26,4,FALSE)),"")</f>
        <v>a1O36000001EGFXEA4</v>
      </c>
      <c r="E27" s="279" t="s">
        <v>2408</v>
      </c>
      <c r="F27" s="103" t="str">
        <f>IFERROR(IF(VLOOKUP(E27,'Data Sheet'!$C$29:$E$174,3,FALSE)=0,"",VLOOKUP(E27,'Data Sheet'!$C$29:$E$174,3,FALSE)),"")</f>
        <v>a1O36000001EGIVEA4</v>
      </c>
      <c r="G27" s="106" t="str">
        <f t="shared" si="2"/>
        <v>a1O36000001EGFXEA4-a1O36000001EGIVEA4</v>
      </c>
      <c r="H27" s="273" t="s">
        <v>2682</v>
      </c>
      <c r="I27" s="107" t="s">
        <v>2737</v>
      </c>
      <c r="J27" s="249" t="str">
        <f t="shared" si="30"/>
        <v>11.1</v>
      </c>
      <c r="K27" s="101" t="str">
        <f>IFERROR(INDEX('Data Sheet'!$C$198:$C$275,MATCH(I27,'Data Sheet'!$F$198:$F$275,0)),"")</f>
        <v>a2C360000007DAuEAM</v>
      </c>
      <c r="L27" s="250">
        <f>IFERROR(INDEX('Data Sheet'!$G$198:$G$275,MATCH(I27,'Data Sheet'!$F$198:$F$275,0)),"")</f>
        <v>11.1</v>
      </c>
      <c r="M27" s="248" t="s">
        <v>2657</v>
      </c>
      <c r="N27" s="248" t="s">
        <v>2759</v>
      </c>
      <c r="O27" s="248" t="s">
        <v>2128</v>
      </c>
      <c r="P27" s="108" t="str">
        <f>IFERROR(INDEX(Setup!$D$44:$D$70,MATCH(M27,Setup!$K$44:$K$70,0))&amp;"","")</f>
        <v>SR</v>
      </c>
      <c r="Q27" s="108" t="str">
        <f>IFERROR(INDEX(Setup!$E$44:$E$70,MATCH(M27,Setup!$K$44:$K$70,0))&amp;"","")</f>
        <v>Government - Ministry of Health</v>
      </c>
      <c r="R27" s="108" t="str">
        <f>IFERROR(INDEX(Setup!$L$44:$L$70,MATCH(M27,Setup!$K$44:$K$70,0))&amp;"","")</f>
        <v/>
      </c>
      <c r="S27" s="108" t="str">
        <f>Setup!$C$30</f>
        <v>USD</v>
      </c>
      <c r="T27" s="109" t="str">
        <f>IFERROR(INDEX('Data Sheet'!$B$198:$B$275,MATCH(I27,'Data Sheet'!$F$198:$F$275,0)),"")</f>
        <v>Average office cost per office unit per quarter</v>
      </c>
      <c r="U27" s="110">
        <f>IFERROR(INDEX('Data Sheet'!$D$198:$D$275,MATCH(I27,'Data Sheet'!$F$198:$F$275,0)),"")</f>
        <v>11</v>
      </c>
      <c r="V27" s="415" t="s">
        <v>992</v>
      </c>
      <c r="W27" s="195" t="str">
        <f>IF(V27=Setup!$C$30,"Grant",IF(V27=Setup!$C$31,"Local",IF(V27=Setup!$C$32,"Other",IF(ISBLANK(V27),"","Other"))))</f>
        <v>Local</v>
      </c>
      <c r="X27" s="255">
        <f>'Assumptions Other'!G40</f>
        <v>12204400</v>
      </c>
      <c r="Y27" s="259">
        <f>IF(X27&lt;&gt;"",X27/VLOOKUP($V27,Setup!$C$30:$D$41,2,0),"")</f>
        <v>1491.7132082475102</v>
      </c>
      <c r="Z27" s="262">
        <v>1</v>
      </c>
      <c r="AA27" s="256">
        <f t="shared" si="34"/>
        <v>1491.7132082475102</v>
      </c>
      <c r="AB27" s="262">
        <v>1</v>
      </c>
      <c r="AC27" s="258">
        <f t="shared" si="3"/>
        <v>1491.7132082475102</v>
      </c>
      <c r="AD27" s="262">
        <v>1</v>
      </c>
      <c r="AE27" s="258">
        <f t="shared" si="4"/>
        <v>1491.7132082475102</v>
      </c>
      <c r="AF27" s="262">
        <v>1</v>
      </c>
      <c r="AG27" s="256">
        <f t="shared" si="5"/>
        <v>1491.7132082475102</v>
      </c>
      <c r="AH27" s="256">
        <f t="shared" si="33"/>
        <v>4</v>
      </c>
      <c r="AI27" s="256">
        <f t="shared" si="6"/>
        <v>5966.852832990041</v>
      </c>
      <c r="AJ27" s="111"/>
      <c r="AK27" s="255">
        <f>X27</f>
        <v>12204400</v>
      </c>
      <c r="AL27" s="259">
        <f>IF(AK27&lt;&gt;"",AK27/VLOOKUP($V27,Setup!$C$30:$D$41,2,0),"")</f>
        <v>1491.7132082475102</v>
      </c>
      <c r="AM27" s="266">
        <v>1</v>
      </c>
      <c r="AN27" s="258">
        <f t="shared" si="18"/>
        <v>1491.7132082475102</v>
      </c>
      <c r="AO27" s="266">
        <v>1</v>
      </c>
      <c r="AP27" s="258">
        <f t="shared" si="19"/>
        <v>1491.7132082475102</v>
      </c>
      <c r="AQ27" s="266">
        <v>1</v>
      </c>
      <c r="AR27" s="258">
        <f t="shared" si="20"/>
        <v>1491.7132082475102</v>
      </c>
      <c r="AS27" s="266">
        <v>1</v>
      </c>
      <c r="AT27" s="256">
        <f t="shared" si="21"/>
        <v>1491.7132082475102</v>
      </c>
      <c r="AU27" s="256">
        <f t="shared" si="7"/>
        <v>4</v>
      </c>
      <c r="AV27" s="256">
        <f t="shared" si="8"/>
        <v>5966.852832990041</v>
      </c>
      <c r="AW27" s="267"/>
      <c r="AX27" s="255">
        <f>X27</f>
        <v>12204400</v>
      </c>
      <c r="AY27" s="259">
        <f>IF(AX27&lt;&gt;"",AX27/VLOOKUP($V27,Setup!$C$30:$D$41,2,0),"")</f>
        <v>1491.7132082475102</v>
      </c>
      <c r="AZ27" s="268">
        <v>1</v>
      </c>
      <c r="BA27" s="258">
        <f t="shared" si="23"/>
        <v>1491.7132082475102</v>
      </c>
      <c r="BB27" s="268">
        <v>1</v>
      </c>
      <c r="BC27" s="258">
        <f t="shared" si="24"/>
        <v>1491.7132082475102</v>
      </c>
      <c r="BD27" s="268">
        <v>1</v>
      </c>
      <c r="BE27" s="258">
        <f t="shared" si="25"/>
        <v>1491.7132082475102</v>
      </c>
      <c r="BF27" s="268">
        <v>1</v>
      </c>
      <c r="BG27" s="256">
        <f t="shared" si="26"/>
        <v>1491.7132082475102</v>
      </c>
      <c r="BH27" s="256">
        <f t="shared" si="9"/>
        <v>4</v>
      </c>
      <c r="BI27" s="256">
        <f t="shared" si="10"/>
        <v>5966.852832990041</v>
      </c>
      <c r="BJ27" s="267"/>
      <c r="BK27" s="255"/>
      <c r="BL27" s="259" t="str">
        <f>IF(BK27&lt;&gt;"",BK27/VLOOKUP($V27,Setup!$C$30:$D$41,2,0),"")</f>
        <v/>
      </c>
      <c r="BM27" s="268"/>
      <c r="BN27" s="258" t="str">
        <f t="shared" si="27"/>
        <v/>
      </c>
      <c r="BO27" s="268"/>
      <c r="BP27" s="258" t="str">
        <f t="shared" si="28"/>
        <v/>
      </c>
      <c r="BQ27" s="268"/>
      <c r="BR27" s="258" t="str">
        <f t="shared" si="29"/>
        <v/>
      </c>
      <c r="BS27" s="268"/>
      <c r="BT27" s="256" t="str">
        <f t="shared" si="32"/>
        <v/>
      </c>
      <c r="BU27" s="256" t="str">
        <f t="shared" si="11"/>
        <v/>
      </c>
      <c r="BV27" s="256" t="str">
        <f t="shared" si="12"/>
        <v/>
      </c>
      <c r="BW27" s="267"/>
      <c r="BX27" s="256">
        <f t="shared" si="13"/>
        <v>12</v>
      </c>
      <c r="BY27" s="256">
        <f t="shared" si="14"/>
        <v>17900.558498970124</v>
      </c>
      <c r="BZ27" s="281"/>
      <c r="CA27" s="282"/>
      <c r="CC27" s="112" t="str">
        <f t="shared" ca="1" si="15"/>
        <v/>
      </c>
      <c r="CF27" s="283"/>
      <c r="CG27" s="283"/>
      <c r="CH27" s="283"/>
      <c r="CI27" s="283"/>
      <c r="CL27" s="356" t="str">
        <f>IFERROR(VLOOKUP(C27,'Data Sheet'!$A$3:$B$26,2,FALSE),"")</f>
        <v>MCI-00023</v>
      </c>
    </row>
    <row r="28" spans="1:90" s="112" customFormat="1" ht="51" x14ac:dyDescent="0.25">
      <c r="A28" s="97">
        <v>24</v>
      </c>
      <c r="B28" s="105" t="str">
        <f t="shared" si="35"/>
        <v>a1O36000001EGFXEA4-a1O36000001EGIVEA4-Nationwide</v>
      </c>
      <c r="C28" s="276" t="s">
        <v>2181</v>
      </c>
      <c r="D28" s="101" t="str">
        <f>IFERROR(IF(VLOOKUP(C28,'Data Sheet'!$A$3:$D$26,4,FALSE)=0,"",VLOOKUP(C28,'Data Sheet'!$A$3:$D$26,4,FALSE)),"")</f>
        <v>a1O36000001EGFXEA4</v>
      </c>
      <c r="E28" s="279" t="s">
        <v>2408</v>
      </c>
      <c r="F28" s="103" t="str">
        <f>IFERROR(IF(VLOOKUP(E28,'Data Sheet'!$C$29:$E$174,3,FALSE)=0,"",VLOOKUP(E28,'Data Sheet'!$C$29:$E$174,3,FALSE)),"")</f>
        <v>a1O36000001EGIVEA4</v>
      </c>
      <c r="G28" s="106" t="str">
        <f t="shared" si="2"/>
        <v>a1O36000001EGFXEA4-a1O36000001EGIVEA4</v>
      </c>
      <c r="H28" s="273" t="s">
        <v>2683</v>
      </c>
      <c r="I28" s="107" t="s">
        <v>2737</v>
      </c>
      <c r="J28" s="249" t="str">
        <f t="shared" si="30"/>
        <v>11.1</v>
      </c>
      <c r="K28" s="101" t="str">
        <f>IFERROR(INDEX('Data Sheet'!$C$198:$C$275,MATCH(I28,'Data Sheet'!$F$198:$F$275,0)),"")</f>
        <v>a2C360000007DAuEAM</v>
      </c>
      <c r="L28" s="250">
        <f>IFERROR(INDEX('Data Sheet'!$G$198:$G$275,MATCH(I28,'Data Sheet'!$F$198:$F$275,0)),"")</f>
        <v>11.1</v>
      </c>
      <c r="M28" s="248" t="s">
        <v>2657</v>
      </c>
      <c r="N28" s="248" t="s">
        <v>2759</v>
      </c>
      <c r="O28" s="248" t="s">
        <v>2128</v>
      </c>
      <c r="P28" s="108" t="str">
        <f>IFERROR(INDEX(Setup!$D$44:$D$70,MATCH(M28,Setup!$K$44:$K$70,0))&amp;"","")</f>
        <v>SR</v>
      </c>
      <c r="Q28" s="108" t="str">
        <f>IFERROR(INDEX(Setup!$E$44:$E$70,MATCH(M28,Setup!$K$44:$K$70,0))&amp;"","")</f>
        <v>Government - Ministry of Health</v>
      </c>
      <c r="R28" s="108" t="str">
        <f>IFERROR(INDEX(Setup!$L$44:$L$70,MATCH(M28,Setup!$K$44:$K$70,0))&amp;"","")</f>
        <v/>
      </c>
      <c r="S28" s="108" t="str">
        <f>Setup!$C$30</f>
        <v>USD</v>
      </c>
      <c r="T28" s="109" t="str">
        <f>IFERROR(INDEX('Data Sheet'!$B$198:$B$275,MATCH(I28,'Data Sheet'!$F$198:$F$275,0)),"")</f>
        <v>Average office cost per office unit per quarter</v>
      </c>
      <c r="U28" s="110">
        <f>IFERROR(INDEX('Data Sheet'!$D$198:$D$275,MATCH(I28,'Data Sheet'!$F$198:$F$275,0)),"")</f>
        <v>11</v>
      </c>
      <c r="V28" s="415" t="s">
        <v>992</v>
      </c>
      <c r="W28" s="195" t="str">
        <f>IF(V28=Setup!$C$30,"Grant",IF(V28=Setup!$C$31,"Local",IF(V28=Setup!$C$32,"Other",IF(ISBLANK(V28),"","Other"))))</f>
        <v>Local</v>
      </c>
      <c r="X28" s="255">
        <f>'Assumptions Other'!G48</f>
        <v>17750000</v>
      </c>
      <c r="Y28" s="259">
        <f>IF(X28&lt;&gt;"",X28/VLOOKUP($V28,Setup!$C$30:$D$41,2,0),"")</f>
        <v>2169.5379901013821</v>
      </c>
      <c r="Z28" s="262">
        <v>1</v>
      </c>
      <c r="AA28" s="256">
        <f t="shared" si="34"/>
        <v>2169.5379901013821</v>
      </c>
      <c r="AB28" s="262">
        <v>1</v>
      </c>
      <c r="AC28" s="258">
        <f t="shared" si="3"/>
        <v>2169.5379901013821</v>
      </c>
      <c r="AD28" s="262">
        <v>1</v>
      </c>
      <c r="AE28" s="258">
        <f t="shared" si="4"/>
        <v>2169.5379901013821</v>
      </c>
      <c r="AF28" s="262">
        <v>1</v>
      </c>
      <c r="AG28" s="256">
        <f t="shared" si="5"/>
        <v>2169.5379901013821</v>
      </c>
      <c r="AH28" s="256">
        <f t="shared" si="33"/>
        <v>4</v>
      </c>
      <c r="AI28" s="256">
        <f t="shared" si="6"/>
        <v>8678.1519604055284</v>
      </c>
      <c r="AJ28" s="111"/>
      <c r="AK28" s="255">
        <f>X28</f>
        <v>17750000</v>
      </c>
      <c r="AL28" s="259">
        <f>IF(AK28&lt;&gt;"",AK28/VLOOKUP($V28,Setup!$C$30:$D$41,2,0),"")</f>
        <v>2169.5379901013821</v>
      </c>
      <c r="AM28" s="266">
        <v>1</v>
      </c>
      <c r="AN28" s="258">
        <f t="shared" si="18"/>
        <v>2169.5379901013821</v>
      </c>
      <c r="AO28" s="266">
        <v>1</v>
      </c>
      <c r="AP28" s="258">
        <f t="shared" si="19"/>
        <v>2169.5379901013821</v>
      </c>
      <c r="AQ28" s="266">
        <v>1</v>
      </c>
      <c r="AR28" s="258">
        <f t="shared" si="20"/>
        <v>2169.5379901013821</v>
      </c>
      <c r="AS28" s="266">
        <v>1</v>
      </c>
      <c r="AT28" s="256">
        <f t="shared" si="21"/>
        <v>2169.5379901013821</v>
      </c>
      <c r="AU28" s="256">
        <f t="shared" si="7"/>
        <v>4</v>
      </c>
      <c r="AV28" s="256">
        <f t="shared" si="8"/>
        <v>8678.1519604055284</v>
      </c>
      <c r="AW28" s="267"/>
      <c r="AX28" s="255">
        <f>X28</f>
        <v>17750000</v>
      </c>
      <c r="AY28" s="259">
        <f>IF(AX28&lt;&gt;"",AX28/VLOOKUP($V28,Setup!$C$30:$D$41,2,0),"")</f>
        <v>2169.5379901013821</v>
      </c>
      <c r="AZ28" s="268">
        <v>1</v>
      </c>
      <c r="BA28" s="258">
        <f t="shared" si="23"/>
        <v>2169.5379901013821</v>
      </c>
      <c r="BB28" s="268">
        <v>1</v>
      </c>
      <c r="BC28" s="258">
        <f t="shared" si="24"/>
        <v>2169.5379901013821</v>
      </c>
      <c r="BD28" s="268">
        <v>1</v>
      </c>
      <c r="BE28" s="258">
        <f t="shared" si="25"/>
        <v>2169.5379901013821</v>
      </c>
      <c r="BF28" s="268">
        <v>1</v>
      </c>
      <c r="BG28" s="256">
        <f t="shared" si="26"/>
        <v>2169.5379901013821</v>
      </c>
      <c r="BH28" s="256">
        <f t="shared" si="9"/>
        <v>4</v>
      </c>
      <c r="BI28" s="256">
        <f t="shared" si="10"/>
        <v>8678.1519604055284</v>
      </c>
      <c r="BJ28" s="267"/>
      <c r="BK28" s="255"/>
      <c r="BL28" s="259" t="str">
        <f>IF(BK28&lt;&gt;"",BK28/VLOOKUP($V28,Setup!$C$30:$D$41,2,0),"")</f>
        <v/>
      </c>
      <c r="BM28" s="268"/>
      <c r="BN28" s="258" t="str">
        <f t="shared" si="27"/>
        <v/>
      </c>
      <c r="BO28" s="268"/>
      <c r="BP28" s="258" t="str">
        <f t="shared" si="28"/>
        <v/>
      </c>
      <c r="BQ28" s="268"/>
      <c r="BR28" s="258" t="str">
        <f t="shared" si="29"/>
        <v/>
      </c>
      <c r="BS28" s="268"/>
      <c r="BT28" s="256" t="str">
        <f t="shared" si="32"/>
        <v/>
      </c>
      <c r="BU28" s="256" t="str">
        <f t="shared" si="11"/>
        <v/>
      </c>
      <c r="BV28" s="256" t="str">
        <f t="shared" si="12"/>
        <v/>
      </c>
      <c r="BW28" s="267"/>
      <c r="BX28" s="256">
        <f t="shared" si="13"/>
        <v>12</v>
      </c>
      <c r="BY28" s="256">
        <f t="shared" si="14"/>
        <v>26034.455881216585</v>
      </c>
      <c r="BZ28" s="281"/>
      <c r="CA28" s="282"/>
      <c r="CC28" s="112" t="str">
        <f t="shared" ca="1" si="15"/>
        <v/>
      </c>
      <c r="CF28" s="283"/>
      <c r="CG28" s="283"/>
      <c r="CH28" s="283"/>
      <c r="CI28" s="283"/>
      <c r="CL28" s="356" t="str">
        <f>IFERROR(VLOOKUP(C28,'Data Sheet'!$A$3:$B$26,2,FALSE),"")</f>
        <v>MCI-00023</v>
      </c>
    </row>
    <row r="29" spans="1:90" s="112" customFormat="1" ht="51" x14ac:dyDescent="0.25">
      <c r="A29" s="97">
        <v>25</v>
      </c>
      <c r="B29" s="105" t="str">
        <f t="shared" si="35"/>
        <v>a1O36000001EGFHEA4-a1O36000001EGH7EAO-Nationwide</v>
      </c>
      <c r="C29" s="276" t="s">
        <v>2211</v>
      </c>
      <c r="D29" s="101" t="str">
        <f>IFERROR(IF(VLOOKUP(C29,'Data Sheet'!$A$3:$D$26,4,FALSE)=0,"",VLOOKUP(C29,'Data Sheet'!$A$3:$D$26,4,FALSE)),"")</f>
        <v>a1O36000001EGFHEA4</v>
      </c>
      <c r="E29" s="279" t="s">
        <v>2326</v>
      </c>
      <c r="F29" s="103" t="str">
        <f>IFERROR(IF(VLOOKUP(E29,'Data Sheet'!$C$29:$E$174,3,FALSE)=0,"",VLOOKUP(E29,'Data Sheet'!$C$29:$E$174,3,FALSE)),"")</f>
        <v>a1O36000001EGH7EAO</v>
      </c>
      <c r="G29" s="106" t="str">
        <f t="shared" si="2"/>
        <v>a1O36000001EGFHEA4-a1O36000001EGH7EAO</v>
      </c>
      <c r="H29" s="273" t="s">
        <v>2684</v>
      </c>
      <c r="I29" s="107" t="s">
        <v>2745</v>
      </c>
      <c r="J29" s="249" t="str">
        <f t="shared" si="30"/>
        <v>7.7</v>
      </c>
      <c r="K29" s="101" t="str">
        <f>IFERROR(INDEX('Data Sheet'!$C$198:$C$275,MATCH(I29,'Data Sheet'!$F$198:$F$275,0)),"")</f>
        <v>a2C360000007DAhEAM</v>
      </c>
      <c r="L29" s="250">
        <f>IFERROR(INDEX('Data Sheet'!$G$198:$G$275,MATCH(I29,'Data Sheet'!$F$198:$F$275,0)),"")</f>
        <v>7.7</v>
      </c>
      <c r="M29" s="248" t="s">
        <v>2657</v>
      </c>
      <c r="N29" s="248" t="s">
        <v>2759</v>
      </c>
      <c r="O29" s="248" t="s">
        <v>2758</v>
      </c>
      <c r="P29" s="108" t="str">
        <f>IFERROR(INDEX(Setup!$D$44:$D$70,MATCH(M29,Setup!$K$44:$K$70,0))&amp;"","")</f>
        <v>SR</v>
      </c>
      <c r="Q29" s="108" t="str">
        <f>IFERROR(INDEX(Setup!$E$44:$E$70,MATCH(M29,Setup!$K$44:$K$70,0))&amp;"","")</f>
        <v>Government - Ministry of Health</v>
      </c>
      <c r="R29" s="108" t="str">
        <f>IFERROR(INDEX(Setup!$L$44:$L$70,MATCH(M29,Setup!$K$44:$K$70,0))&amp;"","")</f>
        <v/>
      </c>
      <c r="S29" s="108" t="str">
        <f>Setup!$C$30</f>
        <v>USD</v>
      </c>
      <c r="T29" s="109" t="str">
        <f>IFERROR(INDEX('Data Sheet'!$B$198:$B$275,MATCH(I29,'Data Sheet'!$F$198:$F$275,0)),"")</f>
        <v>N/A</v>
      </c>
      <c r="U29" s="110">
        <f>IFERROR(INDEX('Data Sheet'!$D$198:$D$275,MATCH(I29,'Data Sheet'!$F$198:$F$275,0)),"")</f>
        <v>7</v>
      </c>
      <c r="V29" s="415" t="s">
        <v>8</v>
      </c>
      <c r="W29" s="195" t="str">
        <f>IF(V29=Setup!$C$30,"Grant",IF(V29=Setup!$C$31,"Local",IF(V29=Setup!$C$32,"Other",IF(ISBLANK(V29),"","Other"))))</f>
        <v>Grant</v>
      </c>
      <c r="X29" s="574">
        <v>500</v>
      </c>
      <c r="Y29" s="259">
        <f>IF(X29&lt;&gt;"",X29/VLOOKUP($V29,Setup!$C$30:$D$41,2,0),"")</f>
        <v>500</v>
      </c>
      <c r="Z29" s="262">
        <v>1</v>
      </c>
      <c r="AA29" s="256">
        <f t="shared" si="34"/>
        <v>500</v>
      </c>
      <c r="AB29" s="262">
        <v>1</v>
      </c>
      <c r="AC29" s="258">
        <f t="shared" si="3"/>
        <v>500</v>
      </c>
      <c r="AD29" s="262">
        <v>1</v>
      </c>
      <c r="AE29" s="258">
        <f t="shared" si="4"/>
        <v>500</v>
      </c>
      <c r="AF29" s="262">
        <v>1</v>
      </c>
      <c r="AG29" s="256">
        <f t="shared" si="5"/>
        <v>500</v>
      </c>
      <c r="AH29" s="256">
        <f t="shared" si="33"/>
        <v>4</v>
      </c>
      <c r="AI29" s="256">
        <f t="shared" si="6"/>
        <v>2000</v>
      </c>
      <c r="AJ29" s="111"/>
      <c r="AK29" s="574">
        <v>500</v>
      </c>
      <c r="AL29" s="259">
        <f>IF(AK29&lt;&gt;"",AK29/VLOOKUP($V29,Setup!$C$30:$D$41,2,0),"")</f>
        <v>500</v>
      </c>
      <c r="AM29" s="266">
        <v>1</v>
      </c>
      <c r="AN29" s="258">
        <f t="shared" si="18"/>
        <v>500</v>
      </c>
      <c r="AO29" s="266">
        <v>1</v>
      </c>
      <c r="AP29" s="258">
        <f t="shared" si="19"/>
        <v>500</v>
      </c>
      <c r="AQ29" s="266">
        <v>1</v>
      </c>
      <c r="AR29" s="258">
        <f t="shared" si="20"/>
        <v>500</v>
      </c>
      <c r="AS29" s="266">
        <v>1</v>
      </c>
      <c r="AT29" s="256">
        <f t="shared" si="21"/>
        <v>500</v>
      </c>
      <c r="AU29" s="256">
        <f t="shared" si="7"/>
        <v>4</v>
      </c>
      <c r="AV29" s="256">
        <f t="shared" si="8"/>
        <v>2000</v>
      </c>
      <c r="AW29" s="267"/>
      <c r="AX29" s="574">
        <v>500</v>
      </c>
      <c r="AY29" s="259">
        <f>IF(AX29&lt;&gt;"",AX29/VLOOKUP($V29,Setup!$C$30:$D$41,2,0),"")</f>
        <v>500</v>
      </c>
      <c r="AZ29" s="268">
        <v>1</v>
      </c>
      <c r="BA29" s="258">
        <f t="shared" si="23"/>
        <v>500</v>
      </c>
      <c r="BB29" s="268">
        <v>1</v>
      </c>
      <c r="BC29" s="258">
        <f t="shared" si="24"/>
        <v>500</v>
      </c>
      <c r="BD29" s="268">
        <v>1</v>
      </c>
      <c r="BE29" s="258">
        <f t="shared" si="25"/>
        <v>500</v>
      </c>
      <c r="BF29" s="268">
        <v>1</v>
      </c>
      <c r="BG29" s="256">
        <f t="shared" si="26"/>
        <v>500</v>
      </c>
      <c r="BH29" s="256">
        <f t="shared" si="9"/>
        <v>4</v>
      </c>
      <c r="BI29" s="256">
        <f t="shared" si="10"/>
        <v>2000</v>
      </c>
      <c r="BJ29" s="267"/>
      <c r="BK29" s="255"/>
      <c r="BL29" s="259" t="str">
        <f>IF(BK29&lt;&gt;"",BK29/VLOOKUP($V29,Setup!$C$30:$D$41,2,0),"")</f>
        <v/>
      </c>
      <c r="BM29" s="268"/>
      <c r="BN29" s="258" t="str">
        <f t="shared" si="27"/>
        <v/>
      </c>
      <c r="BO29" s="268"/>
      <c r="BP29" s="258" t="str">
        <f t="shared" si="28"/>
        <v/>
      </c>
      <c r="BQ29" s="268"/>
      <c r="BR29" s="258" t="str">
        <f t="shared" si="29"/>
        <v/>
      </c>
      <c r="BS29" s="268"/>
      <c r="BT29" s="256" t="str">
        <f t="shared" si="32"/>
        <v/>
      </c>
      <c r="BU29" s="256" t="str">
        <f t="shared" si="11"/>
        <v/>
      </c>
      <c r="BV29" s="256" t="str">
        <f t="shared" si="12"/>
        <v/>
      </c>
      <c r="BW29" s="267"/>
      <c r="BX29" s="256">
        <f t="shared" si="13"/>
        <v>12</v>
      </c>
      <c r="BY29" s="256">
        <f t="shared" si="14"/>
        <v>6000</v>
      </c>
      <c r="BZ29" s="281"/>
      <c r="CA29" s="282"/>
      <c r="CC29" s="112" t="str">
        <f t="shared" ca="1" si="15"/>
        <v/>
      </c>
      <c r="CF29" s="283"/>
      <c r="CG29" s="283"/>
      <c r="CH29" s="283"/>
      <c r="CI29" s="283"/>
      <c r="CL29" s="356" t="str">
        <f>IFERROR(VLOOKUP(C29,'Data Sheet'!$A$3:$B$26,2,FALSE),"")</f>
        <v>MCI-00007</v>
      </c>
    </row>
    <row r="30" spans="1:90" s="112" customFormat="1" ht="51" x14ac:dyDescent="0.25">
      <c r="A30" s="97">
        <v>26</v>
      </c>
      <c r="B30" s="105" t="str">
        <f t="shared" si="35"/>
        <v>a1O36000001EGFHEA4-a1O36000001EGH7EAO-Nationwide</v>
      </c>
      <c r="C30" s="276" t="s">
        <v>2211</v>
      </c>
      <c r="D30" s="101" t="str">
        <f>IFERROR(IF(VLOOKUP(C30,'Data Sheet'!$A$3:$D$26,4,FALSE)=0,"",VLOOKUP(C30,'Data Sheet'!$A$3:$D$26,4,FALSE)),"")</f>
        <v>a1O36000001EGFHEA4</v>
      </c>
      <c r="E30" s="279" t="s">
        <v>2326</v>
      </c>
      <c r="F30" s="103" t="str">
        <f>IFERROR(IF(VLOOKUP(E30,'Data Sheet'!$C$29:$E$174,3,FALSE)=0,"",VLOOKUP(E30,'Data Sheet'!$C$29:$E$174,3,FALSE)),"")</f>
        <v>a1O36000001EGH7EAO</v>
      </c>
      <c r="G30" s="106" t="str">
        <f t="shared" si="2"/>
        <v>a1O36000001EGFHEA4-a1O36000001EGH7EAO</v>
      </c>
      <c r="H30" s="273" t="s">
        <v>3141</v>
      </c>
      <c r="I30" s="107" t="s">
        <v>2746</v>
      </c>
      <c r="J30" s="249" t="str">
        <f t="shared" si="30"/>
        <v>4.5</v>
      </c>
      <c r="K30" s="101" t="str">
        <f>IFERROR(INDEX('Data Sheet'!$C$198:$C$275,MATCH(I30,'Data Sheet'!$F$198:$F$275,0)),"")</f>
        <v>a2C360000007DAEEA2</v>
      </c>
      <c r="L30" s="250">
        <f>IFERROR(INDEX('Data Sheet'!$G$198:$G$275,MATCH(I30,'Data Sheet'!$F$198:$F$275,0)),"")</f>
        <v>4.5</v>
      </c>
      <c r="M30" s="248" t="s">
        <v>2657</v>
      </c>
      <c r="N30" s="248" t="s">
        <v>2759</v>
      </c>
      <c r="O30" s="248" t="s">
        <v>2757</v>
      </c>
      <c r="P30" s="108" t="str">
        <f>IFERROR(INDEX(Setup!$D$44:$D$70,MATCH(M30,Setup!$K$44:$K$70,0))&amp;"","")</f>
        <v>SR</v>
      </c>
      <c r="Q30" s="108" t="str">
        <f>IFERROR(INDEX(Setup!$E$44:$E$70,MATCH(M30,Setup!$K$44:$K$70,0))&amp;"","")</f>
        <v>Government - Ministry of Health</v>
      </c>
      <c r="R30" s="108" t="str">
        <f>IFERROR(INDEX(Setup!$L$44:$L$70,MATCH(M30,Setup!$K$44:$K$70,0))&amp;"","")</f>
        <v/>
      </c>
      <c r="S30" s="108" t="str">
        <f>Setup!$C$30</f>
        <v>USD</v>
      </c>
      <c r="T30" s="109" t="str">
        <f>IFERROR(INDEX('Data Sheet'!$B$198:$B$275,MATCH(I30,'Data Sheet'!$F$198:$F$275,0)),"")</f>
        <v>Cost of a pack</v>
      </c>
      <c r="U30" s="110">
        <f>IFERROR(INDEX('Data Sheet'!$D$198:$D$275,MATCH(I30,'Data Sheet'!$F$198:$F$275,0)),"")</f>
        <v>4</v>
      </c>
      <c r="V30" s="415" t="s">
        <v>8</v>
      </c>
      <c r="W30" s="195" t="str">
        <f>IF(V30=Setup!$C$30,"Grant",IF(V30=Setup!$C$31,"Local",IF(V30=Setup!$C$32,"Other",IF(ISBLANK(V30),"","Other"))))</f>
        <v>Grant</v>
      </c>
      <c r="X30" s="574">
        <f>63279.73/526937</f>
        <v>0.1200897450738893</v>
      </c>
      <c r="Y30" s="259">
        <f>IF(X30&lt;&gt;"",X30/VLOOKUP($V30,Setup!$C$30:$D$41,2,0),"")</f>
        <v>0.1200897450738893</v>
      </c>
      <c r="Z30" s="262"/>
      <c r="AA30" s="256" t="str">
        <f t="shared" si="34"/>
        <v/>
      </c>
      <c r="AB30" s="262">
        <f>526937</f>
        <v>526937</v>
      </c>
      <c r="AC30" s="258">
        <f t="shared" si="3"/>
        <v>63279.73</v>
      </c>
      <c r="AD30" s="262"/>
      <c r="AE30" s="258" t="str">
        <f t="shared" si="4"/>
        <v/>
      </c>
      <c r="AF30" s="262"/>
      <c r="AG30" s="256" t="str">
        <f t="shared" si="5"/>
        <v/>
      </c>
      <c r="AH30" s="256">
        <f t="shared" si="33"/>
        <v>526937</v>
      </c>
      <c r="AI30" s="256">
        <f t="shared" si="6"/>
        <v>63279.73</v>
      </c>
      <c r="AJ30" s="111"/>
      <c r="AK30" s="574">
        <f>49880.16/195984</f>
        <v>0.25451138868479062</v>
      </c>
      <c r="AL30" s="259">
        <f>IF(AK30&lt;&gt;"",AK30/VLOOKUP($V30,Setup!$C$30:$D$41,2,0),"")</f>
        <v>0.25451138868479062</v>
      </c>
      <c r="AM30" s="266"/>
      <c r="AN30" s="258" t="str">
        <f t="shared" si="18"/>
        <v/>
      </c>
      <c r="AO30" s="266">
        <v>195984</v>
      </c>
      <c r="AP30" s="258">
        <f t="shared" si="19"/>
        <v>49880.160000000003</v>
      </c>
      <c r="AQ30" s="266"/>
      <c r="AR30" s="258" t="str">
        <f t="shared" si="20"/>
        <v/>
      </c>
      <c r="AS30" s="266"/>
      <c r="AT30" s="256" t="str">
        <f t="shared" si="21"/>
        <v/>
      </c>
      <c r="AU30" s="256">
        <f t="shared" si="7"/>
        <v>195984</v>
      </c>
      <c r="AV30" s="256">
        <f t="shared" si="8"/>
        <v>49880.160000000003</v>
      </c>
      <c r="AW30" s="267"/>
      <c r="AX30" s="574"/>
      <c r="AY30" s="259" t="str">
        <f>IF(AX30&lt;&gt;"",AX30/VLOOKUP($V30,Setup!$C$30:$D$41,2,0),"")</f>
        <v/>
      </c>
      <c r="AZ30" s="268"/>
      <c r="BA30" s="258" t="str">
        <f t="shared" si="23"/>
        <v/>
      </c>
      <c r="BB30" s="268"/>
      <c r="BC30" s="258" t="str">
        <f t="shared" si="24"/>
        <v/>
      </c>
      <c r="BD30" s="268"/>
      <c r="BE30" s="258" t="str">
        <f t="shared" si="25"/>
        <v/>
      </c>
      <c r="BF30" s="268"/>
      <c r="BG30" s="256" t="str">
        <f t="shared" si="26"/>
        <v/>
      </c>
      <c r="BH30" s="256" t="str">
        <f t="shared" si="9"/>
        <v/>
      </c>
      <c r="BI30" s="256" t="str">
        <f t="shared" si="10"/>
        <v/>
      </c>
      <c r="BJ30" s="267"/>
      <c r="BK30" s="255"/>
      <c r="BL30" s="259" t="str">
        <f>IF(BK30&lt;&gt;"",BK30/VLOOKUP($V30,Setup!$C$30:$D$41,2,0),"")</f>
        <v/>
      </c>
      <c r="BM30" s="268"/>
      <c r="BN30" s="258" t="str">
        <f t="shared" si="27"/>
        <v/>
      </c>
      <c r="BO30" s="268"/>
      <c r="BP30" s="258" t="str">
        <f t="shared" si="28"/>
        <v/>
      </c>
      <c r="BQ30" s="268"/>
      <c r="BR30" s="258" t="str">
        <f t="shared" si="29"/>
        <v/>
      </c>
      <c r="BS30" s="268"/>
      <c r="BT30" s="256" t="str">
        <f t="shared" si="32"/>
        <v/>
      </c>
      <c r="BU30" s="256" t="str">
        <f t="shared" si="11"/>
        <v/>
      </c>
      <c r="BV30" s="256" t="str">
        <f t="shared" si="12"/>
        <v/>
      </c>
      <c r="BW30" s="267"/>
      <c r="BX30" s="256">
        <f t="shared" si="13"/>
        <v>722921</v>
      </c>
      <c r="BY30" s="256">
        <f t="shared" si="14"/>
        <v>113159.89000000001</v>
      </c>
      <c r="BZ30" s="281"/>
      <c r="CA30" s="282"/>
      <c r="CC30" s="112" t="str">
        <f t="shared" ca="1" si="15"/>
        <v/>
      </c>
      <c r="CF30" s="283"/>
      <c r="CG30" s="283"/>
      <c r="CH30" s="283"/>
      <c r="CI30" s="283"/>
      <c r="CL30" s="356" t="str">
        <f>IFERROR(VLOOKUP(C30,'Data Sheet'!$A$3:$B$26,2,FALSE),"")</f>
        <v>MCI-00007</v>
      </c>
    </row>
    <row r="31" spans="1:90" s="112" customFormat="1" ht="51" x14ac:dyDescent="0.25">
      <c r="A31" s="97">
        <v>27</v>
      </c>
      <c r="B31" s="105" t="str">
        <f t="shared" si="35"/>
        <v>a1O36000001EGFHEA4-a1O36000001EGH7EAO-Nationwide</v>
      </c>
      <c r="C31" s="276" t="s">
        <v>2211</v>
      </c>
      <c r="D31" s="101" t="str">
        <f>IFERROR(IF(VLOOKUP(C31,'Data Sheet'!$A$3:$D$26,4,FALSE)=0,"",VLOOKUP(C31,'Data Sheet'!$A$3:$D$26,4,FALSE)),"")</f>
        <v>a1O36000001EGFHEA4</v>
      </c>
      <c r="E31" s="279" t="s">
        <v>2326</v>
      </c>
      <c r="F31" s="103" t="str">
        <f>IFERROR(IF(VLOOKUP(E31,'Data Sheet'!$C$29:$E$174,3,FALSE)=0,"",VLOOKUP(E31,'Data Sheet'!$C$29:$E$174,3,FALSE)),"")</f>
        <v>a1O36000001EGH7EAO</v>
      </c>
      <c r="G31" s="106" t="str">
        <f t="shared" si="2"/>
        <v>a1O36000001EGFHEA4-a1O36000001EGH7EAO</v>
      </c>
      <c r="H31" s="273" t="s">
        <v>2685</v>
      </c>
      <c r="I31" s="107" t="s">
        <v>3328</v>
      </c>
      <c r="J31" s="249" t="str">
        <f t="shared" si="30"/>
        <v>7.2</v>
      </c>
      <c r="K31" s="101" t="str">
        <f>IFERROR(INDEX('Data Sheet'!$C$198:$C$275,MATCH(I31,'Data Sheet'!$F$198:$F$275,0)),"")</f>
        <v>a2C360000007DAcEAM</v>
      </c>
      <c r="L31" s="250">
        <f>IFERROR(INDEX('Data Sheet'!$G$198:$G$275,MATCH(I31,'Data Sheet'!$F$198:$F$275,0)),"")</f>
        <v>7.2</v>
      </c>
      <c r="M31" s="248" t="s">
        <v>2657</v>
      </c>
      <c r="N31" s="248" t="s">
        <v>2759</v>
      </c>
      <c r="O31" s="248" t="s">
        <v>2757</v>
      </c>
      <c r="P31" s="108" t="str">
        <f>IFERROR(INDEX(Setup!$D$44:$D$70,MATCH(M31,Setup!$K$44:$K$70,0))&amp;"","")</f>
        <v>SR</v>
      </c>
      <c r="Q31" s="108" t="str">
        <f>IFERROR(INDEX(Setup!$E$44:$E$70,MATCH(M31,Setup!$K$44:$K$70,0))&amp;"","")</f>
        <v>Government - Ministry of Health</v>
      </c>
      <c r="R31" s="108" t="str">
        <f>IFERROR(INDEX(Setup!$L$44:$L$70,MATCH(M31,Setup!$K$44:$K$70,0))&amp;"","")</f>
        <v/>
      </c>
      <c r="S31" s="108" t="str">
        <f>Setup!$C$30</f>
        <v>USD</v>
      </c>
      <c r="T31" s="109" t="str">
        <f>IFERROR(INDEX('Data Sheet'!$B$198:$B$275,MATCH(I31,'Data Sheet'!$F$198:$F$275,0)),"")</f>
        <v>N/A</v>
      </c>
      <c r="U31" s="110">
        <f>IFERROR(INDEX('Data Sheet'!$D$198:$D$275,MATCH(I31,'Data Sheet'!$F$198:$F$275,0)),"")</f>
        <v>7</v>
      </c>
      <c r="V31" s="415" t="s">
        <v>8</v>
      </c>
      <c r="W31" s="195" t="str">
        <f>IF(V31=Setup!$C$30,"Grant",IF(V31=Setup!$C$31,"Local",IF(V31=Setup!$C$32,"Other",IF(ISBLANK(V31),"","Other"))))</f>
        <v>Grant</v>
      </c>
      <c r="X31" s="574">
        <v>12655.946000000002</v>
      </c>
      <c r="Y31" s="259">
        <f>IF(X31&lt;&gt;"",X31/VLOOKUP($V31,Setup!$C$30:$D$41,2,0),"")</f>
        <v>12655.946000000002</v>
      </c>
      <c r="Z31" s="262"/>
      <c r="AA31" s="256" t="str">
        <f t="shared" si="34"/>
        <v/>
      </c>
      <c r="AB31" s="262">
        <v>1</v>
      </c>
      <c r="AC31" s="258">
        <f t="shared" si="3"/>
        <v>12655.946000000002</v>
      </c>
      <c r="AD31" s="262"/>
      <c r="AE31" s="258" t="str">
        <f t="shared" si="4"/>
        <v/>
      </c>
      <c r="AF31" s="262"/>
      <c r="AG31" s="256" t="str">
        <f t="shared" si="5"/>
        <v/>
      </c>
      <c r="AH31" s="256">
        <f t="shared" si="33"/>
        <v>1</v>
      </c>
      <c r="AI31" s="256">
        <f t="shared" si="6"/>
        <v>12655.946000000002</v>
      </c>
      <c r="AJ31" s="111"/>
      <c r="AK31" s="574">
        <v>9976.0320000000011</v>
      </c>
      <c r="AL31" s="259">
        <f>IF(AK31&lt;&gt;"",AK31/VLOOKUP($V31,Setup!$C$30:$D$41,2,0),"")</f>
        <v>9976.0320000000011</v>
      </c>
      <c r="AM31" s="266"/>
      <c r="AN31" s="258" t="str">
        <f t="shared" si="18"/>
        <v/>
      </c>
      <c r="AO31" s="266">
        <v>1</v>
      </c>
      <c r="AP31" s="258">
        <f t="shared" si="19"/>
        <v>9976.0320000000011</v>
      </c>
      <c r="AQ31" s="266"/>
      <c r="AR31" s="258" t="str">
        <f t="shared" si="20"/>
        <v/>
      </c>
      <c r="AS31" s="266"/>
      <c r="AT31" s="256" t="str">
        <f t="shared" si="21"/>
        <v/>
      </c>
      <c r="AU31" s="256">
        <f t="shared" si="7"/>
        <v>1</v>
      </c>
      <c r="AV31" s="256">
        <f t="shared" si="8"/>
        <v>9976.0320000000011</v>
      </c>
      <c r="AW31" s="267"/>
      <c r="AX31" s="574"/>
      <c r="AY31" s="259" t="str">
        <f>IF(AX31&lt;&gt;"",AX31/VLOOKUP($V31,Setup!$C$30:$D$41,2,0),"")</f>
        <v/>
      </c>
      <c r="AZ31" s="268"/>
      <c r="BA31" s="258" t="str">
        <f t="shared" si="23"/>
        <v/>
      </c>
      <c r="BB31" s="268"/>
      <c r="BC31" s="258" t="str">
        <f t="shared" si="24"/>
        <v/>
      </c>
      <c r="BD31" s="268"/>
      <c r="BE31" s="258" t="str">
        <f t="shared" si="25"/>
        <v/>
      </c>
      <c r="BF31" s="268"/>
      <c r="BG31" s="256" t="str">
        <f t="shared" si="26"/>
        <v/>
      </c>
      <c r="BH31" s="256" t="str">
        <f t="shared" si="9"/>
        <v/>
      </c>
      <c r="BI31" s="256" t="str">
        <f t="shared" si="10"/>
        <v/>
      </c>
      <c r="BJ31" s="267"/>
      <c r="BK31" s="255"/>
      <c r="BL31" s="259" t="str">
        <f>IF(BK31&lt;&gt;"",BK31/VLOOKUP($V31,Setup!$C$30:$D$41,2,0),"")</f>
        <v/>
      </c>
      <c r="BM31" s="268"/>
      <c r="BN31" s="258" t="str">
        <f t="shared" si="27"/>
        <v/>
      </c>
      <c r="BO31" s="268"/>
      <c r="BP31" s="258" t="str">
        <f t="shared" si="28"/>
        <v/>
      </c>
      <c r="BQ31" s="268"/>
      <c r="BR31" s="258" t="str">
        <f t="shared" si="29"/>
        <v/>
      </c>
      <c r="BS31" s="268"/>
      <c r="BT31" s="256" t="str">
        <f t="shared" si="32"/>
        <v/>
      </c>
      <c r="BU31" s="256" t="str">
        <f t="shared" si="11"/>
        <v/>
      </c>
      <c r="BV31" s="256" t="str">
        <f t="shared" si="12"/>
        <v/>
      </c>
      <c r="BW31" s="267"/>
      <c r="BX31" s="256">
        <f t="shared" si="13"/>
        <v>2</v>
      </c>
      <c r="BY31" s="256">
        <f t="shared" si="14"/>
        <v>22631.978000000003</v>
      </c>
      <c r="BZ31" s="281"/>
      <c r="CA31" s="282"/>
      <c r="CC31" s="112" t="str">
        <f t="shared" ca="1" si="15"/>
        <v/>
      </c>
      <c r="CF31" s="283"/>
      <c r="CG31" s="283"/>
      <c r="CH31" s="283"/>
      <c r="CI31" s="283"/>
      <c r="CL31" s="356" t="str">
        <f>IFERROR(VLOOKUP(C31,'Data Sheet'!$A$3:$B$26,2,FALSE),"")</f>
        <v>MCI-00007</v>
      </c>
    </row>
    <row r="32" spans="1:90" s="112" customFormat="1" ht="51" x14ac:dyDescent="0.25">
      <c r="A32" s="97">
        <v>28</v>
      </c>
      <c r="B32" s="105" t="str">
        <f t="shared" si="35"/>
        <v>a1O36000001qZ7uEAE-a1O36000001qZ8eEAE-Nationwide</v>
      </c>
      <c r="C32" s="276" t="s">
        <v>2163</v>
      </c>
      <c r="D32" s="101" t="str">
        <f>IFERROR(IF(VLOOKUP(C32,'Data Sheet'!$A$3:$D$26,4,FALSE)=0,"",VLOOKUP(C32,'Data Sheet'!$A$3:$D$26,4,FALSE)),"")</f>
        <v>a1O36000001qZ7uEAE</v>
      </c>
      <c r="E32" s="279" t="s">
        <v>2457</v>
      </c>
      <c r="F32" s="103" t="str">
        <f>IFERROR(IF(VLOOKUP(E32,'Data Sheet'!$C$29:$E$174,3,FALSE)=0,"",VLOOKUP(E32,'Data Sheet'!$C$29:$E$174,3,FALSE)),"")</f>
        <v>a1O36000001qZ8eEAE</v>
      </c>
      <c r="G32" s="106" t="str">
        <f t="shared" si="2"/>
        <v>a1O36000001qZ7uEAE-a1O36000001qZ8eEAE</v>
      </c>
      <c r="H32" s="273" t="s">
        <v>3142</v>
      </c>
      <c r="I32" s="107" t="s">
        <v>2747</v>
      </c>
      <c r="J32" s="249" t="str">
        <f t="shared" si="30"/>
        <v>6.1</v>
      </c>
      <c r="K32" s="101" t="str">
        <f>IFERROR(INDEX('Data Sheet'!$C$198:$C$275,MATCH(I32,'Data Sheet'!$F$198:$F$275,0)),"")</f>
        <v>a2C360000007DATEA2</v>
      </c>
      <c r="L32" s="250">
        <f>IFERROR(INDEX('Data Sheet'!$G$198:$G$275,MATCH(I32,'Data Sheet'!$F$198:$F$275,0)),"")</f>
        <v>6.1</v>
      </c>
      <c r="M32" s="248" t="s">
        <v>2657</v>
      </c>
      <c r="N32" s="248" t="s">
        <v>2759</v>
      </c>
      <c r="O32" s="248" t="s">
        <v>2758</v>
      </c>
      <c r="P32" s="108" t="str">
        <f>IFERROR(INDEX(Setup!$D$44:$D$70,MATCH(M32,Setup!$K$44:$K$70,0))&amp;"","")</f>
        <v>SR</v>
      </c>
      <c r="Q32" s="108" t="str">
        <f>IFERROR(INDEX(Setup!$E$44:$E$70,MATCH(M32,Setup!$K$44:$K$70,0))&amp;"","")</f>
        <v>Government - Ministry of Health</v>
      </c>
      <c r="R32" s="108" t="str">
        <f>IFERROR(INDEX(Setup!$L$44:$L$70,MATCH(M32,Setup!$K$44:$K$70,0))&amp;"","")</f>
        <v/>
      </c>
      <c r="S32" s="108" t="str">
        <f>Setup!$C$30</f>
        <v>USD</v>
      </c>
      <c r="T32" s="109" t="str">
        <f>IFERROR(INDEX('Data Sheet'!$B$198:$B$275,MATCH(I32,'Data Sheet'!$F$198:$F$275,0)),"")</f>
        <v>Cost of a pack</v>
      </c>
      <c r="U32" s="110">
        <f>IFERROR(INDEX('Data Sheet'!$D$198:$D$275,MATCH(I32,'Data Sheet'!$F$198:$F$275,0)),"")</f>
        <v>6</v>
      </c>
      <c r="V32" s="415" t="s">
        <v>8</v>
      </c>
      <c r="W32" s="195" t="str">
        <f>IF(V32=Setup!$C$30,"Grant",IF(V32=Setup!$C$31,"Local",IF(V32=Setup!$C$32,"Other",IF(ISBLANK(V32),"","Other"))))</f>
        <v>Grant</v>
      </c>
      <c r="X32" s="574">
        <v>58849.725000000006</v>
      </c>
      <c r="Y32" s="259">
        <f>IF(X32&lt;&gt;"",X32/VLOOKUP($V32,Setup!$C$30:$D$41,2,0),"")</f>
        <v>58849.725000000006</v>
      </c>
      <c r="Z32" s="262">
        <v>1</v>
      </c>
      <c r="AA32" s="256">
        <f t="shared" si="34"/>
        <v>58849.725000000006</v>
      </c>
      <c r="AB32" s="262"/>
      <c r="AC32" s="258" t="str">
        <f t="shared" si="3"/>
        <v/>
      </c>
      <c r="AD32" s="262"/>
      <c r="AE32" s="258" t="str">
        <f t="shared" si="4"/>
        <v/>
      </c>
      <c r="AF32" s="262"/>
      <c r="AG32" s="256" t="str">
        <f t="shared" si="5"/>
        <v/>
      </c>
      <c r="AH32" s="256">
        <f t="shared" si="33"/>
        <v>1</v>
      </c>
      <c r="AI32" s="256">
        <f t="shared" si="6"/>
        <v>58849.725000000006</v>
      </c>
      <c r="AJ32" s="111"/>
      <c r="AK32" s="574">
        <v>62725.571767125221</v>
      </c>
      <c r="AL32" s="259">
        <f>IF(AK32&lt;&gt;"",AK32/VLOOKUP($V32,Setup!$C$30:$D$41,2,0),"")</f>
        <v>62725.571767125221</v>
      </c>
      <c r="AM32" s="266">
        <v>1</v>
      </c>
      <c r="AN32" s="258">
        <f t="shared" si="18"/>
        <v>62725.571767125221</v>
      </c>
      <c r="AO32" s="266"/>
      <c r="AP32" s="258" t="str">
        <f t="shared" si="19"/>
        <v/>
      </c>
      <c r="AQ32" s="266"/>
      <c r="AR32" s="258" t="str">
        <f t="shared" si="20"/>
        <v/>
      </c>
      <c r="AS32" s="266"/>
      <c r="AT32" s="256" t="str">
        <f t="shared" si="21"/>
        <v/>
      </c>
      <c r="AU32" s="256">
        <f t="shared" si="7"/>
        <v>1</v>
      </c>
      <c r="AV32" s="256">
        <f t="shared" si="8"/>
        <v>62725.571767125221</v>
      </c>
      <c r="AW32" s="267"/>
      <c r="AX32" s="574">
        <v>66646.891471071081</v>
      </c>
      <c r="AY32" s="259">
        <f>IF(AX32&lt;&gt;"",AX32/VLOOKUP($V32,Setup!$C$30:$D$41,2,0),"")</f>
        <v>66646.891471071081</v>
      </c>
      <c r="AZ32" s="268">
        <v>1</v>
      </c>
      <c r="BA32" s="258">
        <f t="shared" si="23"/>
        <v>66646.891471071081</v>
      </c>
      <c r="BB32" s="268"/>
      <c r="BC32" s="258" t="str">
        <f t="shared" si="24"/>
        <v/>
      </c>
      <c r="BD32" s="268"/>
      <c r="BE32" s="258" t="str">
        <f t="shared" si="25"/>
        <v/>
      </c>
      <c r="BF32" s="268"/>
      <c r="BG32" s="256" t="str">
        <f t="shared" si="26"/>
        <v/>
      </c>
      <c r="BH32" s="256">
        <f t="shared" si="9"/>
        <v>1</v>
      </c>
      <c r="BI32" s="256">
        <f t="shared" si="10"/>
        <v>66646.891471071081</v>
      </c>
      <c r="BJ32" s="267"/>
      <c r="BK32" s="255"/>
      <c r="BL32" s="259" t="str">
        <f>IF(BK32&lt;&gt;"",BK32/VLOOKUP($V32,Setup!$C$30:$D$41,2,0),"")</f>
        <v/>
      </c>
      <c r="BM32" s="268"/>
      <c r="BN32" s="258" t="str">
        <f t="shared" si="27"/>
        <v/>
      </c>
      <c r="BO32" s="268"/>
      <c r="BP32" s="258" t="str">
        <f t="shared" si="28"/>
        <v/>
      </c>
      <c r="BQ32" s="268"/>
      <c r="BR32" s="258" t="str">
        <f t="shared" si="29"/>
        <v/>
      </c>
      <c r="BS32" s="268"/>
      <c r="BT32" s="256" t="str">
        <f t="shared" si="32"/>
        <v/>
      </c>
      <c r="BU32" s="256" t="str">
        <f t="shared" si="11"/>
        <v/>
      </c>
      <c r="BV32" s="256" t="str">
        <f t="shared" si="12"/>
        <v/>
      </c>
      <c r="BW32" s="267"/>
      <c r="BX32" s="256">
        <f t="shared" si="13"/>
        <v>3</v>
      </c>
      <c r="BY32" s="256">
        <f t="shared" si="14"/>
        <v>188222.18823819631</v>
      </c>
      <c r="BZ32" s="281"/>
      <c r="CA32" s="282"/>
      <c r="CC32" s="112" t="str">
        <f t="shared" ca="1" si="15"/>
        <v/>
      </c>
      <c r="CF32" s="283"/>
      <c r="CG32" s="283"/>
      <c r="CH32" s="283"/>
      <c r="CI32" s="283"/>
      <c r="CL32" s="356" t="str">
        <f>IFERROR(VLOOKUP(C32,'Data Sheet'!$A$3:$B$26,2,FALSE),"")</f>
        <v>MCI-00533</v>
      </c>
    </row>
    <row r="33" spans="1:90" s="112" customFormat="1" ht="51" x14ac:dyDescent="0.25">
      <c r="A33" s="97">
        <v>29</v>
      </c>
      <c r="B33" s="105" t="str">
        <f t="shared" si="35"/>
        <v>a1O36000001qZ7uEAE-a1O36000001qZ8fEAE-Nationwide</v>
      </c>
      <c r="C33" s="276" t="s">
        <v>2163</v>
      </c>
      <c r="D33" s="101" t="str">
        <f>IFERROR(IF(VLOOKUP(C33,'Data Sheet'!$A$3:$D$26,4,FALSE)=0,"",VLOOKUP(C33,'Data Sheet'!$A$3:$D$26,4,FALSE)),"")</f>
        <v>a1O36000001qZ7uEAE</v>
      </c>
      <c r="E33" s="279" t="s">
        <v>2332</v>
      </c>
      <c r="F33" s="103" t="str">
        <f>IFERROR(IF(VLOOKUP(E33,'Data Sheet'!$C$29:$E$174,3,FALSE)=0,"",VLOOKUP(E33,'Data Sheet'!$C$29:$E$174,3,FALSE)),"")</f>
        <v>a1O36000001qZ8fEAE</v>
      </c>
      <c r="G33" s="106" t="str">
        <f t="shared" si="2"/>
        <v>a1O36000001qZ7uEAE-a1O36000001qZ8fEAE</v>
      </c>
      <c r="H33" s="273" t="s">
        <v>3327</v>
      </c>
      <c r="I33" s="107" t="s">
        <v>2748</v>
      </c>
      <c r="J33" s="249" t="str">
        <f t="shared" si="30"/>
        <v>6.2</v>
      </c>
      <c r="K33" s="101" t="str">
        <f>IFERROR(INDEX('Data Sheet'!$C$198:$C$275,MATCH(I33,'Data Sheet'!$F$198:$F$275,0)),"")</f>
        <v>a2C360000007DAUEA2</v>
      </c>
      <c r="L33" s="250">
        <f>IFERROR(INDEX('Data Sheet'!$G$198:$G$275,MATCH(I33,'Data Sheet'!$F$198:$F$275,0)),"")</f>
        <v>6.2</v>
      </c>
      <c r="M33" s="248" t="s">
        <v>2657</v>
      </c>
      <c r="N33" s="248" t="s">
        <v>2759</v>
      </c>
      <c r="O33" s="248" t="s">
        <v>2128</v>
      </c>
      <c r="P33" s="108" t="str">
        <f>IFERROR(INDEX(Setup!$D$44:$D$70,MATCH(M33,Setup!$K$44:$K$70,0))&amp;"","")</f>
        <v>SR</v>
      </c>
      <c r="Q33" s="108" t="str">
        <f>IFERROR(INDEX(Setup!$E$44:$E$70,MATCH(M33,Setup!$K$44:$K$70,0))&amp;"","")</f>
        <v>Government - Ministry of Health</v>
      </c>
      <c r="R33" s="108" t="str">
        <f>IFERROR(INDEX(Setup!$L$44:$L$70,MATCH(M33,Setup!$K$44:$K$70,0))&amp;"","")</f>
        <v/>
      </c>
      <c r="S33" s="108" t="str">
        <f>Setup!$C$30</f>
        <v>USD</v>
      </c>
      <c r="T33" s="109" t="str">
        <f>IFERROR(INDEX('Data Sheet'!$B$198:$B$275,MATCH(I33,'Data Sheet'!$F$198:$F$275,0)),"")</f>
        <v>Cost of a pack</v>
      </c>
      <c r="U33" s="110">
        <f>IFERROR(INDEX('Data Sheet'!$D$198:$D$275,MATCH(I33,'Data Sheet'!$F$198:$F$275,0)),"")</f>
        <v>6</v>
      </c>
      <c r="V33" s="415" t="s">
        <v>8</v>
      </c>
      <c r="W33" s="195" t="str">
        <f>IF(V33=Setup!$C$30,"Grant",IF(V33=Setup!$C$31,"Local",IF(V33=Setup!$C$32,"Other",IF(ISBLANK(V33),"","Other"))))</f>
        <v>Grant</v>
      </c>
      <c r="X33" s="574">
        <v>246285.34</v>
      </c>
      <c r="Y33" s="259">
        <f>IF(X33&lt;&gt;"",X33/VLOOKUP($V33,Setup!$C$30:$D$41,2,0),"")</f>
        <v>246285.34</v>
      </c>
      <c r="Z33" s="262">
        <v>1</v>
      </c>
      <c r="AA33" s="256">
        <f t="shared" si="34"/>
        <v>246285.34</v>
      </c>
      <c r="AB33" s="262"/>
      <c r="AC33" s="258" t="str">
        <f t="shared" si="3"/>
        <v/>
      </c>
      <c r="AD33" s="262"/>
      <c r="AE33" s="258" t="str">
        <f t="shared" si="4"/>
        <v/>
      </c>
      <c r="AF33" s="262"/>
      <c r="AG33" s="256" t="str">
        <f t="shared" si="5"/>
        <v/>
      </c>
      <c r="AH33" s="256">
        <f t="shared" si="33"/>
        <v>1</v>
      </c>
      <c r="AI33" s="256">
        <f t="shared" si="6"/>
        <v>246285.34</v>
      </c>
      <c r="AJ33" s="111"/>
      <c r="AK33" s="574">
        <v>276022.48086748301</v>
      </c>
      <c r="AL33" s="259">
        <f>IF(AK33&lt;&gt;"",AK33/VLOOKUP($V33,Setup!$C$30:$D$41,2,0),"")</f>
        <v>276022.48086748301</v>
      </c>
      <c r="AM33" s="266">
        <v>1</v>
      </c>
      <c r="AN33" s="258">
        <f t="shared" si="18"/>
        <v>276022.48086748301</v>
      </c>
      <c r="AO33" s="266"/>
      <c r="AP33" s="258" t="str">
        <f t="shared" si="19"/>
        <v/>
      </c>
      <c r="AQ33" s="266"/>
      <c r="AR33" s="258" t="str">
        <f t="shared" si="20"/>
        <v/>
      </c>
      <c r="AS33" s="266"/>
      <c r="AT33" s="256" t="str">
        <f t="shared" si="21"/>
        <v/>
      </c>
      <c r="AU33" s="256">
        <f t="shared" si="7"/>
        <v>1</v>
      </c>
      <c r="AV33" s="256">
        <f t="shared" si="8"/>
        <v>276022.48086748301</v>
      </c>
      <c r="AW33" s="267"/>
      <c r="AX33" s="574">
        <v>306017</v>
      </c>
      <c r="AY33" s="259">
        <f>IF(AX33&lt;&gt;"",AX33/VLOOKUP($V33,Setup!$C$30:$D$41,2,0),"")</f>
        <v>306017</v>
      </c>
      <c r="AZ33" s="268">
        <v>1</v>
      </c>
      <c r="BA33" s="258">
        <f t="shared" si="23"/>
        <v>306017</v>
      </c>
      <c r="BB33" s="268"/>
      <c r="BC33" s="258" t="str">
        <f t="shared" si="24"/>
        <v/>
      </c>
      <c r="BD33" s="268"/>
      <c r="BE33" s="258" t="str">
        <f t="shared" si="25"/>
        <v/>
      </c>
      <c r="BF33" s="268"/>
      <c r="BG33" s="256" t="str">
        <f t="shared" si="26"/>
        <v/>
      </c>
      <c r="BH33" s="256">
        <f t="shared" si="9"/>
        <v>1</v>
      </c>
      <c r="BI33" s="256">
        <f t="shared" si="10"/>
        <v>306017</v>
      </c>
      <c r="BJ33" s="267"/>
      <c r="BK33" s="255"/>
      <c r="BL33" s="259" t="str">
        <f>IF(BK33&lt;&gt;"",BK33/VLOOKUP($V33,Setup!$C$30:$D$41,2,0),"")</f>
        <v/>
      </c>
      <c r="BM33" s="268"/>
      <c r="BN33" s="258" t="str">
        <f t="shared" si="27"/>
        <v/>
      </c>
      <c r="BO33" s="268"/>
      <c r="BP33" s="258" t="str">
        <f t="shared" si="28"/>
        <v/>
      </c>
      <c r="BQ33" s="268"/>
      <c r="BR33" s="258" t="str">
        <f t="shared" si="29"/>
        <v/>
      </c>
      <c r="BS33" s="268"/>
      <c r="BT33" s="256" t="str">
        <f t="shared" si="32"/>
        <v/>
      </c>
      <c r="BU33" s="256" t="str">
        <f t="shared" si="11"/>
        <v/>
      </c>
      <c r="BV33" s="256" t="str">
        <f t="shared" si="12"/>
        <v/>
      </c>
      <c r="BW33" s="267"/>
      <c r="BX33" s="256">
        <f t="shared" si="13"/>
        <v>3</v>
      </c>
      <c r="BY33" s="256">
        <f t="shared" si="14"/>
        <v>828324.82086748304</v>
      </c>
      <c r="BZ33" s="281"/>
      <c r="CA33" s="282"/>
      <c r="CC33" s="112" t="str">
        <f t="shared" ca="1" si="15"/>
        <v/>
      </c>
      <c r="CF33" s="283"/>
      <c r="CG33" s="283"/>
      <c r="CH33" s="283"/>
      <c r="CI33" s="283"/>
      <c r="CL33" s="356" t="str">
        <f>IFERROR(VLOOKUP(C33,'Data Sheet'!$A$3:$B$26,2,FALSE),"")</f>
        <v>MCI-00533</v>
      </c>
    </row>
    <row r="34" spans="1:90" s="112" customFormat="1" ht="51" x14ac:dyDescent="0.25">
      <c r="A34" s="97">
        <v>30</v>
      </c>
      <c r="B34" s="105" t="str">
        <f t="shared" si="35"/>
        <v>a1O36000001EGFHEA4-a1O36000001EGH7EAO-Nationwide</v>
      </c>
      <c r="C34" s="276" t="s">
        <v>2211</v>
      </c>
      <c r="D34" s="101" t="str">
        <f>IFERROR(IF(VLOOKUP(C34,'Data Sheet'!$A$3:$D$26,4,FALSE)=0,"",VLOOKUP(C34,'Data Sheet'!$A$3:$D$26,4,FALSE)),"")</f>
        <v>a1O36000001EGFHEA4</v>
      </c>
      <c r="E34" s="279" t="s">
        <v>2326</v>
      </c>
      <c r="F34" s="103" t="str">
        <f>IFERROR(IF(VLOOKUP(E34,'Data Sheet'!$C$29:$E$174,3,FALSE)=0,"",VLOOKUP(E34,'Data Sheet'!$C$29:$E$174,3,FALSE)),"")</f>
        <v>a1O36000001EGH7EAO</v>
      </c>
      <c r="G34" s="106" t="str">
        <f t="shared" si="2"/>
        <v>a1O36000001EGFHEA4-a1O36000001EGH7EAO</v>
      </c>
      <c r="H34" s="273" t="s">
        <v>2686</v>
      </c>
      <c r="I34" s="107" t="s">
        <v>2749</v>
      </c>
      <c r="J34" s="249" t="str">
        <f t="shared" si="30"/>
        <v>5.4</v>
      </c>
      <c r="K34" s="101" t="str">
        <f>IFERROR(INDEX('Data Sheet'!$C$198:$C$275,MATCH(I34,'Data Sheet'!$F$198:$F$275,0)),"")</f>
        <v>a2C360000007DAMEA2</v>
      </c>
      <c r="L34" s="250">
        <f>IFERROR(INDEX('Data Sheet'!$G$198:$G$275,MATCH(I34,'Data Sheet'!$F$198:$F$275,0)),"")</f>
        <v>5.4</v>
      </c>
      <c r="M34" s="248" t="s">
        <v>2657</v>
      </c>
      <c r="N34" s="248" t="s">
        <v>2759</v>
      </c>
      <c r="O34" s="248" t="s">
        <v>2757</v>
      </c>
      <c r="P34" s="108" t="str">
        <f>IFERROR(INDEX(Setup!$D$44:$D$70,MATCH(M34,Setup!$K$44:$K$70,0))&amp;"","")</f>
        <v>SR</v>
      </c>
      <c r="Q34" s="108" t="str">
        <f>IFERROR(INDEX(Setup!$E$44:$E$70,MATCH(M34,Setup!$K$44:$K$70,0))&amp;"","")</f>
        <v>Government - Ministry of Health</v>
      </c>
      <c r="R34" s="108" t="str">
        <f>IFERROR(INDEX(Setup!$L$44:$L$70,MATCH(M34,Setup!$K$44:$K$70,0))&amp;"","")</f>
        <v/>
      </c>
      <c r="S34" s="108" t="str">
        <f>Setup!$C$30</f>
        <v>USD</v>
      </c>
      <c r="T34" s="109" t="str">
        <f>IFERROR(INDEX('Data Sheet'!$B$198:$B$275,MATCH(I34,'Data Sheet'!$F$198:$F$275,0)),"")</f>
        <v>Cost of a pack</v>
      </c>
      <c r="U34" s="110">
        <f>IFERROR(INDEX('Data Sheet'!$D$198:$D$275,MATCH(I34,'Data Sheet'!$F$198:$F$275,0)),"")</f>
        <v>5</v>
      </c>
      <c r="V34" s="415" t="s">
        <v>8</v>
      </c>
      <c r="W34" s="195" t="str">
        <f>IF(V34=Setup!$C$30,"Grant",IF(V34=Setup!$C$31,"Local",IF(V34=Setup!$C$32,"Other",IF(ISBLANK(V34),"","Other"))))</f>
        <v>Grant</v>
      </c>
      <c r="X34" s="574">
        <v>47738.75</v>
      </c>
      <c r="Y34" s="259">
        <f>IF(X34&lt;&gt;"",X34/VLOOKUP($V34,Setup!$C$30:$D$41,2,0),"")</f>
        <v>47738.75</v>
      </c>
      <c r="Z34" s="262">
        <v>1</v>
      </c>
      <c r="AA34" s="256">
        <f t="shared" si="34"/>
        <v>47738.75</v>
      </c>
      <c r="AB34" s="262"/>
      <c r="AC34" s="258" t="str">
        <f t="shared" si="3"/>
        <v/>
      </c>
      <c r="AD34" s="262"/>
      <c r="AE34" s="258" t="str">
        <f t="shared" si="4"/>
        <v/>
      </c>
      <c r="AF34" s="262"/>
      <c r="AG34" s="256" t="str">
        <f t="shared" si="5"/>
        <v/>
      </c>
      <c r="AH34" s="256">
        <f t="shared" si="33"/>
        <v>1</v>
      </c>
      <c r="AI34" s="256">
        <f t="shared" si="6"/>
        <v>47738.75</v>
      </c>
      <c r="AJ34" s="111"/>
      <c r="AK34" s="574">
        <v>50753.7</v>
      </c>
      <c r="AL34" s="259">
        <f>IF(AK34&lt;&gt;"",AK34/VLOOKUP($V34,Setup!$C$30:$D$41,2,0),"")</f>
        <v>50753.7</v>
      </c>
      <c r="AM34" s="266">
        <v>1</v>
      </c>
      <c r="AN34" s="258">
        <f t="shared" si="18"/>
        <v>50753.7</v>
      </c>
      <c r="AO34" s="266"/>
      <c r="AP34" s="258" t="str">
        <f t="shared" si="19"/>
        <v/>
      </c>
      <c r="AQ34" s="266"/>
      <c r="AR34" s="258" t="str">
        <f t="shared" si="20"/>
        <v/>
      </c>
      <c r="AS34" s="266"/>
      <c r="AT34" s="256" t="str">
        <f t="shared" si="21"/>
        <v/>
      </c>
      <c r="AU34" s="256">
        <f t="shared" si="7"/>
        <v>1</v>
      </c>
      <c r="AV34" s="256">
        <f t="shared" si="8"/>
        <v>50753.7</v>
      </c>
      <c r="AW34" s="267"/>
      <c r="AX34" s="574">
        <v>53994.9</v>
      </c>
      <c r="AY34" s="259">
        <f>IF(AX34&lt;&gt;"",AX34/VLOOKUP($V34,Setup!$C$30:$D$41,2,0),"")</f>
        <v>53994.9</v>
      </c>
      <c r="AZ34" s="268">
        <v>1</v>
      </c>
      <c r="BA34" s="258">
        <f t="shared" si="23"/>
        <v>53994.9</v>
      </c>
      <c r="BB34" s="268"/>
      <c r="BC34" s="258" t="str">
        <f t="shared" si="24"/>
        <v/>
      </c>
      <c r="BD34" s="268"/>
      <c r="BE34" s="258" t="str">
        <f t="shared" si="25"/>
        <v/>
      </c>
      <c r="BF34" s="268"/>
      <c r="BG34" s="256" t="str">
        <f t="shared" si="26"/>
        <v/>
      </c>
      <c r="BH34" s="256">
        <f t="shared" si="9"/>
        <v>1</v>
      </c>
      <c r="BI34" s="256">
        <f t="shared" si="10"/>
        <v>53994.9</v>
      </c>
      <c r="BJ34" s="267"/>
      <c r="BK34" s="255"/>
      <c r="BL34" s="259" t="str">
        <f>IF(BK34&lt;&gt;"",BK34/VLOOKUP($V34,Setup!$C$30:$D$41,2,0),"")</f>
        <v/>
      </c>
      <c r="BM34" s="268"/>
      <c r="BN34" s="258" t="str">
        <f t="shared" si="27"/>
        <v/>
      </c>
      <c r="BO34" s="268"/>
      <c r="BP34" s="258" t="str">
        <f t="shared" si="28"/>
        <v/>
      </c>
      <c r="BQ34" s="268"/>
      <c r="BR34" s="258" t="str">
        <f t="shared" si="29"/>
        <v/>
      </c>
      <c r="BS34" s="268"/>
      <c r="BT34" s="256" t="str">
        <f t="shared" si="32"/>
        <v/>
      </c>
      <c r="BU34" s="256" t="str">
        <f t="shared" si="11"/>
        <v/>
      </c>
      <c r="BV34" s="256" t="str">
        <f t="shared" si="12"/>
        <v/>
      </c>
      <c r="BW34" s="267"/>
      <c r="BX34" s="256">
        <f t="shared" si="13"/>
        <v>3</v>
      </c>
      <c r="BY34" s="256">
        <f t="shared" si="14"/>
        <v>152487.35</v>
      </c>
      <c r="BZ34" s="281"/>
      <c r="CA34" s="282"/>
      <c r="CC34" s="112" t="str">
        <f t="shared" ca="1" si="15"/>
        <v/>
      </c>
      <c r="CF34" s="283"/>
      <c r="CG34" s="283"/>
      <c r="CH34" s="283"/>
      <c r="CI34" s="283"/>
      <c r="CL34" s="356" t="str">
        <f>IFERROR(VLOOKUP(C34,'Data Sheet'!$A$3:$B$26,2,FALSE),"")</f>
        <v>MCI-00007</v>
      </c>
    </row>
    <row r="35" spans="1:90" s="112" customFormat="1" ht="51" x14ac:dyDescent="0.25">
      <c r="A35" s="97">
        <v>31</v>
      </c>
      <c r="B35" s="105" t="str">
        <f t="shared" si="35"/>
        <v>a1O36000001EGFHEA4-a1O36000001EGH4EAO-Nationwide</v>
      </c>
      <c r="C35" s="276" t="s">
        <v>2211</v>
      </c>
      <c r="D35" s="101" t="str">
        <f>IFERROR(IF(VLOOKUP(C35,'Data Sheet'!$A$3:$D$26,4,FALSE)=0,"",VLOOKUP(C35,'Data Sheet'!$A$3:$D$26,4,FALSE)),"")</f>
        <v>a1O36000001EGFHEA4</v>
      </c>
      <c r="E35" s="279" t="s">
        <v>2320</v>
      </c>
      <c r="F35" s="103" t="str">
        <f>IFERROR(IF(VLOOKUP(E35,'Data Sheet'!$C$29:$E$174,3,FALSE)=0,"",VLOOKUP(E35,'Data Sheet'!$C$29:$E$174,3,FALSE)),"")</f>
        <v>a1O36000001EGH4EAO</v>
      </c>
      <c r="G35" s="106" t="str">
        <f t="shared" si="2"/>
        <v>a1O36000001EGFHEA4-a1O36000001EGH4EAO</v>
      </c>
      <c r="H35" s="273" t="s">
        <v>2687</v>
      </c>
      <c r="I35" s="107" t="s">
        <v>3328</v>
      </c>
      <c r="J35" s="249" t="str">
        <f t="shared" si="30"/>
        <v>7.2</v>
      </c>
      <c r="K35" s="101" t="str">
        <f>IFERROR(INDEX('Data Sheet'!$C$198:$C$275,MATCH(I35,'Data Sheet'!$F$198:$F$275,0)),"")</f>
        <v>a2C360000007DAcEAM</v>
      </c>
      <c r="L35" s="250">
        <f>IFERROR(INDEX('Data Sheet'!$G$198:$G$275,MATCH(I35,'Data Sheet'!$F$198:$F$275,0)),"")</f>
        <v>7.2</v>
      </c>
      <c r="M35" s="248" t="s">
        <v>2657</v>
      </c>
      <c r="N35" s="248" t="s">
        <v>2759</v>
      </c>
      <c r="O35" s="248" t="s">
        <v>2757</v>
      </c>
      <c r="P35" s="108" t="str">
        <f>IFERROR(INDEX(Setup!$D$44:$D$70,MATCH(M35,Setup!$K$44:$K$70,0))&amp;"","")</f>
        <v>SR</v>
      </c>
      <c r="Q35" s="108" t="str">
        <f>IFERROR(INDEX(Setup!$E$44:$E$70,MATCH(M35,Setup!$K$44:$K$70,0))&amp;"","")</f>
        <v>Government - Ministry of Health</v>
      </c>
      <c r="R35" s="108" t="str">
        <f>IFERROR(INDEX(Setup!$L$44:$L$70,MATCH(M35,Setup!$K$44:$K$70,0))&amp;"","")</f>
        <v/>
      </c>
      <c r="S35" s="108" t="str">
        <f>Setup!$C$30</f>
        <v>USD</v>
      </c>
      <c r="T35" s="109" t="str">
        <f>IFERROR(INDEX('Data Sheet'!$B$198:$B$275,MATCH(I35,'Data Sheet'!$F$198:$F$275,0)),"")</f>
        <v>N/A</v>
      </c>
      <c r="U35" s="110">
        <f>IFERROR(INDEX('Data Sheet'!$D$198:$D$275,MATCH(I35,'Data Sheet'!$F$198:$F$275,0)),"")</f>
        <v>7</v>
      </c>
      <c r="V35" s="415" t="s">
        <v>8</v>
      </c>
      <c r="W35" s="195" t="str">
        <f>IF(V35=Setup!$C$30,"Grant",IF(V35=Setup!$C$31,"Local",IF(V35=Setup!$C$32,"Other",IF(ISBLANK(V35),"","Other"))))</f>
        <v>Grant</v>
      </c>
      <c r="X35" s="574">
        <v>9547.75</v>
      </c>
      <c r="Y35" s="259">
        <f>IF(X35&lt;&gt;"",X35/VLOOKUP($V35,Setup!$C$30:$D$41,2,0),"")</f>
        <v>9547.75</v>
      </c>
      <c r="Z35" s="262">
        <v>1</v>
      </c>
      <c r="AA35" s="256">
        <f t="shared" si="34"/>
        <v>9547.75</v>
      </c>
      <c r="AB35" s="262"/>
      <c r="AC35" s="258" t="str">
        <f t="shared" si="3"/>
        <v/>
      </c>
      <c r="AD35" s="262"/>
      <c r="AE35" s="258" t="str">
        <f t="shared" si="4"/>
        <v/>
      </c>
      <c r="AF35" s="262"/>
      <c r="AG35" s="256" t="str">
        <f t="shared" si="5"/>
        <v/>
      </c>
      <c r="AH35" s="256">
        <f t="shared" si="33"/>
        <v>1</v>
      </c>
      <c r="AI35" s="256">
        <f t="shared" si="6"/>
        <v>9547.75</v>
      </c>
      <c r="AJ35" s="111"/>
      <c r="AK35" s="574">
        <v>10150.74</v>
      </c>
      <c r="AL35" s="259">
        <f>IF(AK35&lt;&gt;"",AK35/VLOOKUP($V35,Setup!$C$30:$D$41,2,0),"")</f>
        <v>10150.74</v>
      </c>
      <c r="AM35" s="266">
        <f>AM34</f>
        <v>1</v>
      </c>
      <c r="AN35" s="258">
        <f t="shared" si="18"/>
        <v>10150.74</v>
      </c>
      <c r="AO35" s="266"/>
      <c r="AP35" s="258" t="str">
        <f t="shared" si="19"/>
        <v/>
      </c>
      <c r="AQ35" s="266"/>
      <c r="AR35" s="258" t="str">
        <f t="shared" si="20"/>
        <v/>
      </c>
      <c r="AS35" s="266"/>
      <c r="AT35" s="256" t="str">
        <f t="shared" si="21"/>
        <v/>
      </c>
      <c r="AU35" s="256">
        <f t="shared" si="7"/>
        <v>1</v>
      </c>
      <c r="AV35" s="256">
        <f t="shared" si="8"/>
        <v>10150.74</v>
      </c>
      <c r="AW35" s="267"/>
      <c r="AX35" s="574">
        <v>10798.980000000001</v>
      </c>
      <c r="AY35" s="259">
        <f>IF(AX35&lt;&gt;"",AX35/VLOOKUP($V35,Setup!$C$30:$D$41,2,0),"")</f>
        <v>10798.980000000001</v>
      </c>
      <c r="AZ35" s="268">
        <f>AZ34</f>
        <v>1</v>
      </c>
      <c r="BA35" s="258">
        <f t="shared" si="23"/>
        <v>10798.980000000001</v>
      </c>
      <c r="BB35" s="268"/>
      <c r="BC35" s="258" t="str">
        <f t="shared" si="24"/>
        <v/>
      </c>
      <c r="BD35" s="268"/>
      <c r="BE35" s="258" t="str">
        <f t="shared" si="25"/>
        <v/>
      </c>
      <c r="BF35" s="268"/>
      <c r="BG35" s="256" t="str">
        <f t="shared" si="26"/>
        <v/>
      </c>
      <c r="BH35" s="256">
        <f t="shared" si="9"/>
        <v>1</v>
      </c>
      <c r="BI35" s="256">
        <f t="shared" si="10"/>
        <v>10798.980000000001</v>
      </c>
      <c r="BJ35" s="267"/>
      <c r="BK35" s="255"/>
      <c r="BL35" s="259" t="str">
        <f>IF(BK35&lt;&gt;"",BK35/VLOOKUP($V35,Setup!$C$30:$D$41,2,0),"")</f>
        <v/>
      </c>
      <c r="BM35" s="268"/>
      <c r="BN35" s="258" t="str">
        <f t="shared" si="27"/>
        <v/>
      </c>
      <c r="BO35" s="268"/>
      <c r="BP35" s="258" t="str">
        <f t="shared" si="28"/>
        <v/>
      </c>
      <c r="BQ35" s="268"/>
      <c r="BR35" s="258" t="str">
        <f t="shared" si="29"/>
        <v/>
      </c>
      <c r="BS35" s="268"/>
      <c r="BT35" s="256" t="str">
        <f t="shared" si="32"/>
        <v/>
      </c>
      <c r="BU35" s="256" t="str">
        <f t="shared" si="11"/>
        <v/>
      </c>
      <c r="BV35" s="256" t="str">
        <f t="shared" si="12"/>
        <v/>
      </c>
      <c r="BW35" s="267"/>
      <c r="BX35" s="256">
        <f t="shared" si="13"/>
        <v>3</v>
      </c>
      <c r="BY35" s="256">
        <f t="shared" si="14"/>
        <v>30497.47</v>
      </c>
      <c r="BZ35" s="281"/>
      <c r="CA35" s="282"/>
      <c r="CC35" s="112" t="str">
        <f t="shared" ca="1" si="15"/>
        <v/>
      </c>
      <c r="CF35" s="283"/>
      <c r="CG35" s="283"/>
      <c r="CH35" s="283"/>
      <c r="CI35" s="283"/>
      <c r="CL35" s="356" t="str">
        <f>IFERROR(VLOOKUP(C35,'Data Sheet'!$A$3:$B$26,2,FALSE),"")</f>
        <v>MCI-00007</v>
      </c>
    </row>
    <row r="36" spans="1:90" s="112" customFormat="1" ht="51" x14ac:dyDescent="0.25">
      <c r="A36" s="97">
        <v>32</v>
      </c>
      <c r="B36" s="105" t="str">
        <f t="shared" si="35"/>
        <v>a1O36000001EGFXEA4-a1O36000001EGIVEA4-Nationwide</v>
      </c>
      <c r="C36" s="276" t="s">
        <v>2181</v>
      </c>
      <c r="D36" s="101" t="str">
        <f>IFERROR(IF(VLOOKUP(C36,'Data Sheet'!$A$3:$D$26,4,FALSE)=0,"",VLOOKUP(C36,'Data Sheet'!$A$3:$D$26,4,FALSE)),"")</f>
        <v>a1O36000001EGFXEA4</v>
      </c>
      <c r="E36" s="279" t="s">
        <v>2408</v>
      </c>
      <c r="F36" s="103" t="str">
        <f>IFERROR(IF(VLOOKUP(E36,'Data Sheet'!$C$29:$E$174,3,FALSE)=0,"",VLOOKUP(E36,'Data Sheet'!$C$29:$E$174,3,FALSE)),"")</f>
        <v>a1O36000001EGIVEA4</v>
      </c>
      <c r="G36" s="106" t="str">
        <f t="shared" si="2"/>
        <v>a1O36000001EGFXEA4-a1O36000001EGIVEA4</v>
      </c>
      <c r="H36" s="273" t="s">
        <v>2688</v>
      </c>
      <c r="I36" s="107" t="s">
        <v>2737</v>
      </c>
      <c r="J36" s="249" t="str">
        <f t="shared" si="30"/>
        <v>11.1</v>
      </c>
      <c r="K36" s="101" t="str">
        <f>IFERROR(INDEX('Data Sheet'!$C$198:$C$275,MATCH(I36,'Data Sheet'!$F$198:$F$275,0)),"")</f>
        <v>a2C360000007DAuEAM</v>
      </c>
      <c r="L36" s="250">
        <f>IFERROR(INDEX('Data Sheet'!$G$198:$G$275,MATCH(I36,'Data Sheet'!$F$198:$F$275,0)),"")</f>
        <v>11.1</v>
      </c>
      <c r="M36" s="248" t="s">
        <v>2657</v>
      </c>
      <c r="N36" s="248" t="s">
        <v>2759</v>
      </c>
      <c r="O36" s="248" t="s">
        <v>2128</v>
      </c>
      <c r="P36" s="108" t="str">
        <f>IFERROR(INDEX(Setup!$D$44:$D$70,MATCH(M36,Setup!$K$44:$K$70,0))&amp;"","")</f>
        <v>SR</v>
      </c>
      <c r="Q36" s="108" t="str">
        <f>IFERROR(INDEX(Setup!$E$44:$E$70,MATCH(M36,Setup!$K$44:$K$70,0))&amp;"","")</f>
        <v>Government - Ministry of Health</v>
      </c>
      <c r="R36" s="108" t="str">
        <f>IFERROR(INDEX(Setup!$L$44:$L$70,MATCH(M36,Setup!$K$44:$K$70,0))&amp;"","")</f>
        <v/>
      </c>
      <c r="S36" s="108" t="str">
        <f>Setup!$C$30</f>
        <v>USD</v>
      </c>
      <c r="T36" s="109" t="str">
        <f>IFERROR(INDEX('Data Sheet'!$B$198:$B$275,MATCH(I36,'Data Sheet'!$F$198:$F$275,0)),"")</f>
        <v>Average office cost per office unit per quarter</v>
      </c>
      <c r="U36" s="110">
        <f>IFERROR(INDEX('Data Sheet'!$D$198:$D$275,MATCH(I36,'Data Sheet'!$F$198:$F$275,0)),"")</f>
        <v>11</v>
      </c>
      <c r="V36" s="415" t="s">
        <v>992</v>
      </c>
      <c r="W36" s="195" t="str">
        <f>IF(V36=Setup!$C$30,"Grant",IF(V36=Setup!$C$31,"Local",IF(V36=Setup!$C$32,"Other",IF(ISBLANK(V36),"","Other"))))</f>
        <v>Local</v>
      </c>
      <c r="X36" s="255">
        <f>'Assumptions Other'!G55</f>
        <v>6070000</v>
      </c>
      <c r="Y36" s="259">
        <f>IF(X36&lt;&gt;"",X36/VLOOKUP($V36,Setup!$C$30:$D$41,2,0),"")</f>
        <v>741.92087886847264</v>
      </c>
      <c r="Z36" s="262">
        <v>1</v>
      </c>
      <c r="AA36" s="256">
        <f t="shared" si="34"/>
        <v>741.92087886847264</v>
      </c>
      <c r="AB36" s="262">
        <v>1</v>
      </c>
      <c r="AC36" s="258">
        <f t="shared" si="3"/>
        <v>741.92087886847264</v>
      </c>
      <c r="AD36" s="262">
        <v>1</v>
      </c>
      <c r="AE36" s="258">
        <f t="shared" si="4"/>
        <v>741.92087886847264</v>
      </c>
      <c r="AF36" s="262">
        <v>1</v>
      </c>
      <c r="AG36" s="256">
        <f t="shared" si="5"/>
        <v>741.92087886847264</v>
      </c>
      <c r="AH36" s="256">
        <f t="shared" si="33"/>
        <v>4</v>
      </c>
      <c r="AI36" s="256">
        <f t="shared" si="6"/>
        <v>2967.6835154738906</v>
      </c>
      <c r="AJ36" s="111"/>
      <c r="AK36" s="255">
        <f>X36</f>
        <v>6070000</v>
      </c>
      <c r="AL36" s="259">
        <f>IF(AK36&lt;&gt;"",AK36/VLOOKUP($V36,Setup!$C$30:$D$41,2,0),"")</f>
        <v>741.92087886847264</v>
      </c>
      <c r="AM36" s="266">
        <v>1</v>
      </c>
      <c r="AN36" s="258">
        <f t="shared" si="18"/>
        <v>741.92087886847264</v>
      </c>
      <c r="AO36" s="266">
        <v>1</v>
      </c>
      <c r="AP36" s="258">
        <f t="shared" si="19"/>
        <v>741.92087886847264</v>
      </c>
      <c r="AQ36" s="266">
        <v>1</v>
      </c>
      <c r="AR36" s="258">
        <f t="shared" si="20"/>
        <v>741.92087886847264</v>
      </c>
      <c r="AS36" s="266">
        <v>1</v>
      </c>
      <c r="AT36" s="256">
        <f t="shared" si="21"/>
        <v>741.92087886847264</v>
      </c>
      <c r="AU36" s="256">
        <f t="shared" si="7"/>
        <v>4</v>
      </c>
      <c r="AV36" s="256">
        <f t="shared" si="8"/>
        <v>2967.6835154738906</v>
      </c>
      <c r="AW36" s="267"/>
      <c r="AX36" s="255">
        <f>X36</f>
        <v>6070000</v>
      </c>
      <c r="AY36" s="259">
        <f>IF(AX36&lt;&gt;"",AX36/VLOOKUP($V36,Setup!$C$30:$D$41,2,0),"")</f>
        <v>741.92087886847264</v>
      </c>
      <c r="AZ36" s="268">
        <v>1</v>
      </c>
      <c r="BA36" s="258">
        <f t="shared" si="23"/>
        <v>741.92087886847264</v>
      </c>
      <c r="BB36" s="268">
        <v>1</v>
      </c>
      <c r="BC36" s="258">
        <f t="shared" si="24"/>
        <v>741.92087886847264</v>
      </c>
      <c r="BD36" s="268">
        <v>1</v>
      </c>
      <c r="BE36" s="258">
        <f t="shared" si="25"/>
        <v>741.92087886847264</v>
      </c>
      <c r="BF36" s="268">
        <v>1</v>
      </c>
      <c r="BG36" s="256">
        <f t="shared" si="26"/>
        <v>741.92087886847264</v>
      </c>
      <c r="BH36" s="256">
        <f t="shared" si="9"/>
        <v>4</v>
      </c>
      <c r="BI36" s="256">
        <f t="shared" si="10"/>
        <v>2967.6835154738906</v>
      </c>
      <c r="BJ36" s="267"/>
      <c r="BK36" s="255"/>
      <c r="BL36" s="259" t="str">
        <f>IF(BK36&lt;&gt;"",BK36/VLOOKUP($V36,Setup!$C$30:$D$41,2,0),"")</f>
        <v/>
      </c>
      <c r="BM36" s="268"/>
      <c r="BN36" s="258" t="str">
        <f t="shared" si="27"/>
        <v/>
      </c>
      <c r="BO36" s="268"/>
      <c r="BP36" s="258" t="str">
        <f t="shared" si="28"/>
        <v/>
      </c>
      <c r="BQ36" s="268"/>
      <c r="BR36" s="258" t="str">
        <f t="shared" si="29"/>
        <v/>
      </c>
      <c r="BS36" s="268"/>
      <c r="BT36" s="256" t="str">
        <f t="shared" si="32"/>
        <v/>
      </c>
      <c r="BU36" s="256" t="str">
        <f t="shared" si="11"/>
        <v/>
      </c>
      <c r="BV36" s="256" t="str">
        <f t="shared" si="12"/>
        <v/>
      </c>
      <c r="BW36" s="267"/>
      <c r="BX36" s="256">
        <f t="shared" si="13"/>
        <v>12</v>
      </c>
      <c r="BY36" s="256">
        <f t="shared" si="14"/>
        <v>8903.0505464216712</v>
      </c>
      <c r="BZ36" s="281"/>
      <c r="CA36" s="282"/>
      <c r="CC36" s="112" t="str">
        <f t="shared" ca="1" si="15"/>
        <v/>
      </c>
      <c r="CF36" s="283"/>
      <c r="CG36" s="283"/>
      <c r="CH36" s="283"/>
      <c r="CI36" s="283"/>
      <c r="CL36" s="356" t="str">
        <f>IFERROR(VLOOKUP(C36,'Data Sheet'!$A$3:$B$26,2,FALSE),"")</f>
        <v>MCI-00023</v>
      </c>
    </row>
    <row r="37" spans="1:90" s="112" customFormat="1" ht="51" x14ac:dyDescent="0.25">
      <c r="A37" s="97">
        <v>33</v>
      </c>
      <c r="B37" s="105" t="str">
        <f t="shared" si="35"/>
        <v>a1O36000001EGFXEA4-a1O36000001EGIVEA4-Nationwide</v>
      </c>
      <c r="C37" s="276" t="s">
        <v>2181</v>
      </c>
      <c r="D37" s="101" t="str">
        <f>IFERROR(IF(VLOOKUP(C37,'Data Sheet'!$A$3:$D$26,4,FALSE)=0,"",VLOOKUP(C37,'Data Sheet'!$A$3:$D$26,4,FALSE)),"")</f>
        <v>a1O36000001EGFXEA4</v>
      </c>
      <c r="E37" s="279" t="s">
        <v>2408</v>
      </c>
      <c r="F37" s="103" t="str">
        <f>IFERROR(IF(VLOOKUP(E37,'Data Sheet'!$C$29:$E$174,3,FALSE)=0,"",VLOOKUP(E37,'Data Sheet'!$C$29:$E$174,3,FALSE)),"")</f>
        <v>a1O36000001EGIVEA4</v>
      </c>
      <c r="G37" s="106" t="str">
        <f t="shared" si="2"/>
        <v>a1O36000001EGFXEA4-a1O36000001EGIVEA4</v>
      </c>
      <c r="H37" s="273" t="s">
        <v>2689</v>
      </c>
      <c r="I37" s="107" t="s">
        <v>2737</v>
      </c>
      <c r="J37" s="249" t="str">
        <f t="shared" si="30"/>
        <v>11.1</v>
      </c>
      <c r="K37" s="101" t="str">
        <f>IFERROR(INDEX('Data Sheet'!$C$198:$C$275,MATCH(I37,'Data Sheet'!$F$198:$F$275,0)),"")</f>
        <v>a2C360000007DAuEAM</v>
      </c>
      <c r="L37" s="250">
        <f>IFERROR(INDEX('Data Sheet'!$G$198:$G$275,MATCH(I37,'Data Sheet'!$F$198:$F$275,0)),"")</f>
        <v>11.1</v>
      </c>
      <c r="M37" s="248" t="s">
        <v>2657</v>
      </c>
      <c r="N37" s="248" t="s">
        <v>2759</v>
      </c>
      <c r="O37" s="248" t="s">
        <v>2128</v>
      </c>
      <c r="P37" s="108" t="str">
        <f>IFERROR(INDEX(Setup!$D$44:$D$70,MATCH(M37,Setup!$K$44:$K$70,0))&amp;"","")</f>
        <v>SR</v>
      </c>
      <c r="Q37" s="108" t="str">
        <f>IFERROR(INDEX(Setup!$E$44:$E$70,MATCH(M37,Setup!$K$44:$K$70,0))&amp;"","")</f>
        <v>Government - Ministry of Health</v>
      </c>
      <c r="R37" s="108" t="str">
        <f>IFERROR(INDEX(Setup!$L$44:$L$70,MATCH(M37,Setup!$K$44:$K$70,0))&amp;"","")</f>
        <v/>
      </c>
      <c r="S37" s="108" t="str">
        <f>Setup!$C$30</f>
        <v>USD</v>
      </c>
      <c r="T37" s="109" t="str">
        <f>IFERROR(INDEX('Data Sheet'!$B$198:$B$275,MATCH(I37,'Data Sheet'!$F$198:$F$275,0)),"")</f>
        <v>Average office cost per office unit per quarter</v>
      </c>
      <c r="U37" s="110">
        <f>IFERROR(INDEX('Data Sheet'!$D$198:$D$275,MATCH(I37,'Data Sheet'!$F$198:$F$275,0)),"")</f>
        <v>11</v>
      </c>
      <c r="V37" s="415" t="s">
        <v>992</v>
      </c>
      <c r="W37" s="195" t="str">
        <f>IF(V37=Setup!$C$30,"Grant",IF(V37=Setup!$C$31,"Local",IF(V37=Setup!$C$32,"Other",IF(ISBLANK(V37),"","Other"))))</f>
        <v>Local</v>
      </c>
      <c r="X37" s="255">
        <f>'Assumptions Other'!G62</f>
        <v>6070000</v>
      </c>
      <c r="Y37" s="259">
        <f>IF(X37&lt;&gt;"",X37/VLOOKUP($V37,Setup!$C$30:$D$41,2,0),"")</f>
        <v>741.92087886847264</v>
      </c>
      <c r="Z37" s="262">
        <v>1</v>
      </c>
      <c r="AA37" s="256">
        <f t="shared" si="34"/>
        <v>741.92087886847264</v>
      </c>
      <c r="AB37" s="262">
        <v>1</v>
      </c>
      <c r="AC37" s="258">
        <f t="shared" si="3"/>
        <v>741.92087886847264</v>
      </c>
      <c r="AD37" s="262">
        <v>1</v>
      </c>
      <c r="AE37" s="258">
        <f t="shared" si="4"/>
        <v>741.92087886847264</v>
      </c>
      <c r="AF37" s="262">
        <v>1</v>
      </c>
      <c r="AG37" s="256">
        <f t="shared" si="5"/>
        <v>741.92087886847264</v>
      </c>
      <c r="AH37" s="256">
        <f t="shared" si="33"/>
        <v>4</v>
      </c>
      <c r="AI37" s="256">
        <f t="shared" si="6"/>
        <v>2967.6835154738906</v>
      </c>
      <c r="AJ37" s="111"/>
      <c r="AK37" s="255">
        <f>X37</f>
        <v>6070000</v>
      </c>
      <c r="AL37" s="259">
        <f>IF(AK37&lt;&gt;"",AK37/VLOOKUP($V37,Setup!$C$30:$D$41,2,0),"")</f>
        <v>741.92087886847264</v>
      </c>
      <c r="AM37" s="266">
        <v>1</v>
      </c>
      <c r="AN37" s="258">
        <f t="shared" si="18"/>
        <v>741.92087886847264</v>
      </c>
      <c r="AO37" s="266">
        <v>1</v>
      </c>
      <c r="AP37" s="258">
        <f t="shared" si="19"/>
        <v>741.92087886847264</v>
      </c>
      <c r="AQ37" s="266">
        <v>1</v>
      </c>
      <c r="AR37" s="258">
        <f t="shared" si="20"/>
        <v>741.92087886847264</v>
      </c>
      <c r="AS37" s="266">
        <v>1</v>
      </c>
      <c r="AT37" s="256">
        <f t="shared" si="21"/>
        <v>741.92087886847264</v>
      </c>
      <c r="AU37" s="256">
        <f t="shared" si="7"/>
        <v>4</v>
      </c>
      <c r="AV37" s="256">
        <f t="shared" si="8"/>
        <v>2967.6835154738906</v>
      </c>
      <c r="AW37" s="267"/>
      <c r="AX37" s="255">
        <f>X37</f>
        <v>6070000</v>
      </c>
      <c r="AY37" s="259">
        <f>IF(AX37&lt;&gt;"",AX37/VLOOKUP($V37,Setup!$C$30:$D$41,2,0),"")</f>
        <v>741.92087886847264</v>
      </c>
      <c r="AZ37" s="268">
        <v>1</v>
      </c>
      <c r="BA37" s="258">
        <f t="shared" si="23"/>
        <v>741.92087886847264</v>
      </c>
      <c r="BB37" s="268">
        <v>1</v>
      </c>
      <c r="BC37" s="258">
        <f t="shared" si="24"/>
        <v>741.92087886847264</v>
      </c>
      <c r="BD37" s="268">
        <v>1</v>
      </c>
      <c r="BE37" s="258">
        <f t="shared" si="25"/>
        <v>741.92087886847264</v>
      </c>
      <c r="BF37" s="268">
        <v>1</v>
      </c>
      <c r="BG37" s="256">
        <f t="shared" si="26"/>
        <v>741.92087886847264</v>
      </c>
      <c r="BH37" s="256">
        <f t="shared" si="9"/>
        <v>4</v>
      </c>
      <c r="BI37" s="256">
        <f t="shared" si="10"/>
        <v>2967.6835154738906</v>
      </c>
      <c r="BJ37" s="267"/>
      <c r="BK37" s="255"/>
      <c r="BL37" s="259" t="str">
        <f>IF(BK37&lt;&gt;"",BK37/VLOOKUP($V37,Setup!$C$30:$D$41,2,0),"")</f>
        <v/>
      </c>
      <c r="BM37" s="268"/>
      <c r="BN37" s="258" t="str">
        <f t="shared" si="27"/>
        <v/>
      </c>
      <c r="BO37" s="268"/>
      <c r="BP37" s="258" t="str">
        <f t="shared" si="28"/>
        <v/>
      </c>
      <c r="BQ37" s="268"/>
      <c r="BR37" s="258" t="str">
        <f t="shared" si="29"/>
        <v/>
      </c>
      <c r="BS37" s="268"/>
      <c r="BT37" s="256" t="str">
        <f t="shared" si="32"/>
        <v/>
      </c>
      <c r="BU37" s="256" t="str">
        <f t="shared" si="11"/>
        <v/>
      </c>
      <c r="BV37" s="256" t="str">
        <f t="shared" si="12"/>
        <v/>
      </c>
      <c r="BW37" s="267"/>
      <c r="BX37" s="256">
        <f t="shared" si="13"/>
        <v>12</v>
      </c>
      <c r="BY37" s="256">
        <f t="shared" si="14"/>
        <v>8903.0505464216712</v>
      </c>
      <c r="BZ37" s="281"/>
      <c r="CA37" s="282"/>
      <c r="CC37" s="112" t="str">
        <f t="shared" ca="1" si="15"/>
        <v/>
      </c>
      <c r="CF37" s="283"/>
      <c r="CG37" s="283"/>
      <c r="CH37" s="283"/>
      <c r="CI37" s="283"/>
      <c r="CL37" s="356" t="str">
        <f>IFERROR(VLOOKUP(C37,'Data Sheet'!$A$3:$B$26,2,FALSE),"")</f>
        <v>MCI-00023</v>
      </c>
    </row>
    <row r="38" spans="1:90" s="112" customFormat="1" ht="51" x14ac:dyDescent="0.25">
      <c r="A38" s="97">
        <v>34</v>
      </c>
      <c r="B38" s="105" t="str">
        <f t="shared" si="35"/>
        <v>a1O36000001EGFHEA4-a1O36000001EGH3EAO-Nationwide</v>
      </c>
      <c r="C38" s="276" t="s">
        <v>2211</v>
      </c>
      <c r="D38" s="101" t="str">
        <f>IFERROR(IF(VLOOKUP(C38,'Data Sheet'!$A$3:$D$26,4,FALSE)=0,"",VLOOKUP(C38,'Data Sheet'!$A$3:$D$26,4,FALSE)),"")</f>
        <v>a1O36000001EGFHEA4</v>
      </c>
      <c r="E38" s="279" t="s">
        <v>2322</v>
      </c>
      <c r="F38" s="103" t="str">
        <f>IFERROR(IF(VLOOKUP(E38,'Data Sheet'!$C$29:$E$174,3,FALSE)=0,"",VLOOKUP(E38,'Data Sheet'!$C$29:$E$174,3,FALSE)),"")</f>
        <v>a1O36000001EGH3EAO</v>
      </c>
      <c r="G38" s="106" t="str">
        <f t="shared" si="2"/>
        <v>a1O36000001EGFHEA4-a1O36000001EGH3EAO</v>
      </c>
      <c r="H38" s="273" t="s">
        <v>3143</v>
      </c>
      <c r="I38" s="107" t="s">
        <v>2750</v>
      </c>
      <c r="J38" s="249" t="str">
        <f t="shared" si="30"/>
        <v>7.4</v>
      </c>
      <c r="K38" s="101" t="str">
        <f>IFERROR(INDEX('Data Sheet'!$C$198:$C$275,MATCH(I38,'Data Sheet'!$F$198:$F$275,0)),"")</f>
        <v>a2C360000007DAeEAM</v>
      </c>
      <c r="L38" s="250">
        <f>IFERROR(INDEX('Data Sheet'!$G$198:$G$275,MATCH(I38,'Data Sheet'!$F$198:$F$275,0)),"")</f>
        <v>7.4</v>
      </c>
      <c r="M38" s="248" t="s">
        <v>2657</v>
      </c>
      <c r="N38" s="248" t="s">
        <v>2759</v>
      </c>
      <c r="O38" s="248" t="s">
        <v>2128</v>
      </c>
      <c r="P38" s="108" t="str">
        <f>IFERROR(INDEX(Setup!$D$44:$D$70,MATCH(M38,Setup!$K$44:$K$70,0))&amp;"","")</f>
        <v>SR</v>
      </c>
      <c r="Q38" s="108" t="str">
        <f>IFERROR(INDEX(Setup!$E$44:$E$70,MATCH(M38,Setup!$K$44:$K$70,0))&amp;"","")</f>
        <v>Government - Ministry of Health</v>
      </c>
      <c r="R38" s="108" t="str">
        <f>IFERROR(INDEX(Setup!$L$44:$L$70,MATCH(M38,Setup!$K$44:$K$70,0))&amp;"","")</f>
        <v/>
      </c>
      <c r="S38" s="108" t="str">
        <f>Setup!$C$30</f>
        <v>USD</v>
      </c>
      <c r="T38" s="109" t="str">
        <f>IFERROR(INDEX('Data Sheet'!$B$198:$B$275,MATCH(I38,'Data Sheet'!$F$198:$F$275,0)),"")</f>
        <v>N/A</v>
      </c>
      <c r="U38" s="110">
        <f>IFERROR(INDEX('Data Sheet'!$D$198:$D$275,MATCH(I38,'Data Sheet'!$F$198:$F$275,0)),"")</f>
        <v>7</v>
      </c>
      <c r="V38" s="415" t="s">
        <v>8</v>
      </c>
      <c r="W38" s="195" t="str">
        <f>IF(V38=Setup!$C$30,"Grant",IF(V38=Setup!$C$31,"Local",IF(V38=Setup!$C$32,"Other",IF(ISBLANK(V38),"","Other"))))</f>
        <v>Grant</v>
      </c>
      <c r="X38" s="574">
        <v>4000</v>
      </c>
      <c r="Y38" s="259">
        <f>IF(X38&lt;&gt;"",X38/VLOOKUP($V38,Setup!$C$30:$D$41,2,0),"")</f>
        <v>4000</v>
      </c>
      <c r="Z38" s="262">
        <v>1</v>
      </c>
      <c r="AA38" s="256">
        <f t="shared" si="34"/>
        <v>4000</v>
      </c>
      <c r="AB38" s="262">
        <v>1</v>
      </c>
      <c r="AC38" s="258">
        <f t="shared" si="3"/>
        <v>4000</v>
      </c>
      <c r="AD38" s="262">
        <v>1</v>
      </c>
      <c r="AE38" s="258">
        <f t="shared" si="4"/>
        <v>4000</v>
      </c>
      <c r="AF38" s="262">
        <v>1</v>
      </c>
      <c r="AG38" s="256">
        <f t="shared" si="5"/>
        <v>4000</v>
      </c>
      <c r="AH38" s="256">
        <f t="shared" si="33"/>
        <v>4</v>
      </c>
      <c r="AI38" s="256">
        <f t="shared" si="6"/>
        <v>16000</v>
      </c>
      <c r="AJ38" s="111"/>
      <c r="AK38" s="255">
        <f t="shared" ref="AK38:AK50" si="36">X38</f>
        <v>4000</v>
      </c>
      <c r="AL38" s="259">
        <f>IF(AK38&lt;&gt;"",AK38/VLOOKUP($V38,Setup!$C$30:$D$41,2,0),"")</f>
        <v>4000</v>
      </c>
      <c r="AM38" s="266">
        <v>1</v>
      </c>
      <c r="AN38" s="258">
        <f t="shared" si="18"/>
        <v>4000</v>
      </c>
      <c r="AO38" s="266">
        <v>1</v>
      </c>
      <c r="AP38" s="258">
        <f t="shared" si="19"/>
        <v>4000</v>
      </c>
      <c r="AQ38" s="266">
        <v>1</v>
      </c>
      <c r="AR38" s="258">
        <f t="shared" si="20"/>
        <v>4000</v>
      </c>
      <c r="AS38" s="266">
        <v>1</v>
      </c>
      <c r="AT38" s="256">
        <f t="shared" si="21"/>
        <v>4000</v>
      </c>
      <c r="AU38" s="256">
        <f t="shared" si="7"/>
        <v>4</v>
      </c>
      <c r="AV38" s="256">
        <f t="shared" si="8"/>
        <v>16000</v>
      </c>
      <c r="AW38" s="267"/>
      <c r="AX38" s="255">
        <f t="shared" ref="AX38:AX43" si="37">X38</f>
        <v>4000</v>
      </c>
      <c r="AY38" s="259">
        <f>IF(AX38&lt;&gt;"",AX38/VLOOKUP($V38,Setup!$C$30:$D$41,2,0),"")</f>
        <v>4000</v>
      </c>
      <c r="AZ38" s="268">
        <v>1</v>
      </c>
      <c r="BA38" s="258">
        <f t="shared" si="23"/>
        <v>4000</v>
      </c>
      <c r="BB38" s="268">
        <v>1</v>
      </c>
      <c r="BC38" s="258">
        <f t="shared" si="24"/>
        <v>4000</v>
      </c>
      <c r="BD38" s="268">
        <v>1</v>
      </c>
      <c r="BE38" s="258">
        <f t="shared" si="25"/>
        <v>4000</v>
      </c>
      <c r="BF38" s="268">
        <v>1</v>
      </c>
      <c r="BG38" s="256">
        <f t="shared" si="26"/>
        <v>4000</v>
      </c>
      <c r="BH38" s="256">
        <f t="shared" si="9"/>
        <v>4</v>
      </c>
      <c r="BI38" s="256">
        <f t="shared" si="10"/>
        <v>16000</v>
      </c>
      <c r="BJ38" s="267"/>
      <c r="BK38" s="255"/>
      <c r="BL38" s="259" t="str">
        <f>IF(BK38&lt;&gt;"",BK38/VLOOKUP($V38,Setup!$C$30:$D$41,2,0),"")</f>
        <v/>
      </c>
      <c r="BM38" s="268"/>
      <c r="BN38" s="258" t="str">
        <f t="shared" si="27"/>
        <v/>
      </c>
      <c r="BO38" s="268"/>
      <c r="BP38" s="258" t="str">
        <f t="shared" si="28"/>
        <v/>
      </c>
      <c r="BQ38" s="268"/>
      <c r="BR38" s="258" t="str">
        <f t="shared" si="29"/>
        <v/>
      </c>
      <c r="BS38" s="268"/>
      <c r="BT38" s="256" t="str">
        <f t="shared" si="32"/>
        <v/>
      </c>
      <c r="BU38" s="256" t="str">
        <f t="shared" si="11"/>
        <v/>
      </c>
      <c r="BV38" s="256" t="str">
        <f t="shared" si="12"/>
        <v/>
      </c>
      <c r="BW38" s="267"/>
      <c r="BX38" s="256">
        <f t="shared" si="13"/>
        <v>12</v>
      </c>
      <c r="BY38" s="256">
        <f t="shared" si="14"/>
        <v>48000</v>
      </c>
      <c r="BZ38" s="281"/>
      <c r="CA38" s="282"/>
      <c r="CC38" s="112" t="str">
        <f t="shared" ca="1" si="15"/>
        <v/>
      </c>
      <c r="CF38" s="283"/>
      <c r="CG38" s="283"/>
      <c r="CH38" s="283"/>
      <c r="CI38" s="283"/>
      <c r="CL38" s="356" t="str">
        <f>IFERROR(VLOOKUP(C38,'Data Sheet'!$A$3:$B$26,2,FALSE),"")</f>
        <v>MCI-00007</v>
      </c>
    </row>
    <row r="39" spans="1:90" s="112" customFormat="1" ht="51" x14ac:dyDescent="0.25">
      <c r="A39" s="97">
        <v>35</v>
      </c>
      <c r="B39" s="105" t="str">
        <f t="shared" si="35"/>
        <v>a1O36000001EGFHEA4-a1O36000001EGH3EAO-Nationwide</v>
      </c>
      <c r="C39" s="276" t="s">
        <v>2211</v>
      </c>
      <c r="D39" s="101" t="str">
        <f>IFERROR(IF(VLOOKUP(C39,'Data Sheet'!$A$3:$D$26,4,FALSE)=0,"",VLOOKUP(C39,'Data Sheet'!$A$3:$D$26,4,FALSE)),"")</f>
        <v>a1O36000001EGFHEA4</v>
      </c>
      <c r="E39" s="279" t="s">
        <v>2322</v>
      </c>
      <c r="F39" s="103" t="str">
        <f>IFERROR(IF(VLOOKUP(E39,'Data Sheet'!$C$29:$E$174,3,FALSE)=0,"",VLOOKUP(E39,'Data Sheet'!$C$29:$E$174,3,FALSE)),"")</f>
        <v>a1O36000001EGH3EAO</v>
      </c>
      <c r="G39" s="106" t="str">
        <f t="shared" si="2"/>
        <v>a1O36000001EGFHEA4-a1O36000001EGH3EAO</v>
      </c>
      <c r="H39" s="273" t="s">
        <v>2690</v>
      </c>
      <c r="I39" s="107" t="s">
        <v>2751</v>
      </c>
      <c r="J39" s="249" t="str">
        <f t="shared" si="30"/>
        <v>7.6</v>
      </c>
      <c r="K39" s="101" t="str">
        <f>IFERROR(INDEX('Data Sheet'!$C$198:$C$275,MATCH(I39,'Data Sheet'!$F$198:$F$275,0)),"")</f>
        <v>a2C360000007DAgEAM</v>
      </c>
      <c r="L39" s="250">
        <f>IFERROR(INDEX('Data Sheet'!$G$198:$G$275,MATCH(I39,'Data Sheet'!$F$198:$F$275,0)),"")</f>
        <v>7.6</v>
      </c>
      <c r="M39" s="248" t="s">
        <v>2657</v>
      </c>
      <c r="N39" s="248" t="s">
        <v>2759</v>
      </c>
      <c r="O39" s="248" t="s">
        <v>2128</v>
      </c>
      <c r="P39" s="108" t="str">
        <f>IFERROR(INDEX(Setup!$D$44:$D$70,MATCH(M39,Setup!$K$44:$K$70,0))&amp;"","")</f>
        <v>SR</v>
      </c>
      <c r="Q39" s="108" t="str">
        <f>IFERROR(INDEX(Setup!$E$44:$E$70,MATCH(M39,Setup!$K$44:$K$70,0))&amp;"","")</f>
        <v>Government - Ministry of Health</v>
      </c>
      <c r="R39" s="108" t="str">
        <f>IFERROR(INDEX(Setup!$L$44:$L$70,MATCH(M39,Setup!$K$44:$K$70,0))&amp;"","")</f>
        <v/>
      </c>
      <c r="S39" s="108" t="str">
        <f>Setup!$C$30</f>
        <v>USD</v>
      </c>
      <c r="T39" s="109" t="str">
        <f>IFERROR(INDEX('Data Sheet'!$B$198:$B$275,MATCH(I39,'Data Sheet'!$F$198:$F$275,0)),"")</f>
        <v>N/A</v>
      </c>
      <c r="U39" s="110">
        <f>IFERROR(INDEX('Data Sheet'!$D$198:$D$275,MATCH(I39,'Data Sheet'!$F$198:$F$275,0)),"")</f>
        <v>7</v>
      </c>
      <c r="V39" s="415" t="s">
        <v>8</v>
      </c>
      <c r="W39" s="195" t="str">
        <f>IF(V39=Setup!$C$30,"Grant",IF(V39=Setup!$C$31,"Local",IF(V39=Setup!$C$32,"Other",IF(ISBLANK(V39),"","Other"))))</f>
        <v>Grant</v>
      </c>
      <c r="X39" s="574">
        <v>1350</v>
      </c>
      <c r="Y39" s="259">
        <f>IF(X39&lt;&gt;"",X39/VLOOKUP($V39,Setup!$C$30:$D$41,2,0),"")</f>
        <v>1350</v>
      </c>
      <c r="Z39" s="262">
        <v>1</v>
      </c>
      <c r="AA39" s="256">
        <f t="shared" si="34"/>
        <v>1350</v>
      </c>
      <c r="AB39" s="262">
        <v>1</v>
      </c>
      <c r="AC39" s="258">
        <f t="shared" si="3"/>
        <v>1350</v>
      </c>
      <c r="AD39" s="262">
        <v>1</v>
      </c>
      <c r="AE39" s="258">
        <f t="shared" si="4"/>
        <v>1350</v>
      </c>
      <c r="AF39" s="262">
        <v>1</v>
      </c>
      <c r="AG39" s="256">
        <f t="shared" si="5"/>
        <v>1350</v>
      </c>
      <c r="AH39" s="256">
        <f t="shared" si="33"/>
        <v>4</v>
      </c>
      <c r="AI39" s="256">
        <f t="shared" si="6"/>
        <v>5400</v>
      </c>
      <c r="AJ39" s="111"/>
      <c r="AK39" s="255">
        <f t="shared" si="36"/>
        <v>1350</v>
      </c>
      <c r="AL39" s="259">
        <f>IF(AK39&lt;&gt;"",AK39/VLOOKUP($V39,Setup!$C$30:$D$41,2,0),"")</f>
        <v>1350</v>
      </c>
      <c r="AM39" s="266">
        <v>1</v>
      </c>
      <c r="AN39" s="258">
        <f t="shared" si="18"/>
        <v>1350</v>
      </c>
      <c r="AO39" s="266">
        <v>1</v>
      </c>
      <c r="AP39" s="258">
        <f t="shared" si="19"/>
        <v>1350</v>
      </c>
      <c r="AQ39" s="266">
        <v>1</v>
      </c>
      <c r="AR39" s="258">
        <f t="shared" si="20"/>
        <v>1350</v>
      </c>
      <c r="AS39" s="266">
        <v>1</v>
      </c>
      <c r="AT39" s="256">
        <f t="shared" si="21"/>
        <v>1350</v>
      </c>
      <c r="AU39" s="256">
        <f t="shared" si="7"/>
        <v>4</v>
      </c>
      <c r="AV39" s="256">
        <f t="shared" si="8"/>
        <v>5400</v>
      </c>
      <c r="AW39" s="267"/>
      <c r="AX39" s="255">
        <f t="shared" si="37"/>
        <v>1350</v>
      </c>
      <c r="AY39" s="259">
        <f>IF(AX39&lt;&gt;"",AX39/VLOOKUP($V39,Setup!$C$30:$D$41,2,0),"")</f>
        <v>1350</v>
      </c>
      <c r="AZ39" s="268">
        <v>1</v>
      </c>
      <c r="BA39" s="258">
        <f t="shared" si="23"/>
        <v>1350</v>
      </c>
      <c r="BB39" s="268">
        <v>1</v>
      </c>
      <c r="BC39" s="258">
        <f t="shared" si="24"/>
        <v>1350</v>
      </c>
      <c r="BD39" s="268">
        <v>1</v>
      </c>
      <c r="BE39" s="258">
        <f t="shared" si="25"/>
        <v>1350</v>
      </c>
      <c r="BF39" s="268">
        <v>1</v>
      </c>
      <c r="BG39" s="256">
        <f t="shared" si="26"/>
        <v>1350</v>
      </c>
      <c r="BH39" s="256">
        <f t="shared" si="9"/>
        <v>4</v>
      </c>
      <c r="BI39" s="256">
        <f t="shared" si="10"/>
        <v>5400</v>
      </c>
      <c r="BJ39" s="267"/>
      <c r="BK39" s="255"/>
      <c r="BL39" s="259" t="str">
        <f>IF(BK39&lt;&gt;"",BK39/VLOOKUP($V39,Setup!$C$30:$D$41,2,0),"")</f>
        <v/>
      </c>
      <c r="BM39" s="268"/>
      <c r="BN39" s="258" t="str">
        <f t="shared" si="27"/>
        <v/>
      </c>
      <c r="BO39" s="268"/>
      <c r="BP39" s="258" t="str">
        <f t="shared" si="28"/>
        <v/>
      </c>
      <c r="BQ39" s="268"/>
      <c r="BR39" s="258" t="str">
        <f t="shared" si="29"/>
        <v/>
      </c>
      <c r="BS39" s="268"/>
      <c r="BT39" s="256" t="str">
        <f t="shared" si="32"/>
        <v/>
      </c>
      <c r="BU39" s="256" t="str">
        <f t="shared" si="11"/>
        <v/>
      </c>
      <c r="BV39" s="256" t="str">
        <f t="shared" si="12"/>
        <v/>
      </c>
      <c r="BW39" s="267"/>
      <c r="BX39" s="256">
        <f t="shared" si="13"/>
        <v>12</v>
      </c>
      <c r="BY39" s="256">
        <f t="shared" si="14"/>
        <v>16200</v>
      </c>
      <c r="BZ39" s="281"/>
      <c r="CA39" s="282"/>
      <c r="CC39" s="112" t="str">
        <f t="shared" ca="1" si="15"/>
        <v/>
      </c>
      <c r="CF39" s="283"/>
      <c r="CG39" s="283"/>
      <c r="CH39" s="283"/>
      <c r="CI39" s="283"/>
      <c r="CL39" s="356" t="str">
        <f>IFERROR(VLOOKUP(C39,'Data Sheet'!$A$3:$B$26,2,FALSE),"")</f>
        <v>MCI-00007</v>
      </c>
    </row>
    <row r="40" spans="1:90" s="112" customFormat="1" ht="15.75" x14ac:dyDescent="0.25">
      <c r="A40" s="97">
        <v>36</v>
      </c>
      <c r="B40" s="105" t="str">
        <f t="shared" si="35"/>
        <v>--</v>
      </c>
      <c r="C40" s="276"/>
      <c r="D40" s="101" t="str">
        <f>IFERROR(IF(VLOOKUP(C40,'Data Sheet'!$A$3:$D$26,4,FALSE)=0,"",VLOOKUP(C40,'Data Sheet'!$A$3:$D$26,4,FALSE)),"")</f>
        <v/>
      </c>
      <c r="E40" s="279"/>
      <c r="F40" s="103" t="str">
        <f>IFERROR(IF(VLOOKUP(E40,'Data Sheet'!$C$29:$E$174,3,FALSE)=0,"",VLOOKUP(E40,'Data Sheet'!$C$29:$E$174,3,FALSE)),"")</f>
        <v/>
      </c>
      <c r="G40" s="106" t="str">
        <f t="shared" si="2"/>
        <v>-</v>
      </c>
      <c r="H40" s="273"/>
      <c r="I40" s="107"/>
      <c r="J40" s="249" t="e">
        <f t="shared" si="30"/>
        <v>#VALUE!</v>
      </c>
      <c r="K40" s="101" t="str">
        <f>IFERROR(INDEX('Data Sheet'!$C$198:$C$275,MATCH(I40,'Data Sheet'!$F$198:$F$275,0)),"")</f>
        <v/>
      </c>
      <c r="L40" s="250" t="str">
        <f>IFERROR(INDEX('Data Sheet'!$G$198:$G$275,MATCH(I40,'Data Sheet'!$F$198:$F$275,0)),"")</f>
        <v/>
      </c>
      <c r="M40" s="248"/>
      <c r="N40" s="248"/>
      <c r="O40" s="248"/>
      <c r="P40" s="108" t="str">
        <f>IFERROR(INDEX(Setup!$D$44:$D$70,MATCH(M40,Setup!$K$44:$K$70,0))&amp;"","")</f>
        <v/>
      </c>
      <c r="Q40" s="108" t="str">
        <f>IFERROR(INDEX(Setup!$E$44:$E$70,MATCH(M40,Setup!$K$44:$K$70,0))&amp;"","")</f>
        <v/>
      </c>
      <c r="R40" s="108" t="str">
        <f>IFERROR(INDEX(Setup!$L$44:$L$70,MATCH(M40,Setup!$K$44:$K$70,0))&amp;"","")</f>
        <v/>
      </c>
      <c r="S40" s="108" t="str">
        <f>Setup!$C$30</f>
        <v>USD</v>
      </c>
      <c r="T40" s="109" t="str">
        <f>IFERROR(INDEX('Data Sheet'!$B$198:$B$275,MATCH(I40,'Data Sheet'!$F$198:$F$275,0)),"")</f>
        <v/>
      </c>
      <c r="U40" s="110" t="str">
        <f>IFERROR(INDEX('Data Sheet'!$D$198:$D$275,MATCH(I40,'Data Sheet'!$F$198:$F$275,0)),"")</f>
        <v/>
      </c>
      <c r="V40" s="415"/>
      <c r="W40" s="195" t="str">
        <f>IF(V40=Setup!$C$30,"Grant",IF(V40=Setup!$C$31,"Local",IF(V40=Setup!$C$32,"Other",IF(ISBLANK(V40),"","Other"))))</f>
        <v/>
      </c>
      <c r="X40" s="255"/>
      <c r="Y40" s="259" t="str">
        <f>IF(X40&lt;&gt;"",X40/VLOOKUP($V40,Setup!$C$30:$D$41,2,0),"")</f>
        <v/>
      </c>
      <c r="Z40" s="262"/>
      <c r="AA40" s="256" t="str">
        <f t="shared" si="34"/>
        <v/>
      </c>
      <c r="AB40" s="262"/>
      <c r="AC40" s="258" t="str">
        <f t="shared" si="3"/>
        <v/>
      </c>
      <c r="AD40" s="262"/>
      <c r="AE40" s="258" t="str">
        <f t="shared" si="4"/>
        <v/>
      </c>
      <c r="AF40" s="262"/>
      <c r="AG40" s="256" t="str">
        <f t="shared" si="5"/>
        <v/>
      </c>
      <c r="AH40" s="256" t="str">
        <f t="shared" si="33"/>
        <v/>
      </c>
      <c r="AI40" s="256" t="str">
        <f t="shared" si="6"/>
        <v/>
      </c>
      <c r="AJ40" s="111"/>
      <c r="AK40" s="255"/>
      <c r="AL40" s="259" t="str">
        <f>IF(AK40&lt;&gt;"",AK40/VLOOKUP($V40,Setup!$C$30:$D$41,2,0),"")</f>
        <v/>
      </c>
      <c r="AM40" s="266"/>
      <c r="AN40" s="258" t="str">
        <f t="shared" si="18"/>
        <v/>
      </c>
      <c r="AO40" s="266"/>
      <c r="AP40" s="258" t="str">
        <f t="shared" si="19"/>
        <v/>
      </c>
      <c r="AQ40" s="266"/>
      <c r="AR40" s="258" t="str">
        <f t="shared" si="20"/>
        <v/>
      </c>
      <c r="AS40" s="266"/>
      <c r="AT40" s="256" t="str">
        <f t="shared" si="21"/>
        <v/>
      </c>
      <c r="AU40" s="256" t="str">
        <f t="shared" si="7"/>
        <v/>
      </c>
      <c r="AV40" s="256" t="str">
        <f t="shared" si="8"/>
        <v/>
      </c>
      <c r="AW40" s="267"/>
      <c r="AX40" s="255"/>
      <c r="AY40" s="259" t="str">
        <f>IF(AX40&lt;&gt;"",AX40/VLOOKUP($V40,Setup!$C$30:$D$41,2,0),"")</f>
        <v/>
      </c>
      <c r="AZ40" s="268"/>
      <c r="BA40" s="258" t="str">
        <f t="shared" si="23"/>
        <v/>
      </c>
      <c r="BB40" s="268"/>
      <c r="BC40" s="258" t="str">
        <f t="shared" si="24"/>
        <v/>
      </c>
      <c r="BD40" s="268"/>
      <c r="BE40" s="258" t="str">
        <f t="shared" si="25"/>
        <v/>
      </c>
      <c r="BF40" s="268"/>
      <c r="BG40" s="256" t="str">
        <f t="shared" si="26"/>
        <v/>
      </c>
      <c r="BH40" s="256" t="str">
        <f t="shared" si="9"/>
        <v/>
      </c>
      <c r="BI40" s="256" t="str">
        <f t="shared" si="10"/>
        <v/>
      </c>
      <c r="BJ40" s="267"/>
      <c r="BK40" s="255"/>
      <c r="BL40" s="259" t="str">
        <f>IF(BK40&lt;&gt;"",BK40/VLOOKUP($V40,Setup!$C$30:$D$41,2,0),"")</f>
        <v/>
      </c>
      <c r="BM40" s="268"/>
      <c r="BN40" s="258" t="str">
        <f t="shared" si="27"/>
        <v/>
      </c>
      <c r="BO40" s="268"/>
      <c r="BP40" s="258" t="str">
        <f t="shared" si="28"/>
        <v/>
      </c>
      <c r="BQ40" s="268"/>
      <c r="BR40" s="258" t="str">
        <f t="shared" si="29"/>
        <v/>
      </c>
      <c r="BS40" s="268"/>
      <c r="BT40" s="256" t="str">
        <f t="shared" si="32"/>
        <v/>
      </c>
      <c r="BU40" s="256" t="str">
        <f t="shared" si="11"/>
        <v/>
      </c>
      <c r="BV40" s="256" t="str">
        <f t="shared" si="12"/>
        <v/>
      </c>
      <c r="BW40" s="267"/>
      <c r="BX40" s="256" t="str">
        <f t="shared" si="13"/>
        <v/>
      </c>
      <c r="BY40" s="256" t="str">
        <f t="shared" si="14"/>
        <v/>
      </c>
      <c r="BZ40" s="281"/>
      <c r="CA40" s="282"/>
      <c r="CC40" s="112" t="str">
        <f t="shared" ca="1" si="15"/>
        <v/>
      </c>
      <c r="CF40" s="283"/>
      <c r="CG40" s="283"/>
      <c r="CH40" s="283"/>
      <c r="CI40" s="283"/>
      <c r="CL40" s="356" t="str">
        <f>IFERROR(VLOOKUP(C40,'Data Sheet'!$A$3:$B$26,2,FALSE),"")</f>
        <v/>
      </c>
    </row>
    <row r="41" spans="1:90" s="112" customFormat="1" ht="51" x14ac:dyDescent="0.25">
      <c r="A41" s="97">
        <v>37</v>
      </c>
      <c r="B41" s="105" t="str">
        <f t="shared" si="35"/>
        <v>a1O36000001EGFHEA4-a1O36000001EGHBEA4-Nationwide</v>
      </c>
      <c r="C41" s="276" t="s">
        <v>2211</v>
      </c>
      <c r="D41" s="101" t="str">
        <f>IFERROR(IF(VLOOKUP(C41,'Data Sheet'!$A$3:$D$26,4,FALSE)=0,"",VLOOKUP(C41,'Data Sheet'!$A$3:$D$26,4,FALSE)),"")</f>
        <v>a1O36000001EGFHEA4</v>
      </c>
      <c r="E41" s="279" t="s">
        <v>2324</v>
      </c>
      <c r="F41" s="103" t="str">
        <f>IFERROR(IF(VLOOKUP(E41,'Data Sheet'!$C$29:$E$174,3,FALSE)=0,"",VLOOKUP(E41,'Data Sheet'!$C$29:$E$174,3,FALSE)),"")</f>
        <v>a1O36000001EGHBEA4</v>
      </c>
      <c r="G41" s="106" t="str">
        <f t="shared" si="2"/>
        <v>a1O36000001EGFHEA4-a1O36000001EGHBEA4</v>
      </c>
      <c r="H41" s="273" t="s">
        <v>2691</v>
      </c>
      <c r="I41" s="107" t="s">
        <v>2737</v>
      </c>
      <c r="J41" s="249" t="str">
        <f t="shared" si="30"/>
        <v>11.1</v>
      </c>
      <c r="K41" s="101" t="str">
        <f>IFERROR(INDEX('Data Sheet'!$C$198:$C$275,MATCH(I41,'Data Sheet'!$F$198:$F$275,0)),"")</f>
        <v>a2C360000007DAuEAM</v>
      </c>
      <c r="L41" s="250">
        <f>IFERROR(INDEX('Data Sheet'!$G$198:$G$275,MATCH(I41,'Data Sheet'!$F$198:$F$275,0)),"")</f>
        <v>11.1</v>
      </c>
      <c r="M41" s="248" t="s">
        <v>2657</v>
      </c>
      <c r="N41" s="248" t="s">
        <v>2759</v>
      </c>
      <c r="O41" s="248" t="s">
        <v>2128</v>
      </c>
      <c r="P41" s="108" t="str">
        <f>IFERROR(INDEX(Setup!$D$44:$D$70,MATCH(M41,Setup!$K$44:$K$70,0))&amp;"","")</f>
        <v>SR</v>
      </c>
      <c r="Q41" s="108" t="str">
        <f>IFERROR(INDEX(Setup!$E$44:$E$70,MATCH(M41,Setup!$K$44:$K$70,0))&amp;"","")</f>
        <v>Government - Ministry of Health</v>
      </c>
      <c r="R41" s="108" t="str">
        <f>IFERROR(INDEX(Setup!$L$44:$L$70,MATCH(M41,Setup!$K$44:$K$70,0))&amp;"","")</f>
        <v/>
      </c>
      <c r="S41" s="108" t="str">
        <f>Setup!$C$30</f>
        <v>USD</v>
      </c>
      <c r="T41" s="109" t="str">
        <f>IFERROR(INDEX('Data Sheet'!$B$198:$B$275,MATCH(I41,'Data Sheet'!$F$198:$F$275,0)),"")</f>
        <v>Average office cost per office unit per quarter</v>
      </c>
      <c r="U41" s="110">
        <f>IFERROR(INDEX('Data Sheet'!$D$198:$D$275,MATCH(I41,'Data Sheet'!$F$198:$F$275,0)),"")</f>
        <v>11</v>
      </c>
      <c r="V41" s="415" t="s">
        <v>992</v>
      </c>
      <c r="W41" s="195" t="str">
        <f>IF(V41=Setup!$C$30,"Grant",IF(V41=Setup!$C$31,"Local",IF(V41=Setup!$C$32,"Other",IF(ISBLANK(V41),"","Other"))))</f>
        <v>Local</v>
      </c>
      <c r="X41" s="255">
        <f>'Assumptions Other'!F67</f>
        <v>35200000</v>
      </c>
      <c r="Y41" s="259">
        <f>IF(X41&lt;&gt;"",X41/VLOOKUP($V41,Setup!$C$30:$D$41,2,0),"")</f>
        <v>4302.4077324827404</v>
      </c>
      <c r="Z41" s="262">
        <v>1</v>
      </c>
      <c r="AA41" s="256">
        <f t="shared" si="34"/>
        <v>4302.4077324827404</v>
      </c>
      <c r="AB41" s="262">
        <v>1</v>
      </c>
      <c r="AC41" s="258">
        <f t="shared" si="3"/>
        <v>4302.4077324827404</v>
      </c>
      <c r="AD41" s="262">
        <v>1</v>
      </c>
      <c r="AE41" s="258">
        <f t="shared" si="4"/>
        <v>4302.4077324827404</v>
      </c>
      <c r="AF41" s="262">
        <v>1</v>
      </c>
      <c r="AG41" s="256">
        <f t="shared" si="5"/>
        <v>4302.4077324827404</v>
      </c>
      <c r="AH41" s="256">
        <f t="shared" si="33"/>
        <v>4</v>
      </c>
      <c r="AI41" s="256">
        <f t="shared" si="6"/>
        <v>17209.630929930961</v>
      </c>
      <c r="AJ41" s="111"/>
      <c r="AK41" s="255">
        <f t="shared" si="36"/>
        <v>35200000</v>
      </c>
      <c r="AL41" s="259">
        <f>IF(AK41&lt;&gt;"",AK41/VLOOKUP($V41,Setup!$C$30:$D$41,2,0),"")</f>
        <v>4302.4077324827404</v>
      </c>
      <c r="AM41" s="266">
        <v>1</v>
      </c>
      <c r="AN41" s="258">
        <f t="shared" si="18"/>
        <v>4302.4077324827404</v>
      </c>
      <c r="AO41" s="266">
        <v>1</v>
      </c>
      <c r="AP41" s="258">
        <f t="shared" si="19"/>
        <v>4302.4077324827404</v>
      </c>
      <c r="AQ41" s="266">
        <v>1</v>
      </c>
      <c r="AR41" s="258">
        <f t="shared" si="20"/>
        <v>4302.4077324827404</v>
      </c>
      <c r="AS41" s="266">
        <v>1</v>
      </c>
      <c r="AT41" s="256">
        <f t="shared" si="21"/>
        <v>4302.4077324827404</v>
      </c>
      <c r="AU41" s="256">
        <f t="shared" si="7"/>
        <v>4</v>
      </c>
      <c r="AV41" s="256">
        <f t="shared" si="8"/>
        <v>17209.630929930961</v>
      </c>
      <c r="AW41" s="267"/>
      <c r="AX41" s="255">
        <f t="shared" si="37"/>
        <v>35200000</v>
      </c>
      <c r="AY41" s="259">
        <f>IF(AX41&lt;&gt;"",AX41/VLOOKUP($V41,Setup!$C$30:$D$41,2,0),"")</f>
        <v>4302.4077324827404</v>
      </c>
      <c r="AZ41" s="268">
        <v>1</v>
      </c>
      <c r="BA41" s="258">
        <f t="shared" si="23"/>
        <v>4302.4077324827404</v>
      </c>
      <c r="BB41" s="268">
        <v>1</v>
      </c>
      <c r="BC41" s="258">
        <f t="shared" si="24"/>
        <v>4302.4077324827404</v>
      </c>
      <c r="BD41" s="268">
        <v>1</v>
      </c>
      <c r="BE41" s="258">
        <f t="shared" si="25"/>
        <v>4302.4077324827404</v>
      </c>
      <c r="BF41" s="268">
        <v>1</v>
      </c>
      <c r="BG41" s="256">
        <f t="shared" si="26"/>
        <v>4302.4077324827404</v>
      </c>
      <c r="BH41" s="256">
        <f t="shared" si="9"/>
        <v>4</v>
      </c>
      <c r="BI41" s="256">
        <f t="shared" si="10"/>
        <v>17209.630929930961</v>
      </c>
      <c r="BJ41" s="267"/>
      <c r="BK41" s="255"/>
      <c r="BL41" s="259" t="str">
        <f>IF(BK41&lt;&gt;"",BK41/VLOOKUP($V41,Setup!$C$30:$D$41,2,0),"")</f>
        <v/>
      </c>
      <c r="BM41" s="268"/>
      <c r="BN41" s="258" t="str">
        <f t="shared" si="27"/>
        <v/>
      </c>
      <c r="BO41" s="268"/>
      <c r="BP41" s="258" t="str">
        <f t="shared" si="28"/>
        <v/>
      </c>
      <c r="BQ41" s="268"/>
      <c r="BR41" s="258" t="str">
        <f t="shared" si="29"/>
        <v/>
      </c>
      <c r="BS41" s="268"/>
      <c r="BT41" s="256" t="str">
        <f t="shared" si="32"/>
        <v/>
      </c>
      <c r="BU41" s="256" t="str">
        <f t="shared" si="11"/>
        <v/>
      </c>
      <c r="BV41" s="256" t="str">
        <f t="shared" si="12"/>
        <v/>
      </c>
      <c r="BW41" s="267"/>
      <c r="BX41" s="256">
        <f t="shared" si="13"/>
        <v>12</v>
      </c>
      <c r="BY41" s="256">
        <f t="shared" si="14"/>
        <v>51628.892789792881</v>
      </c>
      <c r="BZ41" s="281"/>
      <c r="CA41" s="282"/>
      <c r="CC41" s="112" t="str">
        <f t="shared" ca="1" si="15"/>
        <v/>
      </c>
      <c r="CF41" s="283"/>
      <c r="CG41" s="283"/>
      <c r="CH41" s="283"/>
      <c r="CI41" s="283"/>
      <c r="CL41" s="356" t="str">
        <f>IFERROR(VLOOKUP(C41,'Data Sheet'!$A$3:$B$26,2,FALSE),"")</f>
        <v>MCI-00007</v>
      </c>
    </row>
    <row r="42" spans="1:90" s="112" customFormat="1" ht="51" x14ac:dyDescent="0.25">
      <c r="A42" s="97">
        <v>38</v>
      </c>
      <c r="B42" s="105" t="str">
        <f t="shared" si="35"/>
        <v>a1O36000001EGFHEA4-a1O36000001EGH8EAO-Provincial</v>
      </c>
      <c r="C42" s="276" t="s">
        <v>2211</v>
      </c>
      <c r="D42" s="101" t="str">
        <f>IFERROR(IF(VLOOKUP(C42,'Data Sheet'!$A$3:$D$26,4,FALSE)=0,"",VLOOKUP(C42,'Data Sheet'!$A$3:$D$26,4,FALSE)),"")</f>
        <v>a1O36000001EGFHEA4</v>
      </c>
      <c r="E42" s="279" t="s">
        <v>2318</v>
      </c>
      <c r="F42" s="103" t="str">
        <f>IFERROR(IF(VLOOKUP(E42,'Data Sheet'!$C$29:$E$174,3,FALSE)=0,"",VLOOKUP(E42,'Data Sheet'!$C$29:$E$174,3,FALSE)),"")</f>
        <v>a1O36000001EGH8EAO</v>
      </c>
      <c r="G42" s="106" t="str">
        <f t="shared" si="2"/>
        <v>a1O36000001EGFHEA4-a1O36000001EGH8EAO</v>
      </c>
      <c r="H42" s="273" t="s">
        <v>2692</v>
      </c>
      <c r="I42" s="107" t="s">
        <v>2733</v>
      </c>
      <c r="J42" s="249" t="str">
        <f t="shared" si="30"/>
        <v>2.4</v>
      </c>
      <c r="K42" s="101" t="str">
        <f>IFERROR(INDEX('Data Sheet'!$C$198:$C$275,MATCH(I42,'Data Sheet'!$F$198:$F$275,0)),"")</f>
        <v>a2C360000007DB9EAM</v>
      </c>
      <c r="L42" s="250">
        <f>IFERROR(INDEX('Data Sheet'!$G$198:$G$275,MATCH(I42,'Data Sheet'!$F$198:$F$275,0)),"")</f>
        <v>2.4</v>
      </c>
      <c r="M42" s="248" t="s">
        <v>2658</v>
      </c>
      <c r="N42" s="248" t="s">
        <v>2760</v>
      </c>
      <c r="O42" s="248" t="s">
        <v>2128</v>
      </c>
      <c r="P42" s="108" t="str">
        <f>IFERROR(INDEX(Setup!$D$44:$D$70,MATCH(M42,Setup!$K$44:$K$70,0))&amp;"","")</f>
        <v>PR</v>
      </c>
      <c r="Q42" s="108" t="str">
        <f>IFERROR(INDEX(Setup!$E$44:$E$70,MATCH(M42,Setup!$K$44:$K$70,0))&amp;"","")</f>
        <v>Civil Society - Community Based Organization</v>
      </c>
      <c r="R42" s="108" t="str">
        <f>IFERROR(INDEX(Setup!$L$44:$L$70,MATCH(M42,Setup!$K$44:$K$70,0))&amp;"","")</f>
        <v/>
      </c>
      <c r="S42" s="108" t="str">
        <f>Setup!$C$30</f>
        <v>USD</v>
      </c>
      <c r="T42" s="109" t="str">
        <f>IFERROR(INDEX('Data Sheet'!$B$198:$B$275,MATCH(I42,'Data Sheet'!$F$198:$F$275,0)),"")</f>
        <v>Average cost of event per participant per day</v>
      </c>
      <c r="U42" s="110">
        <f>IFERROR(INDEX('Data Sheet'!$D$198:$D$275,MATCH(I42,'Data Sheet'!$F$198:$F$275,0)),"")</f>
        <v>2</v>
      </c>
      <c r="V42" s="415" t="s">
        <v>992</v>
      </c>
      <c r="W42" s="195" t="str">
        <f>IF(V42=Setup!$C$30,"Grant",IF(V42=Setup!$C$31,"Local",IF(V42=Setup!$C$32,"Other",IF(ISBLANK(V42),"","Other"))))</f>
        <v>Local</v>
      </c>
      <c r="X42" s="255">
        <f>'Assumptions TRC'!G148</f>
        <v>52300</v>
      </c>
      <c r="Y42" s="259">
        <f>IF(X42&lt;&gt;"",X42/VLOOKUP($V42,Setup!$C$30:$D$41,2,0),"")</f>
        <v>6.3924978525240723</v>
      </c>
      <c r="Z42" s="262">
        <f>50*2*8</f>
        <v>800</v>
      </c>
      <c r="AA42" s="256">
        <f t="shared" si="34"/>
        <v>5113.9982820192581</v>
      </c>
      <c r="AB42" s="262">
        <f>50*2*8</f>
        <v>800</v>
      </c>
      <c r="AC42" s="258">
        <f t="shared" si="3"/>
        <v>5113.9982820192581</v>
      </c>
      <c r="AD42" s="262">
        <f>50*2*8</f>
        <v>800</v>
      </c>
      <c r="AE42" s="258">
        <f t="shared" si="4"/>
        <v>5113.9982820192581</v>
      </c>
      <c r="AF42" s="262">
        <f>50*2*8</f>
        <v>800</v>
      </c>
      <c r="AG42" s="256">
        <f t="shared" si="5"/>
        <v>5113.9982820192581</v>
      </c>
      <c r="AH42" s="256">
        <f t="shared" si="33"/>
        <v>3200</v>
      </c>
      <c r="AI42" s="256">
        <f t="shared" si="6"/>
        <v>20455.993128077032</v>
      </c>
      <c r="AJ42" s="111"/>
      <c r="AK42" s="255">
        <f t="shared" si="36"/>
        <v>52300</v>
      </c>
      <c r="AL42" s="259">
        <f>IF(AK42&lt;&gt;"",AK42/VLOOKUP($V42,Setup!$C$30:$D$41,2,0),"")</f>
        <v>6.3924978525240723</v>
      </c>
      <c r="AM42" s="262">
        <f>50*2*8</f>
        <v>800</v>
      </c>
      <c r="AN42" s="258">
        <f t="shared" si="18"/>
        <v>5113.9982820192581</v>
      </c>
      <c r="AO42" s="262">
        <f>50*2*8</f>
        <v>800</v>
      </c>
      <c r="AP42" s="258">
        <f t="shared" si="19"/>
        <v>5113.9982820192581</v>
      </c>
      <c r="AQ42" s="262">
        <f>50*2*8</f>
        <v>800</v>
      </c>
      <c r="AR42" s="258">
        <f t="shared" si="20"/>
        <v>5113.9982820192581</v>
      </c>
      <c r="AS42" s="262">
        <f>50*2*8</f>
        <v>800</v>
      </c>
      <c r="AT42" s="256">
        <f t="shared" si="21"/>
        <v>5113.9982820192581</v>
      </c>
      <c r="AU42" s="256">
        <f t="shared" si="7"/>
        <v>3200</v>
      </c>
      <c r="AV42" s="256">
        <f t="shared" si="8"/>
        <v>20455.993128077032</v>
      </c>
      <c r="AW42" s="267"/>
      <c r="AX42" s="255">
        <f t="shared" si="37"/>
        <v>52300</v>
      </c>
      <c r="AY42" s="259">
        <f>IF(AX42&lt;&gt;"",AX42/VLOOKUP($V42,Setup!$C$30:$D$41,2,0),"")</f>
        <v>6.3924978525240723</v>
      </c>
      <c r="AZ42" s="262">
        <f>50*2*8</f>
        <v>800</v>
      </c>
      <c r="BA42" s="258">
        <f t="shared" si="23"/>
        <v>5113.9982820192581</v>
      </c>
      <c r="BB42" s="262">
        <f>50*2*8</f>
        <v>800</v>
      </c>
      <c r="BC42" s="258">
        <f t="shared" si="24"/>
        <v>5113.9982820192581</v>
      </c>
      <c r="BD42" s="262">
        <f>50*2*8</f>
        <v>800</v>
      </c>
      <c r="BE42" s="258">
        <f t="shared" si="25"/>
        <v>5113.9982820192581</v>
      </c>
      <c r="BF42" s="262">
        <f>50*2*8</f>
        <v>800</v>
      </c>
      <c r="BG42" s="256">
        <f t="shared" si="26"/>
        <v>5113.9982820192581</v>
      </c>
      <c r="BH42" s="256">
        <f t="shared" si="9"/>
        <v>3200</v>
      </c>
      <c r="BI42" s="256">
        <f t="shared" si="10"/>
        <v>20455.993128077032</v>
      </c>
      <c r="BJ42" s="267"/>
      <c r="BK42" s="255"/>
      <c r="BL42" s="259" t="str">
        <f>IF(BK42&lt;&gt;"",BK42/VLOOKUP($V42,Setup!$C$30:$D$41,2,0),"")</f>
        <v/>
      </c>
      <c r="BM42" s="268"/>
      <c r="BN42" s="258" t="str">
        <f t="shared" si="27"/>
        <v/>
      </c>
      <c r="BO42" s="268"/>
      <c r="BP42" s="258" t="str">
        <f t="shared" si="28"/>
        <v/>
      </c>
      <c r="BQ42" s="268"/>
      <c r="BR42" s="258" t="str">
        <f t="shared" si="29"/>
        <v/>
      </c>
      <c r="BS42" s="268"/>
      <c r="BT42" s="256" t="str">
        <f t="shared" si="32"/>
        <v/>
      </c>
      <c r="BU42" s="256" t="str">
        <f t="shared" si="11"/>
        <v/>
      </c>
      <c r="BV42" s="256" t="str">
        <f t="shared" si="12"/>
        <v/>
      </c>
      <c r="BW42" s="267"/>
      <c r="BX42" s="256">
        <f t="shared" si="13"/>
        <v>9600</v>
      </c>
      <c r="BY42" s="256">
        <f t="shared" si="14"/>
        <v>61367.979384231097</v>
      </c>
      <c r="BZ42" s="281"/>
      <c r="CA42" s="282"/>
      <c r="CC42" s="112" t="str">
        <f t="shared" ca="1" si="15"/>
        <v/>
      </c>
      <c r="CF42" s="283"/>
      <c r="CG42" s="283"/>
      <c r="CH42" s="283"/>
      <c r="CI42" s="283"/>
      <c r="CL42" s="356" t="str">
        <f>IFERROR(VLOOKUP(C42,'Data Sheet'!$A$3:$B$26,2,FALSE),"")</f>
        <v>MCI-00007</v>
      </c>
    </row>
    <row r="43" spans="1:90" s="112" customFormat="1" ht="76.5" x14ac:dyDescent="0.25">
      <c r="A43" s="97">
        <v>39</v>
      </c>
      <c r="B43" s="105" t="str">
        <f t="shared" si="35"/>
        <v>a1O36000001EGFHEA4-a1O36000001EGH8EAO-Provincial</v>
      </c>
      <c r="C43" s="276" t="s">
        <v>2211</v>
      </c>
      <c r="D43" s="101" t="str">
        <f>IFERROR(IF(VLOOKUP(C43,'Data Sheet'!$A$3:$D$26,4,FALSE)=0,"",VLOOKUP(C43,'Data Sheet'!$A$3:$D$26,4,FALSE)),"")</f>
        <v>a1O36000001EGFHEA4</v>
      </c>
      <c r="E43" s="279" t="s">
        <v>2318</v>
      </c>
      <c r="F43" s="103" t="str">
        <f>IFERROR(IF(VLOOKUP(E43,'Data Sheet'!$C$29:$E$174,3,FALSE)=0,"",VLOOKUP(E43,'Data Sheet'!$C$29:$E$174,3,FALSE)),"")</f>
        <v>a1O36000001EGH8EAO</v>
      </c>
      <c r="G43" s="106" t="str">
        <f t="shared" si="2"/>
        <v>a1O36000001EGFHEA4-a1O36000001EGH8EAO</v>
      </c>
      <c r="H43" s="273" t="s">
        <v>2693</v>
      </c>
      <c r="I43" s="107" t="s">
        <v>2732</v>
      </c>
      <c r="J43" s="249" t="str">
        <f t="shared" si="30"/>
        <v>12.5</v>
      </c>
      <c r="K43" s="101" t="str">
        <f>IFERROR(INDEX('Data Sheet'!$C$198:$C$275,MATCH(I43,'Data Sheet'!$F$198:$F$275,0)),"")</f>
        <v>a2C360000007DB4EAM</v>
      </c>
      <c r="L43" s="250">
        <f>IFERROR(INDEX('Data Sheet'!$G$198:$G$275,MATCH(I43,'Data Sheet'!$F$198:$F$275,0)),"")</f>
        <v>12.5</v>
      </c>
      <c r="M43" s="248" t="s">
        <v>2658</v>
      </c>
      <c r="N43" s="248" t="s">
        <v>2760</v>
      </c>
      <c r="O43" s="248" t="s">
        <v>2128</v>
      </c>
      <c r="P43" s="108" t="str">
        <f>IFERROR(INDEX(Setup!$D$44:$D$70,MATCH(M43,Setup!$K$44:$K$70,0))&amp;"","")</f>
        <v>PR</v>
      </c>
      <c r="Q43" s="108" t="str">
        <f>IFERROR(INDEX(Setup!$E$44:$E$70,MATCH(M43,Setup!$K$44:$K$70,0))&amp;"","")</f>
        <v>Civil Society - Community Based Organization</v>
      </c>
      <c r="R43" s="108" t="str">
        <f>IFERROR(INDEX(Setup!$L$44:$L$70,MATCH(M43,Setup!$K$44:$K$70,0))&amp;"","")</f>
        <v/>
      </c>
      <c r="S43" s="108" t="str">
        <f>Setup!$C$30</f>
        <v>USD</v>
      </c>
      <c r="T43" s="109" t="str">
        <f>IFERROR(INDEX('Data Sheet'!$B$198:$B$275,MATCH(I43,'Data Sheet'!$F$198:$F$275,0)),"")</f>
        <v>N/A</v>
      </c>
      <c r="U43" s="110">
        <f>IFERROR(INDEX('Data Sheet'!$D$198:$D$275,MATCH(I43,'Data Sheet'!$F$198:$F$275,0)),"")</f>
        <v>12</v>
      </c>
      <c r="V43" s="415" t="s">
        <v>992</v>
      </c>
      <c r="W43" s="195" t="str">
        <f>IF(V43=Setup!$C$30,"Grant",IF(V43=Setup!$C$31,"Local",IF(V43=Setup!$C$32,"Other",IF(ISBLANK(V43),"","Other"))))</f>
        <v>Local</v>
      </c>
      <c r="X43" s="255">
        <f>'Assumptions TRC'!C152/4</f>
        <v>204525</v>
      </c>
      <c r="Y43" s="259">
        <f>IF(X43&lt;&gt;"",X43/VLOOKUP($V43,Setup!$C$30:$D$41,2,0),"")</f>
        <v>24.998577883125925</v>
      </c>
      <c r="Z43" s="262">
        <v>55</v>
      </c>
      <c r="AA43" s="256">
        <f t="shared" si="34"/>
        <v>1374.921783571926</v>
      </c>
      <c r="AB43" s="262">
        <v>55</v>
      </c>
      <c r="AC43" s="258">
        <f t="shared" si="3"/>
        <v>1374.921783571926</v>
      </c>
      <c r="AD43" s="262">
        <v>55</v>
      </c>
      <c r="AE43" s="258">
        <f t="shared" si="4"/>
        <v>1374.921783571926</v>
      </c>
      <c r="AF43" s="262">
        <v>55</v>
      </c>
      <c r="AG43" s="256">
        <f t="shared" si="5"/>
        <v>1374.921783571926</v>
      </c>
      <c r="AH43" s="256">
        <f t="shared" si="33"/>
        <v>220</v>
      </c>
      <c r="AI43" s="256">
        <f t="shared" si="6"/>
        <v>5499.6871342877039</v>
      </c>
      <c r="AJ43" s="111"/>
      <c r="AK43" s="255">
        <f t="shared" si="36"/>
        <v>204525</v>
      </c>
      <c r="AL43" s="259">
        <f>IF(AK43&lt;&gt;"",AK43/VLOOKUP($V43,Setup!$C$30:$D$41,2,0),"")</f>
        <v>24.998577883125925</v>
      </c>
      <c r="AM43" s="266">
        <v>55</v>
      </c>
      <c r="AN43" s="258">
        <f t="shared" si="18"/>
        <v>1374.921783571926</v>
      </c>
      <c r="AO43" s="266">
        <v>55</v>
      </c>
      <c r="AP43" s="258">
        <f t="shared" si="19"/>
        <v>1374.921783571926</v>
      </c>
      <c r="AQ43" s="266">
        <v>55</v>
      </c>
      <c r="AR43" s="258">
        <f t="shared" si="20"/>
        <v>1374.921783571926</v>
      </c>
      <c r="AS43" s="266">
        <v>55</v>
      </c>
      <c r="AT43" s="256">
        <f t="shared" si="21"/>
        <v>1374.921783571926</v>
      </c>
      <c r="AU43" s="256">
        <f t="shared" si="7"/>
        <v>220</v>
      </c>
      <c r="AV43" s="256">
        <f t="shared" si="8"/>
        <v>5499.6871342877039</v>
      </c>
      <c r="AW43" s="267"/>
      <c r="AX43" s="255">
        <f t="shared" si="37"/>
        <v>204525</v>
      </c>
      <c r="AY43" s="259">
        <f>IF(AX43&lt;&gt;"",AX43/VLOOKUP($V43,Setup!$C$30:$D$41,2,0),"")</f>
        <v>24.998577883125925</v>
      </c>
      <c r="AZ43" s="268">
        <v>55</v>
      </c>
      <c r="BA43" s="258">
        <f t="shared" si="23"/>
        <v>1374.921783571926</v>
      </c>
      <c r="BB43" s="268">
        <v>55</v>
      </c>
      <c r="BC43" s="258">
        <f t="shared" si="24"/>
        <v>1374.921783571926</v>
      </c>
      <c r="BD43" s="268">
        <v>55</v>
      </c>
      <c r="BE43" s="258">
        <f t="shared" si="25"/>
        <v>1374.921783571926</v>
      </c>
      <c r="BF43" s="268">
        <v>55</v>
      </c>
      <c r="BG43" s="256">
        <f t="shared" si="26"/>
        <v>1374.921783571926</v>
      </c>
      <c r="BH43" s="256">
        <f t="shared" si="9"/>
        <v>220</v>
      </c>
      <c r="BI43" s="256">
        <f t="shared" si="10"/>
        <v>5499.6871342877039</v>
      </c>
      <c r="BJ43" s="267"/>
      <c r="BK43" s="255"/>
      <c r="BL43" s="259" t="str">
        <f>IF(BK43&lt;&gt;"",BK43/VLOOKUP($V43,Setup!$C$30:$D$41,2,0),"")</f>
        <v/>
      </c>
      <c r="BM43" s="268"/>
      <c r="BN43" s="258" t="str">
        <f t="shared" si="27"/>
        <v/>
      </c>
      <c r="BO43" s="268"/>
      <c r="BP43" s="258" t="str">
        <f t="shared" si="28"/>
        <v/>
      </c>
      <c r="BQ43" s="268"/>
      <c r="BR43" s="258" t="str">
        <f t="shared" si="29"/>
        <v/>
      </c>
      <c r="BS43" s="268"/>
      <c r="BT43" s="256" t="str">
        <f t="shared" si="32"/>
        <v/>
      </c>
      <c r="BU43" s="256" t="str">
        <f t="shared" si="11"/>
        <v/>
      </c>
      <c r="BV43" s="256" t="str">
        <f t="shared" si="12"/>
        <v/>
      </c>
      <c r="BW43" s="267"/>
      <c r="BX43" s="256">
        <f t="shared" si="13"/>
        <v>660</v>
      </c>
      <c r="BY43" s="256">
        <f t="shared" si="14"/>
        <v>16499.06140286311</v>
      </c>
      <c r="BZ43" s="281"/>
      <c r="CA43" s="282"/>
      <c r="CC43" s="112" t="str">
        <f t="shared" ca="1" si="15"/>
        <v/>
      </c>
      <c r="CF43" s="283"/>
      <c r="CG43" s="283"/>
      <c r="CH43" s="283"/>
      <c r="CI43" s="283"/>
      <c r="CL43" s="356" t="str">
        <f>IFERROR(VLOOKUP(C43,'Data Sheet'!$A$3:$B$26,2,FALSE),"")</f>
        <v>MCI-00007</v>
      </c>
    </row>
    <row r="44" spans="1:90" s="112" customFormat="1" ht="63.75" x14ac:dyDescent="0.25">
      <c r="A44" s="97">
        <v>40</v>
      </c>
      <c r="B44" s="105" t="str">
        <f t="shared" si="35"/>
        <v>a1O36000001EGFXEA4-a1O36000001EGIUEA4-Provincial</v>
      </c>
      <c r="C44" s="276" t="s">
        <v>2181</v>
      </c>
      <c r="D44" s="101" t="str">
        <f>IFERROR(IF(VLOOKUP(C44,'Data Sheet'!$A$3:$D$26,4,FALSE)=0,"",VLOOKUP(C44,'Data Sheet'!$A$3:$D$26,4,FALSE)),"")</f>
        <v>a1O36000001EGFXEA4</v>
      </c>
      <c r="E44" s="279" t="s">
        <v>2412</v>
      </c>
      <c r="F44" s="103" t="str">
        <f>IFERROR(IF(VLOOKUP(E44,'Data Sheet'!$C$29:$E$174,3,FALSE)=0,"",VLOOKUP(E44,'Data Sheet'!$C$29:$E$174,3,FALSE)),"")</f>
        <v>a1O36000001EGIUEA4</v>
      </c>
      <c r="G44" s="106" t="str">
        <f t="shared" si="2"/>
        <v>a1O36000001EGFXEA4-a1O36000001EGIUEA4</v>
      </c>
      <c r="H44" s="273" t="s">
        <v>2694</v>
      </c>
      <c r="I44" s="107" t="s">
        <v>2733</v>
      </c>
      <c r="J44" s="249" t="str">
        <f t="shared" si="30"/>
        <v>2.4</v>
      </c>
      <c r="K44" s="101" t="str">
        <f>IFERROR(INDEX('Data Sheet'!$C$198:$C$275,MATCH(I44,'Data Sheet'!$F$198:$F$275,0)),"")</f>
        <v>a2C360000007DB9EAM</v>
      </c>
      <c r="L44" s="250">
        <f>IFERROR(INDEX('Data Sheet'!$G$198:$G$275,MATCH(I44,'Data Sheet'!$F$198:$F$275,0)),"")</f>
        <v>2.4</v>
      </c>
      <c r="M44" s="248" t="s">
        <v>2658</v>
      </c>
      <c r="N44" s="248" t="s">
        <v>2760</v>
      </c>
      <c r="O44" s="248" t="s">
        <v>2128</v>
      </c>
      <c r="P44" s="108" t="str">
        <f>IFERROR(INDEX(Setup!$D$44:$D$70,MATCH(M44,Setup!$K$44:$K$70,0))&amp;"","")</f>
        <v>PR</v>
      </c>
      <c r="Q44" s="108" t="str">
        <f>IFERROR(INDEX(Setup!$E$44:$E$70,MATCH(M44,Setup!$K$44:$K$70,0))&amp;"","")</f>
        <v>Civil Society - Community Based Organization</v>
      </c>
      <c r="R44" s="108" t="str">
        <f>IFERROR(INDEX(Setup!$L$44:$L$70,MATCH(M44,Setup!$K$44:$K$70,0))&amp;"","")</f>
        <v/>
      </c>
      <c r="S44" s="108" t="str">
        <f>Setup!$C$30</f>
        <v>USD</v>
      </c>
      <c r="T44" s="109" t="str">
        <f>IFERROR(INDEX('Data Sheet'!$B$198:$B$275,MATCH(I44,'Data Sheet'!$F$198:$F$275,0)),"")</f>
        <v>Average cost of event per participant per day</v>
      </c>
      <c r="U44" s="110">
        <f>IFERROR(INDEX('Data Sheet'!$D$198:$D$275,MATCH(I44,'Data Sheet'!$F$198:$F$275,0)),"")</f>
        <v>2</v>
      </c>
      <c r="V44" s="415" t="s">
        <v>992</v>
      </c>
      <c r="W44" s="195" t="str">
        <f>IF(V44=Setup!$C$30,"Grant",IF(V44=Setup!$C$31,"Local",IF(V44=Setup!$C$32,"Other",IF(ISBLANK(V44),"","Other"))))</f>
        <v>Local</v>
      </c>
      <c r="X44" s="255">
        <f>'Assumptions TRC'!G168</f>
        <v>182166.66666666666</v>
      </c>
      <c r="Y44" s="259">
        <f>IF(X44&lt;&gt;"",X44/VLOOKUP($V44,Setup!$C$30:$D$41,2,0),"")</f>
        <v>22.265774865547517</v>
      </c>
      <c r="Z44" s="262"/>
      <c r="AA44" s="256" t="str">
        <f t="shared" si="34"/>
        <v/>
      </c>
      <c r="AB44" s="262"/>
      <c r="AC44" s="258" t="str">
        <f t="shared" si="3"/>
        <v/>
      </c>
      <c r="AD44" s="262"/>
      <c r="AE44" s="258" t="str">
        <f t="shared" si="4"/>
        <v/>
      </c>
      <c r="AF44" s="262">
        <f>15*2*8</f>
        <v>240</v>
      </c>
      <c r="AG44" s="256">
        <f t="shared" si="5"/>
        <v>5343.7859677314036</v>
      </c>
      <c r="AH44" s="256">
        <f t="shared" si="33"/>
        <v>240</v>
      </c>
      <c r="AI44" s="256">
        <f t="shared" si="6"/>
        <v>5343.7859677314036</v>
      </c>
      <c r="AJ44" s="111"/>
      <c r="AK44" s="255">
        <f t="shared" si="36"/>
        <v>182166.66666666666</v>
      </c>
      <c r="AL44" s="259">
        <f>IF(AK44&lt;&gt;"",AK44/VLOOKUP($V44,Setup!$C$30:$D$41,2,0),"")</f>
        <v>22.265774865547517</v>
      </c>
      <c r="AM44" s="266"/>
      <c r="AN44" s="258" t="str">
        <f t="shared" si="18"/>
        <v/>
      </c>
      <c r="AO44" s="266"/>
      <c r="AP44" s="258" t="str">
        <f t="shared" si="19"/>
        <v/>
      </c>
      <c r="AQ44" s="266"/>
      <c r="AR44" s="258" t="str">
        <f t="shared" si="20"/>
        <v/>
      </c>
      <c r="AS44" s="262">
        <f>15*2*8</f>
        <v>240</v>
      </c>
      <c r="AT44" s="256">
        <f t="shared" si="21"/>
        <v>5343.7859677314036</v>
      </c>
      <c r="AU44" s="256">
        <f t="shared" si="7"/>
        <v>240</v>
      </c>
      <c r="AV44" s="256">
        <f t="shared" si="8"/>
        <v>5343.7859677314036</v>
      </c>
      <c r="AW44" s="267"/>
      <c r="AX44" s="255">
        <f>AK44</f>
        <v>182166.66666666666</v>
      </c>
      <c r="AY44" s="259">
        <f>IF(AX44&lt;&gt;"",AX44/VLOOKUP($V44,Setup!$C$30:$D$41,2,0),"")</f>
        <v>22.265774865547517</v>
      </c>
      <c r="AZ44" s="268"/>
      <c r="BA44" s="258" t="str">
        <f t="shared" si="23"/>
        <v/>
      </c>
      <c r="BB44" s="268"/>
      <c r="BC44" s="258" t="str">
        <f t="shared" si="24"/>
        <v/>
      </c>
      <c r="BD44" s="268"/>
      <c r="BE44" s="258" t="str">
        <f t="shared" si="25"/>
        <v/>
      </c>
      <c r="BF44" s="262">
        <f>15*2*8</f>
        <v>240</v>
      </c>
      <c r="BG44" s="256">
        <f t="shared" si="26"/>
        <v>5343.7859677314036</v>
      </c>
      <c r="BH44" s="256">
        <f t="shared" si="9"/>
        <v>240</v>
      </c>
      <c r="BI44" s="256">
        <f t="shared" si="10"/>
        <v>5343.7859677314036</v>
      </c>
      <c r="BJ44" s="267"/>
      <c r="BK44" s="255"/>
      <c r="BL44" s="259" t="str">
        <f>IF(BK44&lt;&gt;"",BK44/VLOOKUP($V44,Setup!$C$30:$D$41,2,0),"")</f>
        <v/>
      </c>
      <c r="BM44" s="268"/>
      <c r="BN44" s="258" t="str">
        <f t="shared" si="27"/>
        <v/>
      </c>
      <c r="BO44" s="268"/>
      <c r="BP44" s="258" t="str">
        <f t="shared" si="28"/>
        <v/>
      </c>
      <c r="BQ44" s="268"/>
      <c r="BR44" s="258" t="str">
        <f t="shared" si="29"/>
        <v/>
      </c>
      <c r="BS44" s="268"/>
      <c r="BT44" s="256" t="str">
        <f t="shared" si="32"/>
        <v/>
      </c>
      <c r="BU44" s="256" t="str">
        <f t="shared" si="11"/>
        <v/>
      </c>
      <c r="BV44" s="256" t="str">
        <f t="shared" si="12"/>
        <v/>
      </c>
      <c r="BW44" s="267"/>
      <c r="BX44" s="256">
        <f t="shared" si="13"/>
        <v>720</v>
      </c>
      <c r="BY44" s="256">
        <f t="shared" si="14"/>
        <v>16031.35790319421</v>
      </c>
      <c r="BZ44" s="281"/>
      <c r="CA44" s="282"/>
      <c r="CC44" s="112" t="str">
        <f t="shared" ca="1" si="15"/>
        <v/>
      </c>
      <c r="CF44" s="283"/>
      <c r="CG44" s="283"/>
      <c r="CH44" s="283"/>
      <c r="CI44" s="283"/>
      <c r="CL44" s="356" t="str">
        <f>IFERROR(VLOOKUP(C44,'Data Sheet'!$A$3:$B$26,2,FALSE),"")</f>
        <v>MCI-00023</v>
      </c>
    </row>
    <row r="45" spans="1:90" s="112" customFormat="1" ht="63.75" x14ac:dyDescent="0.25">
      <c r="A45" s="97">
        <v>41</v>
      </c>
      <c r="B45" s="105" t="str">
        <f t="shared" si="35"/>
        <v>a1O36000001EGFXEA4-a1O36000001EGIUEA4-Provincial</v>
      </c>
      <c r="C45" s="276" t="s">
        <v>2181</v>
      </c>
      <c r="D45" s="101" t="str">
        <f>IFERROR(IF(VLOOKUP(C45,'Data Sheet'!$A$3:$D$26,4,FALSE)=0,"",VLOOKUP(C45,'Data Sheet'!$A$3:$D$26,4,FALSE)),"")</f>
        <v>a1O36000001EGFXEA4</v>
      </c>
      <c r="E45" s="279" t="s">
        <v>2412</v>
      </c>
      <c r="F45" s="103" t="str">
        <f>IFERROR(IF(VLOOKUP(E45,'Data Sheet'!$C$29:$E$174,3,FALSE)=0,"",VLOOKUP(E45,'Data Sheet'!$C$29:$E$174,3,FALSE)),"")</f>
        <v>a1O36000001EGIUEA4</v>
      </c>
      <c r="G45" s="106" t="str">
        <f t="shared" si="2"/>
        <v>a1O36000001EGFXEA4-a1O36000001EGIUEA4</v>
      </c>
      <c r="H45" s="273" t="s">
        <v>2695</v>
      </c>
      <c r="I45" s="107" t="s">
        <v>2743</v>
      </c>
      <c r="J45" s="249" t="str">
        <f t="shared" si="30"/>
        <v>2.3</v>
      </c>
      <c r="K45" s="101" t="str">
        <f>IFERROR(INDEX('Data Sheet'!$C$198:$C$275,MATCH(I45,'Data Sheet'!$F$198:$F$275,0)),"")</f>
        <v>a2C360000007DB3EAM</v>
      </c>
      <c r="L45" s="250">
        <f>IFERROR(INDEX('Data Sheet'!$G$198:$G$275,MATCH(I45,'Data Sheet'!$F$198:$F$275,0)),"")</f>
        <v>2.2999999999999998</v>
      </c>
      <c r="M45" s="248" t="s">
        <v>2658</v>
      </c>
      <c r="N45" s="248" t="s">
        <v>2760</v>
      </c>
      <c r="O45" s="248" t="s">
        <v>2128</v>
      </c>
      <c r="P45" s="108" t="str">
        <f>IFERROR(INDEX(Setup!$D$44:$D$70,MATCH(M45,Setup!$K$44:$K$70,0))&amp;"","")</f>
        <v>PR</v>
      </c>
      <c r="Q45" s="108" t="str">
        <f>IFERROR(INDEX(Setup!$E$44:$E$70,MATCH(M45,Setup!$K$44:$K$70,0))&amp;"","")</f>
        <v>Civil Society - Community Based Organization</v>
      </c>
      <c r="R45" s="108" t="str">
        <f>IFERROR(INDEX(Setup!$L$44:$L$70,MATCH(M45,Setup!$K$44:$K$70,0))&amp;"","")</f>
        <v/>
      </c>
      <c r="S45" s="108" t="str">
        <f>Setup!$C$30</f>
        <v>USD</v>
      </c>
      <c r="T45" s="109" t="str">
        <f>IFERROR(INDEX('Data Sheet'!$B$198:$B$275,MATCH(I45,'Data Sheet'!$F$198:$F$275,0)),"")</f>
        <v>Average cost of subsistence per person per day</v>
      </c>
      <c r="U45" s="110">
        <f>IFERROR(INDEX('Data Sheet'!$D$198:$D$275,MATCH(I45,'Data Sheet'!$F$198:$F$275,0)),"")</f>
        <v>2</v>
      </c>
      <c r="V45" s="415" t="s">
        <v>992</v>
      </c>
      <c r="W45" s="195" t="str">
        <f>IF(V45=Setup!$C$30,"Grant",IF(V45=Setup!$C$31,"Local",IF(V45=Setup!$C$32,"Other",IF(ISBLANK(V45),"","Other"))))</f>
        <v>Local</v>
      </c>
      <c r="X45" s="255">
        <f>'Assumptions TRC'!G178</f>
        <v>441666.66666666669</v>
      </c>
      <c r="Y45" s="259">
        <f>IF(X45&lt;&gt;"",X45/VLOOKUP($V45,Setup!$C$30:$D$41,2,0),"")</f>
        <v>53.983809143367722</v>
      </c>
      <c r="Z45" s="262"/>
      <c r="AA45" s="256" t="str">
        <f t="shared" si="34"/>
        <v/>
      </c>
      <c r="AB45" s="262">
        <f>4*3*8</f>
        <v>96</v>
      </c>
      <c r="AC45" s="258">
        <f t="shared" si="3"/>
        <v>5182.4456777633013</v>
      </c>
      <c r="AD45" s="262"/>
      <c r="AE45" s="258" t="str">
        <f t="shared" si="4"/>
        <v/>
      </c>
      <c r="AF45" s="262">
        <f>4*3*8</f>
        <v>96</v>
      </c>
      <c r="AG45" s="256">
        <f t="shared" si="5"/>
        <v>5182.4456777633013</v>
      </c>
      <c r="AH45" s="256">
        <f t="shared" si="33"/>
        <v>192</v>
      </c>
      <c r="AI45" s="256">
        <f t="shared" si="6"/>
        <v>10364.891355526603</v>
      </c>
      <c r="AJ45" s="111"/>
      <c r="AK45" s="255">
        <f t="shared" si="36"/>
        <v>441666.66666666669</v>
      </c>
      <c r="AL45" s="259">
        <f>IF(AK45&lt;&gt;"",AK45/VLOOKUP($V45,Setup!$C$30:$D$41,2,0),"")</f>
        <v>53.983809143367722</v>
      </c>
      <c r="AM45" s="266"/>
      <c r="AN45" s="258" t="str">
        <f t="shared" si="18"/>
        <v/>
      </c>
      <c r="AO45" s="262">
        <f>4*3*8</f>
        <v>96</v>
      </c>
      <c r="AP45" s="258">
        <f t="shared" si="19"/>
        <v>5182.4456777633013</v>
      </c>
      <c r="AQ45" s="266"/>
      <c r="AR45" s="258" t="str">
        <f t="shared" si="20"/>
        <v/>
      </c>
      <c r="AS45" s="262">
        <f>4*3*8</f>
        <v>96</v>
      </c>
      <c r="AT45" s="256">
        <f t="shared" si="21"/>
        <v>5182.4456777633013</v>
      </c>
      <c r="AU45" s="256">
        <f t="shared" si="7"/>
        <v>192</v>
      </c>
      <c r="AV45" s="256">
        <f t="shared" si="8"/>
        <v>10364.891355526603</v>
      </c>
      <c r="AW45" s="267"/>
      <c r="AX45" s="255">
        <f>AK45</f>
        <v>441666.66666666669</v>
      </c>
      <c r="AY45" s="259">
        <f>IF(AX45&lt;&gt;"",AX45/VLOOKUP($V45,Setup!$C$30:$D$41,2,0),"")</f>
        <v>53.983809143367722</v>
      </c>
      <c r="AZ45" s="268"/>
      <c r="BA45" s="258" t="str">
        <f t="shared" si="23"/>
        <v/>
      </c>
      <c r="BB45" s="262">
        <f>4*3*8</f>
        <v>96</v>
      </c>
      <c r="BC45" s="258">
        <f t="shared" si="24"/>
        <v>5182.4456777633013</v>
      </c>
      <c r="BD45" s="268"/>
      <c r="BE45" s="258" t="str">
        <f t="shared" si="25"/>
        <v/>
      </c>
      <c r="BF45" s="262">
        <f>4*3*8</f>
        <v>96</v>
      </c>
      <c r="BG45" s="256">
        <f t="shared" si="26"/>
        <v>5182.4456777633013</v>
      </c>
      <c r="BH45" s="256">
        <f t="shared" si="9"/>
        <v>192</v>
      </c>
      <c r="BI45" s="256">
        <f t="shared" si="10"/>
        <v>10364.891355526603</v>
      </c>
      <c r="BJ45" s="267"/>
      <c r="BK45" s="255"/>
      <c r="BL45" s="259" t="str">
        <f>IF(BK45&lt;&gt;"",BK45/VLOOKUP($V45,Setup!$C$30:$D$41,2,0),"")</f>
        <v/>
      </c>
      <c r="BM45" s="268"/>
      <c r="BN45" s="258" t="str">
        <f t="shared" si="27"/>
        <v/>
      </c>
      <c r="BO45" s="268"/>
      <c r="BP45" s="258" t="str">
        <f t="shared" si="28"/>
        <v/>
      </c>
      <c r="BQ45" s="268"/>
      <c r="BR45" s="258" t="str">
        <f t="shared" si="29"/>
        <v/>
      </c>
      <c r="BS45" s="268"/>
      <c r="BT45" s="256" t="str">
        <f t="shared" si="32"/>
        <v/>
      </c>
      <c r="BU45" s="256" t="str">
        <f t="shared" si="11"/>
        <v/>
      </c>
      <c r="BV45" s="256" t="str">
        <f t="shared" si="12"/>
        <v/>
      </c>
      <c r="BW45" s="267"/>
      <c r="BX45" s="256">
        <f t="shared" si="13"/>
        <v>576</v>
      </c>
      <c r="BY45" s="256">
        <f t="shared" si="14"/>
        <v>31094.674066579806</v>
      </c>
      <c r="BZ45" s="281"/>
      <c r="CA45" s="282"/>
      <c r="CC45" s="112" t="str">
        <f t="shared" ca="1" si="15"/>
        <v/>
      </c>
      <c r="CF45" s="283"/>
      <c r="CG45" s="283"/>
      <c r="CH45" s="283"/>
      <c r="CI45" s="283"/>
      <c r="CL45" s="356" t="str">
        <f>IFERROR(VLOOKUP(C45,'Data Sheet'!$A$3:$B$26,2,FALSE),"")</f>
        <v>MCI-00023</v>
      </c>
    </row>
    <row r="46" spans="1:90" s="112" customFormat="1" ht="51" x14ac:dyDescent="0.25">
      <c r="A46" s="97">
        <v>42</v>
      </c>
      <c r="B46" s="105" t="str">
        <f t="shared" si="35"/>
        <v>a1O36000001EGFXEA4-a1O36000001EGIVEA4-Provincial</v>
      </c>
      <c r="C46" s="276" t="s">
        <v>2181</v>
      </c>
      <c r="D46" s="101" t="str">
        <f>IFERROR(IF(VLOOKUP(C46,'Data Sheet'!$A$3:$D$26,4,FALSE)=0,"",VLOOKUP(C46,'Data Sheet'!$A$3:$D$26,4,FALSE)),"")</f>
        <v>a1O36000001EGFXEA4</v>
      </c>
      <c r="E46" s="279" t="s">
        <v>2408</v>
      </c>
      <c r="F46" s="103" t="str">
        <f>IFERROR(IF(VLOOKUP(E46,'Data Sheet'!$C$29:$E$174,3,FALSE)=0,"",VLOOKUP(E46,'Data Sheet'!$C$29:$E$174,3,FALSE)),"")</f>
        <v>a1O36000001EGIVEA4</v>
      </c>
      <c r="G46" s="106" t="str">
        <f t="shared" si="2"/>
        <v>a1O36000001EGFXEA4-a1O36000001EGIVEA4</v>
      </c>
      <c r="H46" s="273" t="s">
        <v>2696</v>
      </c>
      <c r="I46" s="107" t="s">
        <v>2735</v>
      </c>
      <c r="J46" s="249" t="str">
        <f t="shared" si="30"/>
        <v>1.1</v>
      </c>
      <c r="K46" s="101" t="str">
        <f>IFERROR(INDEX('Data Sheet'!$C$198:$C$275,MATCH(I46,'Data Sheet'!$F$198:$F$275,0)),"")</f>
        <v>a2C360000007DA4EAM</v>
      </c>
      <c r="L46" s="250">
        <f>IFERROR(INDEX('Data Sheet'!$G$198:$G$275,MATCH(I46,'Data Sheet'!$F$198:$F$275,0)),"")</f>
        <v>1.1000000000000001</v>
      </c>
      <c r="M46" s="248" t="s">
        <v>2658</v>
      </c>
      <c r="N46" s="248" t="s">
        <v>2760</v>
      </c>
      <c r="O46" s="248" t="s">
        <v>2128</v>
      </c>
      <c r="P46" s="108" t="str">
        <f>IFERROR(INDEX(Setup!$D$44:$D$70,MATCH(M46,Setup!$K$44:$K$70,0))&amp;"","")</f>
        <v>PR</v>
      </c>
      <c r="Q46" s="108" t="str">
        <f>IFERROR(INDEX(Setup!$E$44:$E$70,MATCH(M46,Setup!$K$44:$K$70,0))&amp;"","")</f>
        <v>Civil Society - Community Based Organization</v>
      </c>
      <c r="R46" s="108" t="str">
        <f>IFERROR(INDEX(Setup!$L$44:$L$70,MATCH(M46,Setup!$K$44:$K$70,0))&amp;"","")</f>
        <v/>
      </c>
      <c r="S46" s="108" t="str">
        <f>Setup!$C$30</f>
        <v>USD</v>
      </c>
      <c r="T46" s="109" t="str">
        <f>IFERROR(INDEX('Data Sheet'!$B$198:$B$275,MATCH(I46,'Data Sheet'!$F$198:$F$275,0)),"")</f>
        <v>Average gross salary per FTE (person) per quarter</v>
      </c>
      <c r="U46" s="110">
        <f>IFERROR(INDEX('Data Sheet'!$D$198:$D$275,MATCH(I46,'Data Sheet'!$F$198:$F$275,0)),"")</f>
        <v>1</v>
      </c>
      <c r="V46" s="415" t="s">
        <v>992</v>
      </c>
      <c r="W46" s="195" t="str">
        <f>IF(V46=Setup!$C$30,"Grant",IF(V46=Setup!$C$31,"Local",IF(V46=Setup!$C$32,"Other",IF(ISBLANK(V46),"","Other"))))</f>
        <v>Local</v>
      </c>
      <c r="X46" s="255">
        <f>'Assumptions HR'!H56</f>
        <v>19703025</v>
      </c>
      <c r="Y46" s="259">
        <f>IF(X46&lt;&gt;"",X46/VLOOKUP($V46,Setup!$C$30:$D$41,2,0),"")</f>
        <v>2408.251338446044</v>
      </c>
      <c r="Z46" s="262">
        <v>4</v>
      </c>
      <c r="AA46" s="256">
        <f t="shared" si="34"/>
        <v>9633.0053537841759</v>
      </c>
      <c r="AB46" s="262">
        <v>4</v>
      </c>
      <c r="AC46" s="258">
        <f t="shared" si="3"/>
        <v>9633.0053537841759</v>
      </c>
      <c r="AD46" s="262">
        <v>4</v>
      </c>
      <c r="AE46" s="258">
        <f t="shared" si="4"/>
        <v>9633.0053537841759</v>
      </c>
      <c r="AF46" s="262">
        <v>4</v>
      </c>
      <c r="AG46" s="256">
        <f t="shared" si="5"/>
        <v>9633.0053537841759</v>
      </c>
      <c r="AH46" s="256">
        <f t="shared" si="33"/>
        <v>16</v>
      </c>
      <c r="AI46" s="256">
        <f t="shared" si="6"/>
        <v>38532.021415136704</v>
      </c>
      <c r="AJ46" s="111"/>
      <c r="AK46" s="255">
        <f t="shared" si="36"/>
        <v>19703025</v>
      </c>
      <c r="AL46" s="259">
        <f>IF(AK46&lt;&gt;"",AK46/VLOOKUP($V46,Setup!$C$30:$D$41,2,0),"")</f>
        <v>2408.251338446044</v>
      </c>
      <c r="AM46" s="262">
        <v>4</v>
      </c>
      <c r="AN46" s="258">
        <f t="shared" si="18"/>
        <v>9633.0053537841759</v>
      </c>
      <c r="AO46" s="262">
        <v>4</v>
      </c>
      <c r="AP46" s="258">
        <f t="shared" si="19"/>
        <v>9633.0053537841759</v>
      </c>
      <c r="AQ46" s="262">
        <v>4</v>
      </c>
      <c r="AR46" s="258">
        <f t="shared" si="20"/>
        <v>9633.0053537841759</v>
      </c>
      <c r="AS46" s="262">
        <v>4</v>
      </c>
      <c r="AT46" s="256">
        <f t="shared" si="21"/>
        <v>9633.0053537841759</v>
      </c>
      <c r="AU46" s="256">
        <f t="shared" si="7"/>
        <v>16</v>
      </c>
      <c r="AV46" s="256">
        <f t="shared" si="8"/>
        <v>38532.021415136704</v>
      </c>
      <c r="AW46" s="267"/>
      <c r="AX46" s="255">
        <f>X46</f>
        <v>19703025</v>
      </c>
      <c r="AY46" s="259">
        <f>IF(AX46&lt;&gt;"",AX46/VLOOKUP($V46,Setup!$C$30:$D$41,2,0),"")</f>
        <v>2408.251338446044</v>
      </c>
      <c r="AZ46" s="262">
        <v>4</v>
      </c>
      <c r="BA46" s="258">
        <f t="shared" si="23"/>
        <v>9633.0053537841759</v>
      </c>
      <c r="BB46" s="262">
        <v>4</v>
      </c>
      <c r="BC46" s="258">
        <f t="shared" si="24"/>
        <v>9633.0053537841759</v>
      </c>
      <c r="BD46" s="262">
        <v>4</v>
      </c>
      <c r="BE46" s="258">
        <f t="shared" si="25"/>
        <v>9633.0053537841759</v>
      </c>
      <c r="BF46" s="262">
        <v>4</v>
      </c>
      <c r="BG46" s="256">
        <f t="shared" si="26"/>
        <v>9633.0053537841759</v>
      </c>
      <c r="BH46" s="256">
        <f t="shared" si="9"/>
        <v>16</v>
      </c>
      <c r="BI46" s="256">
        <f t="shared" si="10"/>
        <v>38532.021415136704</v>
      </c>
      <c r="BJ46" s="267"/>
      <c r="BK46" s="255"/>
      <c r="BL46" s="259" t="str">
        <f>IF(BK46&lt;&gt;"",BK46/VLOOKUP($V46,Setup!$C$30:$D$41,2,0),"")</f>
        <v/>
      </c>
      <c r="BM46" s="268"/>
      <c r="BN46" s="258" t="str">
        <f t="shared" si="27"/>
        <v/>
      </c>
      <c r="BO46" s="268"/>
      <c r="BP46" s="258" t="str">
        <f t="shared" si="28"/>
        <v/>
      </c>
      <c r="BQ46" s="268"/>
      <c r="BR46" s="258" t="str">
        <f t="shared" si="29"/>
        <v/>
      </c>
      <c r="BS46" s="268"/>
      <c r="BT46" s="256" t="str">
        <f t="shared" si="32"/>
        <v/>
      </c>
      <c r="BU46" s="256" t="str">
        <f t="shared" si="11"/>
        <v/>
      </c>
      <c r="BV46" s="256" t="str">
        <f t="shared" si="12"/>
        <v/>
      </c>
      <c r="BW46" s="267"/>
      <c r="BX46" s="256">
        <f t="shared" si="13"/>
        <v>48</v>
      </c>
      <c r="BY46" s="256">
        <f t="shared" si="14"/>
        <v>115596.06424541012</v>
      </c>
      <c r="BZ46" s="281"/>
      <c r="CA46" s="282"/>
      <c r="CC46" s="112" t="str">
        <f t="shared" ca="1" si="15"/>
        <v/>
      </c>
      <c r="CF46" s="283"/>
      <c r="CG46" s="283"/>
      <c r="CH46" s="283"/>
      <c r="CI46" s="283"/>
      <c r="CL46" s="356" t="str">
        <f>IFERROR(VLOOKUP(C46,'Data Sheet'!$A$3:$B$26,2,FALSE),"")</f>
        <v>MCI-00023</v>
      </c>
    </row>
    <row r="47" spans="1:90" s="112" customFormat="1" ht="51" x14ac:dyDescent="0.25">
      <c r="A47" s="97">
        <v>43</v>
      </c>
      <c r="B47" s="105" t="str">
        <f t="shared" si="35"/>
        <v>a1O36000001EGFXEA4-a1O36000001EGIVEA4-Provincial</v>
      </c>
      <c r="C47" s="276" t="s">
        <v>2181</v>
      </c>
      <c r="D47" s="101" t="str">
        <f>IFERROR(IF(VLOOKUP(C47,'Data Sheet'!$A$3:$D$26,4,FALSE)=0,"",VLOOKUP(C47,'Data Sheet'!$A$3:$D$26,4,FALSE)),"")</f>
        <v>a1O36000001EGFXEA4</v>
      </c>
      <c r="E47" s="279" t="s">
        <v>2408</v>
      </c>
      <c r="F47" s="103" t="str">
        <f>IFERROR(IF(VLOOKUP(E47,'Data Sheet'!$C$29:$E$174,3,FALSE)=0,"",VLOOKUP(E47,'Data Sheet'!$C$29:$E$174,3,FALSE)),"")</f>
        <v>a1O36000001EGIVEA4</v>
      </c>
      <c r="G47" s="106" t="str">
        <f t="shared" si="2"/>
        <v>a1O36000001EGFXEA4-a1O36000001EGIVEA4</v>
      </c>
      <c r="H47" s="273" t="s">
        <v>2697</v>
      </c>
      <c r="I47" s="107" t="s">
        <v>2735</v>
      </c>
      <c r="J47" s="249" t="str">
        <f t="shared" si="30"/>
        <v>1.1</v>
      </c>
      <c r="K47" s="101" t="str">
        <f>IFERROR(INDEX('Data Sheet'!$C$198:$C$275,MATCH(I47,'Data Sheet'!$F$198:$F$275,0)),"")</f>
        <v>a2C360000007DA4EAM</v>
      </c>
      <c r="L47" s="250">
        <f>IFERROR(INDEX('Data Sheet'!$G$198:$G$275,MATCH(I47,'Data Sheet'!$F$198:$F$275,0)),"")</f>
        <v>1.1000000000000001</v>
      </c>
      <c r="M47" s="248" t="s">
        <v>2658</v>
      </c>
      <c r="N47" s="248" t="s">
        <v>2760</v>
      </c>
      <c r="O47" s="248" t="s">
        <v>2128</v>
      </c>
      <c r="P47" s="108" t="str">
        <f>IFERROR(INDEX(Setup!$D$44:$D$70,MATCH(M47,Setup!$K$44:$K$70,0))&amp;"","")</f>
        <v>PR</v>
      </c>
      <c r="Q47" s="108" t="str">
        <f>IFERROR(INDEX(Setup!$E$44:$E$70,MATCH(M47,Setup!$K$44:$K$70,0))&amp;"","")</f>
        <v>Civil Society - Community Based Organization</v>
      </c>
      <c r="R47" s="108" t="str">
        <f>IFERROR(INDEX(Setup!$L$44:$L$70,MATCH(M47,Setup!$K$44:$K$70,0))&amp;"","")</f>
        <v/>
      </c>
      <c r="S47" s="108" t="str">
        <f>Setup!$C$30</f>
        <v>USD</v>
      </c>
      <c r="T47" s="109" t="str">
        <f>IFERROR(INDEX('Data Sheet'!$B$198:$B$275,MATCH(I47,'Data Sheet'!$F$198:$F$275,0)),"")</f>
        <v>Average gross salary per FTE (person) per quarter</v>
      </c>
      <c r="U47" s="110">
        <f>IFERROR(INDEX('Data Sheet'!$D$198:$D$275,MATCH(I47,'Data Sheet'!$F$198:$F$275,0)),"")</f>
        <v>1</v>
      </c>
      <c r="V47" s="415" t="s">
        <v>992</v>
      </c>
      <c r="W47" s="195" t="str">
        <f>IF(V47=Setup!$C$30,"Grant",IF(V47=Setup!$C$31,"Local",IF(V47=Setup!$C$32,"Other",IF(ISBLANK(V47),"","Other"))))</f>
        <v>Local</v>
      </c>
      <c r="X47" s="255">
        <f>'Assumptions HR'!G66</f>
        <v>10219000</v>
      </c>
      <c r="Y47" s="259">
        <f>IF(X47&lt;&gt;"",X47/VLOOKUP($V47,Setup!$C$30:$D$41,2,0),"")</f>
        <v>1249.0427448363957</v>
      </c>
      <c r="Z47" s="262">
        <v>6</v>
      </c>
      <c r="AA47" s="256">
        <f t="shared" si="34"/>
        <v>7494.2564690183744</v>
      </c>
      <c r="AB47" s="262">
        <v>6</v>
      </c>
      <c r="AC47" s="258">
        <f t="shared" si="3"/>
        <v>7494.2564690183744</v>
      </c>
      <c r="AD47" s="262">
        <v>6</v>
      </c>
      <c r="AE47" s="258">
        <f t="shared" si="4"/>
        <v>7494.2564690183744</v>
      </c>
      <c r="AF47" s="262">
        <v>6</v>
      </c>
      <c r="AG47" s="256">
        <f t="shared" si="5"/>
        <v>7494.2564690183744</v>
      </c>
      <c r="AH47" s="256">
        <f t="shared" si="33"/>
        <v>24</v>
      </c>
      <c r="AI47" s="256">
        <f t="shared" si="6"/>
        <v>29977.025876073498</v>
      </c>
      <c r="AJ47" s="111"/>
      <c r="AK47" s="255">
        <f t="shared" si="36"/>
        <v>10219000</v>
      </c>
      <c r="AL47" s="259">
        <f>IF(AK47&lt;&gt;"",AK47/VLOOKUP($V47,Setup!$C$30:$D$41,2,0),"")</f>
        <v>1249.0427448363957</v>
      </c>
      <c r="AM47" s="266">
        <v>6</v>
      </c>
      <c r="AN47" s="258">
        <f t="shared" si="18"/>
        <v>7494.2564690183744</v>
      </c>
      <c r="AO47" s="266">
        <v>6</v>
      </c>
      <c r="AP47" s="258">
        <f t="shared" si="19"/>
        <v>7494.2564690183744</v>
      </c>
      <c r="AQ47" s="266">
        <v>6</v>
      </c>
      <c r="AR47" s="258">
        <f t="shared" si="20"/>
        <v>7494.2564690183744</v>
      </c>
      <c r="AS47" s="266">
        <v>6</v>
      </c>
      <c r="AT47" s="256">
        <f t="shared" si="21"/>
        <v>7494.2564690183744</v>
      </c>
      <c r="AU47" s="256">
        <f t="shared" si="7"/>
        <v>24</v>
      </c>
      <c r="AV47" s="256">
        <f t="shared" si="8"/>
        <v>29977.025876073498</v>
      </c>
      <c r="AW47" s="267"/>
      <c r="AX47" s="255">
        <f>X47</f>
        <v>10219000</v>
      </c>
      <c r="AY47" s="259">
        <f>IF(AX47&lt;&gt;"",AX47/VLOOKUP($V47,Setup!$C$30:$D$41,2,0),"")</f>
        <v>1249.0427448363957</v>
      </c>
      <c r="AZ47" s="268">
        <v>6</v>
      </c>
      <c r="BA47" s="258">
        <f t="shared" si="23"/>
        <v>7494.2564690183744</v>
      </c>
      <c r="BB47" s="268">
        <v>6</v>
      </c>
      <c r="BC47" s="258">
        <f t="shared" si="24"/>
        <v>7494.2564690183744</v>
      </c>
      <c r="BD47" s="268">
        <v>6</v>
      </c>
      <c r="BE47" s="258">
        <f t="shared" si="25"/>
        <v>7494.2564690183744</v>
      </c>
      <c r="BF47" s="268">
        <v>6</v>
      </c>
      <c r="BG47" s="256">
        <f t="shared" si="26"/>
        <v>7494.2564690183744</v>
      </c>
      <c r="BH47" s="256">
        <f t="shared" si="9"/>
        <v>24</v>
      </c>
      <c r="BI47" s="256">
        <f t="shared" si="10"/>
        <v>29977.025876073498</v>
      </c>
      <c r="BJ47" s="267"/>
      <c r="BK47" s="255"/>
      <c r="BL47" s="259" t="str">
        <f>IF(BK47&lt;&gt;"",BK47/VLOOKUP($V47,Setup!$C$30:$D$41,2,0),"")</f>
        <v/>
      </c>
      <c r="BM47" s="268"/>
      <c r="BN47" s="258" t="str">
        <f t="shared" si="27"/>
        <v/>
      </c>
      <c r="BO47" s="268"/>
      <c r="BP47" s="258" t="str">
        <f t="shared" si="28"/>
        <v/>
      </c>
      <c r="BQ47" s="268"/>
      <c r="BR47" s="258" t="str">
        <f t="shared" si="29"/>
        <v/>
      </c>
      <c r="BS47" s="268"/>
      <c r="BT47" s="256" t="str">
        <f t="shared" si="32"/>
        <v/>
      </c>
      <c r="BU47" s="256" t="str">
        <f t="shared" si="11"/>
        <v/>
      </c>
      <c r="BV47" s="256" t="str">
        <f t="shared" si="12"/>
        <v/>
      </c>
      <c r="BW47" s="267"/>
      <c r="BX47" s="256">
        <f t="shared" si="13"/>
        <v>72</v>
      </c>
      <c r="BY47" s="256">
        <f t="shared" si="14"/>
        <v>89931.07762822049</v>
      </c>
      <c r="BZ47" s="281"/>
      <c r="CA47" s="282"/>
      <c r="CC47" s="112" t="str">
        <f t="shared" ca="1" si="15"/>
        <v/>
      </c>
      <c r="CF47" s="283"/>
      <c r="CG47" s="283"/>
      <c r="CH47" s="283"/>
      <c r="CI47" s="283"/>
      <c r="CL47" s="356" t="str">
        <f>IFERROR(VLOOKUP(C47,'Data Sheet'!$A$3:$B$26,2,FALSE),"")</f>
        <v>MCI-00023</v>
      </c>
    </row>
    <row r="48" spans="1:90" s="112" customFormat="1" ht="51" x14ac:dyDescent="0.25">
      <c r="A48" s="97">
        <v>44</v>
      </c>
      <c r="B48" s="105" t="str">
        <f t="shared" si="35"/>
        <v>a1O36000001qZ7vEAE-a1O36000001qZ99EAE-Provincial</v>
      </c>
      <c r="C48" s="276" t="s">
        <v>2148</v>
      </c>
      <c r="D48" s="101" t="str">
        <f>IFERROR(IF(VLOOKUP(C48,'Data Sheet'!$A$3:$D$26,4,FALSE)=0,"",VLOOKUP(C48,'Data Sheet'!$A$3:$D$26,4,FALSE)),"")</f>
        <v>a1O36000001qZ7vEAE</v>
      </c>
      <c r="E48" s="279" t="s">
        <v>2475</v>
      </c>
      <c r="F48" s="103" t="str">
        <f>IFERROR(IF(VLOOKUP(E48,'Data Sheet'!$C$29:$E$174,3,FALSE)=0,"",VLOOKUP(E48,'Data Sheet'!$C$29:$E$174,3,FALSE)),"")</f>
        <v>a1O36000001qZ99EAE</v>
      </c>
      <c r="G48" s="106" t="str">
        <f t="shared" si="2"/>
        <v>a1O36000001qZ7vEAE-a1O36000001qZ99EAE</v>
      </c>
      <c r="H48" s="273" t="s">
        <v>2698</v>
      </c>
      <c r="I48" s="107" t="s">
        <v>2752</v>
      </c>
      <c r="J48" s="249" t="str">
        <f t="shared" si="30"/>
        <v>1.2</v>
      </c>
      <c r="K48" s="101" t="str">
        <f>IFERROR(INDEX('Data Sheet'!$C$198:$C$275,MATCH(I48,'Data Sheet'!$F$198:$F$275,0)),"")</f>
        <v>a2C360000007DAFEA2</v>
      </c>
      <c r="L48" s="250">
        <f>IFERROR(INDEX('Data Sheet'!$G$198:$G$275,MATCH(I48,'Data Sheet'!$F$198:$F$275,0)),"")</f>
        <v>1.2</v>
      </c>
      <c r="M48" s="248" t="s">
        <v>2658</v>
      </c>
      <c r="N48" s="248" t="s">
        <v>2760</v>
      </c>
      <c r="O48" s="248" t="s">
        <v>2128</v>
      </c>
      <c r="P48" s="108" t="str">
        <f>IFERROR(INDEX(Setup!$D$44:$D$70,MATCH(M48,Setup!$K$44:$K$70,0))&amp;"","")</f>
        <v>PR</v>
      </c>
      <c r="Q48" s="108" t="str">
        <f>IFERROR(INDEX(Setup!$E$44:$E$70,MATCH(M48,Setup!$K$44:$K$70,0))&amp;"","")</f>
        <v>Civil Society - Community Based Organization</v>
      </c>
      <c r="R48" s="108" t="str">
        <f>IFERROR(INDEX(Setup!$L$44:$L$70,MATCH(M48,Setup!$K$44:$K$70,0))&amp;"","")</f>
        <v/>
      </c>
      <c r="S48" s="108" t="str">
        <f>Setup!$C$30</f>
        <v>USD</v>
      </c>
      <c r="T48" s="109" t="str">
        <f>IFERROR(INDEX('Data Sheet'!$B$198:$B$275,MATCH(I48,'Data Sheet'!$F$198:$F$275,0)),"")</f>
        <v>Average payment per FTE (person) per quarter</v>
      </c>
      <c r="U48" s="110">
        <f>IFERROR(INDEX('Data Sheet'!$D$198:$D$275,MATCH(I48,'Data Sheet'!$F$198:$F$275,0)),"")</f>
        <v>1</v>
      </c>
      <c r="V48" s="415" t="s">
        <v>992</v>
      </c>
      <c r="W48" s="195" t="str">
        <f>IF(V48=Setup!$C$30,"Grant",IF(V48=Setup!$C$31,"Local",IF(V48=Setup!$C$32,"Other",IF(ISBLANK(V48),"","Other"))))</f>
        <v>Local</v>
      </c>
      <c r="X48" s="255">
        <f>'Assumptions HR'!G73</f>
        <v>4410000</v>
      </c>
      <c r="Y48" s="259">
        <f>IF(X48&lt;&gt;"",X48/VLOOKUP($V48,Setup!$C$30:$D$41,2,0),"")</f>
        <v>539.02324148434343</v>
      </c>
      <c r="Z48" s="262">
        <v>8</v>
      </c>
      <c r="AA48" s="256">
        <f t="shared" si="34"/>
        <v>4312.1859318747474</v>
      </c>
      <c r="AB48" s="262">
        <v>8</v>
      </c>
      <c r="AC48" s="258">
        <f t="shared" si="3"/>
        <v>4312.1859318747474</v>
      </c>
      <c r="AD48" s="262">
        <v>8</v>
      </c>
      <c r="AE48" s="258">
        <f t="shared" si="4"/>
        <v>4312.1859318747474</v>
      </c>
      <c r="AF48" s="262">
        <v>8</v>
      </c>
      <c r="AG48" s="256">
        <f t="shared" si="5"/>
        <v>4312.1859318747474</v>
      </c>
      <c r="AH48" s="256">
        <f t="shared" si="33"/>
        <v>32</v>
      </c>
      <c r="AI48" s="256">
        <f t="shared" si="6"/>
        <v>17248.74372749899</v>
      </c>
      <c r="AJ48" s="111"/>
      <c r="AK48" s="255">
        <f t="shared" si="36"/>
        <v>4410000</v>
      </c>
      <c r="AL48" s="259">
        <f>IF(AK48&lt;&gt;"",AK48/VLOOKUP($V48,Setup!$C$30:$D$41,2,0),"")</f>
        <v>539.02324148434343</v>
      </c>
      <c r="AM48" s="266">
        <v>8</v>
      </c>
      <c r="AN48" s="258">
        <f t="shared" si="18"/>
        <v>4312.1859318747474</v>
      </c>
      <c r="AO48" s="266">
        <v>8</v>
      </c>
      <c r="AP48" s="258">
        <f t="shared" si="19"/>
        <v>4312.1859318747474</v>
      </c>
      <c r="AQ48" s="266">
        <v>8</v>
      </c>
      <c r="AR48" s="258">
        <f t="shared" si="20"/>
        <v>4312.1859318747474</v>
      </c>
      <c r="AS48" s="266">
        <v>8</v>
      </c>
      <c r="AT48" s="256">
        <f t="shared" si="21"/>
        <v>4312.1859318747474</v>
      </c>
      <c r="AU48" s="256">
        <f t="shared" si="7"/>
        <v>32</v>
      </c>
      <c r="AV48" s="256">
        <f t="shared" si="8"/>
        <v>17248.74372749899</v>
      </c>
      <c r="AW48" s="267"/>
      <c r="AX48" s="255">
        <f>X48</f>
        <v>4410000</v>
      </c>
      <c r="AY48" s="259">
        <f>IF(AX48&lt;&gt;"",AX48/VLOOKUP($V48,Setup!$C$30:$D$41,2,0),"")</f>
        <v>539.02324148434343</v>
      </c>
      <c r="AZ48" s="268">
        <v>8</v>
      </c>
      <c r="BA48" s="258">
        <f t="shared" si="23"/>
        <v>4312.1859318747474</v>
      </c>
      <c r="BB48" s="268">
        <v>8</v>
      </c>
      <c r="BC48" s="258">
        <f t="shared" si="24"/>
        <v>4312.1859318747474</v>
      </c>
      <c r="BD48" s="268">
        <v>8</v>
      </c>
      <c r="BE48" s="258">
        <f t="shared" si="25"/>
        <v>4312.1859318747474</v>
      </c>
      <c r="BF48" s="268">
        <v>8</v>
      </c>
      <c r="BG48" s="256">
        <f t="shared" si="26"/>
        <v>4312.1859318747474</v>
      </c>
      <c r="BH48" s="256">
        <f t="shared" si="9"/>
        <v>32</v>
      </c>
      <c r="BI48" s="256">
        <f t="shared" si="10"/>
        <v>17248.74372749899</v>
      </c>
      <c r="BJ48" s="267"/>
      <c r="BK48" s="255"/>
      <c r="BL48" s="259" t="str">
        <f>IF(BK48&lt;&gt;"",BK48/VLOOKUP($V48,Setup!$C$30:$D$41,2,0),"")</f>
        <v/>
      </c>
      <c r="BM48" s="268"/>
      <c r="BN48" s="258" t="str">
        <f t="shared" si="27"/>
        <v/>
      </c>
      <c r="BO48" s="268"/>
      <c r="BP48" s="258" t="str">
        <f t="shared" si="28"/>
        <v/>
      </c>
      <c r="BQ48" s="268"/>
      <c r="BR48" s="258" t="str">
        <f t="shared" si="29"/>
        <v/>
      </c>
      <c r="BS48" s="268"/>
      <c r="BT48" s="256" t="str">
        <f t="shared" si="32"/>
        <v/>
      </c>
      <c r="BU48" s="256" t="str">
        <f t="shared" si="11"/>
        <v/>
      </c>
      <c r="BV48" s="256" t="str">
        <f t="shared" si="12"/>
        <v/>
      </c>
      <c r="BW48" s="267"/>
      <c r="BX48" s="256">
        <f t="shared" si="13"/>
        <v>96</v>
      </c>
      <c r="BY48" s="256">
        <f t="shared" si="14"/>
        <v>51746.231182496966</v>
      </c>
      <c r="BZ48" s="281"/>
      <c r="CA48" s="282"/>
      <c r="CC48" s="112" t="str">
        <f t="shared" ca="1" si="15"/>
        <v/>
      </c>
      <c r="CF48" s="283"/>
      <c r="CG48" s="283"/>
      <c r="CH48" s="283"/>
      <c r="CI48" s="283"/>
      <c r="CL48" s="356" t="str">
        <f>IFERROR(VLOOKUP(C48,'Data Sheet'!$A$3:$B$26,2,FALSE),"")</f>
        <v>MCI-00534</v>
      </c>
    </row>
    <row r="49" spans="1:90" s="112" customFormat="1" ht="51" x14ac:dyDescent="0.25">
      <c r="A49" s="97">
        <v>45</v>
      </c>
      <c r="B49" s="105" t="str">
        <f t="shared" si="35"/>
        <v>a1O36000001qZ7vEAE-a1O36000001qZ99EAE-Provincial</v>
      </c>
      <c r="C49" s="276" t="s">
        <v>2148</v>
      </c>
      <c r="D49" s="101" t="str">
        <f>IFERROR(IF(VLOOKUP(C49,'Data Sheet'!$A$3:$D$26,4,FALSE)=0,"",VLOOKUP(C49,'Data Sheet'!$A$3:$D$26,4,FALSE)),"")</f>
        <v>a1O36000001qZ7vEAE</v>
      </c>
      <c r="E49" s="279" t="s">
        <v>2475</v>
      </c>
      <c r="F49" s="103" t="str">
        <f>IFERROR(IF(VLOOKUP(E49,'Data Sheet'!$C$29:$E$174,3,FALSE)=0,"",VLOOKUP(E49,'Data Sheet'!$C$29:$E$174,3,FALSE)),"")</f>
        <v>a1O36000001qZ99EAE</v>
      </c>
      <c r="G49" s="106" t="str">
        <f t="shared" si="2"/>
        <v>a1O36000001qZ7vEAE-a1O36000001qZ99EAE</v>
      </c>
      <c r="H49" s="273" t="s">
        <v>2699</v>
      </c>
      <c r="I49" s="107" t="s">
        <v>2752</v>
      </c>
      <c r="J49" s="249" t="str">
        <f t="shared" si="30"/>
        <v>1.2</v>
      </c>
      <c r="K49" s="101" t="str">
        <f>IFERROR(INDEX('Data Sheet'!$C$198:$C$275,MATCH(I49,'Data Sheet'!$F$198:$F$275,0)),"")</f>
        <v>a2C360000007DAFEA2</v>
      </c>
      <c r="L49" s="250">
        <f>IFERROR(INDEX('Data Sheet'!$G$198:$G$275,MATCH(I49,'Data Sheet'!$F$198:$F$275,0)),"")</f>
        <v>1.2</v>
      </c>
      <c r="M49" s="248" t="s">
        <v>2658</v>
      </c>
      <c r="N49" s="248" t="s">
        <v>2760</v>
      </c>
      <c r="O49" s="248" t="s">
        <v>2128</v>
      </c>
      <c r="P49" s="108" t="str">
        <f>IFERROR(INDEX(Setup!$D$44:$D$70,MATCH(M49,Setup!$K$44:$K$70,0))&amp;"","")</f>
        <v>PR</v>
      </c>
      <c r="Q49" s="108" t="str">
        <f>IFERROR(INDEX(Setup!$E$44:$E$70,MATCH(M49,Setup!$K$44:$K$70,0))&amp;"","")</f>
        <v>Civil Society - Community Based Organization</v>
      </c>
      <c r="R49" s="108" t="str">
        <f>IFERROR(INDEX(Setup!$L$44:$L$70,MATCH(M49,Setup!$K$44:$K$70,0))&amp;"","")</f>
        <v/>
      </c>
      <c r="S49" s="108" t="str">
        <f>Setup!$C$30</f>
        <v>USD</v>
      </c>
      <c r="T49" s="109" t="str">
        <f>IFERROR(INDEX('Data Sheet'!$B$198:$B$275,MATCH(I49,'Data Sheet'!$F$198:$F$275,0)),"")</f>
        <v>Average payment per FTE (person) per quarter</v>
      </c>
      <c r="U49" s="110">
        <f>IFERROR(INDEX('Data Sheet'!$D$198:$D$275,MATCH(I49,'Data Sheet'!$F$198:$F$275,0)),"")</f>
        <v>1</v>
      </c>
      <c r="V49" s="415" t="s">
        <v>992</v>
      </c>
      <c r="W49" s="195" t="str">
        <f>IF(V49=Setup!$C$30,"Grant",IF(V49=Setup!$C$31,"Local",IF(V49=Setup!$C$32,"Other",IF(ISBLANK(V49),"","Other"))))</f>
        <v>Local</v>
      </c>
      <c r="X49" s="255">
        <f>'Assumptions HR'!G79</f>
        <v>4410000</v>
      </c>
      <c r="Y49" s="259">
        <f>IF(X49&lt;&gt;"",X49/VLOOKUP($V49,Setup!$C$30:$D$41,2,0),"")</f>
        <v>539.02324148434343</v>
      </c>
      <c r="Z49" s="262">
        <v>19</v>
      </c>
      <c r="AA49" s="256">
        <f t="shared" si="34"/>
        <v>10241.441588202526</v>
      </c>
      <c r="AB49" s="262">
        <v>19</v>
      </c>
      <c r="AC49" s="258">
        <f t="shared" si="3"/>
        <v>10241.441588202526</v>
      </c>
      <c r="AD49" s="262">
        <v>19</v>
      </c>
      <c r="AE49" s="258">
        <f t="shared" si="4"/>
        <v>10241.441588202526</v>
      </c>
      <c r="AF49" s="262">
        <v>19</v>
      </c>
      <c r="AG49" s="256">
        <f t="shared" si="5"/>
        <v>10241.441588202526</v>
      </c>
      <c r="AH49" s="256">
        <f t="shared" si="33"/>
        <v>76</v>
      </c>
      <c r="AI49" s="256">
        <f t="shared" si="6"/>
        <v>40965.766352810104</v>
      </c>
      <c r="AJ49" s="111"/>
      <c r="AK49" s="255">
        <f t="shared" si="36"/>
        <v>4410000</v>
      </c>
      <c r="AL49" s="259">
        <f>IF(AK49&lt;&gt;"",AK49/VLOOKUP($V49,Setup!$C$30:$D$41,2,0),"")</f>
        <v>539.02324148434343</v>
      </c>
      <c r="AM49" s="266">
        <v>19</v>
      </c>
      <c r="AN49" s="258">
        <f t="shared" si="18"/>
        <v>10241.441588202526</v>
      </c>
      <c r="AO49" s="266">
        <v>19</v>
      </c>
      <c r="AP49" s="258">
        <f t="shared" si="19"/>
        <v>10241.441588202526</v>
      </c>
      <c r="AQ49" s="266">
        <v>19</v>
      </c>
      <c r="AR49" s="258">
        <f t="shared" si="20"/>
        <v>10241.441588202526</v>
      </c>
      <c r="AS49" s="266">
        <v>19</v>
      </c>
      <c r="AT49" s="256">
        <f t="shared" si="21"/>
        <v>10241.441588202526</v>
      </c>
      <c r="AU49" s="256">
        <f t="shared" si="7"/>
        <v>76</v>
      </c>
      <c r="AV49" s="256">
        <f t="shared" si="8"/>
        <v>40965.766352810104</v>
      </c>
      <c r="AW49" s="267"/>
      <c r="AX49" s="255">
        <f>X49</f>
        <v>4410000</v>
      </c>
      <c r="AY49" s="259">
        <f>IF(AX49&lt;&gt;"",AX49/VLOOKUP($V49,Setup!$C$30:$D$41,2,0),"")</f>
        <v>539.02324148434343</v>
      </c>
      <c r="AZ49" s="268">
        <v>19</v>
      </c>
      <c r="BA49" s="258">
        <f t="shared" si="23"/>
        <v>10241.441588202526</v>
      </c>
      <c r="BB49" s="268">
        <v>19</v>
      </c>
      <c r="BC49" s="258">
        <f t="shared" si="24"/>
        <v>10241.441588202526</v>
      </c>
      <c r="BD49" s="268">
        <v>19</v>
      </c>
      <c r="BE49" s="258">
        <f t="shared" si="25"/>
        <v>10241.441588202526</v>
      </c>
      <c r="BF49" s="268">
        <v>19</v>
      </c>
      <c r="BG49" s="256">
        <f t="shared" si="26"/>
        <v>10241.441588202526</v>
      </c>
      <c r="BH49" s="256">
        <f t="shared" si="9"/>
        <v>76</v>
      </c>
      <c r="BI49" s="256">
        <f t="shared" si="10"/>
        <v>40965.766352810104</v>
      </c>
      <c r="BJ49" s="267"/>
      <c r="BK49" s="255"/>
      <c r="BL49" s="259" t="str">
        <f>IF(BK49&lt;&gt;"",BK49/VLOOKUP($V49,Setup!$C$30:$D$41,2,0),"")</f>
        <v/>
      </c>
      <c r="BM49" s="268"/>
      <c r="BN49" s="258" t="str">
        <f t="shared" si="27"/>
        <v/>
      </c>
      <c r="BO49" s="268"/>
      <c r="BP49" s="258" t="str">
        <f t="shared" si="28"/>
        <v/>
      </c>
      <c r="BQ49" s="268"/>
      <c r="BR49" s="258" t="str">
        <f t="shared" si="29"/>
        <v/>
      </c>
      <c r="BS49" s="268"/>
      <c r="BT49" s="256" t="str">
        <f t="shared" si="32"/>
        <v/>
      </c>
      <c r="BU49" s="256" t="str">
        <f t="shared" si="11"/>
        <v/>
      </c>
      <c r="BV49" s="256" t="str">
        <f t="shared" si="12"/>
        <v/>
      </c>
      <c r="BW49" s="267"/>
      <c r="BX49" s="256">
        <f t="shared" si="13"/>
        <v>228</v>
      </c>
      <c r="BY49" s="256">
        <f t="shared" si="14"/>
        <v>122897.2990584303</v>
      </c>
      <c r="BZ49" s="281"/>
      <c r="CA49" s="282"/>
      <c r="CC49" s="112" t="str">
        <f t="shared" ca="1" si="15"/>
        <v/>
      </c>
      <c r="CF49" s="283"/>
      <c r="CG49" s="283"/>
      <c r="CH49" s="283"/>
      <c r="CI49" s="283"/>
      <c r="CL49" s="356" t="str">
        <f>IFERROR(VLOOKUP(C49,'Data Sheet'!$A$3:$B$26,2,FALSE),"")</f>
        <v>MCI-00534</v>
      </c>
    </row>
    <row r="50" spans="1:90" s="112" customFormat="1" ht="51" x14ac:dyDescent="0.25">
      <c r="A50" s="97">
        <v>46</v>
      </c>
      <c r="B50" s="105" t="str">
        <f t="shared" si="35"/>
        <v>a1O36000001EGFXEA4-a1O36000001EGIVEA4-Provincial</v>
      </c>
      <c r="C50" s="276" t="s">
        <v>2181</v>
      </c>
      <c r="D50" s="101" t="str">
        <f>IFERROR(IF(VLOOKUP(C50,'Data Sheet'!$A$3:$D$26,4,FALSE)=0,"",VLOOKUP(C50,'Data Sheet'!$A$3:$D$26,4,FALSE)),"")</f>
        <v>a1O36000001EGFXEA4</v>
      </c>
      <c r="E50" s="279" t="s">
        <v>2408</v>
      </c>
      <c r="F50" s="103" t="str">
        <f>IFERROR(IF(VLOOKUP(E50,'Data Sheet'!$C$29:$E$174,3,FALSE)=0,"",VLOOKUP(E50,'Data Sheet'!$C$29:$E$174,3,FALSE)),"")</f>
        <v>a1O36000001EGIVEA4</v>
      </c>
      <c r="G50" s="106" t="str">
        <f t="shared" si="2"/>
        <v>a1O36000001EGFXEA4-a1O36000001EGIVEA4</v>
      </c>
      <c r="H50" s="273" t="s">
        <v>2700</v>
      </c>
      <c r="I50" s="107" t="s">
        <v>2737</v>
      </c>
      <c r="J50" s="249" t="str">
        <f t="shared" si="30"/>
        <v>11.1</v>
      </c>
      <c r="K50" s="101" t="str">
        <f>IFERROR(INDEX('Data Sheet'!$C$198:$C$275,MATCH(I50,'Data Sheet'!$F$198:$F$275,0)),"")</f>
        <v>a2C360000007DAuEAM</v>
      </c>
      <c r="L50" s="250">
        <f>IFERROR(INDEX('Data Sheet'!$G$198:$G$275,MATCH(I50,'Data Sheet'!$F$198:$F$275,0)),"")</f>
        <v>11.1</v>
      </c>
      <c r="M50" s="248" t="s">
        <v>2658</v>
      </c>
      <c r="N50" s="248" t="s">
        <v>2760</v>
      </c>
      <c r="O50" s="248" t="s">
        <v>2128</v>
      </c>
      <c r="P50" s="108" t="str">
        <f>IFERROR(INDEX(Setup!$D$44:$D$70,MATCH(M50,Setup!$K$44:$K$70,0))&amp;"","")</f>
        <v>PR</v>
      </c>
      <c r="Q50" s="108" t="str">
        <f>IFERROR(INDEX(Setup!$E$44:$E$70,MATCH(M50,Setup!$K$44:$K$70,0))&amp;"","")</f>
        <v>Civil Society - Community Based Organization</v>
      </c>
      <c r="R50" s="108" t="str">
        <f>IFERROR(INDEX(Setup!$L$44:$L$70,MATCH(M50,Setup!$K$44:$K$70,0))&amp;"","")</f>
        <v/>
      </c>
      <c r="S50" s="108" t="str">
        <f>Setup!$C$30</f>
        <v>USD</v>
      </c>
      <c r="T50" s="109" t="str">
        <f>IFERROR(INDEX('Data Sheet'!$B$198:$B$275,MATCH(I50,'Data Sheet'!$F$198:$F$275,0)),"")</f>
        <v>Average office cost per office unit per quarter</v>
      </c>
      <c r="U50" s="110">
        <f>IFERROR(INDEX('Data Sheet'!$D$198:$D$275,MATCH(I50,'Data Sheet'!$F$198:$F$275,0)),"")</f>
        <v>11</v>
      </c>
      <c r="V50" s="415" t="s">
        <v>992</v>
      </c>
      <c r="W50" s="195" t="str">
        <f>IF(V50=Setup!$C$30,"Grant",IF(V50=Setup!$C$31,"Local",IF(V50=Setup!$C$32,"Other",IF(ISBLANK(V50),"","Other"))))</f>
        <v>Local</v>
      </c>
      <c r="X50" s="255">
        <f>'Assumptions Other'!E81</f>
        <v>22950000</v>
      </c>
      <c r="Y50" s="259">
        <f>IF(X50&lt;&gt;"",X50/VLOOKUP($V50,Setup!$C$30:$D$41,2,0),"")</f>
        <v>2805.1209505817869</v>
      </c>
      <c r="Z50" s="262">
        <v>1</v>
      </c>
      <c r="AA50" s="256">
        <f t="shared" si="34"/>
        <v>2805.1209505817869</v>
      </c>
      <c r="AB50" s="262">
        <v>1</v>
      </c>
      <c r="AC50" s="258">
        <f t="shared" si="3"/>
        <v>2805.1209505817869</v>
      </c>
      <c r="AD50" s="262">
        <v>1</v>
      </c>
      <c r="AE50" s="258">
        <f t="shared" si="4"/>
        <v>2805.1209505817869</v>
      </c>
      <c r="AF50" s="262">
        <v>1</v>
      </c>
      <c r="AG50" s="256">
        <f t="shared" si="5"/>
        <v>2805.1209505817869</v>
      </c>
      <c r="AH50" s="256">
        <f t="shared" si="33"/>
        <v>4</v>
      </c>
      <c r="AI50" s="256">
        <f t="shared" si="6"/>
        <v>11220.483802327148</v>
      </c>
      <c r="AJ50" s="111"/>
      <c r="AK50" s="255">
        <f t="shared" si="36"/>
        <v>22950000</v>
      </c>
      <c r="AL50" s="259">
        <f>IF(AK50&lt;&gt;"",AK50/VLOOKUP($V50,Setup!$C$30:$D$41,2,0),"")</f>
        <v>2805.1209505817869</v>
      </c>
      <c r="AM50" s="266">
        <v>1</v>
      </c>
      <c r="AN50" s="258">
        <f t="shared" si="18"/>
        <v>2805.1209505817869</v>
      </c>
      <c r="AO50" s="266">
        <v>1</v>
      </c>
      <c r="AP50" s="258">
        <f t="shared" si="19"/>
        <v>2805.1209505817869</v>
      </c>
      <c r="AQ50" s="266">
        <v>1</v>
      </c>
      <c r="AR50" s="258">
        <f t="shared" si="20"/>
        <v>2805.1209505817869</v>
      </c>
      <c r="AS50" s="266">
        <v>1</v>
      </c>
      <c r="AT50" s="256">
        <f t="shared" si="21"/>
        <v>2805.1209505817869</v>
      </c>
      <c r="AU50" s="256">
        <f t="shared" si="7"/>
        <v>4</v>
      </c>
      <c r="AV50" s="256">
        <f t="shared" si="8"/>
        <v>11220.483802327148</v>
      </c>
      <c r="AW50" s="267"/>
      <c r="AX50" s="255">
        <f>X50</f>
        <v>22950000</v>
      </c>
      <c r="AY50" s="259">
        <f>IF(AX50&lt;&gt;"",AX50/VLOOKUP($V50,Setup!$C$30:$D$41,2,0),"")</f>
        <v>2805.1209505817869</v>
      </c>
      <c r="AZ50" s="268">
        <v>1</v>
      </c>
      <c r="BA50" s="258">
        <f t="shared" si="23"/>
        <v>2805.1209505817869</v>
      </c>
      <c r="BB50" s="268">
        <v>1</v>
      </c>
      <c r="BC50" s="258">
        <f t="shared" si="24"/>
        <v>2805.1209505817869</v>
      </c>
      <c r="BD50" s="268">
        <v>1</v>
      </c>
      <c r="BE50" s="258">
        <f t="shared" si="25"/>
        <v>2805.1209505817869</v>
      </c>
      <c r="BF50" s="268">
        <v>1</v>
      </c>
      <c r="BG50" s="256">
        <f t="shared" si="26"/>
        <v>2805.1209505817869</v>
      </c>
      <c r="BH50" s="256">
        <f t="shared" si="9"/>
        <v>4</v>
      </c>
      <c r="BI50" s="256">
        <f t="shared" si="10"/>
        <v>11220.483802327148</v>
      </c>
      <c r="BJ50" s="267"/>
      <c r="BK50" s="255"/>
      <c r="BL50" s="259" t="str">
        <f>IF(BK50&lt;&gt;"",BK50/VLOOKUP($V50,Setup!$C$30:$D$41,2,0),"")</f>
        <v/>
      </c>
      <c r="BM50" s="268"/>
      <c r="BN50" s="258" t="str">
        <f t="shared" si="27"/>
        <v/>
      </c>
      <c r="BO50" s="268"/>
      <c r="BP50" s="258" t="str">
        <f t="shared" si="28"/>
        <v/>
      </c>
      <c r="BQ50" s="268"/>
      <c r="BR50" s="258" t="str">
        <f t="shared" si="29"/>
        <v/>
      </c>
      <c r="BS50" s="268"/>
      <c r="BT50" s="256" t="str">
        <f t="shared" si="32"/>
        <v/>
      </c>
      <c r="BU50" s="256" t="str">
        <f t="shared" si="11"/>
        <v/>
      </c>
      <c r="BV50" s="256" t="str">
        <f t="shared" si="12"/>
        <v/>
      </c>
      <c r="BW50" s="267"/>
      <c r="BX50" s="256">
        <f t="shared" si="13"/>
        <v>12</v>
      </c>
      <c r="BY50" s="256">
        <f t="shared" si="14"/>
        <v>33661.451406981447</v>
      </c>
      <c r="BZ50" s="281"/>
      <c r="CA50" s="282"/>
      <c r="CC50" s="112" t="str">
        <f t="shared" ca="1" si="15"/>
        <v/>
      </c>
      <c r="CF50" s="283"/>
      <c r="CG50" s="283"/>
      <c r="CH50" s="283"/>
      <c r="CI50" s="283"/>
      <c r="CL50" s="356" t="str">
        <f>IFERROR(VLOOKUP(C50,'Data Sheet'!$A$3:$B$26,2,FALSE),"")</f>
        <v>MCI-00023</v>
      </c>
    </row>
    <row r="51" spans="1:90" s="112" customFormat="1" ht="51" x14ac:dyDescent="0.25">
      <c r="A51" s="97">
        <v>47</v>
      </c>
      <c r="B51" s="105" t="str">
        <f t="shared" si="35"/>
        <v>a1O36000001EGFCEA4-a1O36000001EGGZEA4-Provincial</v>
      </c>
      <c r="C51" s="276" t="s">
        <v>2154</v>
      </c>
      <c r="D51" s="101" t="str">
        <f>IFERROR(IF(VLOOKUP(C51,'Data Sheet'!$A$3:$D$26,4,FALSE)=0,"",VLOOKUP(C51,'Data Sheet'!$A$3:$D$26,4,FALSE)),"")</f>
        <v>a1O36000001EGFCEA4</v>
      </c>
      <c r="E51" s="279" t="s">
        <v>2232</v>
      </c>
      <c r="F51" s="103" t="str">
        <f>IFERROR(IF(VLOOKUP(E51,'Data Sheet'!$C$29:$E$174,3,FALSE)=0,"",VLOOKUP(E51,'Data Sheet'!$C$29:$E$174,3,FALSE)),"")</f>
        <v>a1O36000001EGGZEA4</v>
      </c>
      <c r="G51" s="106" t="str">
        <f t="shared" si="2"/>
        <v>a1O36000001EGFCEA4-a1O36000001EGGZEA4</v>
      </c>
      <c r="H51" s="273" t="s">
        <v>2701</v>
      </c>
      <c r="I51" s="107" t="s">
        <v>2753</v>
      </c>
      <c r="J51" s="249" t="str">
        <f t="shared" si="30"/>
        <v>2.1</v>
      </c>
      <c r="K51" s="101" t="str">
        <f>IFERROR(INDEX('Data Sheet'!$C$198:$C$275,MATCH(I51,'Data Sheet'!$F$198:$F$275,0)),"")</f>
        <v>a2C360000007DAmEAM</v>
      </c>
      <c r="L51" s="250">
        <f>IFERROR(INDEX('Data Sheet'!$G$198:$G$275,MATCH(I51,'Data Sheet'!$F$198:$F$275,0)),"")</f>
        <v>2.1</v>
      </c>
      <c r="M51" s="248" t="s">
        <v>2660</v>
      </c>
      <c r="N51" s="248" t="s">
        <v>2760</v>
      </c>
      <c r="O51" s="248" t="s">
        <v>2128</v>
      </c>
      <c r="P51" s="108" t="str">
        <f>IFERROR(INDEX(Setup!$D$44:$D$70,MATCH(M51,Setup!$K$44:$K$70,0))&amp;"","")</f>
        <v>SR</v>
      </c>
      <c r="Q51" s="108" t="str">
        <f>IFERROR(INDEX(Setup!$E$44:$E$70,MATCH(M51,Setup!$K$44:$K$70,0))&amp;"","")</f>
        <v>Civil Society - International Non-Governmental Organization</v>
      </c>
      <c r="R51" s="108" t="str">
        <f>IFERROR(INDEX(Setup!$L$44:$L$70,MATCH(M51,Setup!$K$44:$K$70,0))&amp;"","")</f>
        <v/>
      </c>
      <c r="S51" s="108" t="str">
        <f>Setup!$C$30</f>
        <v>USD</v>
      </c>
      <c r="T51" s="109" t="str">
        <f>IFERROR(INDEX('Data Sheet'!$B$198:$B$275,MATCH(I51,'Data Sheet'!$F$198:$F$275,0)),"")</f>
        <v>Average cost of training per person per day</v>
      </c>
      <c r="U51" s="110">
        <f>IFERROR(INDEX('Data Sheet'!$D$198:$D$275,MATCH(I51,'Data Sheet'!$F$198:$F$275,0)),"")</f>
        <v>2</v>
      </c>
      <c r="V51" s="415" t="s">
        <v>992</v>
      </c>
      <c r="W51" s="195" t="str">
        <f>IF(V51=Setup!$C$30,"Grant",IF(V51=Setup!$C$31,"Local",IF(V51=Setup!$C$32,"Other",IF(ISBLANK(V51),"","Other"))))</f>
        <v>Local</v>
      </c>
      <c r="X51" s="255">
        <f>'Assumptions TRC'!G202/(14*2)</f>
        <v>619642.85714285716</v>
      </c>
      <c r="Y51" s="259">
        <f>IF(X51&lt;&gt;"",X51/VLOOKUP($V51,Setup!$C$30:$D$41,2,0),"")</f>
        <v>75.737392612191101</v>
      </c>
      <c r="Z51" s="262">
        <f>14*2</f>
        <v>28</v>
      </c>
      <c r="AA51" s="256">
        <f t="shared" si="34"/>
        <v>2120.6469931413508</v>
      </c>
      <c r="AB51" s="262"/>
      <c r="AC51" s="258" t="str">
        <f t="shared" si="3"/>
        <v/>
      </c>
      <c r="AD51" s="262"/>
      <c r="AE51" s="258" t="str">
        <f t="shared" si="4"/>
        <v/>
      </c>
      <c r="AF51" s="262"/>
      <c r="AG51" s="256" t="str">
        <f t="shared" si="5"/>
        <v/>
      </c>
      <c r="AH51" s="256">
        <f t="shared" si="33"/>
        <v>28</v>
      </c>
      <c r="AI51" s="256">
        <f t="shared" si="6"/>
        <v>2120.6469931413508</v>
      </c>
      <c r="AJ51" s="111"/>
      <c r="AK51" s="255"/>
      <c r="AL51" s="259" t="str">
        <f>IF(AK51&lt;&gt;"",AK51/VLOOKUP($V51,Setup!$C$30:$D$41,2,0),"")</f>
        <v/>
      </c>
      <c r="AM51" s="266"/>
      <c r="AN51" s="258" t="str">
        <f t="shared" si="18"/>
        <v/>
      </c>
      <c r="AO51" s="266"/>
      <c r="AP51" s="258" t="str">
        <f t="shared" si="19"/>
        <v/>
      </c>
      <c r="AQ51" s="266"/>
      <c r="AR51" s="258" t="str">
        <f t="shared" si="20"/>
        <v/>
      </c>
      <c r="AS51" s="266"/>
      <c r="AT51" s="256" t="str">
        <f t="shared" si="21"/>
        <v/>
      </c>
      <c r="AU51" s="256" t="str">
        <f t="shared" si="7"/>
        <v/>
      </c>
      <c r="AV51" s="256" t="str">
        <f t="shared" si="8"/>
        <v/>
      </c>
      <c r="AW51" s="267"/>
      <c r="AX51" s="255"/>
      <c r="AY51" s="259" t="str">
        <f>IF(AX51&lt;&gt;"",AX51/VLOOKUP($V51,Setup!$C$30:$D$41,2,0),"")</f>
        <v/>
      </c>
      <c r="AZ51" s="268"/>
      <c r="BA51" s="258" t="str">
        <f t="shared" si="23"/>
        <v/>
      </c>
      <c r="BB51" s="268"/>
      <c r="BC51" s="258" t="str">
        <f t="shared" si="24"/>
        <v/>
      </c>
      <c r="BD51" s="268"/>
      <c r="BE51" s="258" t="str">
        <f t="shared" si="25"/>
        <v/>
      </c>
      <c r="BF51" s="268"/>
      <c r="BG51" s="256" t="str">
        <f t="shared" si="26"/>
        <v/>
      </c>
      <c r="BH51" s="256" t="str">
        <f t="shared" si="9"/>
        <v/>
      </c>
      <c r="BI51" s="256" t="str">
        <f t="shared" si="10"/>
        <v/>
      </c>
      <c r="BJ51" s="267"/>
      <c r="BK51" s="255"/>
      <c r="BL51" s="259" t="str">
        <f>IF(BK51&lt;&gt;"",BK51/VLOOKUP($V51,Setup!$C$30:$D$41,2,0),"")</f>
        <v/>
      </c>
      <c r="BM51" s="268"/>
      <c r="BN51" s="258" t="str">
        <f t="shared" si="27"/>
        <v/>
      </c>
      <c r="BO51" s="268"/>
      <c r="BP51" s="258" t="str">
        <f t="shared" si="28"/>
        <v/>
      </c>
      <c r="BQ51" s="268"/>
      <c r="BR51" s="258" t="str">
        <f t="shared" si="29"/>
        <v/>
      </c>
      <c r="BS51" s="268"/>
      <c r="BT51" s="256" t="str">
        <f t="shared" si="32"/>
        <v/>
      </c>
      <c r="BU51" s="256" t="str">
        <f t="shared" si="11"/>
        <v/>
      </c>
      <c r="BV51" s="256" t="str">
        <f t="shared" si="12"/>
        <v/>
      </c>
      <c r="BW51" s="267"/>
      <c r="BX51" s="256">
        <f t="shared" si="13"/>
        <v>28</v>
      </c>
      <c r="BY51" s="256">
        <f t="shared" si="14"/>
        <v>2120.6469931413508</v>
      </c>
      <c r="BZ51" s="281"/>
      <c r="CA51" s="282"/>
      <c r="CC51" s="112" t="str">
        <f t="shared" ca="1" si="15"/>
        <v/>
      </c>
      <c r="CF51" s="283"/>
      <c r="CG51" s="283"/>
      <c r="CH51" s="283"/>
      <c r="CI51" s="283"/>
      <c r="CL51" s="356" t="str">
        <f>IFERROR(VLOOKUP(C51,'Data Sheet'!$A$3:$B$26,2,FALSE),"")</f>
        <v>MCI-00002</v>
      </c>
    </row>
    <row r="52" spans="1:90" s="112" customFormat="1" ht="51" x14ac:dyDescent="0.25">
      <c r="A52" s="97">
        <v>48</v>
      </c>
      <c r="B52" s="105" t="str">
        <f t="shared" si="35"/>
        <v>a1O36000001EGFCEA4-a1O36000001EGGbEAO-Provincial</v>
      </c>
      <c r="C52" s="276" t="s">
        <v>2154</v>
      </c>
      <c r="D52" s="101" t="str">
        <f>IFERROR(IF(VLOOKUP(C52,'Data Sheet'!$A$3:$D$26,4,FALSE)=0,"",VLOOKUP(C52,'Data Sheet'!$A$3:$D$26,4,FALSE)),"")</f>
        <v>a1O36000001EGFCEA4</v>
      </c>
      <c r="E52" s="279" t="s">
        <v>2242</v>
      </c>
      <c r="F52" s="103" t="str">
        <f>IFERROR(IF(VLOOKUP(E52,'Data Sheet'!$C$29:$E$174,3,FALSE)=0,"",VLOOKUP(E52,'Data Sheet'!$C$29:$E$174,3,FALSE)),"")</f>
        <v>a1O36000001EGGbEAO</v>
      </c>
      <c r="G52" s="106" t="str">
        <f t="shared" si="2"/>
        <v>a1O36000001EGFCEA4-a1O36000001EGGbEAO</v>
      </c>
      <c r="H52" s="273" t="s">
        <v>2702</v>
      </c>
      <c r="I52" s="107" t="s">
        <v>2734</v>
      </c>
      <c r="J52" s="249" t="str">
        <f t="shared" si="30"/>
        <v>2.5</v>
      </c>
      <c r="K52" s="101" t="str">
        <f>IFERROR(INDEX('Data Sheet'!$C$198:$C$275,MATCH(I52,'Data Sheet'!$F$198:$F$275,0)),"")</f>
        <v>a2C360000007DB6EAM</v>
      </c>
      <c r="L52" s="250">
        <f>IFERROR(INDEX('Data Sheet'!$G$198:$G$275,MATCH(I52,'Data Sheet'!$F$198:$F$275,0)),"")</f>
        <v>2.5</v>
      </c>
      <c r="M52" s="248" t="s">
        <v>2660</v>
      </c>
      <c r="N52" s="248" t="s">
        <v>2760</v>
      </c>
      <c r="O52" s="248" t="s">
        <v>2128</v>
      </c>
      <c r="P52" s="108" t="str">
        <f>IFERROR(INDEX(Setup!$D$44:$D$70,MATCH(M52,Setup!$K$44:$K$70,0))&amp;"","")</f>
        <v>SR</v>
      </c>
      <c r="Q52" s="108" t="str">
        <f>IFERROR(INDEX(Setup!$E$44:$E$70,MATCH(M52,Setup!$K$44:$K$70,0))&amp;"","")</f>
        <v>Civil Society - International Non-Governmental Organization</v>
      </c>
      <c r="R52" s="108" t="str">
        <f>IFERROR(INDEX(Setup!$L$44:$L$70,MATCH(M52,Setup!$K$44:$K$70,0))&amp;"","")</f>
        <v/>
      </c>
      <c r="S52" s="108" t="str">
        <f>Setup!$C$30</f>
        <v>USD</v>
      </c>
      <c r="T52" s="109" t="str">
        <f>IFERROR(INDEX('Data Sheet'!$B$198:$B$275,MATCH(I52,'Data Sheet'!$F$198:$F$275,0)),"")</f>
        <v>N/A</v>
      </c>
      <c r="U52" s="110">
        <f>IFERROR(INDEX('Data Sheet'!$D$198:$D$275,MATCH(I52,'Data Sheet'!$F$198:$F$275,0)),"")</f>
        <v>2</v>
      </c>
      <c r="V52" s="415" t="s">
        <v>992</v>
      </c>
      <c r="W52" s="195" t="str">
        <f>IF(V52=Setup!$C$30,"Grant",IF(V52=Setup!$C$31,"Local",IF(V52=Setup!$C$32,"Other",IF(ISBLANK(V52),"","Other"))))</f>
        <v>Local</v>
      </c>
      <c r="X52" s="255">
        <f>'Assumptions TRC'!C205</f>
        <v>80000</v>
      </c>
      <c r="Y52" s="259">
        <f>IF(X52&lt;&gt;"",X52/VLOOKUP($V52,Setup!$C$30:$D$41,2,0),"")</f>
        <v>9.7781993920062291</v>
      </c>
      <c r="Z52" s="262">
        <f>30*3</f>
        <v>90</v>
      </c>
      <c r="AA52" s="256">
        <f t="shared" si="34"/>
        <v>880.03794528056062</v>
      </c>
      <c r="AB52" s="262">
        <v>90</v>
      </c>
      <c r="AC52" s="258">
        <f t="shared" si="3"/>
        <v>880.03794528056062</v>
      </c>
      <c r="AD52" s="262">
        <v>90</v>
      </c>
      <c r="AE52" s="258">
        <f t="shared" si="4"/>
        <v>880.03794528056062</v>
      </c>
      <c r="AF52" s="262">
        <v>90</v>
      </c>
      <c r="AG52" s="256">
        <f t="shared" si="5"/>
        <v>880.03794528056062</v>
      </c>
      <c r="AH52" s="256">
        <f t="shared" si="33"/>
        <v>360</v>
      </c>
      <c r="AI52" s="256">
        <f t="shared" si="6"/>
        <v>3520.1517811222425</v>
      </c>
      <c r="AJ52" s="111"/>
      <c r="AK52" s="255">
        <f>X52</f>
        <v>80000</v>
      </c>
      <c r="AL52" s="259">
        <f>IF(AK52&lt;&gt;"",AK52/VLOOKUP($V52,Setup!$C$30:$D$41,2,0),"")</f>
        <v>9.7781993920062291</v>
      </c>
      <c r="AM52" s="266">
        <v>90</v>
      </c>
      <c r="AN52" s="258">
        <f t="shared" si="18"/>
        <v>880.03794528056062</v>
      </c>
      <c r="AO52" s="266">
        <v>90</v>
      </c>
      <c r="AP52" s="258">
        <f t="shared" si="19"/>
        <v>880.03794528056062</v>
      </c>
      <c r="AQ52" s="266">
        <v>90</v>
      </c>
      <c r="AR52" s="258">
        <f t="shared" si="20"/>
        <v>880.03794528056062</v>
      </c>
      <c r="AS52" s="266">
        <v>90</v>
      </c>
      <c r="AT52" s="256">
        <f t="shared" si="21"/>
        <v>880.03794528056062</v>
      </c>
      <c r="AU52" s="256">
        <f t="shared" si="7"/>
        <v>360</v>
      </c>
      <c r="AV52" s="256">
        <f t="shared" si="8"/>
        <v>3520.1517811222425</v>
      </c>
      <c r="AW52" s="267"/>
      <c r="AX52" s="255">
        <f>X52</f>
        <v>80000</v>
      </c>
      <c r="AY52" s="259">
        <f>IF(AX52&lt;&gt;"",AX52/VLOOKUP($V52,Setup!$C$30:$D$41,2,0),"")</f>
        <v>9.7781993920062291</v>
      </c>
      <c r="AZ52" s="268">
        <v>90</v>
      </c>
      <c r="BA52" s="258">
        <f t="shared" si="23"/>
        <v>880.03794528056062</v>
      </c>
      <c r="BB52" s="268">
        <v>90</v>
      </c>
      <c r="BC52" s="258">
        <f t="shared" si="24"/>
        <v>880.03794528056062</v>
      </c>
      <c r="BD52" s="268">
        <v>90</v>
      </c>
      <c r="BE52" s="258">
        <f t="shared" si="25"/>
        <v>880.03794528056062</v>
      </c>
      <c r="BF52" s="268">
        <v>90</v>
      </c>
      <c r="BG52" s="256">
        <f t="shared" si="26"/>
        <v>880.03794528056062</v>
      </c>
      <c r="BH52" s="256">
        <f t="shared" si="9"/>
        <v>360</v>
      </c>
      <c r="BI52" s="256">
        <f t="shared" si="10"/>
        <v>3520.1517811222425</v>
      </c>
      <c r="BJ52" s="267"/>
      <c r="BK52" s="255"/>
      <c r="BL52" s="259" t="str">
        <f>IF(BK52&lt;&gt;"",BK52/VLOOKUP($V52,Setup!$C$30:$D$41,2,0),"")</f>
        <v/>
      </c>
      <c r="BM52" s="268"/>
      <c r="BN52" s="258" t="str">
        <f t="shared" si="27"/>
        <v/>
      </c>
      <c r="BO52" s="268"/>
      <c r="BP52" s="258" t="str">
        <f t="shared" si="28"/>
        <v/>
      </c>
      <c r="BQ52" s="268"/>
      <c r="BR52" s="258" t="str">
        <f t="shared" si="29"/>
        <v/>
      </c>
      <c r="BS52" s="268"/>
      <c r="BT52" s="256" t="str">
        <f t="shared" si="32"/>
        <v/>
      </c>
      <c r="BU52" s="256" t="str">
        <f t="shared" si="11"/>
        <v/>
      </c>
      <c r="BV52" s="256" t="str">
        <f t="shared" si="12"/>
        <v/>
      </c>
      <c r="BW52" s="267"/>
      <c r="BX52" s="256">
        <f t="shared" si="13"/>
        <v>1080</v>
      </c>
      <c r="BY52" s="256">
        <f t="shared" si="14"/>
        <v>10560.455343366728</v>
      </c>
      <c r="BZ52" s="281"/>
      <c r="CA52" s="282"/>
      <c r="CC52" s="112" t="str">
        <f t="shared" ca="1" si="15"/>
        <v/>
      </c>
      <c r="CF52" s="283"/>
      <c r="CG52" s="283"/>
      <c r="CH52" s="283"/>
      <c r="CI52" s="283"/>
      <c r="CL52" s="356" t="str">
        <f>IFERROR(VLOOKUP(C52,'Data Sheet'!$A$3:$B$26,2,FALSE),"")</f>
        <v>MCI-00002</v>
      </c>
    </row>
    <row r="53" spans="1:90" s="112" customFormat="1" ht="51" x14ac:dyDescent="0.25">
      <c r="A53" s="97">
        <v>49</v>
      </c>
      <c r="B53" s="105" t="str">
        <f t="shared" si="35"/>
        <v>a1O36000001EGFCEA4-a1O36000001EGGbEAO-Provincial</v>
      </c>
      <c r="C53" s="276" t="s">
        <v>2154</v>
      </c>
      <c r="D53" s="101" t="str">
        <f>IFERROR(IF(VLOOKUP(C53,'Data Sheet'!$A$3:$D$26,4,FALSE)=0,"",VLOOKUP(C53,'Data Sheet'!$A$3:$D$26,4,FALSE)),"")</f>
        <v>a1O36000001EGFCEA4</v>
      </c>
      <c r="E53" s="279" t="s">
        <v>2242</v>
      </c>
      <c r="F53" s="103" t="str">
        <f>IFERROR(IF(VLOOKUP(E53,'Data Sheet'!$C$29:$E$174,3,FALSE)=0,"",VLOOKUP(E53,'Data Sheet'!$C$29:$E$174,3,FALSE)),"")</f>
        <v>a1O36000001EGGbEAO</v>
      </c>
      <c r="G53" s="106" t="str">
        <f t="shared" si="2"/>
        <v>a1O36000001EGFCEA4-a1O36000001EGGbEAO</v>
      </c>
      <c r="H53" s="273" t="s">
        <v>2703</v>
      </c>
      <c r="I53" s="107" t="s">
        <v>2733</v>
      </c>
      <c r="J53" s="249" t="str">
        <f t="shared" si="30"/>
        <v>2.4</v>
      </c>
      <c r="K53" s="101" t="str">
        <f>IFERROR(INDEX('Data Sheet'!$C$198:$C$275,MATCH(I53,'Data Sheet'!$F$198:$F$275,0)),"")</f>
        <v>a2C360000007DB9EAM</v>
      </c>
      <c r="L53" s="250">
        <f>IFERROR(INDEX('Data Sheet'!$G$198:$G$275,MATCH(I53,'Data Sheet'!$F$198:$F$275,0)),"")</f>
        <v>2.4</v>
      </c>
      <c r="M53" s="248" t="s">
        <v>2660</v>
      </c>
      <c r="N53" s="248" t="s">
        <v>2760</v>
      </c>
      <c r="O53" s="248" t="s">
        <v>2128</v>
      </c>
      <c r="P53" s="108" t="str">
        <f>IFERROR(INDEX(Setup!$D$44:$D$70,MATCH(M53,Setup!$K$44:$K$70,0))&amp;"","")</f>
        <v>SR</v>
      </c>
      <c r="Q53" s="108" t="str">
        <f>IFERROR(INDEX(Setup!$E$44:$E$70,MATCH(M53,Setup!$K$44:$K$70,0))&amp;"","")</f>
        <v>Civil Society - International Non-Governmental Organization</v>
      </c>
      <c r="R53" s="108" t="str">
        <f>IFERROR(INDEX(Setup!$L$44:$L$70,MATCH(M53,Setup!$K$44:$K$70,0))&amp;"","")</f>
        <v/>
      </c>
      <c r="S53" s="108" t="str">
        <f>Setup!$C$30</f>
        <v>USD</v>
      </c>
      <c r="T53" s="109" t="str">
        <f>IFERROR(INDEX('Data Sheet'!$B$198:$B$275,MATCH(I53,'Data Sheet'!$F$198:$F$275,0)),"")</f>
        <v>Average cost of event per participant per day</v>
      </c>
      <c r="U53" s="110">
        <f>IFERROR(INDEX('Data Sheet'!$D$198:$D$275,MATCH(I53,'Data Sheet'!$F$198:$F$275,0)),"")</f>
        <v>2</v>
      </c>
      <c r="V53" s="415" t="s">
        <v>992</v>
      </c>
      <c r="W53" s="195" t="str">
        <f>IF(V53=Setup!$C$30,"Grant",IF(V53=Setup!$C$31,"Local",IF(V53=Setup!$C$32,"Other",IF(ISBLANK(V53),"","Other"))))</f>
        <v>Local</v>
      </c>
      <c r="X53" s="255">
        <f>'Assumptions TRC'!G223/(20*14)</f>
        <v>139071.42857142858</v>
      </c>
      <c r="Y53" s="259">
        <f>IF(X53&lt;&gt;"",X53/VLOOKUP($V53,Setup!$C$30:$D$41,2,0),"")</f>
        <v>16.998351978782257</v>
      </c>
      <c r="Z53" s="262">
        <f>20*14</f>
        <v>280</v>
      </c>
      <c r="AA53" s="256">
        <f t="shared" si="34"/>
        <v>4759.5385540590314</v>
      </c>
      <c r="AB53" s="262">
        <v>280</v>
      </c>
      <c r="AC53" s="258">
        <f t="shared" si="3"/>
        <v>4759.5385540590314</v>
      </c>
      <c r="AD53" s="262">
        <v>280</v>
      </c>
      <c r="AE53" s="258">
        <f t="shared" si="4"/>
        <v>4759.5385540590314</v>
      </c>
      <c r="AF53" s="262">
        <v>280</v>
      </c>
      <c r="AG53" s="256">
        <f t="shared" si="5"/>
        <v>4759.5385540590314</v>
      </c>
      <c r="AH53" s="256">
        <f t="shared" si="33"/>
        <v>1120</v>
      </c>
      <c r="AI53" s="256">
        <f t="shared" si="6"/>
        <v>19038.154216236126</v>
      </c>
      <c r="AJ53" s="111"/>
      <c r="AK53" s="255">
        <f>X53</f>
        <v>139071.42857142858</v>
      </c>
      <c r="AL53" s="259">
        <f>IF(AK53&lt;&gt;"",AK53/VLOOKUP($V53,Setup!$C$30:$D$41,2,0),"")</f>
        <v>16.998351978782257</v>
      </c>
      <c r="AM53" s="266">
        <v>280</v>
      </c>
      <c r="AN53" s="258">
        <f t="shared" si="18"/>
        <v>4759.5385540590314</v>
      </c>
      <c r="AO53" s="266">
        <v>280</v>
      </c>
      <c r="AP53" s="258">
        <f t="shared" si="19"/>
        <v>4759.5385540590314</v>
      </c>
      <c r="AQ53" s="266">
        <v>280</v>
      </c>
      <c r="AR53" s="258">
        <f t="shared" si="20"/>
        <v>4759.5385540590314</v>
      </c>
      <c r="AS53" s="266">
        <v>280</v>
      </c>
      <c r="AT53" s="256">
        <f t="shared" si="21"/>
        <v>4759.5385540590314</v>
      </c>
      <c r="AU53" s="256">
        <f t="shared" si="7"/>
        <v>1120</v>
      </c>
      <c r="AV53" s="256">
        <f t="shared" si="8"/>
        <v>19038.154216236126</v>
      </c>
      <c r="AW53" s="267"/>
      <c r="AX53" s="255">
        <f>X53</f>
        <v>139071.42857142858</v>
      </c>
      <c r="AY53" s="259">
        <f>IF(AX53&lt;&gt;"",AX53/VLOOKUP($V53,Setup!$C$30:$D$41,2,0),"")</f>
        <v>16.998351978782257</v>
      </c>
      <c r="AZ53" s="268">
        <v>280</v>
      </c>
      <c r="BA53" s="258">
        <f t="shared" si="23"/>
        <v>4759.5385540590314</v>
      </c>
      <c r="BB53" s="268">
        <v>280</v>
      </c>
      <c r="BC53" s="258">
        <f t="shared" si="24"/>
        <v>4759.5385540590314</v>
      </c>
      <c r="BD53" s="268">
        <v>280</v>
      </c>
      <c r="BE53" s="258">
        <f t="shared" si="25"/>
        <v>4759.5385540590314</v>
      </c>
      <c r="BF53" s="268">
        <v>280</v>
      </c>
      <c r="BG53" s="256">
        <f t="shared" si="26"/>
        <v>4759.5385540590314</v>
      </c>
      <c r="BH53" s="256">
        <f t="shared" si="9"/>
        <v>1120</v>
      </c>
      <c r="BI53" s="256">
        <f t="shared" si="10"/>
        <v>19038.154216236126</v>
      </c>
      <c r="BJ53" s="267"/>
      <c r="BK53" s="255"/>
      <c r="BL53" s="259" t="str">
        <f>IF(BK53&lt;&gt;"",BK53/VLOOKUP($V53,Setup!$C$30:$D$41,2,0),"")</f>
        <v/>
      </c>
      <c r="BM53" s="268"/>
      <c r="BN53" s="258" t="str">
        <f t="shared" si="27"/>
        <v/>
      </c>
      <c r="BO53" s="268"/>
      <c r="BP53" s="258" t="str">
        <f t="shared" si="28"/>
        <v/>
      </c>
      <c r="BQ53" s="268"/>
      <c r="BR53" s="258" t="str">
        <f t="shared" si="29"/>
        <v/>
      </c>
      <c r="BS53" s="268"/>
      <c r="BT53" s="256" t="str">
        <f t="shared" si="32"/>
        <v/>
      </c>
      <c r="BU53" s="256" t="str">
        <f t="shared" si="11"/>
        <v/>
      </c>
      <c r="BV53" s="256" t="str">
        <f t="shared" si="12"/>
        <v/>
      </c>
      <c r="BW53" s="267"/>
      <c r="BX53" s="256">
        <f t="shared" si="13"/>
        <v>3360</v>
      </c>
      <c r="BY53" s="256">
        <f t="shared" si="14"/>
        <v>57114.462648708373</v>
      </c>
      <c r="BZ53" s="281"/>
      <c r="CA53" s="282"/>
      <c r="CC53" s="112" t="str">
        <f t="shared" ca="1" si="15"/>
        <v/>
      </c>
      <c r="CF53" s="283"/>
      <c r="CG53" s="283"/>
      <c r="CH53" s="283"/>
      <c r="CI53" s="283"/>
      <c r="CL53" s="356" t="str">
        <f>IFERROR(VLOOKUP(C53,'Data Sheet'!$A$3:$B$26,2,FALSE),"")</f>
        <v>MCI-00002</v>
      </c>
    </row>
    <row r="54" spans="1:90" s="112" customFormat="1" ht="51" x14ac:dyDescent="0.25">
      <c r="A54" s="97">
        <v>50</v>
      </c>
      <c r="B54" s="105" t="str">
        <f t="shared" si="35"/>
        <v>a1O36000001EGFCEA4-a1O36000001EGGbEAO-Provincial</v>
      </c>
      <c r="C54" s="276" t="s">
        <v>2154</v>
      </c>
      <c r="D54" s="101" t="str">
        <f>IFERROR(IF(VLOOKUP(C54,'Data Sheet'!$A$3:$D$26,4,FALSE)=0,"",VLOOKUP(C54,'Data Sheet'!$A$3:$D$26,4,FALSE)),"")</f>
        <v>a1O36000001EGFCEA4</v>
      </c>
      <c r="E54" s="279" t="s">
        <v>2242</v>
      </c>
      <c r="F54" s="103" t="str">
        <f>IFERROR(IF(VLOOKUP(E54,'Data Sheet'!$C$29:$E$174,3,FALSE)=0,"",VLOOKUP(E54,'Data Sheet'!$C$29:$E$174,3,FALSE)),"")</f>
        <v>a1O36000001EGGbEAO</v>
      </c>
      <c r="G54" s="106" t="str">
        <f t="shared" si="2"/>
        <v>a1O36000001EGFCEA4-a1O36000001EGGbEAO</v>
      </c>
      <c r="H54" s="273" t="s">
        <v>2704</v>
      </c>
      <c r="I54" s="107" t="s">
        <v>2734</v>
      </c>
      <c r="J54" s="249" t="str">
        <f t="shared" si="30"/>
        <v>2.5</v>
      </c>
      <c r="K54" s="101" t="str">
        <f>IFERROR(INDEX('Data Sheet'!$C$198:$C$275,MATCH(I54,'Data Sheet'!$F$198:$F$275,0)),"")</f>
        <v>a2C360000007DB6EAM</v>
      </c>
      <c r="L54" s="250">
        <f>IFERROR(INDEX('Data Sheet'!$G$198:$G$275,MATCH(I54,'Data Sheet'!$F$198:$F$275,0)),"")</f>
        <v>2.5</v>
      </c>
      <c r="M54" s="248" t="s">
        <v>2660</v>
      </c>
      <c r="N54" s="248" t="s">
        <v>2760</v>
      </c>
      <c r="O54" s="248" t="s">
        <v>2128</v>
      </c>
      <c r="P54" s="108" t="str">
        <f>IFERROR(INDEX(Setup!$D$44:$D$70,MATCH(M54,Setup!$K$44:$K$70,0))&amp;"","")</f>
        <v>SR</v>
      </c>
      <c r="Q54" s="108" t="str">
        <f>IFERROR(INDEX(Setup!$E$44:$E$70,MATCH(M54,Setup!$K$44:$K$70,0))&amp;"","")</f>
        <v>Civil Society - International Non-Governmental Organization</v>
      </c>
      <c r="R54" s="108" t="str">
        <f>IFERROR(INDEX(Setup!$L$44:$L$70,MATCH(M54,Setup!$K$44:$K$70,0))&amp;"","")</f>
        <v/>
      </c>
      <c r="S54" s="108" t="str">
        <f>Setup!$C$30</f>
        <v>USD</v>
      </c>
      <c r="T54" s="109" t="str">
        <f>IFERROR(INDEX('Data Sheet'!$B$198:$B$275,MATCH(I54,'Data Sheet'!$F$198:$F$275,0)),"")</f>
        <v>N/A</v>
      </c>
      <c r="U54" s="110">
        <f>IFERROR(INDEX('Data Sheet'!$D$198:$D$275,MATCH(I54,'Data Sheet'!$F$198:$F$275,0)),"")</f>
        <v>2</v>
      </c>
      <c r="V54" s="415" t="s">
        <v>992</v>
      </c>
      <c r="W54" s="195" t="str">
        <f>IF(V54=Setup!$C$30,"Grant",IF(V54=Setup!$C$31,"Local",IF(V54=Setup!$C$32,"Other",IF(ISBLANK(V54),"","Other"))))</f>
        <v>Local</v>
      </c>
      <c r="X54" s="255">
        <f>'Assumptions TRC'!C226</f>
        <v>80000</v>
      </c>
      <c r="Y54" s="259">
        <f>IF(X54&lt;&gt;"",X54/VLOOKUP($V54,Setup!$C$30:$D$41,2,0),"")</f>
        <v>9.7781993920062291</v>
      </c>
      <c r="Z54" s="262">
        <v>36</v>
      </c>
      <c r="AA54" s="256">
        <f t="shared" si="34"/>
        <v>352.01517811222425</v>
      </c>
      <c r="AB54" s="262"/>
      <c r="AC54" s="258" t="str">
        <f t="shared" si="3"/>
        <v/>
      </c>
      <c r="AD54" s="262"/>
      <c r="AE54" s="258" t="str">
        <f t="shared" si="4"/>
        <v/>
      </c>
      <c r="AF54" s="262"/>
      <c r="AG54" s="256" t="str">
        <f t="shared" si="5"/>
        <v/>
      </c>
      <c r="AH54" s="256">
        <f t="shared" si="33"/>
        <v>36</v>
      </c>
      <c r="AI54" s="256">
        <f t="shared" si="6"/>
        <v>352.01517811222425</v>
      </c>
      <c r="AJ54" s="111"/>
      <c r="AK54" s="255">
        <f>X54</f>
        <v>80000</v>
      </c>
      <c r="AL54" s="259">
        <f>IF(AK54&lt;&gt;"",AK54/VLOOKUP($V54,Setup!$C$30:$D$41,2,0),"")</f>
        <v>9.7781993920062291</v>
      </c>
      <c r="AM54" s="266">
        <v>36</v>
      </c>
      <c r="AN54" s="258">
        <f t="shared" si="18"/>
        <v>352.01517811222425</v>
      </c>
      <c r="AO54" s="266"/>
      <c r="AP54" s="258" t="str">
        <f t="shared" si="19"/>
        <v/>
      </c>
      <c r="AQ54" s="266"/>
      <c r="AR54" s="258" t="str">
        <f t="shared" si="20"/>
        <v/>
      </c>
      <c r="AS54" s="266"/>
      <c r="AT54" s="256" t="str">
        <f t="shared" si="21"/>
        <v/>
      </c>
      <c r="AU54" s="256">
        <f t="shared" si="7"/>
        <v>36</v>
      </c>
      <c r="AV54" s="256">
        <f t="shared" si="8"/>
        <v>352.01517811222425</v>
      </c>
      <c r="AW54" s="267"/>
      <c r="AX54" s="255">
        <f>X54</f>
        <v>80000</v>
      </c>
      <c r="AY54" s="259">
        <f>IF(AX54&lt;&gt;"",AX54/VLOOKUP($V54,Setup!$C$30:$D$41,2,0),"")</f>
        <v>9.7781993920062291</v>
      </c>
      <c r="AZ54" s="268">
        <v>36</v>
      </c>
      <c r="BA54" s="258">
        <f t="shared" si="23"/>
        <v>352.01517811222425</v>
      </c>
      <c r="BB54" s="268"/>
      <c r="BC54" s="258" t="str">
        <f t="shared" si="24"/>
        <v/>
      </c>
      <c r="BD54" s="268"/>
      <c r="BE54" s="258" t="str">
        <f t="shared" si="25"/>
        <v/>
      </c>
      <c r="BF54" s="268"/>
      <c r="BG54" s="256" t="str">
        <f t="shared" si="26"/>
        <v/>
      </c>
      <c r="BH54" s="256">
        <f t="shared" si="9"/>
        <v>36</v>
      </c>
      <c r="BI54" s="256">
        <f t="shared" si="10"/>
        <v>352.01517811222425</v>
      </c>
      <c r="BJ54" s="267"/>
      <c r="BK54" s="255"/>
      <c r="BL54" s="259" t="str">
        <f>IF(BK54&lt;&gt;"",BK54/VLOOKUP($V54,Setup!$C$30:$D$41,2,0),"")</f>
        <v/>
      </c>
      <c r="BM54" s="268"/>
      <c r="BN54" s="258" t="str">
        <f t="shared" si="27"/>
        <v/>
      </c>
      <c r="BO54" s="268"/>
      <c r="BP54" s="258" t="str">
        <f t="shared" si="28"/>
        <v/>
      </c>
      <c r="BQ54" s="268"/>
      <c r="BR54" s="258" t="str">
        <f t="shared" si="29"/>
        <v/>
      </c>
      <c r="BS54" s="268"/>
      <c r="BT54" s="256" t="str">
        <f t="shared" si="32"/>
        <v/>
      </c>
      <c r="BU54" s="256" t="str">
        <f t="shared" si="11"/>
        <v/>
      </c>
      <c r="BV54" s="256" t="str">
        <f t="shared" si="12"/>
        <v/>
      </c>
      <c r="BW54" s="267"/>
      <c r="BX54" s="256">
        <f t="shared" si="13"/>
        <v>108</v>
      </c>
      <c r="BY54" s="256">
        <f t="shared" si="14"/>
        <v>1056.0455343366727</v>
      </c>
      <c r="BZ54" s="281"/>
      <c r="CA54" s="282"/>
      <c r="CC54" s="112" t="str">
        <f t="shared" ca="1" si="15"/>
        <v/>
      </c>
      <c r="CF54" s="283"/>
      <c r="CG54" s="283"/>
      <c r="CH54" s="283"/>
      <c r="CI54" s="283"/>
      <c r="CL54" s="356" t="str">
        <f>IFERROR(VLOOKUP(C54,'Data Sheet'!$A$3:$B$26,2,FALSE),"")</f>
        <v>MCI-00002</v>
      </c>
    </row>
    <row r="55" spans="1:90" s="112" customFormat="1" ht="51" x14ac:dyDescent="0.25">
      <c r="A55" s="97">
        <v>51</v>
      </c>
      <c r="B55" s="105" t="str">
        <f t="shared" si="35"/>
        <v>a1O36000001EGFCEA4-a1O36000001EGGZEA4-Provincial</v>
      </c>
      <c r="C55" s="276" t="s">
        <v>2154</v>
      </c>
      <c r="D55" s="101" t="str">
        <f>IFERROR(IF(VLOOKUP(C55,'Data Sheet'!$A$3:$D$26,4,FALSE)=0,"",VLOOKUP(C55,'Data Sheet'!$A$3:$D$26,4,FALSE)),"")</f>
        <v>a1O36000001EGFCEA4</v>
      </c>
      <c r="E55" s="279" t="s">
        <v>2232</v>
      </c>
      <c r="F55" s="103" t="str">
        <f>IFERROR(IF(VLOOKUP(E55,'Data Sheet'!$C$29:$E$174,3,FALSE)=0,"",VLOOKUP(E55,'Data Sheet'!$C$29:$E$174,3,FALSE)),"")</f>
        <v>a1O36000001EGGZEA4</v>
      </c>
      <c r="G55" s="106" t="str">
        <f t="shared" si="2"/>
        <v>a1O36000001EGFCEA4-a1O36000001EGGZEA4</v>
      </c>
      <c r="H55" s="273" t="s">
        <v>2705</v>
      </c>
      <c r="I55" s="107" t="s">
        <v>2733</v>
      </c>
      <c r="J55" s="249" t="str">
        <f t="shared" si="30"/>
        <v>2.4</v>
      </c>
      <c r="K55" s="101" t="str">
        <f>IFERROR(INDEX('Data Sheet'!$C$198:$C$275,MATCH(I55,'Data Sheet'!$F$198:$F$275,0)),"")</f>
        <v>a2C360000007DB9EAM</v>
      </c>
      <c r="L55" s="250">
        <f>IFERROR(INDEX('Data Sheet'!$G$198:$G$275,MATCH(I55,'Data Sheet'!$F$198:$F$275,0)),"")</f>
        <v>2.4</v>
      </c>
      <c r="M55" s="248" t="s">
        <v>2660</v>
      </c>
      <c r="N55" s="248" t="s">
        <v>2760</v>
      </c>
      <c r="O55" s="248" t="s">
        <v>2128</v>
      </c>
      <c r="P55" s="108" t="str">
        <f>IFERROR(INDEX(Setup!$D$44:$D$70,MATCH(M55,Setup!$K$44:$K$70,0))&amp;"","")</f>
        <v>SR</v>
      </c>
      <c r="Q55" s="108" t="str">
        <f>IFERROR(INDEX(Setup!$E$44:$E$70,MATCH(M55,Setup!$K$44:$K$70,0))&amp;"","")</f>
        <v>Civil Society - International Non-Governmental Organization</v>
      </c>
      <c r="R55" s="108" t="str">
        <f>IFERROR(INDEX(Setup!$L$44:$L$70,MATCH(M55,Setup!$K$44:$K$70,0))&amp;"","")</f>
        <v/>
      </c>
      <c r="S55" s="108" t="str">
        <f>Setup!$C$30</f>
        <v>USD</v>
      </c>
      <c r="T55" s="109" t="str">
        <f>IFERROR(INDEX('Data Sheet'!$B$198:$B$275,MATCH(I55,'Data Sheet'!$F$198:$F$275,0)),"")</f>
        <v>Average cost of event per participant per day</v>
      </c>
      <c r="U55" s="110">
        <f>IFERROR(INDEX('Data Sheet'!$D$198:$D$275,MATCH(I55,'Data Sheet'!$F$198:$F$275,0)),"")</f>
        <v>2</v>
      </c>
      <c r="V55" s="415" t="s">
        <v>992</v>
      </c>
      <c r="W55" s="195" t="str">
        <f>IF(V55=Setup!$C$30,"Grant",IF(V55=Setup!$C$31,"Local",IF(V55=Setup!$C$32,"Other",IF(ISBLANK(V55),"","Other"))))</f>
        <v>Local</v>
      </c>
      <c r="X55" s="255">
        <f>'Assumptions TRC'!G238/(5*3*2)</f>
        <v>253333.33333333334</v>
      </c>
      <c r="Y55" s="259">
        <f>IF(X55&lt;&gt;"",X55/VLOOKUP($V55,Setup!$C$30:$D$41,2,0),"")</f>
        <v>30.964298074686393</v>
      </c>
      <c r="Z55" s="262">
        <f>5*3*2</f>
        <v>30</v>
      </c>
      <c r="AA55" s="256">
        <f t="shared" si="34"/>
        <v>928.92894224059182</v>
      </c>
      <c r="AB55" s="262"/>
      <c r="AC55" s="258" t="str">
        <f t="shared" si="3"/>
        <v/>
      </c>
      <c r="AD55" s="262"/>
      <c r="AE55" s="258" t="str">
        <f t="shared" si="4"/>
        <v/>
      </c>
      <c r="AF55" s="262"/>
      <c r="AG55" s="256" t="str">
        <f t="shared" si="5"/>
        <v/>
      </c>
      <c r="AH55" s="256">
        <f t="shared" si="33"/>
        <v>30</v>
      </c>
      <c r="AI55" s="256">
        <f t="shared" si="6"/>
        <v>928.92894224059182</v>
      </c>
      <c r="AJ55" s="111"/>
      <c r="AK55" s="255"/>
      <c r="AL55" s="259" t="str">
        <f>IF(AK55&lt;&gt;"",AK55/VLOOKUP($V55,Setup!$C$30:$D$41,2,0),"")</f>
        <v/>
      </c>
      <c r="AM55" s="266"/>
      <c r="AN55" s="258" t="str">
        <f t="shared" si="18"/>
        <v/>
      </c>
      <c r="AO55" s="266"/>
      <c r="AP55" s="258" t="str">
        <f t="shared" si="19"/>
        <v/>
      </c>
      <c r="AQ55" s="266"/>
      <c r="AR55" s="258" t="str">
        <f t="shared" si="20"/>
        <v/>
      </c>
      <c r="AS55" s="266"/>
      <c r="AT55" s="256" t="str">
        <f t="shared" si="21"/>
        <v/>
      </c>
      <c r="AU55" s="256" t="str">
        <f t="shared" si="7"/>
        <v/>
      </c>
      <c r="AV55" s="256" t="str">
        <f t="shared" si="8"/>
        <v/>
      </c>
      <c r="AW55" s="267"/>
      <c r="AX55" s="255"/>
      <c r="AY55" s="259" t="str">
        <f>IF(AX55&lt;&gt;"",AX55/VLOOKUP($V55,Setup!$C$30:$D$41,2,0),"")</f>
        <v/>
      </c>
      <c r="AZ55" s="268"/>
      <c r="BA55" s="258" t="str">
        <f t="shared" si="23"/>
        <v/>
      </c>
      <c r="BB55" s="268"/>
      <c r="BC55" s="258" t="str">
        <f t="shared" si="24"/>
        <v/>
      </c>
      <c r="BD55" s="268"/>
      <c r="BE55" s="258" t="str">
        <f t="shared" si="25"/>
        <v/>
      </c>
      <c r="BF55" s="268"/>
      <c r="BG55" s="256" t="str">
        <f t="shared" si="26"/>
        <v/>
      </c>
      <c r="BH55" s="256" t="str">
        <f t="shared" si="9"/>
        <v/>
      </c>
      <c r="BI55" s="256" t="str">
        <f t="shared" si="10"/>
        <v/>
      </c>
      <c r="BJ55" s="267"/>
      <c r="BK55" s="255"/>
      <c r="BL55" s="259" t="str">
        <f>IF(BK55&lt;&gt;"",BK55/VLOOKUP($V55,Setup!$C$30:$D$41,2,0),"")</f>
        <v/>
      </c>
      <c r="BM55" s="268"/>
      <c r="BN55" s="258" t="str">
        <f t="shared" si="27"/>
        <v/>
      </c>
      <c r="BO55" s="268"/>
      <c r="BP55" s="258" t="str">
        <f t="shared" si="28"/>
        <v/>
      </c>
      <c r="BQ55" s="268"/>
      <c r="BR55" s="258" t="str">
        <f t="shared" si="29"/>
        <v/>
      </c>
      <c r="BS55" s="268"/>
      <c r="BT55" s="256" t="str">
        <f t="shared" si="32"/>
        <v/>
      </c>
      <c r="BU55" s="256" t="str">
        <f t="shared" si="11"/>
        <v/>
      </c>
      <c r="BV55" s="256" t="str">
        <f t="shared" si="12"/>
        <v/>
      </c>
      <c r="BW55" s="267"/>
      <c r="BX55" s="256">
        <f t="shared" si="13"/>
        <v>30</v>
      </c>
      <c r="BY55" s="256">
        <f t="shared" si="14"/>
        <v>928.92894224059182</v>
      </c>
      <c r="BZ55" s="281"/>
      <c r="CA55" s="282"/>
      <c r="CC55" s="112" t="str">
        <f t="shared" ca="1" si="15"/>
        <v/>
      </c>
      <c r="CF55" s="283"/>
      <c r="CG55" s="283"/>
      <c r="CH55" s="283"/>
      <c r="CI55" s="283"/>
      <c r="CL55" s="356" t="str">
        <f>IFERROR(VLOOKUP(C55,'Data Sheet'!$A$3:$B$26,2,FALSE),"")</f>
        <v>MCI-00002</v>
      </c>
    </row>
    <row r="56" spans="1:90" s="112" customFormat="1" ht="51" x14ac:dyDescent="0.25">
      <c r="A56" s="97">
        <v>52</v>
      </c>
      <c r="B56" s="105" t="str">
        <f t="shared" si="35"/>
        <v>a1O36000001EGFCEA4-a1O36000001EGGZEA4-Provincial</v>
      </c>
      <c r="C56" s="276" t="s">
        <v>2154</v>
      </c>
      <c r="D56" s="101" t="str">
        <f>IFERROR(IF(VLOOKUP(C56,'Data Sheet'!$A$3:$D$26,4,FALSE)=0,"",VLOOKUP(C56,'Data Sheet'!$A$3:$D$26,4,FALSE)),"")</f>
        <v>a1O36000001EGFCEA4</v>
      </c>
      <c r="E56" s="279" t="s">
        <v>2232</v>
      </c>
      <c r="F56" s="103" t="str">
        <f>IFERROR(IF(VLOOKUP(E56,'Data Sheet'!$C$29:$E$174,3,FALSE)=0,"",VLOOKUP(E56,'Data Sheet'!$C$29:$E$174,3,FALSE)),"")</f>
        <v>a1O36000001EGGZEA4</v>
      </c>
      <c r="G56" s="106" t="str">
        <f t="shared" si="2"/>
        <v>a1O36000001EGFCEA4-a1O36000001EGGZEA4</v>
      </c>
      <c r="H56" s="273" t="s">
        <v>2706</v>
      </c>
      <c r="I56" s="107" t="s">
        <v>2743</v>
      </c>
      <c r="J56" s="249" t="str">
        <f t="shared" si="30"/>
        <v>2.3</v>
      </c>
      <c r="K56" s="101" t="str">
        <f>IFERROR(INDEX('Data Sheet'!$C$198:$C$275,MATCH(I56,'Data Sheet'!$F$198:$F$275,0)),"")</f>
        <v>a2C360000007DB3EAM</v>
      </c>
      <c r="L56" s="250">
        <f>IFERROR(INDEX('Data Sheet'!$G$198:$G$275,MATCH(I56,'Data Sheet'!$F$198:$F$275,0)),"")</f>
        <v>2.2999999999999998</v>
      </c>
      <c r="M56" s="248" t="s">
        <v>2660</v>
      </c>
      <c r="N56" s="248" t="s">
        <v>2760</v>
      </c>
      <c r="O56" s="248" t="s">
        <v>2128</v>
      </c>
      <c r="P56" s="108" t="str">
        <f>IFERROR(INDEX(Setup!$D$44:$D$70,MATCH(M56,Setup!$K$44:$K$70,0))&amp;"","")</f>
        <v>SR</v>
      </c>
      <c r="Q56" s="108" t="str">
        <f>IFERROR(INDEX(Setup!$E$44:$E$70,MATCH(M56,Setup!$K$44:$K$70,0))&amp;"","")</f>
        <v>Civil Society - International Non-Governmental Organization</v>
      </c>
      <c r="R56" s="108" t="str">
        <f>IFERROR(INDEX(Setup!$L$44:$L$70,MATCH(M56,Setup!$K$44:$K$70,0))&amp;"","")</f>
        <v/>
      </c>
      <c r="S56" s="108" t="str">
        <f>Setup!$C$30</f>
        <v>USD</v>
      </c>
      <c r="T56" s="109" t="str">
        <f>IFERROR(INDEX('Data Sheet'!$B$198:$B$275,MATCH(I56,'Data Sheet'!$F$198:$F$275,0)),"")</f>
        <v>Average cost of subsistence per person per day</v>
      </c>
      <c r="U56" s="110">
        <f>IFERROR(INDEX('Data Sheet'!$D$198:$D$275,MATCH(I56,'Data Sheet'!$F$198:$F$275,0)),"")</f>
        <v>2</v>
      </c>
      <c r="V56" s="415" t="s">
        <v>992</v>
      </c>
      <c r="W56" s="195" t="str">
        <f>IF(V56=Setup!$C$30,"Grant",IF(V56=Setup!$C$31,"Local",IF(V56=Setup!$C$32,"Other",IF(ISBLANK(V56),"","Other"))))</f>
        <v>Local</v>
      </c>
      <c r="X56" s="255">
        <f>'Assumptions TRC'!G249/(4*3*2)</f>
        <v>316250</v>
      </c>
      <c r="Y56" s="259">
        <f>IF(X56&lt;&gt;"",X56/VLOOKUP($V56,Setup!$C$30:$D$41,2,0),"")</f>
        <v>38.654444471524627</v>
      </c>
      <c r="Z56" s="262"/>
      <c r="AA56" s="256" t="str">
        <f t="shared" si="34"/>
        <v/>
      </c>
      <c r="AB56" s="262">
        <f>4*3*2</f>
        <v>24</v>
      </c>
      <c r="AC56" s="258">
        <f t="shared" si="3"/>
        <v>927.70666731659105</v>
      </c>
      <c r="AD56" s="262"/>
      <c r="AE56" s="258" t="str">
        <f t="shared" si="4"/>
        <v/>
      </c>
      <c r="AF56" s="262">
        <f>24</f>
        <v>24</v>
      </c>
      <c r="AG56" s="256">
        <f t="shared" si="5"/>
        <v>927.70666731659105</v>
      </c>
      <c r="AH56" s="256">
        <f t="shared" si="33"/>
        <v>48</v>
      </c>
      <c r="AI56" s="256">
        <f t="shared" si="6"/>
        <v>1855.4133346331821</v>
      </c>
      <c r="AJ56" s="111"/>
      <c r="AK56" s="255">
        <f t="shared" ref="AK56:AK66" si="38">X56</f>
        <v>316250</v>
      </c>
      <c r="AL56" s="259">
        <f>IF(AK56&lt;&gt;"",AK56/VLOOKUP($V56,Setup!$C$30:$D$41,2,0),"")</f>
        <v>38.654444471524627</v>
      </c>
      <c r="AM56" s="266"/>
      <c r="AN56" s="258" t="str">
        <f t="shared" si="18"/>
        <v/>
      </c>
      <c r="AO56" s="266">
        <v>24</v>
      </c>
      <c r="AP56" s="258">
        <f t="shared" si="19"/>
        <v>927.70666731659105</v>
      </c>
      <c r="AQ56" s="266"/>
      <c r="AR56" s="258" t="str">
        <f t="shared" si="20"/>
        <v/>
      </c>
      <c r="AS56" s="266">
        <v>24</v>
      </c>
      <c r="AT56" s="256">
        <f t="shared" si="21"/>
        <v>927.70666731659105</v>
      </c>
      <c r="AU56" s="256">
        <f t="shared" si="7"/>
        <v>48</v>
      </c>
      <c r="AV56" s="256">
        <f t="shared" si="8"/>
        <v>1855.4133346331821</v>
      </c>
      <c r="AW56" s="267"/>
      <c r="AX56" s="255">
        <f t="shared" ref="AX56:AX66" si="39">X56</f>
        <v>316250</v>
      </c>
      <c r="AY56" s="259">
        <f>IF(AX56&lt;&gt;"",AX56/VLOOKUP($V56,Setup!$C$30:$D$41,2,0),"")</f>
        <v>38.654444471524627</v>
      </c>
      <c r="AZ56" s="268"/>
      <c r="BA56" s="258" t="str">
        <f t="shared" si="23"/>
        <v/>
      </c>
      <c r="BB56" s="268">
        <v>24</v>
      </c>
      <c r="BC56" s="258">
        <f t="shared" si="24"/>
        <v>927.70666731659105</v>
      </c>
      <c r="BD56" s="268"/>
      <c r="BE56" s="258" t="str">
        <f t="shared" si="25"/>
        <v/>
      </c>
      <c r="BF56" s="268">
        <v>24</v>
      </c>
      <c r="BG56" s="256">
        <f t="shared" si="26"/>
        <v>927.70666731659105</v>
      </c>
      <c r="BH56" s="256">
        <f t="shared" si="9"/>
        <v>48</v>
      </c>
      <c r="BI56" s="256">
        <f t="shared" si="10"/>
        <v>1855.4133346331821</v>
      </c>
      <c r="BJ56" s="267"/>
      <c r="BK56" s="255"/>
      <c r="BL56" s="259" t="str">
        <f>IF(BK56&lt;&gt;"",BK56/VLOOKUP($V56,Setup!$C$30:$D$41,2,0),"")</f>
        <v/>
      </c>
      <c r="BM56" s="268"/>
      <c r="BN56" s="258" t="str">
        <f t="shared" si="27"/>
        <v/>
      </c>
      <c r="BO56" s="268"/>
      <c r="BP56" s="258" t="str">
        <f t="shared" si="28"/>
        <v/>
      </c>
      <c r="BQ56" s="268"/>
      <c r="BR56" s="258" t="str">
        <f t="shared" si="29"/>
        <v/>
      </c>
      <c r="BS56" s="268"/>
      <c r="BT56" s="256" t="str">
        <f t="shared" si="32"/>
        <v/>
      </c>
      <c r="BU56" s="256" t="str">
        <f t="shared" si="11"/>
        <v/>
      </c>
      <c r="BV56" s="256" t="str">
        <f t="shared" si="12"/>
        <v/>
      </c>
      <c r="BW56" s="267"/>
      <c r="BX56" s="256">
        <f t="shared" si="13"/>
        <v>144</v>
      </c>
      <c r="BY56" s="256">
        <f t="shared" si="14"/>
        <v>5566.2400038995465</v>
      </c>
      <c r="BZ56" s="281"/>
      <c r="CA56" s="282"/>
      <c r="CC56" s="112" t="str">
        <f t="shared" ca="1" si="15"/>
        <v/>
      </c>
      <c r="CF56" s="283"/>
      <c r="CG56" s="283"/>
      <c r="CH56" s="283"/>
      <c r="CI56" s="283"/>
      <c r="CL56" s="356" t="str">
        <f>IFERROR(VLOOKUP(C56,'Data Sheet'!$A$3:$B$26,2,FALSE),"")</f>
        <v>MCI-00002</v>
      </c>
    </row>
    <row r="57" spans="1:90" s="112" customFormat="1" ht="51" x14ac:dyDescent="0.25">
      <c r="A57" s="97">
        <v>53</v>
      </c>
      <c r="B57" s="105" t="str">
        <f t="shared" si="35"/>
        <v>a1O36000001EGFCEA4-a1O36000001qZ85EAE-Provincial</v>
      </c>
      <c r="C57" s="276" t="s">
        <v>2154</v>
      </c>
      <c r="D57" s="101" t="str">
        <f>IFERROR(IF(VLOOKUP(C57,'Data Sheet'!$A$3:$D$26,4,FALSE)=0,"",VLOOKUP(C57,'Data Sheet'!$A$3:$D$26,4,FALSE)),"")</f>
        <v>a1O36000001EGFCEA4</v>
      </c>
      <c r="E57" s="279" t="s">
        <v>2230</v>
      </c>
      <c r="F57" s="103" t="str">
        <f>IFERROR(IF(VLOOKUP(E57,'Data Sheet'!$C$29:$E$174,3,FALSE)=0,"",VLOOKUP(E57,'Data Sheet'!$C$29:$E$174,3,FALSE)),"")</f>
        <v>a1O36000001qZ85EAE</v>
      </c>
      <c r="G57" s="106" t="str">
        <f t="shared" si="2"/>
        <v>a1O36000001EGFCEA4-a1O36000001qZ85EAE</v>
      </c>
      <c r="H57" s="273" t="s">
        <v>2707</v>
      </c>
      <c r="I57" s="107" t="s">
        <v>2733</v>
      </c>
      <c r="J57" s="249" t="str">
        <f t="shared" si="30"/>
        <v>2.4</v>
      </c>
      <c r="K57" s="101" t="str">
        <f>IFERROR(INDEX('Data Sheet'!$C$198:$C$275,MATCH(I57,'Data Sheet'!$F$198:$F$275,0)),"")</f>
        <v>a2C360000007DB9EAM</v>
      </c>
      <c r="L57" s="250">
        <f>IFERROR(INDEX('Data Sheet'!$G$198:$G$275,MATCH(I57,'Data Sheet'!$F$198:$F$275,0)),"")</f>
        <v>2.4</v>
      </c>
      <c r="M57" s="248" t="s">
        <v>2660</v>
      </c>
      <c r="N57" s="248" t="s">
        <v>2760</v>
      </c>
      <c r="O57" s="248" t="s">
        <v>2128</v>
      </c>
      <c r="P57" s="108" t="str">
        <f>IFERROR(INDEX(Setup!$D$44:$D$70,MATCH(M57,Setup!$K$44:$K$70,0))&amp;"","")</f>
        <v>SR</v>
      </c>
      <c r="Q57" s="108" t="str">
        <f>IFERROR(INDEX(Setup!$E$44:$E$70,MATCH(M57,Setup!$K$44:$K$70,0))&amp;"","")</f>
        <v>Civil Society - International Non-Governmental Organization</v>
      </c>
      <c r="R57" s="108" t="str">
        <f>IFERROR(INDEX(Setup!$L$44:$L$70,MATCH(M57,Setup!$K$44:$K$70,0))&amp;"","")</f>
        <v/>
      </c>
      <c r="S57" s="108" t="str">
        <f>Setup!$C$30</f>
        <v>USD</v>
      </c>
      <c r="T57" s="109" t="str">
        <f>IFERROR(INDEX('Data Sheet'!$B$198:$B$275,MATCH(I57,'Data Sheet'!$F$198:$F$275,0)),"")</f>
        <v>Average cost of event per participant per day</v>
      </c>
      <c r="U57" s="110">
        <f>IFERROR(INDEX('Data Sheet'!$D$198:$D$275,MATCH(I57,'Data Sheet'!$F$198:$F$275,0)),"")</f>
        <v>2</v>
      </c>
      <c r="V57" s="415" t="s">
        <v>992</v>
      </c>
      <c r="W57" s="195" t="str">
        <f>IF(V57=Setup!$C$30,"Grant",IF(V57=Setup!$C$31,"Local",IF(V57=Setup!$C$32,"Other",IF(ISBLANK(V57),"","Other"))))</f>
        <v>Local</v>
      </c>
      <c r="X57" s="255">
        <f>'Assumptions TRC'!G262/(20*8)</f>
        <v>58281.25</v>
      </c>
      <c r="Y57" s="259">
        <f>IF(X57&lt;&gt;"",X57/VLOOKUP($V57,Setup!$C$30:$D$41,2,0),"")</f>
        <v>7.1235710414420383</v>
      </c>
      <c r="Z57" s="262">
        <f>20*8</f>
        <v>160</v>
      </c>
      <c r="AA57" s="256">
        <f t="shared" si="34"/>
        <v>1139.7713666307261</v>
      </c>
      <c r="AB57" s="262">
        <v>160</v>
      </c>
      <c r="AC57" s="258">
        <f t="shared" si="3"/>
        <v>1139.7713666307261</v>
      </c>
      <c r="AD57" s="262">
        <v>160</v>
      </c>
      <c r="AE57" s="258">
        <f t="shared" si="4"/>
        <v>1139.7713666307261</v>
      </c>
      <c r="AF57" s="262">
        <v>160</v>
      </c>
      <c r="AG57" s="256">
        <f t="shared" si="5"/>
        <v>1139.7713666307261</v>
      </c>
      <c r="AH57" s="256">
        <f t="shared" si="33"/>
        <v>640</v>
      </c>
      <c r="AI57" s="256">
        <f t="shared" si="6"/>
        <v>4559.0854665229044</v>
      </c>
      <c r="AJ57" s="111"/>
      <c r="AK57" s="255">
        <f t="shared" si="38"/>
        <v>58281.25</v>
      </c>
      <c r="AL57" s="259">
        <f>IF(AK57&lt;&gt;"",AK57/VLOOKUP($V57,Setup!$C$30:$D$41,2,0),"")</f>
        <v>7.1235710414420383</v>
      </c>
      <c r="AM57" s="266">
        <f>160</f>
        <v>160</v>
      </c>
      <c r="AN57" s="258">
        <f t="shared" si="18"/>
        <v>1139.7713666307261</v>
      </c>
      <c r="AO57" s="266">
        <v>160</v>
      </c>
      <c r="AP57" s="258">
        <f t="shared" si="19"/>
        <v>1139.7713666307261</v>
      </c>
      <c r="AQ57" s="266">
        <v>160</v>
      </c>
      <c r="AR57" s="258">
        <f t="shared" si="20"/>
        <v>1139.7713666307261</v>
      </c>
      <c r="AS57" s="266">
        <v>160</v>
      </c>
      <c r="AT57" s="256">
        <f t="shared" si="21"/>
        <v>1139.7713666307261</v>
      </c>
      <c r="AU57" s="256">
        <f t="shared" si="7"/>
        <v>640</v>
      </c>
      <c r="AV57" s="256">
        <f t="shared" si="8"/>
        <v>4559.0854665229044</v>
      </c>
      <c r="AW57" s="267"/>
      <c r="AX57" s="255">
        <f t="shared" si="39"/>
        <v>58281.25</v>
      </c>
      <c r="AY57" s="259">
        <f>IF(AX57&lt;&gt;"",AX57/VLOOKUP($V57,Setup!$C$30:$D$41,2,0),"")</f>
        <v>7.1235710414420383</v>
      </c>
      <c r="AZ57" s="268">
        <v>160</v>
      </c>
      <c r="BA57" s="258">
        <f t="shared" si="23"/>
        <v>1139.7713666307261</v>
      </c>
      <c r="BB57" s="268">
        <v>160</v>
      </c>
      <c r="BC57" s="258">
        <f t="shared" si="24"/>
        <v>1139.7713666307261</v>
      </c>
      <c r="BD57" s="268">
        <v>160</v>
      </c>
      <c r="BE57" s="258">
        <f t="shared" si="25"/>
        <v>1139.7713666307261</v>
      </c>
      <c r="BF57" s="268">
        <v>160</v>
      </c>
      <c r="BG57" s="256">
        <f t="shared" si="26"/>
        <v>1139.7713666307261</v>
      </c>
      <c r="BH57" s="256">
        <f t="shared" si="9"/>
        <v>640</v>
      </c>
      <c r="BI57" s="256">
        <f t="shared" si="10"/>
        <v>4559.0854665229044</v>
      </c>
      <c r="BJ57" s="267"/>
      <c r="BK57" s="255"/>
      <c r="BL57" s="259" t="str">
        <f>IF(BK57&lt;&gt;"",BK57/VLOOKUP($V57,Setup!$C$30:$D$41,2,0),"")</f>
        <v/>
      </c>
      <c r="BM57" s="268"/>
      <c r="BN57" s="258" t="str">
        <f t="shared" si="27"/>
        <v/>
      </c>
      <c r="BO57" s="268"/>
      <c r="BP57" s="258" t="str">
        <f t="shared" si="28"/>
        <v/>
      </c>
      <c r="BQ57" s="268"/>
      <c r="BR57" s="258" t="str">
        <f t="shared" si="29"/>
        <v/>
      </c>
      <c r="BS57" s="268"/>
      <c r="BT57" s="256" t="str">
        <f t="shared" si="32"/>
        <v/>
      </c>
      <c r="BU57" s="256" t="str">
        <f t="shared" si="11"/>
        <v/>
      </c>
      <c r="BV57" s="256" t="str">
        <f t="shared" si="12"/>
        <v/>
      </c>
      <c r="BW57" s="267"/>
      <c r="BX57" s="256">
        <f t="shared" si="13"/>
        <v>1920</v>
      </c>
      <c r="BY57" s="256">
        <f t="shared" si="14"/>
        <v>13677.256399568712</v>
      </c>
      <c r="BZ57" s="281"/>
      <c r="CA57" s="282"/>
      <c r="CC57" s="112" t="str">
        <f t="shared" ca="1" si="15"/>
        <v/>
      </c>
      <c r="CF57" s="283"/>
      <c r="CG57" s="283"/>
      <c r="CH57" s="283"/>
      <c r="CI57" s="283"/>
      <c r="CL57" s="356" t="str">
        <f>IFERROR(VLOOKUP(C57,'Data Sheet'!$A$3:$B$26,2,FALSE),"")</f>
        <v>MCI-00002</v>
      </c>
    </row>
    <row r="58" spans="1:90" s="112" customFormat="1" ht="63.75" x14ac:dyDescent="0.25">
      <c r="A58" s="97">
        <v>54</v>
      </c>
      <c r="B58" s="105" t="str">
        <f t="shared" si="35"/>
        <v>a1O36000001EGFCEA4-a1O36000001qZ87EAE-Provincial</v>
      </c>
      <c r="C58" s="276" t="s">
        <v>2154</v>
      </c>
      <c r="D58" s="101" t="str">
        <f>IFERROR(IF(VLOOKUP(C58,'Data Sheet'!$A$3:$D$26,4,FALSE)=0,"",VLOOKUP(C58,'Data Sheet'!$A$3:$D$26,4,FALSE)),"")</f>
        <v>a1O36000001EGFCEA4</v>
      </c>
      <c r="E58" s="279" t="s">
        <v>2250</v>
      </c>
      <c r="F58" s="103" t="str">
        <f>IFERROR(IF(VLOOKUP(E58,'Data Sheet'!$C$29:$E$174,3,FALSE)=0,"",VLOOKUP(E58,'Data Sheet'!$C$29:$E$174,3,FALSE)),"")</f>
        <v>a1O36000001qZ87EAE</v>
      </c>
      <c r="G58" s="106" t="str">
        <f t="shared" si="2"/>
        <v>a1O36000001EGFCEA4-a1O36000001qZ87EAE</v>
      </c>
      <c r="H58" s="273" t="s">
        <v>2708</v>
      </c>
      <c r="I58" s="107" t="s">
        <v>2734</v>
      </c>
      <c r="J58" s="249" t="str">
        <f t="shared" si="30"/>
        <v>2.5</v>
      </c>
      <c r="K58" s="101" t="str">
        <f>IFERROR(INDEX('Data Sheet'!$C$198:$C$275,MATCH(I58,'Data Sheet'!$F$198:$F$275,0)),"")</f>
        <v>a2C360000007DB6EAM</v>
      </c>
      <c r="L58" s="250">
        <f>IFERROR(INDEX('Data Sheet'!$G$198:$G$275,MATCH(I58,'Data Sheet'!$F$198:$F$275,0)),"")</f>
        <v>2.5</v>
      </c>
      <c r="M58" s="248" t="s">
        <v>2660</v>
      </c>
      <c r="N58" s="248" t="s">
        <v>2760</v>
      </c>
      <c r="O58" s="248" t="s">
        <v>2128</v>
      </c>
      <c r="P58" s="108" t="str">
        <f>IFERROR(INDEX(Setup!$D$44:$D$70,MATCH(M58,Setup!$K$44:$K$70,0))&amp;"","")</f>
        <v>SR</v>
      </c>
      <c r="Q58" s="108" t="str">
        <f>IFERROR(INDEX(Setup!$E$44:$E$70,MATCH(M58,Setup!$K$44:$K$70,0))&amp;"","")</f>
        <v>Civil Society - International Non-Governmental Organization</v>
      </c>
      <c r="R58" s="108" t="str">
        <f>IFERROR(INDEX(Setup!$L$44:$L$70,MATCH(M58,Setup!$K$44:$K$70,0))&amp;"","")</f>
        <v/>
      </c>
      <c r="S58" s="108" t="str">
        <f>Setup!$C$30</f>
        <v>USD</v>
      </c>
      <c r="T58" s="109" t="str">
        <f>IFERROR(INDEX('Data Sheet'!$B$198:$B$275,MATCH(I58,'Data Sheet'!$F$198:$F$275,0)),"")</f>
        <v>N/A</v>
      </c>
      <c r="U58" s="110">
        <f>IFERROR(INDEX('Data Sheet'!$D$198:$D$275,MATCH(I58,'Data Sheet'!$F$198:$F$275,0)),"")</f>
        <v>2</v>
      </c>
      <c r="V58" s="415" t="s">
        <v>992</v>
      </c>
      <c r="W58" s="195" t="str">
        <f>IF(V58=Setup!$C$30,"Grant",IF(V58=Setup!$C$31,"Local",IF(V58=Setup!$C$32,"Other",IF(ISBLANK(V58),"","Other"))))</f>
        <v>Local</v>
      </c>
      <c r="X58" s="255">
        <f>'Assumptions TRC'!C266</f>
        <v>80000</v>
      </c>
      <c r="Y58" s="259">
        <f>IF(X58&lt;&gt;"",X58/VLOOKUP($V58,Setup!$C$30:$D$41,2,0),"")</f>
        <v>9.7781993920062291</v>
      </c>
      <c r="Z58" s="262">
        <v>20</v>
      </c>
      <c r="AA58" s="256">
        <f t="shared" si="34"/>
        <v>195.56398784012458</v>
      </c>
      <c r="AB58" s="262">
        <v>20</v>
      </c>
      <c r="AC58" s="258">
        <f t="shared" si="3"/>
        <v>195.56398784012458</v>
      </c>
      <c r="AD58" s="262">
        <v>20</v>
      </c>
      <c r="AE58" s="258">
        <f t="shared" si="4"/>
        <v>195.56398784012458</v>
      </c>
      <c r="AF58" s="262">
        <v>20</v>
      </c>
      <c r="AG58" s="256">
        <f t="shared" si="5"/>
        <v>195.56398784012458</v>
      </c>
      <c r="AH58" s="256">
        <f t="shared" si="33"/>
        <v>80</v>
      </c>
      <c r="AI58" s="256">
        <f t="shared" si="6"/>
        <v>782.25595136049833</v>
      </c>
      <c r="AJ58" s="111"/>
      <c r="AK58" s="255">
        <f t="shared" si="38"/>
        <v>80000</v>
      </c>
      <c r="AL58" s="259">
        <f>IF(AK58&lt;&gt;"",AK58/VLOOKUP($V58,Setup!$C$30:$D$41,2,0),"")</f>
        <v>9.7781993920062291</v>
      </c>
      <c r="AM58" s="266">
        <v>20</v>
      </c>
      <c r="AN58" s="258">
        <f t="shared" si="18"/>
        <v>195.56398784012458</v>
      </c>
      <c r="AO58" s="266">
        <v>20</v>
      </c>
      <c r="AP58" s="258">
        <f t="shared" si="19"/>
        <v>195.56398784012458</v>
      </c>
      <c r="AQ58" s="266">
        <v>20</v>
      </c>
      <c r="AR58" s="258">
        <f t="shared" si="20"/>
        <v>195.56398784012458</v>
      </c>
      <c r="AS58" s="266">
        <v>20</v>
      </c>
      <c r="AT58" s="256">
        <f t="shared" si="21"/>
        <v>195.56398784012458</v>
      </c>
      <c r="AU58" s="256">
        <f t="shared" si="7"/>
        <v>80</v>
      </c>
      <c r="AV58" s="256">
        <f t="shared" si="8"/>
        <v>782.25595136049833</v>
      </c>
      <c r="AW58" s="267"/>
      <c r="AX58" s="255">
        <f t="shared" si="39"/>
        <v>80000</v>
      </c>
      <c r="AY58" s="259">
        <f>IF(AX58&lt;&gt;"",AX58/VLOOKUP($V58,Setup!$C$30:$D$41,2,0),"")</f>
        <v>9.7781993920062291</v>
      </c>
      <c r="AZ58" s="268">
        <v>20</v>
      </c>
      <c r="BA58" s="258">
        <f t="shared" si="23"/>
        <v>195.56398784012458</v>
      </c>
      <c r="BB58" s="268">
        <v>20</v>
      </c>
      <c r="BC58" s="258">
        <f t="shared" si="24"/>
        <v>195.56398784012458</v>
      </c>
      <c r="BD58" s="268">
        <v>20</v>
      </c>
      <c r="BE58" s="258">
        <f t="shared" si="25"/>
        <v>195.56398784012458</v>
      </c>
      <c r="BF58" s="268">
        <v>20</v>
      </c>
      <c r="BG58" s="256">
        <f t="shared" si="26"/>
        <v>195.56398784012458</v>
      </c>
      <c r="BH58" s="256">
        <f t="shared" si="9"/>
        <v>80</v>
      </c>
      <c r="BI58" s="256">
        <f t="shared" si="10"/>
        <v>782.25595136049833</v>
      </c>
      <c r="BJ58" s="267"/>
      <c r="BK58" s="255"/>
      <c r="BL58" s="259" t="str">
        <f>IF(BK58&lt;&gt;"",BK58/VLOOKUP($V58,Setup!$C$30:$D$41,2,0),"")</f>
        <v/>
      </c>
      <c r="BM58" s="268"/>
      <c r="BN58" s="258" t="str">
        <f t="shared" si="27"/>
        <v/>
      </c>
      <c r="BO58" s="268"/>
      <c r="BP58" s="258" t="str">
        <f t="shared" si="28"/>
        <v/>
      </c>
      <c r="BQ58" s="268"/>
      <c r="BR58" s="258" t="str">
        <f t="shared" si="29"/>
        <v/>
      </c>
      <c r="BS58" s="268"/>
      <c r="BT58" s="256" t="str">
        <f t="shared" si="32"/>
        <v/>
      </c>
      <c r="BU58" s="256" t="str">
        <f t="shared" si="11"/>
        <v/>
      </c>
      <c r="BV58" s="256" t="str">
        <f t="shared" si="12"/>
        <v/>
      </c>
      <c r="BW58" s="267"/>
      <c r="BX58" s="256">
        <f t="shared" si="13"/>
        <v>240</v>
      </c>
      <c r="BY58" s="256">
        <f t="shared" si="14"/>
        <v>2346.767854081495</v>
      </c>
      <c r="BZ58" s="281"/>
      <c r="CA58" s="282"/>
      <c r="CC58" s="112" t="str">
        <f t="shared" ca="1" si="15"/>
        <v/>
      </c>
      <c r="CF58" s="283"/>
      <c r="CG58" s="283"/>
      <c r="CH58" s="283"/>
      <c r="CI58" s="283"/>
      <c r="CL58" s="356" t="str">
        <f>IFERROR(VLOOKUP(C58,'Data Sheet'!$A$3:$B$26,2,FALSE),"")</f>
        <v>MCI-00002</v>
      </c>
    </row>
    <row r="59" spans="1:90" s="112" customFormat="1" ht="51" x14ac:dyDescent="0.25">
      <c r="A59" s="97">
        <v>55</v>
      </c>
      <c r="B59" s="105" t="str">
        <f t="shared" si="35"/>
        <v>a1O36000001EGFCEA4-a1O36000001EGGZEA4-Provincial</v>
      </c>
      <c r="C59" s="276" t="s">
        <v>2154</v>
      </c>
      <c r="D59" s="101" t="str">
        <f>IFERROR(IF(VLOOKUP(C59,'Data Sheet'!$A$3:$D$26,4,FALSE)=0,"",VLOOKUP(C59,'Data Sheet'!$A$3:$D$26,4,FALSE)),"")</f>
        <v>a1O36000001EGFCEA4</v>
      </c>
      <c r="E59" s="279" t="s">
        <v>2232</v>
      </c>
      <c r="F59" s="103" t="str">
        <f>IFERROR(IF(VLOOKUP(E59,'Data Sheet'!$C$29:$E$174,3,FALSE)=0,"",VLOOKUP(E59,'Data Sheet'!$C$29:$E$174,3,FALSE)),"")</f>
        <v>a1O36000001EGGZEA4</v>
      </c>
      <c r="G59" s="106" t="str">
        <f t="shared" si="2"/>
        <v>a1O36000001EGFCEA4-a1O36000001EGGZEA4</v>
      </c>
      <c r="H59" s="273" t="s">
        <v>2709</v>
      </c>
      <c r="I59" s="107" t="s">
        <v>2754</v>
      </c>
      <c r="J59" s="249" t="str">
        <f t="shared" si="30"/>
        <v>13.0</v>
      </c>
      <c r="K59" s="101" t="str">
        <f>IFERROR(INDEX('Data Sheet'!$C$198:$C$275,MATCH(I59,'Data Sheet'!$F$198:$F$275,0)),"")</f>
        <v>a2C360000007DB7EAM</v>
      </c>
      <c r="L59" s="250">
        <f>IFERROR(INDEX('Data Sheet'!$G$198:$G$275,MATCH(I59,'Data Sheet'!$F$198:$F$275,0)),"")</f>
        <v>13</v>
      </c>
      <c r="M59" s="248" t="s">
        <v>2660</v>
      </c>
      <c r="N59" s="248" t="s">
        <v>2760</v>
      </c>
      <c r="O59" s="248" t="s">
        <v>2128</v>
      </c>
      <c r="P59" s="108" t="str">
        <f>IFERROR(INDEX(Setup!$D$44:$D$70,MATCH(M59,Setup!$K$44:$K$70,0))&amp;"","")</f>
        <v>SR</v>
      </c>
      <c r="Q59" s="108" t="str">
        <f>IFERROR(INDEX(Setup!$E$44:$E$70,MATCH(M59,Setup!$K$44:$K$70,0))&amp;"","")</f>
        <v>Civil Society - International Non-Governmental Organization</v>
      </c>
      <c r="R59" s="108" t="str">
        <f>IFERROR(INDEX(Setup!$L$44:$L$70,MATCH(M59,Setup!$K$44:$K$70,0))&amp;"","")</f>
        <v/>
      </c>
      <c r="S59" s="108" t="str">
        <f>Setup!$C$30</f>
        <v>USD</v>
      </c>
      <c r="T59" s="109" t="str">
        <f>IFERROR(INDEX('Data Sheet'!$B$198:$B$275,MATCH(I59,'Data Sheet'!$F$198:$F$275,0)),"")</f>
        <v>N/A</v>
      </c>
      <c r="U59" s="110">
        <f>IFERROR(INDEX('Data Sheet'!$D$198:$D$275,MATCH(I59,'Data Sheet'!$F$198:$F$275,0)),"")</f>
        <v>13</v>
      </c>
      <c r="V59" s="415" t="s">
        <v>992</v>
      </c>
      <c r="W59" s="195" t="str">
        <f>IF(V59=Setup!$C$30,"Grant",IF(V59=Setup!$C$31,"Local",IF(V59=Setup!$C$32,"Other",IF(ISBLANK(V59),"","Other"))))</f>
        <v>Local</v>
      </c>
      <c r="X59" s="255">
        <f>('Assumptions TRC'!G270+'Assumptions TRC'!G271)/308</f>
        <v>22727.272727272728</v>
      </c>
      <c r="Y59" s="259">
        <f>IF(X59&lt;&gt;"",X59/VLOOKUP($V59,Setup!$C$30:$D$41,2,0),"")</f>
        <v>2.7778975545472244</v>
      </c>
      <c r="Z59" s="262">
        <v>308</v>
      </c>
      <c r="AA59" s="256">
        <f t="shared" si="34"/>
        <v>855.59244680054508</v>
      </c>
      <c r="AB59" s="262">
        <v>308</v>
      </c>
      <c r="AC59" s="258">
        <f t="shared" si="3"/>
        <v>855.59244680054508</v>
      </c>
      <c r="AD59" s="262">
        <v>308</v>
      </c>
      <c r="AE59" s="258">
        <f t="shared" si="4"/>
        <v>855.59244680054508</v>
      </c>
      <c r="AF59" s="262">
        <v>308</v>
      </c>
      <c r="AG59" s="256">
        <f t="shared" si="5"/>
        <v>855.59244680054508</v>
      </c>
      <c r="AH59" s="256">
        <f t="shared" si="33"/>
        <v>1232</v>
      </c>
      <c r="AI59" s="256">
        <f t="shared" si="6"/>
        <v>3422.3697872021803</v>
      </c>
      <c r="AJ59" s="111"/>
      <c r="AK59" s="255">
        <f t="shared" si="38"/>
        <v>22727.272727272728</v>
      </c>
      <c r="AL59" s="259">
        <f>IF(AK59&lt;&gt;"",AK59/VLOOKUP($V59,Setup!$C$30:$D$41,2,0),"")</f>
        <v>2.7778975545472244</v>
      </c>
      <c r="AM59" s="266">
        <v>308</v>
      </c>
      <c r="AN59" s="258">
        <f t="shared" si="18"/>
        <v>855.59244680054508</v>
      </c>
      <c r="AO59" s="266">
        <v>308</v>
      </c>
      <c r="AP59" s="258">
        <f t="shared" si="19"/>
        <v>855.59244680054508</v>
      </c>
      <c r="AQ59" s="266">
        <v>308</v>
      </c>
      <c r="AR59" s="258">
        <f t="shared" si="20"/>
        <v>855.59244680054508</v>
      </c>
      <c r="AS59" s="266">
        <v>308</v>
      </c>
      <c r="AT59" s="256">
        <f t="shared" si="21"/>
        <v>855.59244680054508</v>
      </c>
      <c r="AU59" s="256">
        <f t="shared" si="7"/>
        <v>1232</v>
      </c>
      <c r="AV59" s="256">
        <f t="shared" si="8"/>
        <v>3422.3697872021803</v>
      </c>
      <c r="AW59" s="267"/>
      <c r="AX59" s="255">
        <f t="shared" si="39"/>
        <v>22727.272727272728</v>
      </c>
      <c r="AY59" s="259">
        <f>IF(AX59&lt;&gt;"",AX59/VLOOKUP($V59,Setup!$C$30:$D$41,2,0),"")</f>
        <v>2.7778975545472244</v>
      </c>
      <c r="AZ59" s="268">
        <v>308</v>
      </c>
      <c r="BA59" s="258">
        <f t="shared" si="23"/>
        <v>855.59244680054508</v>
      </c>
      <c r="BB59" s="268">
        <v>308</v>
      </c>
      <c r="BC59" s="258">
        <f t="shared" si="24"/>
        <v>855.59244680054508</v>
      </c>
      <c r="BD59" s="268">
        <v>308</v>
      </c>
      <c r="BE59" s="258">
        <f t="shared" si="25"/>
        <v>855.59244680054508</v>
      </c>
      <c r="BF59" s="268">
        <v>308</v>
      </c>
      <c r="BG59" s="256">
        <f t="shared" si="26"/>
        <v>855.59244680054508</v>
      </c>
      <c r="BH59" s="256">
        <f t="shared" si="9"/>
        <v>1232</v>
      </c>
      <c r="BI59" s="256">
        <f t="shared" si="10"/>
        <v>3422.3697872021803</v>
      </c>
      <c r="BJ59" s="267"/>
      <c r="BK59" s="255"/>
      <c r="BL59" s="259" t="str">
        <f>IF(BK59&lt;&gt;"",BK59/VLOOKUP($V59,Setup!$C$30:$D$41,2,0),"")</f>
        <v/>
      </c>
      <c r="BM59" s="268"/>
      <c r="BN59" s="258" t="str">
        <f t="shared" si="27"/>
        <v/>
      </c>
      <c r="BO59" s="268"/>
      <c r="BP59" s="258" t="str">
        <f t="shared" si="28"/>
        <v/>
      </c>
      <c r="BQ59" s="268"/>
      <c r="BR59" s="258" t="str">
        <f t="shared" si="29"/>
        <v/>
      </c>
      <c r="BS59" s="268"/>
      <c r="BT59" s="256" t="str">
        <f t="shared" si="32"/>
        <v/>
      </c>
      <c r="BU59" s="256" t="str">
        <f t="shared" si="11"/>
        <v/>
      </c>
      <c r="BV59" s="256" t="str">
        <f t="shared" si="12"/>
        <v/>
      </c>
      <c r="BW59" s="267"/>
      <c r="BX59" s="256">
        <f t="shared" si="13"/>
        <v>3696</v>
      </c>
      <c r="BY59" s="256">
        <f t="shared" si="14"/>
        <v>10267.109361606541</v>
      </c>
      <c r="BZ59" s="281"/>
      <c r="CA59" s="282"/>
      <c r="CC59" s="112" t="str">
        <f t="shared" ca="1" si="15"/>
        <v/>
      </c>
      <c r="CF59" s="283"/>
      <c r="CG59" s="283"/>
      <c r="CH59" s="283"/>
      <c r="CI59" s="283"/>
      <c r="CL59" s="356" t="str">
        <f>IFERROR(VLOOKUP(C59,'Data Sheet'!$A$3:$B$26,2,FALSE),"")</f>
        <v>MCI-00002</v>
      </c>
    </row>
    <row r="60" spans="1:90" s="112" customFormat="1" ht="51" x14ac:dyDescent="0.25">
      <c r="A60" s="97">
        <v>56</v>
      </c>
      <c r="B60" s="105" t="str">
        <f t="shared" si="35"/>
        <v>a1O36000001EGFJEA4-a1O36000001EGHNEA4-Provincial</v>
      </c>
      <c r="C60" s="276" t="s">
        <v>2208</v>
      </c>
      <c r="D60" s="101" t="str">
        <f>IFERROR(IF(VLOOKUP(C60,'Data Sheet'!$A$3:$D$26,4,FALSE)=0,"",VLOOKUP(C60,'Data Sheet'!$A$3:$D$26,4,FALSE)),"")</f>
        <v>a1O36000001EGFJEA4</v>
      </c>
      <c r="E60" s="279" t="s">
        <v>2340</v>
      </c>
      <c r="F60" s="103" t="str">
        <f>IFERROR(IF(VLOOKUP(E60,'Data Sheet'!$C$29:$E$174,3,FALSE)=0,"",VLOOKUP(E60,'Data Sheet'!$C$29:$E$174,3,FALSE)),"")</f>
        <v>a1O36000001EGHNEA4</v>
      </c>
      <c r="G60" s="106" t="str">
        <f t="shared" si="2"/>
        <v>a1O36000001EGFJEA4-a1O36000001EGHNEA4</v>
      </c>
      <c r="H60" s="273" t="s">
        <v>2710</v>
      </c>
      <c r="I60" s="107" t="s">
        <v>2733</v>
      </c>
      <c r="J60" s="249" t="str">
        <f t="shared" si="30"/>
        <v>2.4</v>
      </c>
      <c r="K60" s="101" t="str">
        <f>IFERROR(INDEX('Data Sheet'!$C$198:$C$275,MATCH(I60,'Data Sheet'!$F$198:$F$275,0)),"")</f>
        <v>a2C360000007DB9EAM</v>
      </c>
      <c r="L60" s="250">
        <f>IFERROR(INDEX('Data Sheet'!$G$198:$G$275,MATCH(I60,'Data Sheet'!$F$198:$F$275,0)),"")</f>
        <v>2.4</v>
      </c>
      <c r="M60" s="248" t="s">
        <v>2660</v>
      </c>
      <c r="N60" s="248" t="s">
        <v>2760</v>
      </c>
      <c r="O60" s="248" t="s">
        <v>2128</v>
      </c>
      <c r="P60" s="108" t="str">
        <f>IFERROR(INDEX(Setup!$D$44:$D$70,MATCH(M60,Setup!$K$44:$K$70,0))&amp;"","")</f>
        <v>SR</v>
      </c>
      <c r="Q60" s="108" t="str">
        <f>IFERROR(INDEX(Setup!$E$44:$E$70,MATCH(M60,Setup!$K$44:$K$70,0))&amp;"","")</f>
        <v>Civil Society - International Non-Governmental Organization</v>
      </c>
      <c r="R60" s="108" t="str">
        <f>IFERROR(INDEX(Setup!$L$44:$L$70,MATCH(M60,Setup!$K$44:$K$70,0))&amp;"","")</f>
        <v/>
      </c>
      <c r="S60" s="108" t="str">
        <f>Setup!$C$30</f>
        <v>USD</v>
      </c>
      <c r="T60" s="109" t="str">
        <f>IFERROR(INDEX('Data Sheet'!$B$198:$B$275,MATCH(I60,'Data Sheet'!$F$198:$F$275,0)),"")</f>
        <v>Average cost of event per participant per day</v>
      </c>
      <c r="U60" s="110">
        <f>IFERROR(INDEX('Data Sheet'!$D$198:$D$275,MATCH(I60,'Data Sheet'!$F$198:$F$275,0)),"")</f>
        <v>2</v>
      </c>
      <c r="V60" s="415" t="s">
        <v>992</v>
      </c>
      <c r="W60" s="195" t="str">
        <f>IF(V60=Setup!$C$30,"Grant",IF(V60=Setup!$C$31,"Local",IF(V60=Setup!$C$32,"Other",IF(ISBLANK(V60),"","Other"))))</f>
        <v>Local</v>
      </c>
      <c r="X60" s="255">
        <f>'Assumptions TRC'!G288/(54*2)</f>
        <v>161481.48148148149</v>
      </c>
      <c r="Y60" s="259">
        <f>IF(X60&lt;&gt;"",X60/VLOOKUP($V60,Setup!$C$30:$D$41,2,0),"")</f>
        <v>19.737476550531092</v>
      </c>
      <c r="Z60" s="262"/>
      <c r="AA60" s="256" t="str">
        <f t="shared" si="34"/>
        <v/>
      </c>
      <c r="AB60" s="262"/>
      <c r="AC60" s="258" t="str">
        <f t="shared" si="3"/>
        <v/>
      </c>
      <c r="AD60" s="262"/>
      <c r="AE60" s="258" t="str">
        <f t="shared" si="4"/>
        <v/>
      </c>
      <c r="AF60" s="262">
        <f>54*2</f>
        <v>108</v>
      </c>
      <c r="AG60" s="256">
        <f t="shared" si="5"/>
        <v>2131.6474674573578</v>
      </c>
      <c r="AH60" s="256">
        <f t="shared" si="33"/>
        <v>108</v>
      </c>
      <c r="AI60" s="256">
        <f t="shared" si="6"/>
        <v>2131.6474674573578</v>
      </c>
      <c r="AJ60" s="111"/>
      <c r="AK60" s="255">
        <f t="shared" si="38"/>
        <v>161481.48148148149</v>
      </c>
      <c r="AL60" s="259">
        <f>IF(AK60&lt;&gt;"",AK60/VLOOKUP($V60,Setup!$C$30:$D$41,2,0),"")</f>
        <v>19.737476550531092</v>
      </c>
      <c r="AM60" s="266"/>
      <c r="AN60" s="258" t="str">
        <f t="shared" si="18"/>
        <v/>
      </c>
      <c r="AO60" s="266"/>
      <c r="AP60" s="258" t="str">
        <f t="shared" si="19"/>
        <v/>
      </c>
      <c r="AQ60" s="266"/>
      <c r="AR60" s="258" t="str">
        <f t="shared" si="20"/>
        <v/>
      </c>
      <c r="AS60" s="266">
        <v>108</v>
      </c>
      <c r="AT60" s="256">
        <f t="shared" si="21"/>
        <v>2131.6474674573578</v>
      </c>
      <c r="AU60" s="256">
        <f t="shared" si="7"/>
        <v>108</v>
      </c>
      <c r="AV60" s="256">
        <f t="shared" si="8"/>
        <v>2131.6474674573578</v>
      </c>
      <c r="AW60" s="267"/>
      <c r="AX60" s="255">
        <f t="shared" si="39"/>
        <v>161481.48148148149</v>
      </c>
      <c r="AY60" s="259">
        <f>IF(AX60&lt;&gt;"",AX60/VLOOKUP($V60,Setup!$C$30:$D$41,2,0),"")</f>
        <v>19.737476550531092</v>
      </c>
      <c r="AZ60" s="268"/>
      <c r="BA60" s="258" t="str">
        <f t="shared" si="23"/>
        <v/>
      </c>
      <c r="BB60" s="268"/>
      <c r="BC60" s="258" t="str">
        <f t="shared" si="24"/>
        <v/>
      </c>
      <c r="BD60" s="268"/>
      <c r="BE60" s="258" t="str">
        <f t="shared" si="25"/>
        <v/>
      </c>
      <c r="BF60" s="268">
        <v>108</v>
      </c>
      <c r="BG60" s="256">
        <f t="shared" si="26"/>
        <v>2131.6474674573578</v>
      </c>
      <c r="BH60" s="256">
        <f t="shared" si="9"/>
        <v>108</v>
      </c>
      <c r="BI60" s="256">
        <f t="shared" si="10"/>
        <v>2131.6474674573578</v>
      </c>
      <c r="BJ60" s="267"/>
      <c r="BK60" s="255"/>
      <c r="BL60" s="259" t="str">
        <f>IF(BK60&lt;&gt;"",BK60/VLOOKUP($V60,Setup!$C$30:$D$41,2,0),"")</f>
        <v/>
      </c>
      <c r="BM60" s="268"/>
      <c r="BN60" s="258" t="str">
        <f t="shared" si="27"/>
        <v/>
      </c>
      <c r="BO60" s="268"/>
      <c r="BP60" s="258" t="str">
        <f t="shared" si="28"/>
        <v/>
      </c>
      <c r="BQ60" s="268"/>
      <c r="BR60" s="258" t="str">
        <f t="shared" si="29"/>
        <v/>
      </c>
      <c r="BS60" s="268"/>
      <c r="BT60" s="256" t="str">
        <f t="shared" si="32"/>
        <v/>
      </c>
      <c r="BU60" s="256" t="str">
        <f t="shared" si="11"/>
        <v/>
      </c>
      <c r="BV60" s="256" t="str">
        <f t="shared" si="12"/>
        <v/>
      </c>
      <c r="BW60" s="267"/>
      <c r="BX60" s="256">
        <f t="shared" si="13"/>
        <v>324</v>
      </c>
      <c r="BY60" s="256">
        <f t="shared" si="14"/>
        <v>6394.942402372073</v>
      </c>
      <c r="BZ60" s="281"/>
      <c r="CA60" s="282"/>
      <c r="CC60" s="112" t="str">
        <f t="shared" ca="1" si="15"/>
        <v/>
      </c>
      <c r="CF60" s="283"/>
      <c r="CG60" s="283"/>
      <c r="CH60" s="283"/>
      <c r="CI60" s="283"/>
      <c r="CL60" s="356" t="str">
        <f>IFERROR(VLOOKUP(C60,'Data Sheet'!$A$3:$B$26,2,FALSE),"")</f>
        <v>MCI-00009</v>
      </c>
    </row>
    <row r="61" spans="1:90" s="112" customFormat="1" ht="51" x14ac:dyDescent="0.25">
      <c r="A61" s="97">
        <v>57</v>
      </c>
      <c r="B61" s="105" t="str">
        <f t="shared" si="35"/>
        <v>a1O36000001EGFXEA4-a1O36000001EGIVEA4-Provincial</v>
      </c>
      <c r="C61" s="276" t="s">
        <v>2181</v>
      </c>
      <c r="D61" s="101" t="str">
        <f>IFERROR(IF(VLOOKUP(C61,'Data Sheet'!$A$3:$D$26,4,FALSE)=0,"",VLOOKUP(C61,'Data Sheet'!$A$3:$D$26,4,FALSE)),"")</f>
        <v>a1O36000001EGFXEA4</v>
      </c>
      <c r="E61" s="279" t="s">
        <v>2408</v>
      </c>
      <c r="F61" s="103" t="str">
        <f>IFERROR(IF(VLOOKUP(E61,'Data Sheet'!$C$29:$E$174,3,FALSE)=0,"",VLOOKUP(E61,'Data Sheet'!$C$29:$E$174,3,FALSE)),"")</f>
        <v>a1O36000001EGIVEA4</v>
      </c>
      <c r="G61" s="106" t="str">
        <f t="shared" si="2"/>
        <v>a1O36000001EGFXEA4-a1O36000001EGIVEA4</v>
      </c>
      <c r="H61" s="273" t="s">
        <v>2711</v>
      </c>
      <c r="I61" s="107" t="s">
        <v>2735</v>
      </c>
      <c r="J61" s="249" t="str">
        <f t="shared" si="30"/>
        <v>1.1</v>
      </c>
      <c r="K61" s="101" t="str">
        <f>IFERROR(INDEX('Data Sheet'!$C$198:$C$275,MATCH(I61,'Data Sheet'!$F$198:$F$275,0)),"")</f>
        <v>a2C360000007DA4EAM</v>
      </c>
      <c r="L61" s="250">
        <f>IFERROR(INDEX('Data Sheet'!$G$198:$G$275,MATCH(I61,'Data Sheet'!$F$198:$F$275,0)),"")</f>
        <v>1.1000000000000001</v>
      </c>
      <c r="M61" s="248" t="s">
        <v>2660</v>
      </c>
      <c r="N61" s="248" t="s">
        <v>2760</v>
      </c>
      <c r="O61" s="248" t="s">
        <v>2128</v>
      </c>
      <c r="P61" s="108" t="str">
        <f>IFERROR(INDEX(Setup!$D$44:$D$70,MATCH(M61,Setup!$K$44:$K$70,0))&amp;"","")</f>
        <v>SR</v>
      </c>
      <c r="Q61" s="108" t="str">
        <f>IFERROR(INDEX(Setup!$E$44:$E$70,MATCH(M61,Setup!$K$44:$K$70,0))&amp;"","")</f>
        <v>Civil Society - International Non-Governmental Organization</v>
      </c>
      <c r="R61" s="108" t="str">
        <f>IFERROR(INDEX(Setup!$L$44:$L$70,MATCH(M61,Setup!$K$44:$K$70,0))&amp;"","")</f>
        <v/>
      </c>
      <c r="S61" s="108" t="str">
        <f>Setup!$C$30</f>
        <v>USD</v>
      </c>
      <c r="T61" s="109" t="str">
        <f>IFERROR(INDEX('Data Sheet'!$B$198:$B$275,MATCH(I61,'Data Sheet'!$F$198:$F$275,0)),"")</f>
        <v>Average gross salary per FTE (person) per quarter</v>
      </c>
      <c r="U61" s="110">
        <f>IFERROR(INDEX('Data Sheet'!$D$198:$D$275,MATCH(I61,'Data Sheet'!$F$198:$F$275,0)),"")</f>
        <v>1</v>
      </c>
      <c r="V61" s="415" t="s">
        <v>992</v>
      </c>
      <c r="W61" s="195" t="str">
        <f>IF(V61=Setup!$C$30,"Grant",IF(V61=Setup!$C$31,"Local",IF(V61=Setup!$C$32,"Other",IF(ISBLANK(V61),"","Other"))))</f>
        <v>Local</v>
      </c>
      <c r="X61" s="255">
        <f>'Assumptions HR'!G90*3/6</f>
        <v>11494958.887</v>
      </c>
      <c r="Y61" s="259">
        <f>IF(X61&lt;&gt;"",X61/VLOOKUP($V61,Setup!$C$30:$D$41,2,0),"")</f>
        <v>1405</v>
      </c>
      <c r="Z61" s="262">
        <v>6</v>
      </c>
      <c r="AA61" s="256">
        <f t="shared" si="34"/>
        <v>8430</v>
      </c>
      <c r="AB61" s="262">
        <v>6</v>
      </c>
      <c r="AC61" s="258">
        <f t="shared" si="3"/>
        <v>8430</v>
      </c>
      <c r="AD61" s="262">
        <v>6</v>
      </c>
      <c r="AE61" s="258">
        <f t="shared" si="4"/>
        <v>8430</v>
      </c>
      <c r="AF61" s="262">
        <v>6</v>
      </c>
      <c r="AG61" s="256">
        <f t="shared" si="5"/>
        <v>8430</v>
      </c>
      <c r="AH61" s="256">
        <f t="shared" si="33"/>
        <v>24</v>
      </c>
      <c r="AI61" s="256">
        <f t="shared" si="6"/>
        <v>33720</v>
      </c>
      <c r="AJ61" s="111"/>
      <c r="AK61" s="255">
        <f t="shared" si="38"/>
        <v>11494958.887</v>
      </c>
      <c r="AL61" s="259">
        <f>IF(AK61&lt;&gt;"",AK61/VLOOKUP($V61,Setup!$C$30:$D$41,2,0),"")</f>
        <v>1405</v>
      </c>
      <c r="AM61" s="266">
        <v>6</v>
      </c>
      <c r="AN61" s="258">
        <f t="shared" si="18"/>
        <v>8430</v>
      </c>
      <c r="AO61" s="266">
        <v>6</v>
      </c>
      <c r="AP61" s="258">
        <f t="shared" si="19"/>
        <v>8430</v>
      </c>
      <c r="AQ61" s="266">
        <v>6</v>
      </c>
      <c r="AR61" s="258">
        <f t="shared" si="20"/>
        <v>8430</v>
      </c>
      <c r="AS61" s="266">
        <v>6</v>
      </c>
      <c r="AT61" s="256">
        <f t="shared" si="21"/>
        <v>8430</v>
      </c>
      <c r="AU61" s="256">
        <f t="shared" si="7"/>
        <v>24</v>
      </c>
      <c r="AV61" s="256">
        <f t="shared" si="8"/>
        <v>33720</v>
      </c>
      <c r="AW61" s="267"/>
      <c r="AX61" s="255">
        <f t="shared" si="39"/>
        <v>11494958.887</v>
      </c>
      <c r="AY61" s="259">
        <f>IF(AX61&lt;&gt;"",AX61/VLOOKUP($V61,Setup!$C$30:$D$41,2,0),"")</f>
        <v>1405</v>
      </c>
      <c r="AZ61" s="268">
        <v>6</v>
      </c>
      <c r="BA61" s="258">
        <f t="shared" si="23"/>
        <v>8430</v>
      </c>
      <c r="BB61" s="268">
        <v>6</v>
      </c>
      <c r="BC61" s="258">
        <f t="shared" si="24"/>
        <v>8430</v>
      </c>
      <c r="BD61" s="268">
        <v>6</v>
      </c>
      <c r="BE61" s="258">
        <f t="shared" si="25"/>
        <v>8430</v>
      </c>
      <c r="BF61" s="268">
        <v>6</v>
      </c>
      <c r="BG61" s="256">
        <f t="shared" si="26"/>
        <v>8430</v>
      </c>
      <c r="BH61" s="256">
        <f t="shared" si="9"/>
        <v>24</v>
      </c>
      <c r="BI61" s="256">
        <f t="shared" si="10"/>
        <v>33720</v>
      </c>
      <c r="BJ61" s="267"/>
      <c r="BK61" s="255"/>
      <c r="BL61" s="259" t="str">
        <f>IF(BK61&lt;&gt;"",BK61/VLOOKUP($V61,Setup!$C$30:$D$41,2,0),"")</f>
        <v/>
      </c>
      <c r="BM61" s="268"/>
      <c r="BN61" s="258" t="str">
        <f t="shared" si="27"/>
        <v/>
      </c>
      <c r="BO61" s="268"/>
      <c r="BP61" s="258" t="str">
        <f t="shared" si="28"/>
        <v/>
      </c>
      <c r="BQ61" s="268"/>
      <c r="BR61" s="258" t="str">
        <f t="shared" si="29"/>
        <v/>
      </c>
      <c r="BS61" s="268"/>
      <c r="BT61" s="256" t="str">
        <f t="shared" si="32"/>
        <v/>
      </c>
      <c r="BU61" s="256" t="str">
        <f t="shared" si="11"/>
        <v/>
      </c>
      <c r="BV61" s="256" t="str">
        <f t="shared" si="12"/>
        <v/>
      </c>
      <c r="BW61" s="267"/>
      <c r="BX61" s="256">
        <f t="shared" si="13"/>
        <v>72</v>
      </c>
      <c r="BY61" s="256">
        <f t="shared" si="14"/>
        <v>101160</v>
      </c>
      <c r="BZ61" s="281"/>
      <c r="CA61" s="282"/>
      <c r="CC61" s="112" t="str">
        <f t="shared" ca="1" si="15"/>
        <v/>
      </c>
      <c r="CF61" s="283"/>
      <c r="CG61" s="283"/>
      <c r="CH61" s="283"/>
      <c r="CI61" s="283"/>
      <c r="CL61" s="356" t="str">
        <f>IFERROR(VLOOKUP(C61,'Data Sheet'!$A$3:$B$26,2,FALSE),"")</f>
        <v>MCI-00023</v>
      </c>
    </row>
    <row r="62" spans="1:90" s="112" customFormat="1" ht="51" x14ac:dyDescent="0.25">
      <c r="A62" s="97">
        <v>58</v>
      </c>
      <c r="B62" s="105" t="str">
        <f t="shared" si="35"/>
        <v>a1O36000001EGFXEA4-a1O36000001EGIVEA4-Provincial</v>
      </c>
      <c r="C62" s="276" t="s">
        <v>2181</v>
      </c>
      <c r="D62" s="101" t="str">
        <f>IFERROR(IF(VLOOKUP(C62,'Data Sheet'!$A$3:$D$26,4,FALSE)=0,"",VLOOKUP(C62,'Data Sheet'!$A$3:$D$26,4,FALSE)),"")</f>
        <v>a1O36000001EGFXEA4</v>
      </c>
      <c r="E62" s="279" t="s">
        <v>2408</v>
      </c>
      <c r="F62" s="103" t="str">
        <f>IFERROR(IF(VLOOKUP(E62,'Data Sheet'!$C$29:$E$174,3,FALSE)=0,"",VLOOKUP(E62,'Data Sheet'!$C$29:$E$174,3,FALSE)),"")</f>
        <v>a1O36000001EGIVEA4</v>
      </c>
      <c r="G62" s="106" t="str">
        <f t="shared" si="2"/>
        <v>a1O36000001EGFXEA4-a1O36000001EGIVEA4</v>
      </c>
      <c r="H62" s="273" t="s">
        <v>2712</v>
      </c>
      <c r="I62" s="107" t="s">
        <v>2735</v>
      </c>
      <c r="J62" s="249" t="str">
        <f t="shared" si="30"/>
        <v>1.1</v>
      </c>
      <c r="K62" s="101" t="str">
        <f>IFERROR(INDEX('Data Sheet'!$C$198:$C$275,MATCH(I62,'Data Sheet'!$F$198:$F$275,0)),"")</f>
        <v>a2C360000007DA4EAM</v>
      </c>
      <c r="L62" s="250">
        <f>IFERROR(INDEX('Data Sheet'!$G$198:$G$275,MATCH(I62,'Data Sheet'!$F$198:$F$275,0)),"")</f>
        <v>1.1000000000000001</v>
      </c>
      <c r="M62" s="248" t="s">
        <v>2660</v>
      </c>
      <c r="N62" s="248" t="s">
        <v>2760</v>
      </c>
      <c r="O62" s="248" t="s">
        <v>2128</v>
      </c>
      <c r="P62" s="108" t="str">
        <f>IFERROR(INDEX(Setup!$D$44:$D$70,MATCH(M62,Setup!$K$44:$K$70,0))&amp;"","")</f>
        <v>SR</v>
      </c>
      <c r="Q62" s="108" t="str">
        <f>IFERROR(INDEX(Setup!$E$44:$E$70,MATCH(M62,Setup!$K$44:$K$70,0))&amp;"","")</f>
        <v>Civil Society - International Non-Governmental Organization</v>
      </c>
      <c r="R62" s="108" t="str">
        <f>IFERROR(INDEX(Setup!$L$44:$L$70,MATCH(M62,Setup!$K$44:$K$70,0))&amp;"","")</f>
        <v/>
      </c>
      <c r="S62" s="108" t="str">
        <f>Setup!$C$30</f>
        <v>USD</v>
      </c>
      <c r="T62" s="109" t="str">
        <f>IFERROR(INDEX('Data Sheet'!$B$198:$B$275,MATCH(I62,'Data Sheet'!$F$198:$F$275,0)),"")</f>
        <v>Average gross salary per FTE (person) per quarter</v>
      </c>
      <c r="U62" s="110">
        <f>IFERROR(INDEX('Data Sheet'!$D$198:$D$275,MATCH(I62,'Data Sheet'!$F$198:$F$275,0)),"")</f>
        <v>1</v>
      </c>
      <c r="V62" s="415" t="s">
        <v>992</v>
      </c>
      <c r="W62" s="195" t="str">
        <f>IF(V62=Setup!$C$30,"Grant",IF(V62=Setup!$C$31,"Local",IF(V62=Setup!$C$32,"Other",IF(ISBLANK(V62),"","Other"))))</f>
        <v>Local</v>
      </c>
      <c r="X62" s="255">
        <f>('Assumptions HR'!G94+'Assumptions HR'!G96)*3/2</f>
        <v>9326870.5559999999</v>
      </c>
      <c r="Y62" s="259">
        <f>IF(X62&lt;&gt;"",X62/VLOOKUP($V62,Setup!$C$30:$D$41,2,0),"")</f>
        <v>1140</v>
      </c>
      <c r="Z62" s="262">
        <v>2</v>
      </c>
      <c r="AA62" s="256">
        <f t="shared" si="34"/>
        <v>2280</v>
      </c>
      <c r="AB62" s="262">
        <v>2</v>
      </c>
      <c r="AC62" s="258">
        <f t="shared" si="3"/>
        <v>2280</v>
      </c>
      <c r="AD62" s="262">
        <v>2</v>
      </c>
      <c r="AE62" s="258">
        <f t="shared" si="4"/>
        <v>2280</v>
      </c>
      <c r="AF62" s="262">
        <v>2</v>
      </c>
      <c r="AG62" s="256">
        <f t="shared" si="5"/>
        <v>2280</v>
      </c>
      <c r="AH62" s="256">
        <f t="shared" si="33"/>
        <v>8</v>
      </c>
      <c r="AI62" s="256">
        <f t="shared" si="6"/>
        <v>9120</v>
      </c>
      <c r="AJ62" s="111"/>
      <c r="AK62" s="255">
        <f t="shared" si="38"/>
        <v>9326870.5559999999</v>
      </c>
      <c r="AL62" s="259">
        <f>IF(AK62&lt;&gt;"",AK62/VLOOKUP($V62,Setup!$C$30:$D$41,2,0),"")</f>
        <v>1140</v>
      </c>
      <c r="AM62" s="266">
        <v>2</v>
      </c>
      <c r="AN62" s="258">
        <f t="shared" si="18"/>
        <v>2280</v>
      </c>
      <c r="AO62" s="266">
        <v>2</v>
      </c>
      <c r="AP62" s="258">
        <f t="shared" si="19"/>
        <v>2280</v>
      </c>
      <c r="AQ62" s="266">
        <v>2</v>
      </c>
      <c r="AR62" s="258">
        <f t="shared" si="20"/>
        <v>2280</v>
      </c>
      <c r="AS62" s="266">
        <v>2</v>
      </c>
      <c r="AT62" s="256">
        <f t="shared" si="21"/>
        <v>2280</v>
      </c>
      <c r="AU62" s="256">
        <f t="shared" si="7"/>
        <v>8</v>
      </c>
      <c r="AV62" s="256">
        <f t="shared" si="8"/>
        <v>9120</v>
      </c>
      <c r="AW62" s="267"/>
      <c r="AX62" s="255">
        <f t="shared" si="39"/>
        <v>9326870.5559999999</v>
      </c>
      <c r="AY62" s="259">
        <f>IF(AX62&lt;&gt;"",AX62/VLOOKUP($V62,Setup!$C$30:$D$41,2,0),"")</f>
        <v>1140</v>
      </c>
      <c r="AZ62" s="268">
        <v>2</v>
      </c>
      <c r="BA62" s="258">
        <f t="shared" si="23"/>
        <v>2280</v>
      </c>
      <c r="BB62" s="268">
        <v>2</v>
      </c>
      <c r="BC62" s="258">
        <f t="shared" si="24"/>
        <v>2280</v>
      </c>
      <c r="BD62" s="268">
        <v>2</v>
      </c>
      <c r="BE62" s="258">
        <f t="shared" si="25"/>
        <v>2280</v>
      </c>
      <c r="BF62" s="268">
        <v>2</v>
      </c>
      <c r="BG62" s="256">
        <f t="shared" si="26"/>
        <v>2280</v>
      </c>
      <c r="BH62" s="256">
        <f t="shared" si="9"/>
        <v>8</v>
      </c>
      <c r="BI62" s="256">
        <f t="shared" si="10"/>
        <v>9120</v>
      </c>
      <c r="BJ62" s="267"/>
      <c r="BK62" s="255"/>
      <c r="BL62" s="259" t="str">
        <f>IF(BK62&lt;&gt;"",BK62/VLOOKUP($V62,Setup!$C$30:$D$41,2,0),"")</f>
        <v/>
      </c>
      <c r="BM62" s="268"/>
      <c r="BN62" s="258" t="str">
        <f t="shared" si="27"/>
        <v/>
      </c>
      <c r="BO62" s="268"/>
      <c r="BP62" s="258" t="str">
        <f t="shared" si="28"/>
        <v/>
      </c>
      <c r="BQ62" s="268"/>
      <c r="BR62" s="258" t="str">
        <f t="shared" si="29"/>
        <v/>
      </c>
      <c r="BS62" s="268"/>
      <c r="BT62" s="256" t="str">
        <f t="shared" si="32"/>
        <v/>
      </c>
      <c r="BU62" s="256" t="str">
        <f t="shared" si="11"/>
        <v/>
      </c>
      <c r="BV62" s="256" t="str">
        <f t="shared" si="12"/>
        <v/>
      </c>
      <c r="BW62" s="267"/>
      <c r="BX62" s="256">
        <f t="shared" si="13"/>
        <v>24</v>
      </c>
      <c r="BY62" s="256">
        <f t="shared" si="14"/>
        <v>27360</v>
      </c>
      <c r="BZ62" s="281"/>
      <c r="CA62" s="282"/>
      <c r="CC62" s="112" t="str">
        <f t="shared" ca="1" si="15"/>
        <v/>
      </c>
      <c r="CF62" s="283"/>
      <c r="CG62" s="283"/>
      <c r="CH62" s="283"/>
      <c r="CI62" s="283"/>
      <c r="CL62" s="356" t="str">
        <f>IFERROR(VLOOKUP(C62,'Data Sheet'!$A$3:$B$26,2,FALSE),"")</f>
        <v>MCI-00023</v>
      </c>
    </row>
    <row r="63" spans="1:90" s="112" customFormat="1" ht="51" x14ac:dyDescent="0.25">
      <c r="A63" s="97">
        <v>59</v>
      </c>
      <c r="B63" s="105" t="str">
        <f t="shared" si="35"/>
        <v>a1O36000001EGFCEA4-a1O36000001EGGeEAO-Provincial</v>
      </c>
      <c r="C63" s="276" t="s">
        <v>2154</v>
      </c>
      <c r="D63" s="101" t="str">
        <f>IFERROR(IF(VLOOKUP(C63,'Data Sheet'!$A$3:$D$26,4,FALSE)=0,"",VLOOKUP(C63,'Data Sheet'!$A$3:$D$26,4,FALSE)),"")</f>
        <v>a1O36000001EGFCEA4</v>
      </c>
      <c r="E63" s="279" t="s">
        <v>2246</v>
      </c>
      <c r="F63" s="103" t="str">
        <f>IFERROR(IF(VLOOKUP(E63,'Data Sheet'!$C$29:$E$174,3,FALSE)=0,"",VLOOKUP(E63,'Data Sheet'!$C$29:$E$174,3,FALSE)),"")</f>
        <v>a1O36000001EGGeEAO</v>
      </c>
      <c r="G63" s="106" t="str">
        <f t="shared" si="2"/>
        <v>a1O36000001EGFCEA4-a1O36000001EGGeEAO</v>
      </c>
      <c r="H63" s="273" t="s">
        <v>2713</v>
      </c>
      <c r="I63" s="107" t="s">
        <v>2752</v>
      </c>
      <c r="J63" s="249" t="str">
        <f t="shared" si="30"/>
        <v>1.2</v>
      </c>
      <c r="K63" s="101" t="str">
        <f>IFERROR(INDEX('Data Sheet'!$C$198:$C$275,MATCH(I63,'Data Sheet'!$F$198:$F$275,0)),"")</f>
        <v>a2C360000007DAFEA2</v>
      </c>
      <c r="L63" s="250">
        <f>IFERROR(INDEX('Data Sheet'!$G$198:$G$275,MATCH(I63,'Data Sheet'!$F$198:$F$275,0)),"")</f>
        <v>1.2</v>
      </c>
      <c r="M63" s="248" t="s">
        <v>2660</v>
      </c>
      <c r="N63" s="248" t="s">
        <v>2760</v>
      </c>
      <c r="O63" s="248" t="s">
        <v>2128</v>
      </c>
      <c r="P63" s="108" t="str">
        <f>IFERROR(INDEX(Setup!$D$44:$D$70,MATCH(M63,Setup!$K$44:$K$70,0))&amp;"","")</f>
        <v>SR</v>
      </c>
      <c r="Q63" s="108" t="str">
        <f>IFERROR(INDEX(Setup!$E$44:$E$70,MATCH(M63,Setup!$K$44:$K$70,0))&amp;"","")</f>
        <v>Civil Society - International Non-Governmental Organization</v>
      </c>
      <c r="R63" s="108" t="str">
        <f>IFERROR(INDEX(Setup!$L$44:$L$70,MATCH(M63,Setup!$K$44:$K$70,0))&amp;"","")</f>
        <v/>
      </c>
      <c r="S63" s="108" t="str">
        <f>Setup!$C$30</f>
        <v>USD</v>
      </c>
      <c r="T63" s="109" t="str">
        <f>IFERROR(INDEX('Data Sheet'!$B$198:$B$275,MATCH(I63,'Data Sheet'!$F$198:$F$275,0)),"")</f>
        <v>Average payment per FTE (person) per quarter</v>
      </c>
      <c r="U63" s="110">
        <f>IFERROR(INDEX('Data Sheet'!$D$198:$D$275,MATCH(I63,'Data Sheet'!$F$198:$F$275,0)),"")</f>
        <v>1</v>
      </c>
      <c r="V63" s="415" t="s">
        <v>992</v>
      </c>
      <c r="W63" s="195" t="str">
        <f>IF(V63=Setup!$C$30,"Grant",IF(V63=Setup!$C$31,"Local",IF(V63=Setup!$C$32,"Other",IF(ISBLANK(V63),"","Other"))))</f>
        <v>Local</v>
      </c>
      <c r="X63" s="255">
        <f>('Assumptions HR'!G98+'Assumptions HR'!G100+'Assumptions HR'!G101)*3/10</f>
        <v>4417991.3160000006</v>
      </c>
      <c r="Y63" s="259">
        <f>IF(X63&lt;&gt;"",X63/VLOOKUP($V63,Setup!$C$30:$D$41,2,0),"")</f>
        <v>540.00000000000011</v>
      </c>
      <c r="Z63" s="262">
        <v>10</v>
      </c>
      <c r="AA63" s="256">
        <f t="shared" si="34"/>
        <v>5400.0000000000009</v>
      </c>
      <c r="AB63" s="262">
        <v>10</v>
      </c>
      <c r="AC63" s="258">
        <f t="shared" si="3"/>
        <v>5400.0000000000009</v>
      </c>
      <c r="AD63" s="262">
        <v>10</v>
      </c>
      <c r="AE63" s="258">
        <f t="shared" si="4"/>
        <v>5400.0000000000009</v>
      </c>
      <c r="AF63" s="262">
        <v>10</v>
      </c>
      <c r="AG63" s="256">
        <f t="shared" si="5"/>
        <v>5400.0000000000009</v>
      </c>
      <c r="AH63" s="256">
        <f t="shared" si="33"/>
        <v>40</v>
      </c>
      <c r="AI63" s="256">
        <f t="shared" si="6"/>
        <v>21600.000000000004</v>
      </c>
      <c r="AJ63" s="111"/>
      <c r="AK63" s="255">
        <f t="shared" si="38"/>
        <v>4417991.3160000006</v>
      </c>
      <c r="AL63" s="259">
        <f>IF(AK63&lt;&gt;"",AK63/VLOOKUP($V63,Setup!$C$30:$D$41,2,0),"")</f>
        <v>540.00000000000011</v>
      </c>
      <c r="AM63" s="266">
        <v>10</v>
      </c>
      <c r="AN63" s="258">
        <f t="shared" si="18"/>
        <v>5400.0000000000009</v>
      </c>
      <c r="AO63" s="266">
        <v>10</v>
      </c>
      <c r="AP63" s="258">
        <f t="shared" si="19"/>
        <v>5400.0000000000009</v>
      </c>
      <c r="AQ63" s="266">
        <v>10</v>
      </c>
      <c r="AR63" s="258">
        <f t="shared" si="20"/>
        <v>5400.0000000000009</v>
      </c>
      <c r="AS63" s="266">
        <v>10</v>
      </c>
      <c r="AT63" s="256">
        <f t="shared" si="21"/>
        <v>5400.0000000000009</v>
      </c>
      <c r="AU63" s="256">
        <f t="shared" si="7"/>
        <v>40</v>
      </c>
      <c r="AV63" s="256">
        <f t="shared" si="8"/>
        <v>21600.000000000004</v>
      </c>
      <c r="AW63" s="267"/>
      <c r="AX63" s="255">
        <f t="shared" si="39"/>
        <v>4417991.3160000006</v>
      </c>
      <c r="AY63" s="259">
        <f>IF(AX63&lt;&gt;"",AX63/VLOOKUP($V63,Setup!$C$30:$D$41,2,0),"")</f>
        <v>540.00000000000011</v>
      </c>
      <c r="AZ63" s="268">
        <v>10</v>
      </c>
      <c r="BA63" s="258">
        <f t="shared" si="23"/>
        <v>5400.0000000000009</v>
      </c>
      <c r="BB63" s="268">
        <v>10</v>
      </c>
      <c r="BC63" s="258">
        <f t="shared" si="24"/>
        <v>5400.0000000000009</v>
      </c>
      <c r="BD63" s="268">
        <v>10</v>
      </c>
      <c r="BE63" s="258">
        <f t="shared" si="25"/>
        <v>5400.0000000000009</v>
      </c>
      <c r="BF63" s="268">
        <v>10</v>
      </c>
      <c r="BG63" s="256">
        <f t="shared" si="26"/>
        <v>5400.0000000000009</v>
      </c>
      <c r="BH63" s="256">
        <f t="shared" si="9"/>
        <v>40</v>
      </c>
      <c r="BI63" s="256">
        <f t="shared" si="10"/>
        <v>21600.000000000004</v>
      </c>
      <c r="BJ63" s="267"/>
      <c r="BK63" s="255"/>
      <c r="BL63" s="259" t="str">
        <f>IF(BK63&lt;&gt;"",BK63/VLOOKUP($V63,Setup!$C$30:$D$41,2,0),"")</f>
        <v/>
      </c>
      <c r="BM63" s="268"/>
      <c r="BN63" s="258" t="str">
        <f t="shared" si="27"/>
        <v/>
      </c>
      <c r="BO63" s="268"/>
      <c r="BP63" s="258" t="str">
        <f t="shared" si="28"/>
        <v/>
      </c>
      <c r="BQ63" s="268"/>
      <c r="BR63" s="258" t="str">
        <f t="shared" si="29"/>
        <v/>
      </c>
      <c r="BS63" s="268"/>
      <c r="BT63" s="256" t="str">
        <f t="shared" si="32"/>
        <v/>
      </c>
      <c r="BU63" s="256" t="str">
        <f t="shared" si="11"/>
        <v/>
      </c>
      <c r="BV63" s="256" t="str">
        <f t="shared" si="12"/>
        <v/>
      </c>
      <c r="BW63" s="267"/>
      <c r="BX63" s="256">
        <f t="shared" si="13"/>
        <v>120</v>
      </c>
      <c r="BY63" s="256">
        <f t="shared" si="14"/>
        <v>64800.000000000015</v>
      </c>
      <c r="BZ63" s="281"/>
      <c r="CA63" s="282"/>
      <c r="CC63" s="112" t="str">
        <f t="shared" ca="1" si="15"/>
        <v/>
      </c>
      <c r="CF63" s="283"/>
      <c r="CG63" s="283"/>
      <c r="CH63" s="283"/>
      <c r="CI63" s="283"/>
      <c r="CL63" s="356" t="str">
        <f>IFERROR(VLOOKUP(C63,'Data Sheet'!$A$3:$B$26,2,FALSE),"")</f>
        <v>MCI-00002</v>
      </c>
    </row>
    <row r="64" spans="1:90" s="112" customFormat="1" ht="51" x14ac:dyDescent="0.25">
      <c r="A64" s="97">
        <v>60</v>
      </c>
      <c r="B64" s="105" t="str">
        <f t="shared" si="35"/>
        <v>a1O36000001EGFXEA4-a1O36000001EGIVEA4-Provincial</v>
      </c>
      <c r="C64" s="276" t="s">
        <v>2181</v>
      </c>
      <c r="D64" s="101" t="str">
        <f>IFERROR(IF(VLOOKUP(C64,'Data Sheet'!$A$3:$D$26,4,FALSE)=0,"",VLOOKUP(C64,'Data Sheet'!$A$3:$D$26,4,FALSE)),"")</f>
        <v>a1O36000001EGFXEA4</v>
      </c>
      <c r="E64" s="279" t="s">
        <v>2408</v>
      </c>
      <c r="F64" s="103" t="str">
        <f>IFERROR(IF(VLOOKUP(E64,'Data Sheet'!$C$29:$E$174,3,FALSE)=0,"",VLOOKUP(E64,'Data Sheet'!$C$29:$E$174,3,FALSE)),"")</f>
        <v>a1O36000001EGIVEA4</v>
      </c>
      <c r="G64" s="106" t="str">
        <f t="shared" si="2"/>
        <v>a1O36000001EGFXEA4-a1O36000001EGIVEA4</v>
      </c>
      <c r="H64" s="273" t="s">
        <v>2714</v>
      </c>
      <c r="I64" s="107" t="s">
        <v>2737</v>
      </c>
      <c r="J64" s="249" t="str">
        <f t="shared" si="30"/>
        <v>11.1</v>
      </c>
      <c r="K64" s="101" t="str">
        <f>IFERROR(INDEX('Data Sheet'!$C$198:$C$275,MATCH(I64,'Data Sheet'!$F$198:$F$275,0)),"")</f>
        <v>a2C360000007DAuEAM</v>
      </c>
      <c r="L64" s="250">
        <f>IFERROR(INDEX('Data Sheet'!$G$198:$G$275,MATCH(I64,'Data Sheet'!$F$198:$F$275,0)),"")</f>
        <v>11.1</v>
      </c>
      <c r="M64" s="248" t="s">
        <v>2660</v>
      </c>
      <c r="N64" s="248" t="s">
        <v>2760</v>
      </c>
      <c r="O64" s="248" t="s">
        <v>2128</v>
      </c>
      <c r="P64" s="108" t="str">
        <f>IFERROR(INDEX(Setup!$D$44:$D$70,MATCH(M64,Setup!$K$44:$K$70,0))&amp;"","")</f>
        <v>SR</v>
      </c>
      <c r="Q64" s="108" t="str">
        <f>IFERROR(INDEX(Setup!$E$44:$E$70,MATCH(M64,Setup!$K$44:$K$70,0))&amp;"","")</f>
        <v>Civil Society - International Non-Governmental Organization</v>
      </c>
      <c r="R64" s="108" t="str">
        <f>IFERROR(INDEX(Setup!$L$44:$L$70,MATCH(M64,Setup!$K$44:$K$70,0))&amp;"","")</f>
        <v/>
      </c>
      <c r="S64" s="108" t="str">
        <f>Setup!$C$30</f>
        <v>USD</v>
      </c>
      <c r="T64" s="109" t="str">
        <f>IFERROR(INDEX('Data Sheet'!$B$198:$B$275,MATCH(I64,'Data Sheet'!$F$198:$F$275,0)),"")</f>
        <v>Average office cost per office unit per quarter</v>
      </c>
      <c r="U64" s="110">
        <f>IFERROR(INDEX('Data Sheet'!$D$198:$D$275,MATCH(I64,'Data Sheet'!$F$198:$F$275,0)),"")</f>
        <v>11</v>
      </c>
      <c r="V64" s="415" t="s">
        <v>992</v>
      </c>
      <c r="W64" s="195" t="str">
        <f>IF(V64=Setup!$C$30,"Grant",IF(V64=Setup!$C$31,"Local",IF(V64=Setup!$C$32,"Other",IF(ISBLANK(V64),"","Other"))))</f>
        <v>Local</v>
      </c>
      <c r="X64" s="255">
        <f>'Assumptions Other'!E94</f>
        <v>16987425.120000001</v>
      </c>
      <c r="Y64" s="259">
        <f>IF(X64&lt;&gt;"",X64/VLOOKUP($V64,Setup!$C$30:$D$41,2,0),"")</f>
        <v>2076.330374751692</v>
      </c>
      <c r="Z64" s="262">
        <v>1</v>
      </c>
      <c r="AA64" s="256">
        <f t="shared" si="34"/>
        <v>2076.330374751692</v>
      </c>
      <c r="AB64" s="262">
        <v>1</v>
      </c>
      <c r="AC64" s="258">
        <f t="shared" si="3"/>
        <v>2076.330374751692</v>
      </c>
      <c r="AD64" s="262">
        <v>1</v>
      </c>
      <c r="AE64" s="258">
        <f t="shared" si="4"/>
        <v>2076.330374751692</v>
      </c>
      <c r="AF64" s="262">
        <v>1</v>
      </c>
      <c r="AG64" s="256">
        <f t="shared" si="5"/>
        <v>2076.330374751692</v>
      </c>
      <c r="AH64" s="256">
        <f t="shared" si="33"/>
        <v>4</v>
      </c>
      <c r="AI64" s="256">
        <f t="shared" si="6"/>
        <v>8305.3214990067681</v>
      </c>
      <c r="AJ64" s="111"/>
      <c r="AK64" s="255">
        <f t="shared" si="38"/>
        <v>16987425.120000001</v>
      </c>
      <c r="AL64" s="259">
        <f>IF(AK64&lt;&gt;"",AK64/VLOOKUP($V64,Setup!$C$30:$D$41,2,0),"")</f>
        <v>2076.330374751692</v>
      </c>
      <c r="AM64" s="266">
        <v>1</v>
      </c>
      <c r="AN64" s="258">
        <f t="shared" si="18"/>
        <v>2076.330374751692</v>
      </c>
      <c r="AO64" s="266">
        <v>1</v>
      </c>
      <c r="AP64" s="258">
        <f t="shared" si="19"/>
        <v>2076.330374751692</v>
      </c>
      <c r="AQ64" s="266">
        <v>1</v>
      </c>
      <c r="AR64" s="258">
        <f t="shared" si="20"/>
        <v>2076.330374751692</v>
      </c>
      <c r="AS64" s="266">
        <v>1</v>
      </c>
      <c r="AT64" s="256">
        <f t="shared" si="21"/>
        <v>2076.330374751692</v>
      </c>
      <c r="AU64" s="256">
        <f t="shared" si="7"/>
        <v>4</v>
      </c>
      <c r="AV64" s="256">
        <f t="shared" si="8"/>
        <v>8305.3214990067681</v>
      </c>
      <c r="AW64" s="267"/>
      <c r="AX64" s="255">
        <f t="shared" si="39"/>
        <v>16987425.120000001</v>
      </c>
      <c r="AY64" s="259">
        <f>IF(AX64&lt;&gt;"",AX64/VLOOKUP($V64,Setup!$C$30:$D$41,2,0),"")</f>
        <v>2076.330374751692</v>
      </c>
      <c r="AZ64" s="268">
        <v>1</v>
      </c>
      <c r="BA64" s="258">
        <f t="shared" si="23"/>
        <v>2076.330374751692</v>
      </c>
      <c r="BB64" s="268">
        <v>1</v>
      </c>
      <c r="BC64" s="258">
        <f t="shared" si="24"/>
        <v>2076.330374751692</v>
      </c>
      <c r="BD64" s="268">
        <v>1</v>
      </c>
      <c r="BE64" s="258">
        <f t="shared" si="25"/>
        <v>2076.330374751692</v>
      </c>
      <c r="BF64" s="268">
        <v>1</v>
      </c>
      <c r="BG64" s="256">
        <f t="shared" si="26"/>
        <v>2076.330374751692</v>
      </c>
      <c r="BH64" s="256">
        <f t="shared" si="9"/>
        <v>4</v>
      </c>
      <c r="BI64" s="256">
        <f t="shared" si="10"/>
        <v>8305.3214990067681</v>
      </c>
      <c r="BJ64" s="267"/>
      <c r="BK64" s="255"/>
      <c r="BL64" s="259" t="str">
        <f>IF(BK64&lt;&gt;"",BK64/VLOOKUP($V64,Setup!$C$30:$D$41,2,0),"")</f>
        <v/>
      </c>
      <c r="BM64" s="268"/>
      <c r="BN64" s="258" t="str">
        <f t="shared" si="27"/>
        <v/>
      </c>
      <c r="BO64" s="268"/>
      <c r="BP64" s="258" t="str">
        <f t="shared" si="28"/>
        <v/>
      </c>
      <c r="BQ64" s="268"/>
      <c r="BR64" s="258" t="str">
        <f t="shared" si="29"/>
        <v/>
      </c>
      <c r="BS64" s="268"/>
      <c r="BT64" s="256" t="str">
        <f t="shared" si="32"/>
        <v/>
      </c>
      <c r="BU64" s="256" t="str">
        <f t="shared" si="11"/>
        <v/>
      </c>
      <c r="BV64" s="256" t="str">
        <f t="shared" si="12"/>
        <v/>
      </c>
      <c r="BW64" s="267"/>
      <c r="BX64" s="256">
        <f t="shared" si="13"/>
        <v>12</v>
      </c>
      <c r="BY64" s="256">
        <f t="shared" si="14"/>
        <v>24915.964497020304</v>
      </c>
      <c r="BZ64" s="281"/>
      <c r="CA64" s="282"/>
      <c r="CC64" s="112" t="str">
        <f t="shared" ca="1" si="15"/>
        <v/>
      </c>
      <c r="CF64" s="283"/>
      <c r="CG64" s="283"/>
      <c r="CH64" s="283"/>
      <c r="CI64" s="283"/>
      <c r="CL64" s="356" t="str">
        <f>IFERROR(VLOOKUP(C64,'Data Sheet'!$A$3:$B$26,2,FALSE),"")</f>
        <v>MCI-00023</v>
      </c>
    </row>
    <row r="65" spans="1:90" s="112" customFormat="1" ht="51" x14ac:dyDescent="0.25">
      <c r="A65" s="97">
        <v>61</v>
      </c>
      <c r="B65" s="105" t="str">
        <f t="shared" si="35"/>
        <v>a1O36000001EGFXEA4-a1O36000001EGIVEA4-Provincial</v>
      </c>
      <c r="C65" s="276" t="s">
        <v>2181</v>
      </c>
      <c r="D65" s="101" t="str">
        <f>IFERROR(IF(VLOOKUP(C65,'Data Sheet'!$A$3:$D$26,4,FALSE)=0,"",VLOOKUP(C65,'Data Sheet'!$A$3:$D$26,4,FALSE)),"")</f>
        <v>a1O36000001EGFXEA4</v>
      </c>
      <c r="E65" s="279" t="s">
        <v>2408</v>
      </c>
      <c r="F65" s="103" t="str">
        <f>IFERROR(IF(VLOOKUP(E65,'Data Sheet'!$C$29:$E$174,3,FALSE)=0,"",VLOOKUP(E65,'Data Sheet'!$C$29:$E$174,3,FALSE)),"")</f>
        <v>a1O36000001EGIVEA4</v>
      </c>
      <c r="G65" s="106" t="str">
        <f t="shared" si="2"/>
        <v>a1O36000001EGFXEA4-a1O36000001EGIVEA4</v>
      </c>
      <c r="H65" s="273" t="s">
        <v>2715</v>
      </c>
      <c r="I65" s="107" t="s">
        <v>2738</v>
      </c>
      <c r="J65" s="249" t="str">
        <f t="shared" si="30"/>
        <v>9.4</v>
      </c>
      <c r="K65" s="101" t="str">
        <f>IFERROR(INDEX('Data Sheet'!$C$198:$C$275,MATCH(I65,'Data Sheet'!$F$198:$F$275,0)),"")</f>
        <v>a2C360000007DArEAM</v>
      </c>
      <c r="L65" s="250">
        <f>IFERROR(INDEX('Data Sheet'!$G$198:$G$275,MATCH(I65,'Data Sheet'!$F$198:$F$275,0)),"")</f>
        <v>9.4</v>
      </c>
      <c r="M65" s="248" t="s">
        <v>2660</v>
      </c>
      <c r="N65" s="248" t="s">
        <v>2760</v>
      </c>
      <c r="O65" s="248" t="s">
        <v>2128</v>
      </c>
      <c r="P65" s="108" t="str">
        <f>IFERROR(INDEX(Setup!$D$44:$D$70,MATCH(M65,Setup!$K$44:$K$70,0))&amp;"","")</f>
        <v>SR</v>
      </c>
      <c r="Q65" s="108" t="str">
        <f>IFERROR(INDEX(Setup!$E$44:$E$70,MATCH(M65,Setup!$K$44:$K$70,0))&amp;"","")</f>
        <v>Civil Society - International Non-Governmental Organization</v>
      </c>
      <c r="R65" s="108" t="str">
        <f>IFERROR(INDEX(Setup!$L$44:$L$70,MATCH(M65,Setup!$K$44:$K$70,0))&amp;"","")</f>
        <v/>
      </c>
      <c r="S65" s="108" t="str">
        <f>Setup!$C$30</f>
        <v>USD</v>
      </c>
      <c r="T65" s="109" t="str">
        <f>IFERROR(INDEX('Data Sheet'!$B$198:$B$275,MATCH(I65,'Data Sheet'!$F$198:$F$275,0)),"")</f>
        <v>N/A</v>
      </c>
      <c r="U65" s="110">
        <f>IFERROR(INDEX('Data Sheet'!$D$198:$D$275,MATCH(I65,'Data Sheet'!$F$198:$F$275,0)),"")</f>
        <v>9</v>
      </c>
      <c r="V65" s="415" t="s">
        <v>992</v>
      </c>
      <c r="W65" s="195" t="str">
        <f>IF(V65=Setup!$C$30,"Grant",IF(V65=Setup!$C$31,"Local",IF(V65=Setup!$C$32,"Other",IF(ISBLANK(V65),"","Other"))))</f>
        <v>Local</v>
      </c>
      <c r="X65" s="255">
        <f>'Assumptions Other'!E96</f>
        <v>976288.8</v>
      </c>
      <c r="Y65" s="259">
        <f>IF(X65&lt;&gt;"",X65/VLOOKUP($V65,Setup!$C$30:$D$41,2,0),"")</f>
        <v>119.32933188228114</v>
      </c>
      <c r="Z65" s="262">
        <v>1</v>
      </c>
      <c r="AA65" s="256">
        <f t="shared" si="34"/>
        <v>119.32933188228114</v>
      </c>
      <c r="AB65" s="262">
        <v>1</v>
      </c>
      <c r="AC65" s="258">
        <f t="shared" si="3"/>
        <v>119.32933188228114</v>
      </c>
      <c r="AD65" s="262">
        <v>1</v>
      </c>
      <c r="AE65" s="258">
        <f t="shared" si="4"/>
        <v>119.32933188228114</v>
      </c>
      <c r="AF65" s="262">
        <v>1</v>
      </c>
      <c r="AG65" s="256">
        <f t="shared" si="5"/>
        <v>119.32933188228114</v>
      </c>
      <c r="AH65" s="256">
        <f t="shared" si="33"/>
        <v>4</v>
      </c>
      <c r="AI65" s="256">
        <f t="shared" si="6"/>
        <v>477.31732752912455</v>
      </c>
      <c r="AJ65" s="111"/>
      <c r="AK65" s="255">
        <f t="shared" si="38"/>
        <v>976288.8</v>
      </c>
      <c r="AL65" s="259">
        <f>IF(AK65&lt;&gt;"",AK65/VLOOKUP($V65,Setup!$C$30:$D$41,2,0),"")</f>
        <v>119.32933188228114</v>
      </c>
      <c r="AM65" s="266">
        <v>1</v>
      </c>
      <c r="AN65" s="258">
        <f t="shared" si="18"/>
        <v>119.32933188228114</v>
      </c>
      <c r="AO65" s="266">
        <v>1</v>
      </c>
      <c r="AP65" s="258">
        <f t="shared" si="19"/>
        <v>119.32933188228114</v>
      </c>
      <c r="AQ65" s="266">
        <v>1</v>
      </c>
      <c r="AR65" s="258">
        <f t="shared" si="20"/>
        <v>119.32933188228114</v>
      </c>
      <c r="AS65" s="266">
        <v>1</v>
      </c>
      <c r="AT65" s="256">
        <f t="shared" si="21"/>
        <v>119.32933188228114</v>
      </c>
      <c r="AU65" s="256">
        <f t="shared" si="7"/>
        <v>4</v>
      </c>
      <c r="AV65" s="256">
        <f t="shared" si="8"/>
        <v>477.31732752912455</v>
      </c>
      <c r="AW65" s="267"/>
      <c r="AX65" s="255">
        <f t="shared" si="39"/>
        <v>976288.8</v>
      </c>
      <c r="AY65" s="259">
        <f>IF(AX65&lt;&gt;"",AX65/VLOOKUP($V65,Setup!$C$30:$D$41,2,0),"")</f>
        <v>119.32933188228114</v>
      </c>
      <c r="AZ65" s="268">
        <v>1</v>
      </c>
      <c r="BA65" s="258">
        <f t="shared" si="23"/>
        <v>119.32933188228114</v>
      </c>
      <c r="BB65" s="268">
        <v>1</v>
      </c>
      <c r="BC65" s="258">
        <f t="shared" si="24"/>
        <v>119.32933188228114</v>
      </c>
      <c r="BD65" s="268">
        <v>1</v>
      </c>
      <c r="BE65" s="258">
        <f t="shared" si="25"/>
        <v>119.32933188228114</v>
      </c>
      <c r="BF65" s="268">
        <v>1</v>
      </c>
      <c r="BG65" s="256">
        <f t="shared" si="26"/>
        <v>119.32933188228114</v>
      </c>
      <c r="BH65" s="256">
        <f t="shared" si="9"/>
        <v>4</v>
      </c>
      <c r="BI65" s="256">
        <f t="shared" si="10"/>
        <v>477.31732752912455</v>
      </c>
      <c r="BJ65" s="267"/>
      <c r="BK65" s="255"/>
      <c r="BL65" s="259" t="str">
        <f>IF(BK65&lt;&gt;"",BK65/VLOOKUP($V65,Setup!$C$30:$D$41,2,0),"")</f>
        <v/>
      </c>
      <c r="BM65" s="268"/>
      <c r="BN65" s="258" t="str">
        <f t="shared" si="27"/>
        <v/>
      </c>
      <c r="BO65" s="268"/>
      <c r="BP65" s="258" t="str">
        <f t="shared" si="28"/>
        <v/>
      </c>
      <c r="BQ65" s="268"/>
      <c r="BR65" s="258" t="str">
        <f t="shared" si="29"/>
        <v/>
      </c>
      <c r="BS65" s="268"/>
      <c r="BT65" s="256" t="str">
        <f t="shared" si="32"/>
        <v/>
      </c>
      <c r="BU65" s="256" t="str">
        <f t="shared" si="11"/>
        <v/>
      </c>
      <c r="BV65" s="256" t="str">
        <f t="shared" si="12"/>
        <v/>
      </c>
      <c r="BW65" s="267"/>
      <c r="BX65" s="256">
        <f t="shared" si="13"/>
        <v>12</v>
      </c>
      <c r="BY65" s="256">
        <f t="shared" si="14"/>
        <v>1431.9519825873735</v>
      </c>
      <c r="BZ65" s="281"/>
      <c r="CA65" s="282"/>
      <c r="CC65" s="112" t="str">
        <f t="shared" ca="1" si="15"/>
        <v/>
      </c>
      <c r="CF65" s="283"/>
      <c r="CG65" s="283"/>
      <c r="CH65" s="283"/>
      <c r="CI65" s="283"/>
      <c r="CL65" s="356" t="str">
        <f>IFERROR(VLOOKUP(C65,'Data Sheet'!$A$3:$B$26,2,FALSE),"")</f>
        <v>MCI-00023</v>
      </c>
    </row>
    <row r="66" spans="1:90" s="112" customFormat="1" ht="51" x14ac:dyDescent="0.25">
      <c r="A66" s="97">
        <v>62</v>
      </c>
      <c r="B66" s="105" t="str">
        <f t="shared" si="35"/>
        <v>a1O36000001EGFXEA4-a1O36000001EGIVEA4-Provincial</v>
      </c>
      <c r="C66" s="276" t="s">
        <v>2181</v>
      </c>
      <c r="D66" s="101" t="str">
        <f>IFERROR(IF(VLOOKUP(C66,'Data Sheet'!$A$3:$D$26,4,FALSE)=0,"",VLOOKUP(C66,'Data Sheet'!$A$3:$D$26,4,FALSE)),"")</f>
        <v>a1O36000001EGFXEA4</v>
      </c>
      <c r="E66" s="279" t="s">
        <v>2408</v>
      </c>
      <c r="F66" s="103" t="str">
        <f>IFERROR(IF(VLOOKUP(E66,'Data Sheet'!$C$29:$E$174,3,FALSE)=0,"",VLOOKUP(E66,'Data Sheet'!$C$29:$E$174,3,FALSE)),"")</f>
        <v>a1O36000001EGIVEA4</v>
      </c>
      <c r="G66" s="106" t="str">
        <f t="shared" si="2"/>
        <v>a1O36000001EGFXEA4-a1O36000001EGIVEA4</v>
      </c>
      <c r="H66" s="273" t="s">
        <v>2716</v>
      </c>
      <c r="I66" s="107" t="s">
        <v>2755</v>
      </c>
      <c r="J66" s="249" t="str">
        <f t="shared" si="30"/>
        <v>11.4</v>
      </c>
      <c r="K66" s="101" t="str">
        <f>IFERROR(INDEX('Data Sheet'!$C$198:$C$275,MATCH(I66,'Data Sheet'!$F$198:$F$275,0)),"")</f>
        <v>a2C360000007DAxEAM</v>
      </c>
      <c r="L66" s="250">
        <f>IFERROR(INDEX('Data Sheet'!$G$198:$G$275,MATCH(I66,'Data Sheet'!$F$198:$F$275,0)),"")</f>
        <v>11.4</v>
      </c>
      <c r="M66" s="248" t="s">
        <v>2660</v>
      </c>
      <c r="N66" s="248" t="s">
        <v>2760</v>
      </c>
      <c r="O66" s="248" t="s">
        <v>2128</v>
      </c>
      <c r="P66" s="108" t="str">
        <f>IFERROR(INDEX(Setup!$D$44:$D$70,MATCH(M66,Setup!$K$44:$K$70,0))&amp;"","")</f>
        <v>SR</v>
      </c>
      <c r="Q66" s="108" t="str">
        <f>IFERROR(INDEX(Setup!$E$44:$E$70,MATCH(M66,Setup!$K$44:$K$70,0))&amp;"","")</f>
        <v>Civil Society - International Non-Governmental Organization</v>
      </c>
      <c r="R66" s="108" t="str">
        <f>IFERROR(INDEX(Setup!$L$44:$L$70,MATCH(M66,Setup!$K$44:$K$70,0))&amp;"","")</f>
        <v/>
      </c>
      <c r="S66" s="108" t="str">
        <f>Setup!$C$30</f>
        <v>USD</v>
      </c>
      <c r="T66" s="109" t="str">
        <f>IFERROR(INDEX('Data Sheet'!$B$198:$B$275,MATCH(I66,'Data Sheet'!$F$198:$F$275,0)),"")</f>
        <v>N/A</v>
      </c>
      <c r="U66" s="110">
        <f>IFERROR(INDEX('Data Sheet'!$D$198:$D$275,MATCH(I66,'Data Sheet'!$F$198:$F$275,0)),"")</f>
        <v>11</v>
      </c>
      <c r="V66" s="415" t="s">
        <v>992</v>
      </c>
      <c r="W66" s="195" t="str">
        <f>IF(V66=Setup!$C$30,"Grant",IF(V66=Setup!$C$31,"Local",IF(V66=Setup!$C$32,"Other",IF(ISBLANK(V66),"","Other"))))</f>
        <v>Local</v>
      </c>
      <c r="X66" s="255">
        <f>'Assumptions Other'!E97</f>
        <v>488144.4</v>
      </c>
      <c r="Y66" s="259">
        <f>IF(X66&lt;&gt;"",X66/VLOOKUP($V66,Setup!$C$30:$D$41,2,0),"")</f>
        <v>59.664665941140569</v>
      </c>
      <c r="Z66" s="262">
        <v>1</v>
      </c>
      <c r="AA66" s="256">
        <f t="shared" si="34"/>
        <v>59.664665941140569</v>
      </c>
      <c r="AB66" s="262">
        <v>1</v>
      </c>
      <c r="AC66" s="258">
        <f t="shared" si="3"/>
        <v>59.664665941140569</v>
      </c>
      <c r="AD66" s="262">
        <v>1</v>
      </c>
      <c r="AE66" s="258">
        <f t="shared" si="4"/>
        <v>59.664665941140569</v>
      </c>
      <c r="AF66" s="262">
        <v>1</v>
      </c>
      <c r="AG66" s="256">
        <f t="shared" si="5"/>
        <v>59.664665941140569</v>
      </c>
      <c r="AH66" s="256">
        <f t="shared" si="33"/>
        <v>4</v>
      </c>
      <c r="AI66" s="256">
        <f t="shared" si="6"/>
        <v>238.65866376456228</v>
      </c>
      <c r="AJ66" s="111"/>
      <c r="AK66" s="255">
        <f t="shared" si="38"/>
        <v>488144.4</v>
      </c>
      <c r="AL66" s="259">
        <f>IF(AK66&lt;&gt;"",AK66/VLOOKUP($V66,Setup!$C$30:$D$41,2,0),"")</f>
        <v>59.664665941140569</v>
      </c>
      <c r="AM66" s="266">
        <v>1</v>
      </c>
      <c r="AN66" s="258">
        <f t="shared" si="18"/>
        <v>59.664665941140569</v>
      </c>
      <c r="AO66" s="266">
        <v>1</v>
      </c>
      <c r="AP66" s="258">
        <f t="shared" si="19"/>
        <v>59.664665941140569</v>
      </c>
      <c r="AQ66" s="266">
        <v>1</v>
      </c>
      <c r="AR66" s="258">
        <f t="shared" si="20"/>
        <v>59.664665941140569</v>
      </c>
      <c r="AS66" s="266">
        <v>1</v>
      </c>
      <c r="AT66" s="256">
        <f t="shared" si="21"/>
        <v>59.664665941140569</v>
      </c>
      <c r="AU66" s="256">
        <f t="shared" si="7"/>
        <v>4</v>
      </c>
      <c r="AV66" s="256">
        <f t="shared" si="8"/>
        <v>238.65866376456228</v>
      </c>
      <c r="AW66" s="267"/>
      <c r="AX66" s="255">
        <f t="shared" si="39"/>
        <v>488144.4</v>
      </c>
      <c r="AY66" s="259">
        <f>IF(AX66&lt;&gt;"",AX66/VLOOKUP($V66,Setup!$C$30:$D$41,2,0),"")</f>
        <v>59.664665941140569</v>
      </c>
      <c r="AZ66" s="268">
        <v>1</v>
      </c>
      <c r="BA66" s="258">
        <f t="shared" si="23"/>
        <v>59.664665941140569</v>
      </c>
      <c r="BB66" s="268">
        <v>1</v>
      </c>
      <c r="BC66" s="258">
        <f t="shared" si="24"/>
        <v>59.664665941140569</v>
      </c>
      <c r="BD66" s="268">
        <v>1</v>
      </c>
      <c r="BE66" s="258">
        <f t="shared" si="25"/>
        <v>59.664665941140569</v>
      </c>
      <c r="BF66" s="268">
        <v>1</v>
      </c>
      <c r="BG66" s="256">
        <f t="shared" si="26"/>
        <v>59.664665941140569</v>
      </c>
      <c r="BH66" s="256">
        <f t="shared" si="9"/>
        <v>4</v>
      </c>
      <c r="BI66" s="256">
        <f t="shared" si="10"/>
        <v>238.65866376456228</v>
      </c>
      <c r="BJ66" s="267"/>
      <c r="BK66" s="255"/>
      <c r="BL66" s="259" t="str">
        <f>IF(BK66&lt;&gt;"",BK66/VLOOKUP($V66,Setup!$C$30:$D$41,2,0),"")</f>
        <v/>
      </c>
      <c r="BM66" s="268"/>
      <c r="BN66" s="258" t="str">
        <f t="shared" si="27"/>
        <v/>
      </c>
      <c r="BO66" s="268"/>
      <c r="BP66" s="258" t="str">
        <f t="shared" si="28"/>
        <v/>
      </c>
      <c r="BQ66" s="268"/>
      <c r="BR66" s="258" t="str">
        <f t="shared" si="29"/>
        <v/>
      </c>
      <c r="BS66" s="268"/>
      <c r="BT66" s="256" t="str">
        <f t="shared" si="32"/>
        <v/>
      </c>
      <c r="BU66" s="256" t="str">
        <f t="shared" si="11"/>
        <v/>
      </c>
      <c r="BV66" s="256" t="str">
        <f t="shared" si="12"/>
        <v/>
      </c>
      <c r="BW66" s="267"/>
      <c r="BX66" s="256">
        <f t="shared" si="13"/>
        <v>12</v>
      </c>
      <c r="BY66" s="256">
        <f t="shared" si="14"/>
        <v>715.97599129368677</v>
      </c>
      <c r="BZ66" s="281"/>
      <c r="CA66" s="282"/>
      <c r="CC66" s="112" t="str">
        <f t="shared" ca="1" si="15"/>
        <v/>
      </c>
      <c r="CF66" s="283"/>
      <c r="CG66" s="283"/>
      <c r="CH66" s="283"/>
      <c r="CI66" s="283"/>
      <c r="CL66" s="356" t="str">
        <f>IFERROR(VLOOKUP(C66,'Data Sheet'!$A$3:$B$26,2,FALSE),"")</f>
        <v>MCI-00023</v>
      </c>
    </row>
    <row r="67" spans="1:90" s="112" customFormat="1" ht="51" x14ac:dyDescent="0.25">
      <c r="A67" s="97">
        <v>63</v>
      </c>
      <c r="B67" s="105" t="str">
        <f t="shared" si="35"/>
        <v>a1O36000001EGFXEA4-a1O36000001EGIVEA4-Provincial</v>
      </c>
      <c r="C67" s="276" t="s">
        <v>2181</v>
      </c>
      <c r="D67" s="101" t="str">
        <f>IFERROR(IF(VLOOKUP(C67,'Data Sheet'!$A$3:$D$26,4,FALSE)=0,"",VLOOKUP(C67,'Data Sheet'!$A$3:$D$26,4,FALSE)),"")</f>
        <v>a1O36000001EGFXEA4</v>
      </c>
      <c r="E67" s="279" t="s">
        <v>2408</v>
      </c>
      <c r="F67" s="103" t="str">
        <f>IFERROR(IF(VLOOKUP(E67,'Data Sheet'!$C$29:$E$174,3,FALSE)=0,"",VLOOKUP(E67,'Data Sheet'!$C$29:$E$174,3,FALSE)),"")</f>
        <v>a1O36000001EGIVEA4</v>
      </c>
      <c r="G67" s="106" t="str">
        <f t="shared" si="2"/>
        <v>a1O36000001EGFXEA4-a1O36000001EGIVEA4</v>
      </c>
      <c r="H67" s="273" t="s">
        <v>2717</v>
      </c>
      <c r="I67" s="107" t="s">
        <v>2756</v>
      </c>
      <c r="J67" s="249" t="str">
        <f t="shared" si="30"/>
        <v>11.3</v>
      </c>
      <c r="K67" s="101" t="str">
        <f>IFERROR(INDEX('Data Sheet'!$C$198:$C$275,MATCH(I67,'Data Sheet'!$F$198:$F$275,0)),"")</f>
        <v>a2C360000007DAwEAM</v>
      </c>
      <c r="L67" s="250">
        <f>IFERROR(INDEX('Data Sheet'!$G$198:$G$275,MATCH(I67,'Data Sheet'!$F$198:$F$275,0)),"")</f>
        <v>11.3</v>
      </c>
      <c r="M67" s="248" t="s">
        <v>2660</v>
      </c>
      <c r="N67" s="248" t="s">
        <v>2760</v>
      </c>
      <c r="O67" s="248" t="s">
        <v>2128</v>
      </c>
      <c r="P67" s="108" t="str">
        <f>IFERROR(INDEX(Setup!$D$44:$D$70,MATCH(M67,Setup!$K$44:$K$70,0))&amp;"","")</f>
        <v>SR</v>
      </c>
      <c r="Q67" s="108" t="str">
        <f>IFERROR(INDEX(Setup!$E$44:$E$70,MATCH(M67,Setup!$K$44:$K$70,0))&amp;"","")</f>
        <v>Civil Society - International Non-Governmental Organization</v>
      </c>
      <c r="R67" s="108" t="str">
        <f>IFERROR(INDEX(Setup!$L$44:$L$70,MATCH(M67,Setup!$K$44:$K$70,0))&amp;"","")</f>
        <v/>
      </c>
      <c r="S67" s="108" t="str">
        <f>Setup!$C$30</f>
        <v>USD</v>
      </c>
      <c r="T67" s="109" t="str">
        <f>IFERROR(INDEX('Data Sheet'!$B$198:$B$275,MATCH(I67,'Data Sheet'!$F$198:$F$275,0)),"")</f>
        <v>N/A</v>
      </c>
      <c r="U67" s="110">
        <f>IFERROR(INDEX('Data Sheet'!$D$198:$D$275,MATCH(I67,'Data Sheet'!$F$198:$F$275,0)),"")</f>
        <v>11</v>
      </c>
      <c r="V67" s="415" t="s">
        <v>8</v>
      </c>
      <c r="W67" s="195" t="str">
        <f>IF(V67=Setup!$C$30,"Grant",IF(V67=Setup!$C$31,"Local",IF(V67=Setup!$C$32,"Other",IF(ISBLANK(V67),"","Other"))))</f>
        <v>Grant</v>
      </c>
      <c r="X67" s="255">
        <f>0.05*187208/4</f>
        <v>2340.1</v>
      </c>
      <c r="Y67" s="259">
        <f>IF(X67&lt;&gt;"",X67/VLOOKUP($V67,Setup!$C$30:$D$41,2,0),"")</f>
        <v>2340.1</v>
      </c>
      <c r="Z67" s="262">
        <v>1</v>
      </c>
      <c r="AA67" s="256">
        <f t="shared" si="34"/>
        <v>2340.1</v>
      </c>
      <c r="AB67" s="262">
        <v>1</v>
      </c>
      <c r="AC67" s="258">
        <f t="shared" si="3"/>
        <v>2340.1</v>
      </c>
      <c r="AD67" s="262">
        <v>1</v>
      </c>
      <c r="AE67" s="258">
        <f t="shared" si="4"/>
        <v>2340.1</v>
      </c>
      <c r="AF67" s="262">
        <v>1</v>
      </c>
      <c r="AG67" s="256">
        <f t="shared" si="5"/>
        <v>2340.1</v>
      </c>
      <c r="AH67" s="256">
        <f t="shared" si="33"/>
        <v>4</v>
      </c>
      <c r="AI67" s="256">
        <f t="shared" si="6"/>
        <v>9360.4</v>
      </c>
      <c r="AJ67" s="111"/>
      <c r="AK67" s="255">
        <f>0.05*179521/4</f>
        <v>2244.0125000000003</v>
      </c>
      <c r="AL67" s="259">
        <f>IF(AK67&lt;&gt;"",AK67/VLOOKUP($V67,Setup!$C$30:$D$41,2,0),"")</f>
        <v>2244.0125000000003</v>
      </c>
      <c r="AM67" s="266">
        <v>1</v>
      </c>
      <c r="AN67" s="258">
        <f t="shared" si="18"/>
        <v>2244.0125000000003</v>
      </c>
      <c r="AO67" s="266">
        <v>1</v>
      </c>
      <c r="AP67" s="258">
        <f t="shared" si="19"/>
        <v>2244.0125000000003</v>
      </c>
      <c r="AQ67" s="266">
        <v>1</v>
      </c>
      <c r="AR67" s="258">
        <f t="shared" si="20"/>
        <v>2244.0125000000003</v>
      </c>
      <c r="AS67" s="266">
        <v>1</v>
      </c>
      <c r="AT67" s="256">
        <f t="shared" si="21"/>
        <v>2244.0125000000003</v>
      </c>
      <c r="AU67" s="256">
        <f t="shared" si="7"/>
        <v>4</v>
      </c>
      <c r="AV67" s="256">
        <f t="shared" si="8"/>
        <v>8976.0500000000011</v>
      </c>
      <c r="AW67" s="267"/>
      <c r="AX67" s="255">
        <f>0.05*171164/4</f>
        <v>2139.5500000000002</v>
      </c>
      <c r="AY67" s="259">
        <f>IF(AX67&lt;&gt;"",AX67/VLOOKUP($V67,Setup!$C$30:$D$41,2,0),"")</f>
        <v>2139.5500000000002</v>
      </c>
      <c r="AZ67" s="268">
        <v>1</v>
      </c>
      <c r="BA67" s="258">
        <f t="shared" si="23"/>
        <v>2139.5500000000002</v>
      </c>
      <c r="BB67" s="268">
        <v>1</v>
      </c>
      <c r="BC67" s="258">
        <f t="shared" si="24"/>
        <v>2139.5500000000002</v>
      </c>
      <c r="BD67" s="268">
        <v>1</v>
      </c>
      <c r="BE67" s="258">
        <f t="shared" si="25"/>
        <v>2139.5500000000002</v>
      </c>
      <c r="BF67" s="268">
        <v>1</v>
      </c>
      <c r="BG67" s="256">
        <f t="shared" si="26"/>
        <v>2139.5500000000002</v>
      </c>
      <c r="BH67" s="256">
        <f t="shared" si="9"/>
        <v>4</v>
      </c>
      <c r="BI67" s="256">
        <f t="shared" si="10"/>
        <v>8558.2000000000007</v>
      </c>
      <c r="BJ67" s="267"/>
      <c r="BK67" s="255"/>
      <c r="BL67" s="259" t="str">
        <f>IF(BK67&lt;&gt;"",BK67/VLOOKUP($V67,Setup!$C$30:$D$41,2,0),"")</f>
        <v/>
      </c>
      <c r="BM67" s="268"/>
      <c r="BN67" s="258" t="str">
        <f t="shared" si="27"/>
        <v/>
      </c>
      <c r="BO67" s="268"/>
      <c r="BP67" s="258" t="str">
        <f t="shared" si="28"/>
        <v/>
      </c>
      <c r="BQ67" s="268"/>
      <c r="BR67" s="258" t="str">
        <f t="shared" si="29"/>
        <v/>
      </c>
      <c r="BS67" s="268"/>
      <c r="BT67" s="256" t="str">
        <f t="shared" si="32"/>
        <v/>
      </c>
      <c r="BU67" s="256" t="str">
        <f t="shared" si="11"/>
        <v/>
      </c>
      <c r="BV67" s="256" t="str">
        <f t="shared" si="12"/>
        <v/>
      </c>
      <c r="BW67" s="267"/>
      <c r="BX67" s="256">
        <f t="shared" si="13"/>
        <v>12</v>
      </c>
      <c r="BY67" s="256">
        <f t="shared" si="14"/>
        <v>26894.65</v>
      </c>
      <c r="BZ67" s="281"/>
      <c r="CA67" s="282"/>
      <c r="CC67" s="112" t="str">
        <f t="shared" ca="1" si="15"/>
        <v/>
      </c>
      <c r="CF67" s="283"/>
      <c r="CG67" s="283"/>
      <c r="CH67" s="283"/>
      <c r="CI67" s="283"/>
      <c r="CL67" s="356" t="str">
        <f>IFERROR(VLOOKUP(C67,'Data Sheet'!$A$3:$B$26,2,FALSE),"")</f>
        <v>MCI-00023</v>
      </c>
    </row>
    <row r="68" spans="1:90" s="112" customFormat="1" ht="51" x14ac:dyDescent="0.25">
      <c r="A68" s="97">
        <v>64</v>
      </c>
      <c r="B68" s="105" t="str">
        <f t="shared" si="35"/>
        <v>a1O36000001EGFCEA4-a1O36000001EGGZEA4-Provincial</v>
      </c>
      <c r="C68" s="276" t="s">
        <v>2154</v>
      </c>
      <c r="D68" s="101" t="str">
        <f>IFERROR(IF(VLOOKUP(C68,'Data Sheet'!$A$3:$D$26,4,FALSE)=0,"",VLOOKUP(C68,'Data Sheet'!$A$3:$D$26,4,FALSE)),"")</f>
        <v>a1O36000001EGFCEA4</v>
      </c>
      <c r="E68" s="279" t="s">
        <v>2232</v>
      </c>
      <c r="F68" s="103" t="str">
        <f>IFERROR(IF(VLOOKUP(E68,'Data Sheet'!$C$29:$E$174,3,FALSE)=0,"",VLOOKUP(E68,'Data Sheet'!$C$29:$E$174,3,FALSE)),"")</f>
        <v>a1O36000001EGGZEA4</v>
      </c>
      <c r="G68" s="106" t="str">
        <f t="shared" si="2"/>
        <v>a1O36000001EGFCEA4-a1O36000001EGGZEA4</v>
      </c>
      <c r="H68" s="273" t="s">
        <v>2718</v>
      </c>
      <c r="I68" s="107" t="s">
        <v>2733</v>
      </c>
      <c r="J68" s="249" t="str">
        <f t="shared" si="30"/>
        <v>2.4</v>
      </c>
      <c r="K68" s="101" t="str">
        <f>IFERROR(INDEX('Data Sheet'!$C$198:$C$275,MATCH(I68,'Data Sheet'!$F$198:$F$275,0)),"")</f>
        <v>a2C360000007DB9EAM</v>
      </c>
      <c r="L68" s="250">
        <f>IFERROR(INDEX('Data Sheet'!$G$198:$G$275,MATCH(I68,'Data Sheet'!$F$198:$F$275,0)),"")</f>
        <v>2.4</v>
      </c>
      <c r="M68" s="248" t="s">
        <v>2659</v>
      </c>
      <c r="N68" s="248" t="s">
        <v>2760</v>
      </c>
      <c r="O68" s="248" t="s">
        <v>2128</v>
      </c>
      <c r="P68" s="108" t="str">
        <f>IFERROR(INDEX(Setup!$D$44:$D$70,MATCH(M68,Setup!$K$44:$K$70,0))&amp;"","")</f>
        <v>SR</v>
      </c>
      <c r="Q68" s="108" t="str">
        <f>IFERROR(INDEX(Setup!$E$44:$E$70,MATCH(M68,Setup!$K$44:$K$70,0))&amp;"","")</f>
        <v>Civil Society - Community Based Organization</v>
      </c>
      <c r="R68" s="108" t="str">
        <f>IFERROR(INDEX(Setup!$L$44:$L$70,MATCH(M68,Setup!$K$44:$K$70,0))&amp;"","")</f>
        <v/>
      </c>
      <c r="S68" s="108" t="str">
        <f>Setup!$C$30</f>
        <v>USD</v>
      </c>
      <c r="T68" s="109" t="str">
        <f>IFERROR(INDEX('Data Sheet'!$B$198:$B$275,MATCH(I68,'Data Sheet'!$F$198:$F$275,0)),"")</f>
        <v>Average cost of event per participant per day</v>
      </c>
      <c r="U68" s="110">
        <f>IFERROR(INDEX('Data Sheet'!$D$198:$D$275,MATCH(I68,'Data Sheet'!$F$198:$F$275,0)),"")</f>
        <v>2</v>
      </c>
      <c r="V68" s="415" t="s">
        <v>992</v>
      </c>
      <c r="W68" s="195" t="str">
        <f>IF(V68=Setup!$C$30,"Grant",IF(V68=Setup!$C$31,"Local",IF(V68=Setup!$C$32,"Other",IF(ISBLANK(V68),"","Other"))))</f>
        <v>Local</v>
      </c>
      <c r="X68" s="255">
        <f>'Assumptions TRC'!G303</f>
        <v>351176.4705882353</v>
      </c>
      <c r="Y68" s="259">
        <f>IF(X68&lt;&gt;"",X68/VLOOKUP($V68,Setup!$C$30:$D$41,2,0),"")</f>
        <v>42.923419389909697</v>
      </c>
      <c r="Z68" s="262"/>
      <c r="AA68" s="256" t="str">
        <f t="shared" si="34"/>
        <v/>
      </c>
      <c r="AB68" s="262">
        <v>17</v>
      </c>
      <c r="AC68" s="258">
        <f t="shared" si="3"/>
        <v>729.69812962846481</v>
      </c>
      <c r="AD68" s="262"/>
      <c r="AE68" s="258" t="str">
        <f t="shared" si="4"/>
        <v/>
      </c>
      <c r="AF68" s="262">
        <v>17</v>
      </c>
      <c r="AG68" s="256">
        <f t="shared" si="5"/>
        <v>729.69812962846481</v>
      </c>
      <c r="AH68" s="256">
        <f t="shared" si="33"/>
        <v>34</v>
      </c>
      <c r="AI68" s="256">
        <f t="shared" si="6"/>
        <v>1459.3962592569296</v>
      </c>
      <c r="AJ68" s="111"/>
      <c r="AK68" s="255">
        <f t="shared" ref="AK68:AK79" si="40">X68</f>
        <v>351176.4705882353</v>
      </c>
      <c r="AL68" s="259">
        <f>IF(AK68&lt;&gt;"",AK68/VLOOKUP($V68,Setup!$C$30:$D$41,2,0),"")</f>
        <v>42.923419389909697</v>
      </c>
      <c r="AM68" s="266"/>
      <c r="AN68" s="258" t="str">
        <f t="shared" si="18"/>
        <v/>
      </c>
      <c r="AO68" s="262">
        <v>17</v>
      </c>
      <c r="AP68" s="258">
        <f t="shared" si="19"/>
        <v>729.69812962846481</v>
      </c>
      <c r="AQ68" s="266"/>
      <c r="AR68" s="258" t="str">
        <f t="shared" si="20"/>
        <v/>
      </c>
      <c r="AS68" s="262">
        <v>17</v>
      </c>
      <c r="AT68" s="256">
        <f t="shared" si="21"/>
        <v>729.69812962846481</v>
      </c>
      <c r="AU68" s="256">
        <f t="shared" si="7"/>
        <v>34</v>
      </c>
      <c r="AV68" s="256">
        <f t="shared" si="8"/>
        <v>1459.3962592569296</v>
      </c>
      <c r="AW68" s="267"/>
      <c r="AX68" s="255">
        <f t="shared" ref="AX68:AX79" si="41">X68</f>
        <v>351176.4705882353</v>
      </c>
      <c r="AY68" s="259">
        <f>IF(AX68&lt;&gt;"",AX68/VLOOKUP($V68,Setup!$C$30:$D$41,2,0),"")</f>
        <v>42.923419389909697</v>
      </c>
      <c r="AZ68" s="268"/>
      <c r="BA68" s="258" t="str">
        <f t="shared" si="23"/>
        <v/>
      </c>
      <c r="BB68" s="262">
        <v>17</v>
      </c>
      <c r="BC68" s="258">
        <f t="shared" si="24"/>
        <v>729.69812962846481</v>
      </c>
      <c r="BD68" s="268"/>
      <c r="BE68" s="258" t="str">
        <f t="shared" si="25"/>
        <v/>
      </c>
      <c r="BF68" s="262">
        <v>17</v>
      </c>
      <c r="BG68" s="256">
        <f t="shared" si="26"/>
        <v>729.69812962846481</v>
      </c>
      <c r="BH68" s="256">
        <f t="shared" si="9"/>
        <v>34</v>
      </c>
      <c r="BI68" s="256">
        <f t="shared" si="10"/>
        <v>1459.3962592569296</v>
      </c>
      <c r="BJ68" s="267"/>
      <c r="BK68" s="255"/>
      <c r="BL68" s="259" t="str">
        <f>IF(BK68&lt;&gt;"",BK68/VLOOKUP($V68,Setup!$C$30:$D$41,2,0),"")</f>
        <v/>
      </c>
      <c r="BM68" s="268"/>
      <c r="BN68" s="258" t="str">
        <f t="shared" si="27"/>
        <v/>
      </c>
      <c r="BO68" s="268"/>
      <c r="BP68" s="258" t="str">
        <f t="shared" si="28"/>
        <v/>
      </c>
      <c r="BQ68" s="268"/>
      <c r="BR68" s="258" t="str">
        <f t="shared" si="29"/>
        <v/>
      </c>
      <c r="BS68" s="268"/>
      <c r="BT68" s="256" t="str">
        <f t="shared" si="32"/>
        <v/>
      </c>
      <c r="BU68" s="256" t="str">
        <f t="shared" si="11"/>
        <v/>
      </c>
      <c r="BV68" s="256" t="str">
        <f t="shared" si="12"/>
        <v/>
      </c>
      <c r="BW68" s="267"/>
      <c r="BX68" s="256">
        <f t="shared" si="13"/>
        <v>102</v>
      </c>
      <c r="BY68" s="256">
        <f t="shared" si="14"/>
        <v>4378.1887777707889</v>
      </c>
      <c r="BZ68" s="281"/>
      <c r="CA68" s="282"/>
      <c r="CC68" s="112" t="str">
        <f t="shared" ca="1" si="15"/>
        <v/>
      </c>
      <c r="CF68" s="283"/>
      <c r="CG68" s="283"/>
      <c r="CH68" s="283"/>
      <c r="CI68" s="283"/>
      <c r="CL68" s="356" t="str">
        <f>IFERROR(VLOOKUP(C68,'Data Sheet'!$A$3:$B$26,2,FALSE),"")</f>
        <v>MCI-00002</v>
      </c>
    </row>
    <row r="69" spans="1:90" s="112" customFormat="1" ht="51" x14ac:dyDescent="0.25">
      <c r="A69" s="97">
        <v>65</v>
      </c>
      <c r="B69" s="105" t="str">
        <f t="shared" si="35"/>
        <v>a1O36000001EGFCEA4-a1O36000001EGGbEAO-Provincial</v>
      </c>
      <c r="C69" s="276" t="s">
        <v>2154</v>
      </c>
      <c r="D69" s="101" t="str">
        <f>IFERROR(IF(VLOOKUP(C69,'Data Sheet'!$A$3:$D$26,4,FALSE)=0,"",VLOOKUP(C69,'Data Sheet'!$A$3:$D$26,4,FALSE)),"")</f>
        <v>a1O36000001EGFCEA4</v>
      </c>
      <c r="E69" s="279" t="s">
        <v>2242</v>
      </c>
      <c r="F69" s="103" t="str">
        <f>IFERROR(IF(VLOOKUP(E69,'Data Sheet'!$C$29:$E$174,3,FALSE)=0,"",VLOOKUP(E69,'Data Sheet'!$C$29:$E$174,3,FALSE)),"")</f>
        <v>a1O36000001EGGbEAO</v>
      </c>
      <c r="G69" s="106" t="str">
        <f t="shared" si="2"/>
        <v>a1O36000001EGFCEA4-a1O36000001EGGbEAO</v>
      </c>
      <c r="H69" s="273" t="s">
        <v>2719</v>
      </c>
      <c r="I69" s="107" t="s">
        <v>2734</v>
      </c>
      <c r="J69" s="249" t="str">
        <f t="shared" si="30"/>
        <v>2.5</v>
      </c>
      <c r="K69" s="101" t="str">
        <f>IFERROR(INDEX('Data Sheet'!$C$198:$C$275,MATCH(I69,'Data Sheet'!$F$198:$F$275,0)),"")</f>
        <v>a2C360000007DB6EAM</v>
      </c>
      <c r="L69" s="250">
        <f>IFERROR(INDEX('Data Sheet'!$G$198:$G$275,MATCH(I69,'Data Sheet'!$F$198:$F$275,0)),"")</f>
        <v>2.5</v>
      </c>
      <c r="M69" s="248" t="s">
        <v>2659</v>
      </c>
      <c r="N69" s="248" t="s">
        <v>2760</v>
      </c>
      <c r="O69" s="248" t="s">
        <v>2128</v>
      </c>
      <c r="P69" s="108" t="str">
        <f>IFERROR(INDEX(Setup!$D$44:$D$70,MATCH(M69,Setup!$K$44:$K$70,0))&amp;"","")</f>
        <v>SR</v>
      </c>
      <c r="Q69" s="108" t="str">
        <f>IFERROR(INDEX(Setup!$E$44:$E$70,MATCH(M69,Setup!$K$44:$K$70,0))&amp;"","")</f>
        <v>Civil Society - Community Based Organization</v>
      </c>
      <c r="R69" s="108" t="str">
        <f>IFERROR(INDEX(Setup!$L$44:$L$70,MATCH(M69,Setup!$K$44:$K$70,0))&amp;"","")</f>
        <v/>
      </c>
      <c r="S69" s="108" t="str">
        <f>Setup!$C$30</f>
        <v>USD</v>
      </c>
      <c r="T69" s="109" t="str">
        <f>IFERROR(INDEX('Data Sheet'!$B$198:$B$275,MATCH(I69,'Data Sheet'!$F$198:$F$275,0)),"")</f>
        <v>N/A</v>
      </c>
      <c r="U69" s="110">
        <f>IFERROR(INDEX('Data Sheet'!$D$198:$D$275,MATCH(I69,'Data Sheet'!$F$198:$F$275,0)),"")</f>
        <v>2</v>
      </c>
      <c r="V69" s="415" t="s">
        <v>992</v>
      </c>
      <c r="W69" s="195" t="str">
        <f>IF(V69=Setup!$C$30,"Grant",IF(V69=Setup!$C$31,"Local",IF(V69=Setup!$C$32,"Other",IF(ISBLANK(V69),"","Other"))))</f>
        <v>Local</v>
      </c>
      <c r="X69" s="255">
        <f>'Assumptions TRC'!C306</f>
        <v>80000</v>
      </c>
      <c r="Y69" s="259">
        <f>IF(X69&lt;&gt;"",X69/VLOOKUP($V69,Setup!$C$30:$D$41,2,0),"")</f>
        <v>9.7781993920062291</v>
      </c>
      <c r="Z69" s="262">
        <f>30*3</f>
        <v>90</v>
      </c>
      <c r="AA69" s="256">
        <f t="shared" ref="AA69:AA132" si="42">IFERROR(IF(AND(NOT(Z69=""),NOT(Y69="")),Z69*Y69,""),"")</f>
        <v>880.03794528056062</v>
      </c>
      <c r="AB69" s="262">
        <v>90</v>
      </c>
      <c r="AC69" s="258">
        <f t="shared" ref="AC69:AC132" si="43">IFERROR(IF(AND(NOT(AB69=""),NOT(Y69="")),AB69*Y69,""),"")</f>
        <v>880.03794528056062</v>
      </c>
      <c r="AD69" s="262">
        <v>90</v>
      </c>
      <c r="AE69" s="258">
        <f t="shared" ref="AE69:AE132" si="44">IFERROR(IF(AND(NOT(AD69=""),NOT(Y69="")),AD69*Y69,""),"")</f>
        <v>880.03794528056062</v>
      </c>
      <c r="AF69" s="262">
        <v>90</v>
      </c>
      <c r="AG69" s="256">
        <f t="shared" ref="AG69:AG132" si="45">IFERROR(IF(AND(NOT(AF69=""),NOT(Y69="")),AF69*Y69,""),"")</f>
        <v>880.03794528056062</v>
      </c>
      <c r="AH69" s="256">
        <f t="shared" ref="AH69:AH132" si="46">IFERROR(IF(OR(NOT(Z69=""),NOT(AF69=""),NOT(AB69=""),NOT(AD69="")),Z69+AF69+AB69+AD69,""),"")</f>
        <v>360</v>
      </c>
      <c r="AI69" s="256">
        <f t="shared" ref="AI69:AI132" si="47">IF(SUM(AA69,AC69,AE69,AG69)&gt;0,SUM(AA69,AC69,AE69,AG69),"")</f>
        <v>3520.1517811222425</v>
      </c>
      <c r="AJ69" s="111"/>
      <c r="AK69" s="255">
        <f t="shared" si="40"/>
        <v>80000</v>
      </c>
      <c r="AL69" s="259">
        <f>IF(AK69&lt;&gt;"",AK69/VLOOKUP($V69,Setup!$C$30:$D$41,2,0),"")</f>
        <v>9.7781993920062291</v>
      </c>
      <c r="AM69" s="266">
        <v>90</v>
      </c>
      <c r="AN69" s="258">
        <f t="shared" ref="AN69:AN132" si="48">IFERROR(IF(AND(NOT(AM69=""),NOT(AL69="")),AM69*$AL69,""),"")</f>
        <v>880.03794528056062</v>
      </c>
      <c r="AO69" s="266">
        <v>90</v>
      </c>
      <c r="AP69" s="258">
        <f t="shared" ref="AP69:AP132" si="49">IFERROR(IF(AND(NOT(AO69=""),NOT(AL69="")),AO69*$AL69,""),"")</f>
        <v>880.03794528056062</v>
      </c>
      <c r="AQ69" s="266">
        <v>90</v>
      </c>
      <c r="AR69" s="258">
        <f t="shared" ref="AR69:AR132" si="50">IFERROR(IF(AND(NOT(AQ69=""),NOT(AL69="")),AQ69*$AL69,""),"")</f>
        <v>880.03794528056062</v>
      </c>
      <c r="AS69" s="266">
        <v>90</v>
      </c>
      <c r="AT69" s="256">
        <f t="shared" ref="AT69:AT132" si="51">IFERROR(IF(AND(NOT(AS69=""),NOT(AL69="")),AS69*$AL69,""),"")</f>
        <v>880.03794528056062</v>
      </c>
      <c r="AU69" s="256">
        <f t="shared" ref="AU69:AU132" si="52">IFERROR(IF(OR(NOT(AM69=""),NOT(AS69=""),NOT(AO69=""),NOT(AQ69="")),AM69+AS69+AO69+AQ69,""),"")</f>
        <v>360</v>
      </c>
      <c r="AV69" s="256">
        <f t="shared" ref="AV69:AV132" si="53">IF(SUM(AN69,AT69,AP69,AR69)&gt;0,SUM(AN69,AT69,AP69,AR69),"")</f>
        <v>3520.1517811222425</v>
      </c>
      <c r="AW69" s="267"/>
      <c r="AX69" s="255">
        <f t="shared" si="41"/>
        <v>80000</v>
      </c>
      <c r="AY69" s="259">
        <f>IF(AX69&lt;&gt;"",AX69/VLOOKUP($V69,Setup!$C$30:$D$41,2,0),"")</f>
        <v>9.7781993920062291</v>
      </c>
      <c r="AZ69" s="268">
        <v>90</v>
      </c>
      <c r="BA69" s="258">
        <f t="shared" ref="BA69:BA132" si="54">IFERROR(IF(AND(NOT(AZ69=""),NOT(AY69="")),AZ69*$AY69,""),"")</f>
        <v>880.03794528056062</v>
      </c>
      <c r="BB69" s="268">
        <v>90</v>
      </c>
      <c r="BC69" s="258">
        <f t="shared" ref="BC69:BC132" si="55">IFERROR(IF(AND(NOT(BB69=""),NOT(AY69="")),BB69*$AY69,""),"")</f>
        <v>880.03794528056062</v>
      </c>
      <c r="BD69" s="268">
        <v>90</v>
      </c>
      <c r="BE69" s="258">
        <f t="shared" ref="BE69:BE132" si="56">IFERROR(IF(AND(NOT(BD69=""),NOT(AY69="")),BD69*$AY69,""),"")</f>
        <v>880.03794528056062</v>
      </c>
      <c r="BF69" s="268">
        <v>90</v>
      </c>
      <c r="BG69" s="256">
        <f t="shared" ref="BG69:BG132" si="57">IFERROR(IF(AND(NOT(BF69=""),NOT(AY69="")),BF69*$AY69,""),"")</f>
        <v>880.03794528056062</v>
      </c>
      <c r="BH69" s="256">
        <f t="shared" ref="BH69:BH132" si="58">IFERROR(IF(OR(NOT(AZ69=""),NOT(BF69=""),NOT(BB69=""),NOT(BD69="")),AZ69+BF69+BB69+BD69,""),"")</f>
        <v>360</v>
      </c>
      <c r="BI69" s="256">
        <f t="shared" ref="BI69:BI132" si="59">IF(SUM(BA69,BG69,BC69,BE69)&gt;0,SUM(BA69,BG69,BC69,BE69),"")</f>
        <v>3520.1517811222425</v>
      </c>
      <c r="BJ69" s="267"/>
      <c r="BK69" s="255"/>
      <c r="BL69" s="259" t="str">
        <f>IF(BK69&lt;&gt;"",BK69/VLOOKUP($V69,Setup!$C$30:$D$41,2,0),"")</f>
        <v/>
      </c>
      <c r="BM69" s="268"/>
      <c r="BN69" s="258" t="str">
        <f t="shared" ref="BN69:BN132" si="60">IFERROR(IF(AND(NOT(BM69=""),NOT(BL69="")),BM69*$BL69,""),"")</f>
        <v/>
      </c>
      <c r="BO69" s="268"/>
      <c r="BP69" s="258" t="str">
        <f t="shared" ref="BP69:BP132" si="61">IFERROR(IF(AND(NOT(BO69=""),NOT(BL69="")),BO69*$BL69,""),"")</f>
        <v/>
      </c>
      <c r="BQ69" s="268"/>
      <c r="BR69" s="258" t="str">
        <f t="shared" ref="BR69:BR132" si="62">IFERROR(IF(AND(NOT(BQ69=""),NOT(BL69="")),BQ69*$BL69,""),"")</f>
        <v/>
      </c>
      <c r="BS69" s="268"/>
      <c r="BT69" s="256" t="str">
        <f t="shared" ref="BT69:BT132" si="63">IFERROR(IF(AND(NOT(BS69=""),NOT(BL69="")),BS69*$BL69,""),"")</f>
        <v/>
      </c>
      <c r="BU69" s="256" t="str">
        <f t="shared" ref="BU69:BU132" si="64">IFERROR(IF(OR(NOT(BM69=""),NOT(BS69=""),NOT(BO69=""),NOT(BQ69="")),BM69+BS69+BO69+BQ69,""),"")</f>
        <v/>
      </c>
      <c r="BV69" s="256" t="str">
        <f t="shared" ref="BV69:BV132" si="65">IF(SUM(BN69,BT69,BP69,BR69)&gt;0,SUM(BN69,BT69,BP69,BR69),"")</f>
        <v/>
      </c>
      <c r="BW69" s="267"/>
      <c r="BX69" s="256">
        <f t="shared" ref="BX69:BX132" si="66">IF(SUM(AH69,AU69,BH69,BU69)&gt;0,SUM(AH69,AU69,BH69,BU69),"")</f>
        <v>1080</v>
      </c>
      <c r="BY69" s="256">
        <f t="shared" ref="BY69:BY132" si="67">IF(SUM(AI69,AV69,BI69,BV69)&gt;0,SUM(AI69,AV69,BI69,BV69),"")</f>
        <v>10560.455343366728</v>
      </c>
      <c r="BZ69" s="281"/>
      <c r="CA69" s="282"/>
      <c r="CC69" s="112" t="str">
        <f t="shared" ref="CC69:CC132" ca="1" si="68">IF(OR(B69="--",IFERROR(MATCH(B69,OFFSET(B$4,0,0,ROW()-1,1),0),1)&lt;&gt;1),"",1)</f>
        <v/>
      </c>
      <c r="CF69" s="283"/>
      <c r="CG69" s="283"/>
      <c r="CH69" s="283"/>
      <c r="CI69" s="283"/>
      <c r="CL69" s="356" t="str">
        <f>IFERROR(VLOOKUP(C69,'Data Sheet'!$A$3:$B$26,2,FALSE),"")</f>
        <v>MCI-00002</v>
      </c>
    </row>
    <row r="70" spans="1:90" s="98" customFormat="1" ht="51" x14ac:dyDescent="0.2">
      <c r="A70" s="97">
        <v>66</v>
      </c>
      <c r="B70" s="105" t="str">
        <f t="shared" si="35"/>
        <v>a1O36000001EGFCEA4-a1O36000001EGGbEAO-Provincial</v>
      </c>
      <c r="C70" s="276" t="s">
        <v>2154</v>
      </c>
      <c r="D70" s="101" t="str">
        <f>IFERROR(IF(VLOOKUP(C70,'Data Sheet'!$A$3:$D$26,4,FALSE)=0,"",VLOOKUP(C70,'Data Sheet'!$A$3:$D$26,4,FALSE)),"")</f>
        <v>a1O36000001EGFCEA4</v>
      </c>
      <c r="E70" s="279" t="s">
        <v>2242</v>
      </c>
      <c r="F70" s="103" t="str">
        <f>IFERROR(IF(VLOOKUP(E70,'Data Sheet'!$C$29:$E$174,3,FALSE)=0,"",VLOOKUP(E70,'Data Sheet'!$C$29:$E$174,3,FALSE)),"")</f>
        <v>a1O36000001EGGbEAO</v>
      </c>
      <c r="G70" s="106" t="str">
        <f t="shared" ref="G70:G133" si="69">CONCATENATE(D70,"-",F70)</f>
        <v>a1O36000001EGFCEA4-a1O36000001EGGbEAO</v>
      </c>
      <c r="H70" s="273" t="s">
        <v>2720</v>
      </c>
      <c r="I70" s="107" t="s">
        <v>2733</v>
      </c>
      <c r="J70" s="249" t="str">
        <f t="shared" ref="J70:J133" si="70">LEFT(I70,SEARCH(".",I70,1)+1)</f>
        <v>2.4</v>
      </c>
      <c r="K70" s="101" t="str">
        <f>IFERROR(INDEX('Data Sheet'!$C$198:$C$275,MATCH(I70,'Data Sheet'!$F$198:$F$275,0)),"")</f>
        <v>a2C360000007DB9EAM</v>
      </c>
      <c r="L70" s="250">
        <f>IFERROR(INDEX('Data Sheet'!$G$198:$G$275,MATCH(I70,'Data Sheet'!$F$198:$F$275,0)),"")</f>
        <v>2.4</v>
      </c>
      <c r="M70" s="248" t="s">
        <v>2659</v>
      </c>
      <c r="N70" s="248" t="s">
        <v>2760</v>
      </c>
      <c r="O70" s="248" t="s">
        <v>2128</v>
      </c>
      <c r="P70" s="108" t="str">
        <f>IFERROR(INDEX(Setup!$D$44:$D$70,MATCH(M70,Setup!$K$44:$K$70,0))&amp;"","")</f>
        <v>SR</v>
      </c>
      <c r="Q70" s="108" t="str">
        <f>IFERROR(INDEX(Setup!$E$44:$E$70,MATCH(M70,Setup!$K$44:$K$70,0))&amp;"","")</f>
        <v>Civil Society - Community Based Organization</v>
      </c>
      <c r="R70" s="108" t="str">
        <f>IFERROR(INDEX(Setup!$L$44:$L$70,MATCH(M70,Setup!$K$44:$K$70,0))&amp;"","")</f>
        <v/>
      </c>
      <c r="S70" s="108" t="str">
        <f>Setup!$C$30</f>
        <v>USD</v>
      </c>
      <c r="T70" s="109" t="str">
        <f>IFERROR(INDEX('Data Sheet'!$B$198:$B$275,MATCH(I70,'Data Sheet'!$F$198:$F$275,0)),"")</f>
        <v>Average cost of event per participant per day</v>
      </c>
      <c r="U70" s="110">
        <f>IFERROR(INDEX('Data Sheet'!$D$198:$D$275,MATCH(I70,'Data Sheet'!$F$198:$F$275,0)),"")</f>
        <v>2</v>
      </c>
      <c r="V70" s="415" t="s">
        <v>992</v>
      </c>
      <c r="W70" s="195" t="str">
        <f>IF(V70=Setup!$C$30,"Grant",IF(V70=Setup!$C$31,"Local",IF(V70=Setup!$C$32,"Other",IF(ISBLANK(V70),"","Other"))))</f>
        <v>Local</v>
      </c>
      <c r="X70" s="255">
        <f>'Assumptions TRC'!G319</f>
        <v>171142.85714285713</v>
      </c>
      <c r="Y70" s="259">
        <f>IF(X70&lt;&gt;"",X70/VLOOKUP($V70,Setup!$C$30:$D$41,2,0),"")</f>
        <v>20.91836227075618</v>
      </c>
      <c r="Z70" s="262"/>
      <c r="AA70" s="256" t="str">
        <f t="shared" si="42"/>
        <v/>
      </c>
      <c r="AB70" s="262">
        <f>10*7*3</f>
        <v>210</v>
      </c>
      <c r="AC70" s="258">
        <f t="shared" si="43"/>
        <v>4392.8560768587977</v>
      </c>
      <c r="AD70" s="262">
        <f>10*7*3</f>
        <v>210</v>
      </c>
      <c r="AE70" s="258">
        <f t="shared" si="44"/>
        <v>4392.8560768587977</v>
      </c>
      <c r="AF70" s="262">
        <f>10*7*3</f>
        <v>210</v>
      </c>
      <c r="AG70" s="256">
        <f t="shared" si="45"/>
        <v>4392.8560768587977</v>
      </c>
      <c r="AH70" s="256">
        <f t="shared" si="46"/>
        <v>630</v>
      </c>
      <c r="AI70" s="256">
        <f t="shared" si="47"/>
        <v>13178.568230576393</v>
      </c>
      <c r="AJ70" s="111"/>
      <c r="AK70" s="255">
        <f t="shared" si="40"/>
        <v>171142.85714285713</v>
      </c>
      <c r="AL70" s="259">
        <f>IF(AK70&lt;&gt;"",AK70/VLOOKUP($V70,Setup!$C$30:$D$41,2,0),"")</f>
        <v>20.91836227075618</v>
      </c>
      <c r="AM70" s="262"/>
      <c r="AN70" s="258" t="str">
        <f t="shared" si="48"/>
        <v/>
      </c>
      <c r="AO70" s="262">
        <f>10*7*3</f>
        <v>210</v>
      </c>
      <c r="AP70" s="258">
        <f t="shared" si="49"/>
        <v>4392.8560768587977</v>
      </c>
      <c r="AQ70" s="262">
        <f>10*7*3</f>
        <v>210</v>
      </c>
      <c r="AR70" s="258">
        <f t="shared" si="50"/>
        <v>4392.8560768587977</v>
      </c>
      <c r="AS70" s="262">
        <f>10*7*3</f>
        <v>210</v>
      </c>
      <c r="AT70" s="256">
        <f t="shared" si="51"/>
        <v>4392.8560768587977</v>
      </c>
      <c r="AU70" s="256">
        <f t="shared" si="52"/>
        <v>630</v>
      </c>
      <c r="AV70" s="256">
        <f t="shared" si="53"/>
        <v>13178.568230576393</v>
      </c>
      <c r="AW70" s="267"/>
      <c r="AX70" s="255">
        <f t="shared" si="41"/>
        <v>171142.85714285713</v>
      </c>
      <c r="AY70" s="259">
        <f>IF(AX70&lt;&gt;"",AX70/VLOOKUP($V70,Setup!$C$30:$D$41,2,0),"")</f>
        <v>20.91836227075618</v>
      </c>
      <c r="AZ70" s="262"/>
      <c r="BA70" s="258" t="str">
        <f t="shared" si="54"/>
        <v/>
      </c>
      <c r="BB70" s="262">
        <f>10*7*3</f>
        <v>210</v>
      </c>
      <c r="BC70" s="258">
        <f t="shared" si="55"/>
        <v>4392.8560768587977</v>
      </c>
      <c r="BD70" s="262">
        <f>10*7*3</f>
        <v>210</v>
      </c>
      <c r="BE70" s="258">
        <f t="shared" si="56"/>
        <v>4392.8560768587977</v>
      </c>
      <c r="BF70" s="262">
        <f>10*7*3</f>
        <v>210</v>
      </c>
      <c r="BG70" s="256">
        <f t="shared" si="57"/>
        <v>4392.8560768587977</v>
      </c>
      <c r="BH70" s="256">
        <f t="shared" si="58"/>
        <v>630</v>
      </c>
      <c r="BI70" s="256">
        <f t="shared" si="59"/>
        <v>13178.568230576393</v>
      </c>
      <c r="BJ70" s="267"/>
      <c r="BK70" s="255"/>
      <c r="BL70" s="259" t="str">
        <f>IF(BK70&lt;&gt;"",BK70/VLOOKUP($V70,Setup!$C$30:$D$41,2,0),"")</f>
        <v/>
      </c>
      <c r="BM70" s="268"/>
      <c r="BN70" s="258" t="str">
        <f t="shared" si="60"/>
        <v/>
      </c>
      <c r="BO70" s="268"/>
      <c r="BP70" s="258" t="str">
        <f t="shared" si="61"/>
        <v/>
      </c>
      <c r="BQ70" s="268"/>
      <c r="BR70" s="258" t="str">
        <f t="shared" si="62"/>
        <v/>
      </c>
      <c r="BS70" s="268"/>
      <c r="BT70" s="256" t="str">
        <f t="shared" si="63"/>
        <v/>
      </c>
      <c r="BU70" s="256" t="str">
        <f t="shared" si="64"/>
        <v/>
      </c>
      <c r="BV70" s="256" t="str">
        <f t="shared" si="65"/>
        <v/>
      </c>
      <c r="BW70" s="267"/>
      <c r="BX70" s="256">
        <f t="shared" si="66"/>
        <v>1890</v>
      </c>
      <c r="BY70" s="256">
        <f t="shared" si="67"/>
        <v>39535.704691729181</v>
      </c>
      <c r="BZ70" s="281"/>
      <c r="CA70" s="282"/>
      <c r="CC70" s="112" t="str">
        <f t="shared" ca="1" si="68"/>
        <v/>
      </c>
      <c r="CF70" s="284"/>
      <c r="CG70" s="284"/>
      <c r="CH70" s="284"/>
      <c r="CI70" s="284"/>
      <c r="CL70" s="356" t="str">
        <f>IFERROR(VLOOKUP(C70,'Data Sheet'!$A$3:$B$26,2,FALSE),"")</f>
        <v>MCI-00002</v>
      </c>
    </row>
    <row r="71" spans="1:90" s="98" customFormat="1" ht="51" x14ac:dyDescent="0.2">
      <c r="A71" s="97">
        <v>67</v>
      </c>
      <c r="B71" s="105" t="str">
        <f t="shared" si="35"/>
        <v>a1O36000001EGFCEA4-a1O36000001EGGbEAO-Provincial</v>
      </c>
      <c r="C71" s="276" t="s">
        <v>2154</v>
      </c>
      <c r="D71" s="101" t="str">
        <f>IFERROR(IF(VLOOKUP(C71,'Data Sheet'!$A$3:$D$26,4,FALSE)=0,"",VLOOKUP(C71,'Data Sheet'!$A$3:$D$26,4,FALSE)),"")</f>
        <v>a1O36000001EGFCEA4</v>
      </c>
      <c r="E71" s="279" t="s">
        <v>2242</v>
      </c>
      <c r="F71" s="103" t="str">
        <f>IFERROR(IF(VLOOKUP(E71,'Data Sheet'!$C$29:$E$174,3,FALSE)=0,"",VLOOKUP(E71,'Data Sheet'!$C$29:$E$174,3,FALSE)),"")</f>
        <v>a1O36000001EGGbEAO</v>
      </c>
      <c r="G71" s="106" t="str">
        <f t="shared" si="69"/>
        <v>a1O36000001EGFCEA4-a1O36000001EGGbEAO</v>
      </c>
      <c r="H71" s="273" t="s">
        <v>2721</v>
      </c>
      <c r="I71" s="107" t="s">
        <v>2734</v>
      </c>
      <c r="J71" s="249" t="str">
        <f t="shared" si="70"/>
        <v>2.5</v>
      </c>
      <c r="K71" s="101" t="str">
        <f>IFERROR(INDEX('Data Sheet'!$C$198:$C$275,MATCH(I71,'Data Sheet'!$F$198:$F$275,0)),"")</f>
        <v>a2C360000007DB6EAM</v>
      </c>
      <c r="L71" s="250">
        <f>IFERROR(INDEX('Data Sheet'!$G$198:$G$275,MATCH(I71,'Data Sheet'!$F$198:$F$275,0)),"")</f>
        <v>2.5</v>
      </c>
      <c r="M71" s="248" t="s">
        <v>2659</v>
      </c>
      <c r="N71" s="248" t="s">
        <v>2760</v>
      </c>
      <c r="O71" s="248" t="s">
        <v>2128</v>
      </c>
      <c r="P71" s="108" t="str">
        <f>IFERROR(INDEX(Setup!$D$44:$D$70,MATCH(M71,Setup!$K$44:$K$70,0))&amp;"","")</f>
        <v>SR</v>
      </c>
      <c r="Q71" s="108" t="str">
        <f>IFERROR(INDEX(Setup!$E$44:$E$70,MATCH(M71,Setup!$K$44:$K$70,0))&amp;"","")</f>
        <v>Civil Society - Community Based Organization</v>
      </c>
      <c r="R71" s="108" t="str">
        <f>IFERROR(INDEX(Setup!$L$44:$L$70,MATCH(M71,Setup!$K$44:$K$70,0))&amp;"","")</f>
        <v/>
      </c>
      <c r="S71" s="108" t="str">
        <f>Setup!$C$30</f>
        <v>USD</v>
      </c>
      <c r="T71" s="109" t="str">
        <f>IFERROR(INDEX('Data Sheet'!$B$198:$B$275,MATCH(I71,'Data Sheet'!$F$198:$F$275,0)),"")</f>
        <v>N/A</v>
      </c>
      <c r="U71" s="110">
        <f>IFERROR(INDEX('Data Sheet'!$D$198:$D$275,MATCH(I71,'Data Sheet'!$F$198:$F$275,0)),"")</f>
        <v>2</v>
      </c>
      <c r="V71" s="415" t="s">
        <v>992</v>
      </c>
      <c r="W71" s="195" t="str">
        <f>IF(V71=Setup!$C$30,"Grant",IF(V71=Setup!$C$31,"Local",IF(V71=Setup!$C$32,"Other",IF(ISBLANK(V71),"","Other"))))</f>
        <v>Local</v>
      </c>
      <c r="X71" s="255">
        <f>'Assumptions TRC'!C322</f>
        <v>80000</v>
      </c>
      <c r="Y71" s="259">
        <f>IF(X71&lt;&gt;"",X71/VLOOKUP($V71,Setup!$C$30:$D$41,2,0),"")</f>
        <v>9.7781993920062291</v>
      </c>
      <c r="Z71" s="262">
        <f>30*3</f>
        <v>90</v>
      </c>
      <c r="AA71" s="256">
        <f t="shared" si="42"/>
        <v>880.03794528056062</v>
      </c>
      <c r="AB71" s="262">
        <v>90</v>
      </c>
      <c r="AC71" s="258">
        <f t="shared" si="43"/>
        <v>880.03794528056062</v>
      </c>
      <c r="AD71" s="262">
        <v>90</v>
      </c>
      <c r="AE71" s="258">
        <f t="shared" si="44"/>
        <v>880.03794528056062</v>
      </c>
      <c r="AF71" s="262">
        <v>90</v>
      </c>
      <c r="AG71" s="256">
        <f t="shared" si="45"/>
        <v>880.03794528056062</v>
      </c>
      <c r="AH71" s="256">
        <f t="shared" si="46"/>
        <v>360</v>
      </c>
      <c r="AI71" s="256">
        <f t="shared" si="47"/>
        <v>3520.1517811222425</v>
      </c>
      <c r="AJ71" s="111"/>
      <c r="AK71" s="255">
        <f t="shared" si="40"/>
        <v>80000</v>
      </c>
      <c r="AL71" s="259">
        <f>IF(AK71&lt;&gt;"",AK71/VLOOKUP($V71,Setup!$C$30:$D$41,2,0),"")</f>
        <v>9.7781993920062291</v>
      </c>
      <c r="AM71" s="266">
        <v>90</v>
      </c>
      <c r="AN71" s="258">
        <f t="shared" si="48"/>
        <v>880.03794528056062</v>
      </c>
      <c r="AO71" s="266">
        <v>90</v>
      </c>
      <c r="AP71" s="258">
        <f t="shared" si="49"/>
        <v>880.03794528056062</v>
      </c>
      <c r="AQ71" s="266">
        <v>90</v>
      </c>
      <c r="AR71" s="258">
        <f t="shared" si="50"/>
        <v>880.03794528056062</v>
      </c>
      <c r="AS71" s="266">
        <v>90</v>
      </c>
      <c r="AT71" s="256">
        <f t="shared" si="51"/>
        <v>880.03794528056062</v>
      </c>
      <c r="AU71" s="256">
        <f t="shared" si="52"/>
        <v>360</v>
      </c>
      <c r="AV71" s="256">
        <f t="shared" si="53"/>
        <v>3520.1517811222425</v>
      </c>
      <c r="AW71" s="267"/>
      <c r="AX71" s="255">
        <f t="shared" si="41"/>
        <v>80000</v>
      </c>
      <c r="AY71" s="259">
        <f>IF(AX71&lt;&gt;"",AX71/VLOOKUP($V71,Setup!$C$30:$D$41,2,0),"")</f>
        <v>9.7781993920062291</v>
      </c>
      <c r="AZ71" s="268">
        <v>90</v>
      </c>
      <c r="BA71" s="258">
        <f t="shared" si="54"/>
        <v>880.03794528056062</v>
      </c>
      <c r="BB71" s="268">
        <v>90</v>
      </c>
      <c r="BC71" s="258">
        <f t="shared" si="55"/>
        <v>880.03794528056062</v>
      </c>
      <c r="BD71" s="268">
        <v>90</v>
      </c>
      <c r="BE71" s="258">
        <f t="shared" si="56"/>
        <v>880.03794528056062</v>
      </c>
      <c r="BF71" s="268">
        <v>90</v>
      </c>
      <c r="BG71" s="256">
        <f t="shared" si="57"/>
        <v>880.03794528056062</v>
      </c>
      <c r="BH71" s="256">
        <f t="shared" si="58"/>
        <v>360</v>
      </c>
      <c r="BI71" s="256">
        <f t="shared" si="59"/>
        <v>3520.1517811222425</v>
      </c>
      <c r="BJ71" s="267"/>
      <c r="BK71" s="255"/>
      <c r="BL71" s="259" t="str">
        <f>IF(BK71&lt;&gt;"",BK71/VLOOKUP($V71,Setup!$C$30:$D$41,2,0),"")</f>
        <v/>
      </c>
      <c r="BM71" s="268"/>
      <c r="BN71" s="258" t="str">
        <f t="shared" si="60"/>
        <v/>
      </c>
      <c r="BO71" s="268"/>
      <c r="BP71" s="258" t="str">
        <f t="shared" si="61"/>
        <v/>
      </c>
      <c r="BQ71" s="268"/>
      <c r="BR71" s="258" t="str">
        <f t="shared" si="62"/>
        <v/>
      </c>
      <c r="BS71" s="268"/>
      <c r="BT71" s="256" t="str">
        <f t="shared" si="63"/>
        <v/>
      </c>
      <c r="BU71" s="256" t="str">
        <f t="shared" si="64"/>
        <v/>
      </c>
      <c r="BV71" s="256" t="str">
        <f t="shared" si="65"/>
        <v/>
      </c>
      <c r="BW71" s="267"/>
      <c r="BX71" s="256">
        <f t="shared" si="66"/>
        <v>1080</v>
      </c>
      <c r="BY71" s="256">
        <f t="shared" si="67"/>
        <v>10560.455343366728</v>
      </c>
      <c r="BZ71" s="281"/>
      <c r="CA71" s="282"/>
      <c r="CC71" s="112" t="str">
        <f t="shared" ca="1" si="68"/>
        <v/>
      </c>
      <c r="CF71" s="284"/>
      <c r="CG71" s="284"/>
      <c r="CH71" s="284"/>
      <c r="CI71" s="284"/>
      <c r="CL71" s="356" t="str">
        <f>IFERROR(VLOOKUP(C71,'Data Sheet'!$A$3:$B$26,2,FALSE),"")</f>
        <v>MCI-00002</v>
      </c>
    </row>
    <row r="72" spans="1:90" s="98" customFormat="1" ht="51" x14ac:dyDescent="0.2">
      <c r="A72" s="97">
        <v>68</v>
      </c>
      <c r="B72" s="105" t="str">
        <f t="shared" si="35"/>
        <v>a1O36000001EGFCEA4-a1O36000001EGGbEAO-Provincial</v>
      </c>
      <c r="C72" s="276" t="s">
        <v>2154</v>
      </c>
      <c r="D72" s="101" t="str">
        <f>IFERROR(IF(VLOOKUP(C72,'Data Sheet'!$A$3:$D$26,4,FALSE)=0,"",VLOOKUP(C72,'Data Sheet'!$A$3:$D$26,4,FALSE)),"")</f>
        <v>a1O36000001EGFCEA4</v>
      </c>
      <c r="E72" s="279" t="s">
        <v>2242</v>
      </c>
      <c r="F72" s="103" t="str">
        <f>IFERROR(IF(VLOOKUP(E72,'Data Sheet'!$C$29:$E$174,3,FALSE)=0,"",VLOOKUP(E72,'Data Sheet'!$C$29:$E$174,3,FALSE)),"")</f>
        <v>a1O36000001EGGbEAO</v>
      </c>
      <c r="G72" s="106" t="str">
        <f t="shared" si="69"/>
        <v>a1O36000001EGFCEA4-a1O36000001EGGbEAO</v>
      </c>
      <c r="H72" s="273" t="s">
        <v>2722</v>
      </c>
      <c r="I72" s="107" t="s">
        <v>2734</v>
      </c>
      <c r="J72" s="249" t="str">
        <f t="shared" si="70"/>
        <v>2.5</v>
      </c>
      <c r="K72" s="101" t="str">
        <f>IFERROR(INDEX('Data Sheet'!$C$198:$C$275,MATCH(I72,'Data Sheet'!$F$198:$F$275,0)),"")</f>
        <v>a2C360000007DB6EAM</v>
      </c>
      <c r="L72" s="250">
        <f>IFERROR(INDEX('Data Sheet'!$G$198:$G$275,MATCH(I72,'Data Sheet'!$F$198:$F$275,0)),"")</f>
        <v>2.5</v>
      </c>
      <c r="M72" s="248" t="s">
        <v>2659</v>
      </c>
      <c r="N72" s="248" t="s">
        <v>2760</v>
      </c>
      <c r="O72" s="248" t="s">
        <v>2128</v>
      </c>
      <c r="P72" s="108" t="str">
        <f>IFERROR(INDEX(Setup!$D$44:$D$70,MATCH(M72,Setup!$K$44:$K$70,0))&amp;"","")</f>
        <v>SR</v>
      </c>
      <c r="Q72" s="108" t="str">
        <f>IFERROR(INDEX(Setup!$E$44:$E$70,MATCH(M72,Setup!$K$44:$K$70,0))&amp;"","")</f>
        <v>Civil Society - Community Based Organization</v>
      </c>
      <c r="R72" s="108" t="str">
        <f>IFERROR(INDEX(Setup!$L$44:$L$70,MATCH(M72,Setup!$K$44:$K$70,0))&amp;"","")</f>
        <v/>
      </c>
      <c r="S72" s="108" t="str">
        <f>Setup!$C$30</f>
        <v>USD</v>
      </c>
      <c r="T72" s="109" t="str">
        <f>IFERROR(INDEX('Data Sheet'!$B$198:$B$275,MATCH(I72,'Data Sheet'!$F$198:$F$275,0)),"")</f>
        <v>N/A</v>
      </c>
      <c r="U72" s="110">
        <f>IFERROR(INDEX('Data Sheet'!$D$198:$D$275,MATCH(I72,'Data Sheet'!$F$198:$F$275,0)),"")</f>
        <v>2</v>
      </c>
      <c r="V72" s="415" t="s">
        <v>992</v>
      </c>
      <c r="W72" s="195" t="str">
        <f>IF(V72=Setup!$C$30,"Grant",IF(V72=Setup!$C$31,"Local",IF(V72=Setup!$C$32,"Other",IF(ISBLANK(V72),"","Other"))))</f>
        <v>Local</v>
      </c>
      <c r="X72" s="255">
        <f>'Assumptions TRC'!C325</f>
        <v>80000</v>
      </c>
      <c r="Y72" s="259">
        <f>IF(X72&lt;&gt;"",X72/VLOOKUP($V72,Setup!$C$30:$D$41,2,0),"")</f>
        <v>9.7781993920062291</v>
      </c>
      <c r="Z72" s="262"/>
      <c r="AA72" s="256" t="str">
        <f t="shared" si="42"/>
        <v/>
      </c>
      <c r="AB72" s="262"/>
      <c r="AC72" s="258" t="str">
        <f t="shared" si="43"/>
        <v/>
      </c>
      <c r="AD72" s="262"/>
      <c r="AE72" s="258" t="str">
        <f t="shared" si="44"/>
        <v/>
      </c>
      <c r="AF72" s="262">
        <v>36</v>
      </c>
      <c r="AG72" s="256">
        <f t="shared" si="45"/>
        <v>352.01517811222425</v>
      </c>
      <c r="AH72" s="256">
        <f t="shared" si="46"/>
        <v>36</v>
      </c>
      <c r="AI72" s="256">
        <f t="shared" si="47"/>
        <v>352.01517811222425</v>
      </c>
      <c r="AJ72" s="111"/>
      <c r="AK72" s="255">
        <f t="shared" si="40"/>
        <v>80000</v>
      </c>
      <c r="AL72" s="259">
        <f>IF(AK72&lt;&gt;"",AK72/VLOOKUP($V72,Setup!$C$30:$D$41,2,0),"")</f>
        <v>9.7781993920062291</v>
      </c>
      <c r="AM72" s="266"/>
      <c r="AN72" s="258" t="str">
        <f t="shared" si="48"/>
        <v/>
      </c>
      <c r="AO72" s="266"/>
      <c r="AP72" s="258" t="str">
        <f t="shared" si="49"/>
        <v/>
      </c>
      <c r="AQ72" s="266"/>
      <c r="AR72" s="258" t="str">
        <f t="shared" si="50"/>
        <v/>
      </c>
      <c r="AS72" s="266">
        <v>36</v>
      </c>
      <c r="AT72" s="256">
        <f t="shared" si="51"/>
        <v>352.01517811222425</v>
      </c>
      <c r="AU72" s="256">
        <f t="shared" si="52"/>
        <v>36</v>
      </c>
      <c r="AV72" s="256">
        <f t="shared" si="53"/>
        <v>352.01517811222425</v>
      </c>
      <c r="AW72" s="267"/>
      <c r="AX72" s="255">
        <f t="shared" si="41"/>
        <v>80000</v>
      </c>
      <c r="AY72" s="259">
        <f>IF(AX72&lt;&gt;"",AX72/VLOOKUP($V72,Setup!$C$30:$D$41,2,0),"")</f>
        <v>9.7781993920062291</v>
      </c>
      <c r="AZ72" s="268"/>
      <c r="BA72" s="258" t="str">
        <f t="shared" si="54"/>
        <v/>
      </c>
      <c r="BB72" s="268"/>
      <c r="BC72" s="258" t="str">
        <f t="shared" si="55"/>
        <v/>
      </c>
      <c r="BD72" s="268"/>
      <c r="BE72" s="258" t="str">
        <f t="shared" si="56"/>
        <v/>
      </c>
      <c r="BF72" s="268">
        <v>36</v>
      </c>
      <c r="BG72" s="256">
        <f t="shared" si="57"/>
        <v>352.01517811222425</v>
      </c>
      <c r="BH72" s="256">
        <f t="shared" si="58"/>
        <v>36</v>
      </c>
      <c r="BI72" s="256">
        <f t="shared" si="59"/>
        <v>352.01517811222425</v>
      </c>
      <c r="BJ72" s="267"/>
      <c r="BK72" s="255"/>
      <c r="BL72" s="259" t="str">
        <f>IF(BK72&lt;&gt;"",BK72/VLOOKUP($V72,Setup!$C$30:$D$41,2,0),"")</f>
        <v/>
      </c>
      <c r="BM72" s="268"/>
      <c r="BN72" s="258" t="str">
        <f t="shared" si="60"/>
        <v/>
      </c>
      <c r="BO72" s="268"/>
      <c r="BP72" s="258" t="str">
        <f t="shared" si="61"/>
        <v/>
      </c>
      <c r="BQ72" s="268"/>
      <c r="BR72" s="258" t="str">
        <f t="shared" si="62"/>
        <v/>
      </c>
      <c r="BS72" s="268"/>
      <c r="BT72" s="256" t="str">
        <f t="shared" si="63"/>
        <v/>
      </c>
      <c r="BU72" s="256" t="str">
        <f t="shared" si="64"/>
        <v/>
      </c>
      <c r="BV72" s="256" t="str">
        <f t="shared" si="65"/>
        <v/>
      </c>
      <c r="BW72" s="267"/>
      <c r="BX72" s="256">
        <f t="shared" si="66"/>
        <v>108</v>
      </c>
      <c r="BY72" s="256">
        <f t="shared" si="67"/>
        <v>1056.0455343366727</v>
      </c>
      <c r="BZ72" s="281"/>
      <c r="CA72" s="282"/>
      <c r="CC72" s="112" t="str">
        <f t="shared" ca="1" si="68"/>
        <v/>
      </c>
      <c r="CF72" s="284"/>
      <c r="CG72" s="284"/>
      <c r="CH72" s="284"/>
      <c r="CI72" s="284"/>
      <c r="CL72" s="356" t="str">
        <f>IFERROR(VLOOKUP(C72,'Data Sheet'!$A$3:$B$26,2,FALSE),"")</f>
        <v>MCI-00002</v>
      </c>
    </row>
    <row r="73" spans="1:90" s="98" customFormat="1" ht="51" x14ac:dyDescent="0.2">
      <c r="A73" s="97">
        <v>69</v>
      </c>
      <c r="B73" s="105" t="str">
        <f t="shared" si="35"/>
        <v>a1O36000001EGFCEA4-a1O36000001EGGZEA4-Provincial</v>
      </c>
      <c r="C73" s="276" t="s">
        <v>2154</v>
      </c>
      <c r="D73" s="101" t="str">
        <f>IFERROR(IF(VLOOKUP(C73,'Data Sheet'!$A$3:$D$26,4,FALSE)=0,"",VLOOKUP(C73,'Data Sheet'!$A$3:$D$26,4,FALSE)),"")</f>
        <v>a1O36000001EGFCEA4</v>
      </c>
      <c r="E73" s="279" t="s">
        <v>2232</v>
      </c>
      <c r="F73" s="103" t="str">
        <f>IFERROR(IF(VLOOKUP(E73,'Data Sheet'!$C$29:$E$174,3,FALSE)=0,"",VLOOKUP(E73,'Data Sheet'!$C$29:$E$174,3,FALSE)),"")</f>
        <v>a1O36000001EGGZEA4</v>
      </c>
      <c r="G73" s="106" t="str">
        <f t="shared" si="69"/>
        <v>a1O36000001EGFCEA4-a1O36000001EGGZEA4</v>
      </c>
      <c r="H73" s="273" t="s">
        <v>2723</v>
      </c>
      <c r="I73" s="107" t="s">
        <v>2743</v>
      </c>
      <c r="J73" s="249" t="str">
        <f t="shared" si="70"/>
        <v>2.3</v>
      </c>
      <c r="K73" s="101" t="str">
        <f>IFERROR(INDEX('Data Sheet'!$C$198:$C$275,MATCH(I73,'Data Sheet'!$F$198:$F$275,0)),"")</f>
        <v>a2C360000007DB3EAM</v>
      </c>
      <c r="L73" s="250">
        <f>IFERROR(INDEX('Data Sheet'!$G$198:$G$275,MATCH(I73,'Data Sheet'!$F$198:$F$275,0)),"")</f>
        <v>2.2999999999999998</v>
      </c>
      <c r="M73" s="248" t="s">
        <v>2659</v>
      </c>
      <c r="N73" s="248" t="s">
        <v>2760</v>
      </c>
      <c r="O73" s="248" t="s">
        <v>2128</v>
      </c>
      <c r="P73" s="108" t="str">
        <f>IFERROR(INDEX(Setup!$D$44:$D$70,MATCH(M73,Setup!$K$44:$K$70,0))&amp;"","")</f>
        <v>SR</v>
      </c>
      <c r="Q73" s="108" t="str">
        <f>IFERROR(INDEX(Setup!$E$44:$E$70,MATCH(M73,Setup!$K$44:$K$70,0))&amp;"","")</f>
        <v>Civil Society - Community Based Organization</v>
      </c>
      <c r="R73" s="108" t="str">
        <f>IFERROR(INDEX(Setup!$L$44:$L$70,MATCH(M73,Setup!$K$44:$K$70,0))&amp;"","")</f>
        <v/>
      </c>
      <c r="S73" s="108" t="str">
        <f>Setup!$C$30</f>
        <v>USD</v>
      </c>
      <c r="T73" s="109" t="str">
        <f>IFERROR(INDEX('Data Sheet'!$B$198:$B$275,MATCH(I73,'Data Sheet'!$F$198:$F$275,0)),"")</f>
        <v>Average cost of subsistence per person per day</v>
      </c>
      <c r="U73" s="110">
        <f>IFERROR(INDEX('Data Sheet'!$D$198:$D$275,MATCH(I73,'Data Sheet'!$F$198:$F$275,0)),"")</f>
        <v>2</v>
      </c>
      <c r="V73" s="415" t="s">
        <v>992</v>
      </c>
      <c r="W73" s="195" t="str">
        <f>IF(V73=Setup!$C$30,"Grant",IF(V73=Setup!$C$31,"Local",IF(V73=Setup!$C$32,"Other",IF(ISBLANK(V73),"","Other"))))</f>
        <v>Local</v>
      </c>
      <c r="X73" s="255">
        <f>'Assumptions TRC'!G337</f>
        <v>428000</v>
      </c>
      <c r="Y73" s="259">
        <f>IF(X73&lt;&gt;"",X73/VLOOKUP($V73,Setup!$C$30:$D$41,2,0),"")</f>
        <v>52.313366747233324</v>
      </c>
      <c r="Z73" s="262"/>
      <c r="AA73" s="256" t="str">
        <f t="shared" si="42"/>
        <v/>
      </c>
      <c r="AB73" s="262">
        <f>2*5*3</f>
        <v>30</v>
      </c>
      <c r="AC73" s="258">
        <f t="shared" si="43"/>
        <v>1569.4010024169997</v>
      </c>
      <c r="AD73" s="262"/>
      <c r="AE73" s="258" t="str">
        <f t="shared" si="44"/>
        <v/>
      </c>
      <c r="AF73" s="262">
        <f>2*5*3</f>
        <v>30</v>
      </c>
      <c r="AG73" s="256">
        <f t="shared" si="45"/>
        <v>1569.4010024169997</v>
      </c>
      <c r="AH73" s="256">
        <f t="shared" si="46"/>
        <v>60</v>
      </c>
      <c r="AI73" s="256">
        <f t="shared" si="47"/>
        <v>3138.8020048339995</v>
      </c>
      <c r="AJ73" s="111"/>
      <c r="AK73" s="255">
        <f t="shared" si="40"/>
        <v>428000</v>
      </c>
      <c r="AL73" s="259">
        <f>IF(AK73&lt;&gt;"",AK73/VLOOKUP($V73,Setup!$C$30:$D$41,2,0),"")</f>
        <v>52.313366747233324</v>
      </c>
      <c r="AM73" s="266"/>
      <c r="AN73" s="258" t="str">
        <f t="shared" si="48"/>
        <v/>
      </c>
      <c r="AO73" s="262">
        <f>2*5*3</f>
        <v>30</v>
      </c>
      <c r="AP73" s="258">
        <f t="shared" si="49"/>
        <v>1569.4010024169997</v>
      </c>
      <c r="AQ73" s="266"/>
      <c r="AR73" s="258" t="str">
        <f t="shared" si="50"/>
        <v/>
      </c>
      <c r="AS73" s="262">
        <f>2*5*3</f>
        <v>30</v>
      </c>
      <c r="AT73" s="256">
        <f t="shared" si="51"/>
        <v>1569.4010024169997</v>
      </c>
      <c r="AU73" s="256">
        <f t="shared" si="52"/>
        <v>60</v>
      </c>
      <c r="AV73" s="256">
        <f t="shared" si="53"/>
        <v>3138.8020048339995</v>
      </c>
      <c r="AW73" s="267"/>
      <c r="AX73" s="255">
        <f t="shared" si="41"/>
        <v>428000</v>
      </c>
      <c r="AY73" s="259">
        <f>IF(AX73&lt;&gt;"",AX73/VLOOKUP($V73,Setup!$C$30:$D$41,2,0),"")</f>
        <v>52.313366747233324</v>
      </c>
      <c r="AZ73" s="268"/>
      <c r="BA73" s="258" t="str">
        <f t="shared" si="54"/>
        <v/>
      </c>
      <c r="BB73" s="262">
        <f>2*5*3</f>
        <v>30</v>
      </c>
      <c r="BC73" s="258">
        <f t="shared" si="55"/>
        <v>1569.4010024169997</v>
      </c>
      <c r="BD73" s="268"/>
      <c r="BE73" s="258" t="str">
        <f t="shared" si="56"/>
        <v/>
      </c>
      <c r="BF73" s="262">
        <f>2*5*3</f>
        <v>30</v>
      </c>
      <c r="BG73" s="256">
        <f t="shared" si="57"/>
        <v>1569.4010024169997</v>
      </c>
      <c r="BH73" s="256">
        <f t="shared" si="58"/>
        <v>60</v>
      </c>
      <c r="BI73" s="256">
        <f t="shared" si="59"/>
        <v>3138.8020048339995</v>
      </c>
      <c r="BJ73" s="267"/>
      <c r="BK73" s="255"/>
      <c r="BL73" s="259" t="str">
        <f>IF(BK73&lt;&gt;"",BK73/VLOOKUP($V73,Setup!$C$30:$D$41,2,0),"")</f>
        <v/>
      </c>
      <c r="BM73" s="268"/>
      <c r="BN73" s="258" t="str">
        <f t="shared" si="60"/>
        <v/>
      </c>
      <c r="BO73" s="268"/>
      <c r="BP73" s="258" t="str">
        <f t="shared" si="61"/>
        <v/>
      </c>
      <c r="BQ73" s="268"/>
      <c r="BR73" s="258" t="str">
        <f t="shared" si="62"/>
        <v/>
      </c>
      <c r="BS73" s="268"/>
      <c r="BT73" s="256" t="str">
        <f t="shared" si="63"/>
        <v/>
      </c>
      <c r="BU73" s="256" t="str">
        <f t="shared" si="64"/>
        <v/>
      </c>
      <c r="BV73" s="256" t="str">
        <f t="shared" si="65"/>
        <v/>
      </c>
      <c r="BW73" s="267"/>
      <c r="BX73" s="256">
        <f t="shared" si="66"/>
        <v>180</v>
      </c>
      <c r="BY73" s="256">
        <f t="shared" si="67"/>
        <v>9416.4060145019976</v>
      </c>
      <c r="BZ73" s="281"/>
      <c r="CA73" s="282"/>
      <c r="CC73" s="112" t="str">
        <f t="shared" ca="1" si="68"/>
        <v/>
      </c>
      <c r="CF73" s="284"/>
      <c r="CG73" s="284"/>
      <c r="CH73" s="284"/>
      <c r="CI73" s="284"/>
      <c r="CL73" s="356" t="str">
        <f>IFERROR(VLOOKUP(C73,'Data Sheet'!$A$3:$B$26,2,FALSE),"")</f>
        <v>MCI-00002</v>
      </c>
    </row>
    <row r="74" spans="1:90" s="98" customFormat="1" ht="51" x14ac:dyDescent="0.2">
      <c r="A74" s="97">
        <v>70</v>
      </c>
      <c r="B74" s="105" t="str">
        <f t="shared" si="35"/>
        <v>a1O36000001EGFCEA4-a1O36000001qZ85EAE-Provincial</v>
      </c>
      <c r="C74" s="276" t="s">
        <v>2154</v>
      </c>
      <c r="D74" s="101" t="str">
        <f>IFERROR(IF(VLOOKUP(C74,'Data Sheet'!$A$3:$D$26,4,FALSE)=0,"",VLOOKUP(C74,'Data Sheet'!$A$3:$D$26,4,FALSE)),"")</f>
        <v>a1O36000001EGFCEA4</v>
      </c>
      <c r="E74" s="279" t="s">
        <v>2230</v>
      </c>
      <c r="F74" s="103" t="str">
        <f>IFERROR(IF(VLOOKUP(E74,'Data Sheet'!$C$29:$E$174,3,FALSE)=0,"",VLOOKUP(E74,'Data Sheet'!$C$29:$E$174,3,FALSE)),"")</f>
        <v>a1O36000001qZ85EAE</v>
      </c>
      <c r="G74" s="106" t="str">
        <f t="shared" si="69"/>
        <v>a1O36000001EGFCEA4-a1O36000001qZ85EAE</v>
      </c>
      <c r="H74" s="273" t="s">
        <v>2724</v>
      </c>
      <c r="I74" s="107" t="s">
        <v>2733</v>
      </c>
      <c r="J74" s="249" t="str">
        <f t="shared" si="70"/>
        <v>2.4</v>
      </c>
      <c r="K74" s="101" t="str">
        <f>IFERROR(INDEX('Data Sheet'!$C$198:$C$275,MATCH(I74,'Data Sheet'!$F$198:$F$275,0)),"")</f>
        <v>a2C360000007DB9EAM</v>
      </c>
      <c r="L74" s="250">
        <f>IFERROR(INDEX('Data Sheet'!$G$198:$G$275,MATCH(I74,'Data Sheet'!$F$198:$F$275,0)),"")</f>
        <v>2.4</v>
      </c>
      <c r="M74" s="248" t="s">
        <v>2659</v>
      </c>
      <c r="N74" s="248" t="s">
        <v>2760</v>
      </c>
      <c r="O74" s="248" t="s">
        <v>2128</v>
      </c>
      <c r="P74" s="108" t="str">
        <f>IFERROR(INDEX(Setup!$D$44:$D$70,MATCH(M74,Setup!$K$44:$K$70,0))&amp;"","")</f>
        <v>SR</v>
      </c>
      <c r="Q74" s="108" t="str">
        <f>IFERROR(INDEX(Setup!$E$44:$E$70,MATCH(M74,Setup!$K$44:$K$70,0))&amp;"","")</f>
        <v>Civil Society - Community Based Organization</v>
      </c>
      <c r="R74" s="108" t="str">
        <f>IFERROR(INDEX(Setup!$L$44:$L$70,MATCH(M74,Setup!$K$44:$K$70,0))&amp;"","")</f>
        <v/>
      </c>
      <c r="S74" s="108" t="str">
        <f>Setup!$C$30</f>
        <v>USD</v>
      </c>
      <c r="T74" s="109" t="str">
        <f>IFERROR(INDEX('Data Sheet'!$B$198:$B$275,MATCH(I74,'Data Sheet'!$F$198:$F$275,0)),"")</f>
        <v>Average cost of event per participant per day</v>
      </c>
      <c r="U74" s="110">
        <f>IFERROR(INDEX('Data Sheet'!$D$198:$D$275,MATCH(I74,'Data Sheet'!$F$198:$F$275,0)),"")</f>
        <v>2</v>
      </c>
      <c r="V74" s="415" t="s">
        <v>992</v>
      </c>
      <c r="W74" s="195" t="str">
        <f>IF(V74=Setup!$C$30,"Grant",IF(V74=Setup!$C$31,"Local",IF(V74=Setup!$C$32,"Other",IF(ISBLANK(V74),"","Other"))))</f>
        <v>Local</v>
      </c>
      <c r="X74" s="255">
        <f>'Assumptions TRC'!G352</f>
        <v>173000</v>
      </c>
      <c r="Y74" s="259">
        <f>IF(X74&lt;&gt;"",X74/VLOOKUP($V74,Setup!$C$30:$D$41,2,0),"")</f>
        <v>21.145356185213469</v>
      </c>
      <c r="Z74" s="262"/>
      <c r="AA74" s="256" t="str">
        <f t="shared" si="42"/>
        <v/>
      </c>
      <c r="AB74" s="262">
        <f>10*6*3</f>
        <v>180</v>
      </c>
      <c r="AC74" s="258">
        <f t="shared" si="43"/>
        <v>3806.1641133384246</v>
      </c>
      <c r="AD74" s="262">
        <f>10*6*3</f>
        <v>180</v>
      </c>
      <c r="AE74" s="258">
        <f t="shared" si="44"/>
        <v>3806.1641133384246</v>
      </c>
      <c r="AF74" s="262">
        <f>10*6*3</f>
        <v>180</v>
      </c>
      <c r="AG74" s="256">
        <f t="shared" si="45"/>
        <v>3806.1641133384246</v>
      </c>
      <c r="AH74" s="256">
        <f t="shared" si="46"/>
        <v>540</v>
      </c>
      <c r="AI74" s="256">
        <f t="shared" si="47"/>
        <v>11418.492340015273</v>
      </c>
      <c r="AJ74" s="111"/>
      <c r="AK74" s="255">
        <f t="shared" si="40"/>
        <v>173000</v>
      </c>
      <c r="AL74" s="259">
        <f>IF(AK74&lt;&gt;"",AK74/VLOOKUP($V74,Setup!$C$30:$D$41,2,0),"")</f>
        <v>21.145356185213469</v>
      </c>
      <c r="AM74" s="266"/>
      <c r="AN74" s="258" t="str">
        <f t="shared" si="48"/>
        <v/>
      </c>
      <c r="AO74" s="262">
        <f>10*6*3</f>
        <v>180</v>
      </c>
      <c r="AP74" s="258">
        <f t="shared" si="49"/>
        <v>3806.1641133384246</v>
      </c>
      <c r="AQ74" s="262">
        <f>10*6*3</f>
        <v>180</v>
      </c>
      <c r="AR74" s="258">
        <f t="shared" si="50"/>
        <v>3806.1641133384246</v>
      </c>
      <c r="AS74" s="262">
        <f>10*6*3</f>
        <v>180</v>
      </c>
      <c r="AT74" s="256">
        <f t="shared" si="51"/>
        <v>3806.1641133384246</v>
      </c>
      <c r="AU74" s="256">
        <f t="shared" si="52"/>
        <v>540</v>
      </c>
      <c r="AV74" s="256">
        <f t="shared" si="53"/>
        <v>11418.492340015273</v>
      </c>
      <c r="AW74" s="267"/>
      <c r="AX74" s="255">
        <f t="shared" si="41"/>
        <v>173000</v>
      </c>
      <c r="AY74" s="259">
        <f>IF(AX74&lt;&gt;"",AX74/VLOOKUP($V74,Setup!$C$30:$D$41,2,0),"")</f>
        <v>21.145356185213469</v>
      </c>
      <c r="AZ74" s="268"/>
      <c r="BA74" s="258" t="str">
        <f t="shared" si="54"/>
        <v/>
      </c>
      <c r="BB74" s="262">
        <f>10*6*3</f>
        <v>180</v>
      </c>
      <c r="BC74" s="258">
        <f t="shared" si="55"/>
        <v>3806.1641133384246</v>
      </c>
      <c r="BD74" s="262">
        <f>10*6*3</f>
        <v>180</v>
      </c>
      <c r="BE74" s="258">
        <f t="shared" si="56"/>
        <v>3806.1641133384246</v>
      </c>
      <c r="BF74" s="262">
        <f>10*6*3</f>
        <v>180</v>
      </c>
      <c r="BG74" s="256">
        <f t="shared" si="57"/>
        <v>3806.1641133384246</v>
      </c>
      <c r="BH74" s="256">
        <f t="shared" si="58"/>
        <v>540</v>
      </c>
      <c r="BI74" s="256">
        <f t="shared" si="59"/>
        <v>11418.492340015273</v>
      </c>
      <c r="BJ74" s="267"/>
      <c r="BK74" s="255"/>
      <c r="BL74" s="259" t="str">
        <f>IF(BK74&lt;&gt;"",BK74/VLOOKUP($V74,Setup!$C$30:$D$41,2,0),"")</f>
        <v/>
      </c>
      <c r="BM74" s="268"/>
      <c r="BN74" s="258" t="str">
        <f t="shared" si="60"/>
        <v/>
      </c>
      <c r="BO74" s="268"/>
      <c r="BP74" s="258" t="str">
        <f t="shared" si="61"/>
        <v/>
      </c>
      <c r="BQ74" s="268"/>
      <c r="BR74" s="258" t="str">
        <f t="shared" si="62"/>
        <v/>
      </c>
      <c r="BS74" s="268"/>
      <c r="BT74" s="256" t="str">
        <f t="shared" si="63"/>
        <v/>
      </c>
      <c r="BU74" s="256" t="str">
        <f t="shared" si="64"/>
        <v/>
      </c>
      <c r="BV74" s="256" t="str">
        <f t="shared" si="65"/>
        <v/>
      </c>
      <c r="BW74" s="267"/>
      <c r="BX74" s="256">
        <f t="shared" si="66"/>
        <v>1620</v>
      </c>
      <c r="BY74" s="256">
        <f t="shared" si="67"/>
        <v>34255.477020045815</v>
      </c>
      <c r="BZ74" s="281"/>
      <c r="CA74" s="282"/>
      <c r="CC74" s="112" t="str">
        <f t="shared" ca="1" si="68"/>
        <v/>
      </c>
      <c r="CF74" s="284"/>
      <c r="CG74" s="284"/>
      <c r="CH74" s="284"/>
      <c r="CI74" s="284"/>
      <c r="CL74" s="356" t="str">
        <f>IFERROR(VLOOKUP(C74,'Data Sheet'!$A$3:$B$26,2,FALSE),"")</f>
        <v>MCI-00002</v>
      </c>
    </row>
    <row r="75" spans="1:90" s="98" customFormat="1" ht="51" x14ac:dyDescent="0.2">
      <c r="A75" s="97">
        <v>71</v>
      </c>
      <c r="B75" s="105" t="str">
        <f t="shared" si="35"/>
        <v>a1O36000001EGFCEA4-a1O36000001qZ85EAE-Provincial</v>
      </c>
      <c r="C75" s="276" t="s">
        <v>2154</v>
      </c>
      <c r="D75" s="101" t="str">
        <f>IFERROR(IF(VLOOKUP(C75,'Data Sheet'!$A$3:$D$26,4,FALSE)=0,"",VLOOKUP(C75,'Data Sheet'!$A$3:$D$26,4,FALSE)),"")</f>
        <v>a1O36000001EGFCEA4</v>
      </c>
      <c r="E75" s="279" t="s">
        <v>2230</v>
      </c>
      <c r="F75" s="103" t="str">
        <f>IFERROR(IF(VLOOKUP(E75,'Data Sheet'!$C$29:$E$174,3,FALSE)=0,"",VLOOKUP(E75,'Data Sheet'!$C$29:$E$174,3,FALSE)),"")</f>
        <v>a1O36000001qZ85EAE</v>
      </c>
      <c r="G75" s="106" t="str">
        <f t="shared" si="69"/>
        <v>a1O36000001EGFCEA4-a1O36000001qZ85EAE</v>
      </c>
      <c r="H75" s="273" t="s">
        <v>2725</v>
      </c>
      <c r="I75" s="107" t="s">
        <v>2733</v>
      </c>
      <c r="J75" s="249" t="str">
        <f t="shared" si="70"/>
        <v>2.4</v>
      </c>
      <c r="K75" s="101" t="str">
        <f>IFERROR(INDEX('Data Sheet'!$C$198:$C$275,MATCH(I75,'Data Sheet'!$F$198:$F$275,0)),"")</f>
        <v>a2C360000007DB9EAM</v>
      </c>
      <c r="L75" s="250">
        <f>IFERROR(INDEX('Data Sheet'!$G$198:$G$275,MATCH(I75,'Data Sheet'!$F$198:$F$275,0)),"")</f>
        <v>2.4</v>
      </c>
      <c r="M75" s="248" t="s">
        <v>2659</v>
      </c>
      <c r="N75" s="248" t="s">
        <v>2760</v>
      </c>
      <c r="O75" s="248" t="s">
        <v>2128</v>
      </c>
      <c r="P75" s="108" t="str">
        <f>IFERROR(INDEX(Setup!$D$44:$D$70,MATCH(M75,Setup!$K$44:$K$70,0))&amp;"","")</f>
        <v>SR</v>
      </c>
      <c r="Q75" s="108" t="str">
        <f>IFERROR(INDEX(Setup!$E$44:$E$70,MATCH(M75,Setup!$K$44:$K$70,0))&amp;"","")</f>
        <v>Civil Society - Community Based Organization</v>
      </c>
      <c r="R75" s="108" t="str">
        <f>IFERROR(INDEX(Setup!$L$44:$L$70,MATCH(M75,Setup!$K$44:$K$70,0))&amp;"","")</f>
        <v/>
      </c>
      <c r="S75" s="108" t="str">
        <f>Setup!$C$30</f>
        <v>USD</v>
      </c>
      <c r="T75" s="109" t="str">
        <f>IFERROR(INDEX('Data Sheet'!$B$198:$B$275,MATCH(I75,'Data Sheet'!$F$198:$F$275,0)),"")</f>
        <v>Average cost of event per participant per day</v>
      </c>
      <c r="U75" s="110">
        <f>IFERROR(INDEX('Data Sheet'!$D$198:$D$275,MATCH(I75,'Data Sheet'!$F$198:$F$275,0)),"")</f>
        <v>2</v>
      </c>
      <c r="V75" s="415" t="s">
        <v>992</v>
      </c>
      <c r="W75" s="195" t="str">
        <f>IF(V75=Setup!$C$30,"Grant",IF(V75=Setup!$C$31,"Local",IF(V75=Setup!$C$32,"Other",IF(ISBLANK(V75),"","Other"))))</f>
        <v>Local</v>
      </c>
      <c r="X75" s="255">
        <f>'Assumptions TRC'!G359</f>
        <v>20000</v>
      </c>
      <c r="Y75" s="259">
        <f>IF(X75&lt;&gt;"",X75/VLOOKUP($V75,Setup!$C$30:$D$41,2,0),"")</f>
        <v>2.4445498480015573</v>
      </c>
      <c r="Z75" s="262">
        <f>25*2*3*3</f>
        <v>450</v>
      </c>
      <c r="AA75" s="256">
        <f t="shared" si="42"/>
        <v>1100.0474316007007</v>
      </c>
      <c r="AB75" s="262">
        <f>25*2*3*3</f>
        <v>450</v>
      </c>
      <c r="AC75" s="258">
        <f t="shared" si="43"/>
        <v>1100.0474316007007</v>
      </c>
      <c r="AD75" s="262">
        <f>25*2*3*3</f>
        <v>450</v>
      </c>
      <c r="AE75" s="258">
        <f t="shared" si="44"/>
        <v>1100.0474316007007</v>
      </c>
      <c r="AF75" s="262">
        <f>25*2*3*3</f>
        <v>450</v>
      </c>
      <c r="AG75" s="256">
        <f t="shared" si="45"/>
        <v>1100.0474316007007</v>
      </c>
      <c r="AH75" s="256">
        <f t="shared" si="46"/>
        <v>1800</v>
      </c>
      <c r="AI75" s="256">
        <f t="shared" si="47"/>
        <v>4400.189726402803</v>
      </c>
      <c r="AJ75" s="111"/>
      <c r="AK75" s="255">
        <f t="shared" si="40"/>
        <v>20000</v>
      </c>
      <c r="AL75" s="259">
        <f>IF(AK75&lt;&gt;"",AK75/VLOOKUP($V75,Setup!$C$30:$D$41,2,0),"")</f>
        <v>2.4445498480015573</v>
      </c>
      <c r="AM75" s="262">
        <f>25*2*3*3</f>
        <v>450</v>
      </c>
      <c r="AN75" s="258">
        <f t="shared" si="48"/>
        <v>1100.0474316007007</v>
      </c>
      <c r="AO75" s="262">
        <f>25*2*3*3</f>
        <v>450</v>
      </c>
      <c r="AP75" s="258">
        <f t="shared" si="49"/>
        <v>1100.0474316007007</v>
      </c>
      <c r="AQ75" s="262">
        <f>25*2*3*3</f>
        <v>450</v>
      </c>
      <c r="AR75" s="258">
        <f t="shared" si="50"/>
        <v>1100.0474316007007</v>
      </c>
      <c r="AS75" s="262">
        <f>25*2*3*3</f>
        <v>450</v>
      </c>
      <c r="AT75" s="256">
        <f t="shared" si="51"/>
        <v>1100.0474316007007</v>
      </c>
      <c r="AU75" s="256">
        <f t="shared" si="52"/>
        <v>1800</v>
      </c>
      <c r="AV75" s="256">
        <f t="shared" si="53"/>
        <v>4400.189726402803</v>
      </c>
      <c r="AW75" s="267"/>
      <c r="AX75" s="255">
        <f t="shared" si="41"/>
        <v>20000</v>
      </c>
      <c r="AY75" s="259">
        <f>IF(AX75&lt;&gt;"",AX75/VLOOKUP($V75,Setup!$C$30:$D$41,2,0),"")</f>
        <v>2.4445498480015573</v>
      </c>
      <c r="AZ75" s="262">
        <f>25*2*3*3</f>
        <v>450</v>
      </c>
      <c r="BA75" s="258">
        <f t="shared" si="54"/>
        <v>1100.0474316007007</v>
      </c>
      <c r="BB75" s="262">
        <f>25*2*3*3</f>
        <v>450</v>
      </c>
      <c r="BC75" s="258">
        <f t="shared" si="55"/>
        <v>1100.0474316007007</v>
      </c>
      <c r="BD75" s="262">
        <f>25*2*3*3</f>
        <v>450</v>
      </c>
      <c r="BE75" s="258">
        <f t="shared" si="56"/>
        <v>1100.0474316007007</v>
      </c>
      <c r="BF75" s="262">
        <f>25*2*3*3</f>
        <v>450</v>
      </c>
      <c r="BG75" s="256">
        <f t="shared" si="57"/>
        <v>1100.0474316007007</v>
      </c>
      <c r="BH75" s="256">
        <f t="shared" si="58"/>
        <v>1800</v>
      </c>
      <c r="BI75" s="256">
        <f t="shared" si="59"/>
        <v>4400.189726402803</v>
      </c>
      <c r="BJ75" s="267"/>
      <c r="BK75" s="255"/>
      <c r="BL75" s="259" t="str">
        <f>IF(BK75&lt;&gt;"",BK75/VLOOKUP($V75,Setup!$C$30:$D$41,2,0),"")</f>
        <v/>
      </c>
      <c r="BM75" s="268"/>
      <c r="BN75" s="258" t="str">
        <f t="shared" si="60"/>
        <v/>
      </c>
      <c r="BO75" s="268"/>
      <c r="BP75" s="258" t="str">
        <f t="shared" si="61"/>
        <v/>
      </c>
      <c r="BQ75" s="268"/>
      <c r="BR75" s="258" t="str">
        <f t="shared" si="62"/>
        <v/>
      </c>
      <c r="BS75" s="268"/>
      <c r="BT75" s="256" t="str">
        <f t="shared" si="63"/>
        <v/>
      </c>
      <c r="BU75" s="256" t="str">
        <f t="shared" si="64"/>
        <v/>
      </c>
      <c r="BV75" s="256" t="str">
        <f t="shared" si="65"/>
        <v/>
      </c>
      <c r="BW75" s="267"/>
      <c r="BX75" s="256">
        <f t="shared" si="66"/>
        <v>5400</v>
      </c>
      <c r="BY75" s="256">
        <f t="shared" si="67"/>
        <v>13200.569179208409</v>
      </c>
      <c r="BZ75" s="281"/>
      <c r="CA75" s="282"/>
      <c r="CC75" s="112" t="str">
        <f t="shared" ca="1" si="68"/>
        <v/>
      </c>
      <c r="CF75" s="284"/>
      <c r="CG75" s="284"/>
      <c r="CH75" s="284"/>
      <c r="CI75" s="284"/>
      <c r="CL75" s="356" t="str">
        <f>IFERROR(VLOOKUP(C75,'Data Sheet'!$A$3:$B$26,2,FALSE),"")</f>
        <v>MCI-00002</v>
      </c>
    </row>
    <row r="76" spans="1:90" s="98" customFormat="1" ht="51" x14ac:dyDescent="0.2">
      <c r="A76" s="97">
        <v>72</v>
      </c>
      <c r="B76" s="105" t="str">
        <f t="shared" si="35"/>
        <v>a1O36000001EGFCEA4-a1O36000001qZ85EAE-Provincial</v>
      </c>
      <c r="C76" s="276" t="s">
        <v>2154</v>
      </c>
      <c r="D76" s="101" t="str">
        <f>IFERROR(IF(VLOOKUP(C76,'Data Sheet'!$A$3:$D$26,4,FALSE)=0,"",VLOOKUP(C76,'Data Sheet'!$A$3:$D$26,4,FALSE)),"")</f>
        <v>a1O36000001EGFCEA4</v>
      </c>
      <c r="E76" s="279" t="s">
        <v>2230</v>
      </c>
      <c r="F76" s="103" t="str">
        <f>IFERROR(IF(VLOOKUP(E76,'Data Sheet'!$C$29:$E$174,3,FALSE)=0,"",VLOOKUP(E76,'Data Sheet'!$C$29:$E$174,3,FALSE)),"")</f>
        <v>a1O36000001qZ85EAE</v>
      </c>
      <c r="G76" s="106" t="str">
        <f t="shared" si="69"/>
        <v>a1O36000001EGFCEA4-a1O36000001qZ85EAE</v>
      </c>
      <c r="H76" s="273" t="s">
        <v>2726</v>
      </c>
      <c r="I76" s="107" t="s">
        <v>2754</v>
      </c>
      <c r="J76" s="249" t="str">
        <f t="shared" si="70"/>
        <v>13.0</v>
      </c>
      <c r="K76" s="101" t="str">
        <f>IFERROR(INDEX('Data Sheet'!$C$198:$C$275,MATCH(I76,'Data Sheet'!$F$198:$F$275,0)),"")</f>
        <v>a2C360000007DB7EAM</v>
      </c>
      <c r="L76" s="250">
        <f>IFERROR(INDEX('Data Sheet'!$G$198:$G$275,MATCH(I76,'Data Sheet'!$F$198:$F$275,0)),"")</f>
        <v>13</v>
      </c>
      <c r="M76" s="248" t="s">
        <v>2659</v>
      </c>
      <c r="N76" s="248" t="s">
        <v>2760</v>
      </c>
      <c r="O76" s="248" t="s">
        <v>2128</v>
      </c>
      <c r="P76" s="108" t="str">
        <f>IFERROR(INDEX(Setup!$D$44:$D$70,MATCH(M76,Setup!$K$44:$K$70,0))&amp;"","")</f>
        <v>SR</v>
      </c>
      <c r="Q76" s="108" t="str">
        <f>IFERROR(INDEX(Setup!$E$44:$E$70,MATCH(M76,Setup!$K$44:$K$70,0))&amp;"","")</f>
        <v>Civil Society - Community Based Organization</v>
      </c>
      <c r="R76" s="108" t="str">
        <f>IFERROR(INDEX(Setup!$L$44:$L$70,MATCH(M76,Setup!$K$44:$K$70,0))&amp;"","")</f>
        <v/>
      </c>
      <c r="S76" s="108" t="str">
        <f>Setup!$C$30</f>
        <v>USD</v>
      </c>
      <c r="T76" s="109" t="str">
        <f>IFERROR(INDEX('Data Sheet'!$B$198:$B$275,MATCH(I76,'Data Sheet'!$F$198:$F$275,0)),"")</f>
        <v>N/A</v>
      </c>
      <c r="U76" s="110">
        <f>IFERROR(INDEX('Data Sheet'!$D$198:$D$275,MATCH(I76,'Data Sheet'!$F$198:$F$275,0)),"")</f>
        <v>13</v>
      </c>
      <c r="V76" s="415" t="s">
        <v>992</v>
      </c>
      <c r="W76" s="195" t="str">
        <f>IF(V76=Setup!$C$30,"Grant",IF(V76=Setup!$C$31,"Local",IF(V76=Setup!$C$32,"Other",IF(ISBLANK(V76),"","Other"))))</f>
        <v>Local</v>
      </c>
      <c r="X76" s="255">
        <f>('Assumptions TRC'!G362+'Assumptions TRC'!G363)/110</f>
        <v>22727.272727272728</v>
      </c>
      <c r="Y76" s="259">
        <f>IF(X76&lt;&gt;"",X76/VLOOKUP($V76,Setup!$C$30:$D$41,2,0),"")</f>
        <v>2.7778975545472244</v>
      </c>
      <c r="Z76" s="262">
        <v>110</v>
      </c>
      <c r="AA76" s="256">
        <f t="shared" si="42"/>
        <v>305.5687310001947</v>
      </c>
      <c r="AB76" s="262">
        <v>110</v>
      </c>
      <c r="AC76" s="258">
        <f t="shared" si="43"/>
        <v>305.5687310001947</v>
      </c>
      <c r="AD76" s="262">
        <v>110</v>
      </c>
      <c r="AE76" s="258">
        <f t="shared" si="44"/>
        <v>305.5687310001947</v>
      </c>
      <c r="AF76" s="262">
        <v>110</v>
      </c>
      <c r="AG76" s="256">
        <f t="shared" si="45"/>
        <v>305.5687310001947</v>
      </c>
      <c r="AH76" s="256">
        <f t="shared" si="46"/>
        <v>440</v>
      </c>
      <c r="AI76" s="256">
        <f t="shared" si="47"/>
        <v>1222.2749240007788</v>
      </c>
      <c r="AJ76" s="111"/>
      <c r="AK76" s="255">
        <f t="shared" si="40"/>
        <v>22727.272727272728</v>
      </c>
      <c r="AL76" s="259">
        <f>IF(AK76&lt;&gt;"",AK76/VLOOKUP($V76,Setup!$C$30:$D$41,2,0),"")</f>
        <v>2.7778975545472244</v>
      </c>
      <c r="AM76" s="266">
        <v>110</v>
      </c>
      <c r="AN76" s="258">
        <f t="shared" si="48"/>
        <v>305.5687310001947</v>
      </c>
      <c r="AO76" s="266">
        <v>110</v>
      </c>
      <c r="AP76" s="258">
        <f t="shared" si="49"/>
        <v>305.5687310001947</v>
      </c>
      <c r="AQ76" s="266">
        <v>110</v>
      </c>
      <c r="AR76" s="258">
        <f t="shared" si="50"/>
        <v>305.5687310001947</v>
      </c>
      <c r="AS76" s="266">
        <v>110</v>
      </c>
      <c r="AT76" s="256">
        <f t="shared" si="51"/>
        <v>305.5687310001947</v>
      </c>
      <c r="AU76" s="256">
        <f t="shared" si="52"/>
        <v>440</v>
      </c>
      <c r="AV76" s="256">
        <f t="shared" si="53"/>
        <v>1222.2749240007788</v>
      </c>
      <c r="AW76" s="267"/>
      <c r="AX76" s="255">
        <f t="shared" si="41"/>
        <v>22727.272727272728</v>
      </c>
      <c r="AY76" s="259">
        <f>IF(AX76&lt;&gt;"",AX76/VLOOKUP($V76,Setup!$C$30:$D$41,2,0),"")</f>
        <v>2.7778975545472244</v>
      </c>
      <c r="AZ76" s="268">
        <v>110</v>
      </c>
      <c r="BA76" s="258">
        <f t="shared" si="54"/>
        <v>305.5687310001947</v>
      </c>
      <c r="BB76" s="268">
        <v>110</v>
      </c>
      <c r="BC76" s="258">
        <f t="shared" si="55"/>
        <v>305.5687310001947</v>
      </c>
      <c r="BD76" s="268">
        <v>110</v>
      </c>
      <c r="BE76" s="258">
        <f t="shared" si="56"/>
        <v>305.5687310001947</v>
      </c>
      <c r="BF76" s="268">
        <v>110</v>
      </c>
      <c r="BG76" s="256">
        <f t="shared" si="57"/>
        <v>305.5687310001947</v>
      </c>
      <c r="BH76" s="256">
        <f t="shared" si="58"/>
        <v>440</v>
      </c>
      <c r="BI76" s="256">
        <f t="shared" si="59"/>
        <v>1222.2749240007788</v>
      </c>
      <c r="BJ76" s="267"/>
      <c r="BK76" s="255"/>
      <c r="BL76" s="259" t="str">
        <f>IF(BK76&lt;&gt;"",BK76/VLOOKUP($V76,Setup!$C$30:$D$41,2,0),"")</f>
        <v/>
      </c>
      <c r="BM76" s="268"/>
      <c r="BN76" s="258" t="str">
        <f t="shared" si="60"/>
        <v/>
      </c>
      <c r="BO76" s="268"/>
      <c r="BP76" s="258" t="str">
        <f t="shared" si="61"/>
        <v/>
      </c>
      <c r="BQ76" s="268"/>
      <c r="BR76" s="258" t="str">
        <f t="shared" si="62"/>
        <v/>
      </c>
      <c r="BS76" s="268"/>
      <c r="BT76" s="256" t="str">
        <f t="shared" si="63"/>
        <v/>
      </c>
      <c r="BU76" s="256" t="str">
        <f t="shared" si="64"/>
        <v/>
      </c>
      <c r="BV76" s="256" t="str">
        <f t="shared" si="65"/>
        <v/>
      </c>
      <c r="BW76" s="267"/>
      <c r="BX76" s="256">
        <f t="shared" si="66"/>
        <v>1320</v>
      </c>
      <c r="BY76" s="256">
        <f t="shared" si="67"/>
        <v>3666.8247720023364</v>
      </c>
      <c r="BZ76" s="281"/>
      <c r="CA76" s="282"/>
      <c r="CC76" s="112" t="str">
        <f t="shared" ca="1" si="68"/>
        <v/>
      </c>
      <c r="CF76" s="284"/>
      <c r="CG76" s="284"/>
      <c r="CH76" s="284"/>
      <c r="CI76" s="284"/>
      <c r="CL76" s="356" t="str">
        <f>IFERROR(VLOOKUP(C76,'Data Sheet'!$A$3:$B$26,2,FALSE),"")</f>
        <v>MCI-00002</v>
      </c>
    </row>
    <row r="77" spans="1:90" s="98" customFormat="1" ht="51" x14ac:dyDescent="0.2">
      <c r="A77" s="97">
        <v>73</v>
      </c>
      <c r="B77" s="105" t="str">
        <f t="shared" si="35"/>
        <v>a1O36000001EGFXEA4-a1O36000001EGIVEA4-Provincial</v>
      </c>
      <c r="C77" s="276" t="s">
        <v>2181</v>
      </c>
      <c r="D77" s="101" t="str">
        <f>IFERROR(IF(VLOOKUP(C77,'Data Sheet'!$A$3:$D$26,4,FALSE)=0,"",VLOOKUP(C77,'Data Sheet'!$A$3:$D$26,4,FALSE)),"")</f>
        <v>a1O36000001EGFXEA4</v>
      </c>
      <c r="E77" s="279" t="s">
        <v>2408</v>
      </c>
      <c r="F77" s="103" t="str">
        <f>IFERROR(IF(VLOOKUP(E77,'Data Sheet'!$C$29:$E$174,3,FALSE)=0,"",VLOOKUP(E77,'Data Sheet'!$C$29:$E$174,3,FALSE)),"")</f>
        <v>a1O36000001EGIVEA4</v>
      </c>
      <c r="G77" s="106" t="str">
        <f t="shared" si="69"/>
        <v>a1O36000001EGFXEA4-a1O36000001EGIVEA4</v>
      </c>
      <c r="H77" s="273" t="s">
        <v>2727</v>
      </c>
      <c r="I77" s="107" t="s">
        <v>2735</v>
      </c>
      <c r="J77" s="249" t="str">
        <f t="shared" si="70"/>
        <v>1.1</v>
      </c>
      <c r="K77" s="101" t="str">
        <f>IFERROR(INDEX('Data Sheet'!$C$198:$C$275,MATCH(I77,'Data Sheet'!$F$198:$F$275,0)),"")</f>
        <v>a2C360000007DA4EAM</v>
      </c>
      <c r="L77" s="250">
        <f>IFERROR(INDEX('Data Sheet'!$G$198:$G$275,MATCH(I77,'Data Sheet'!$F$198:$F$275,0)),"")</f>
        <v>1.1000000000000001</v>
      </c>
      <c r="M77" s="248" t="s">
        <v>2659</v>
      </c>
      <c r="N77" s="248" t="s">
        <v>2760</v>
      </c>
      <c r="O77" s="248" t="s">
        <v>2128</v>
      </c>
      <c r="P77" s="108" t="str">
        <f>IFERROR(INDEX(Setup!$D$44:$D$70,MATCH(M77,Setup!$K$44:$K$70,0))&amp;"","")</f>
        <v>SR</v>
      </c>
      <c r="Q77" s="108" t="str">
        <f>IFERROR(INDEX(Setup!$E$44:$E$70,MATCH(M77,Setup!$K$44:$K$70,0))&amp;"","")</f>
        <v>Civil Society - Community Based Organization</v>
      </c>
      <c r="R77" s="108" t="str">
        <f>IFERROR(INDEX(Setup!$L$44:$L$70,MATCH(M77,Setup!$K$44:$K$70,0))&amp;"","")</f>
        <v/>
      </c>
      <c r="S77" s="108" t="str">
        <f>Setup!$C$30</f>
        <v>USD</v>
      </c>
      <c r="T77" s="109" t="str">
        <f>IFERROR(INDEX('Data Sheet'!$B$198:$B$275,MATCH(I77,'Data Sheet'!$F$198:$F$275,0)),"")</f>
        <v>Average gross salary per FTE (person) per quarter</v>
      </c>
      <c r="U77" s="110">
        <f>IFERROR(INDEX('Data Sheet'!$D$198:$D$275,MATCH(I77,'Data Sheet'!$F$198:$F$275,0)),"")</f>
        <v>1</v>
      </c>
      <c r="V77" s="415" t="s">
        <v>992</v>
      </c>
      <c r="W77" s="195" t="str">
        <f>IF(V77=Setup!$C$30,"Grant",IF(V77=Setup!$C$31,"Local",IF(V77=Setup!$C$32,"Other",IF(ISBLANK(V77),"","Other"))))</f>
        <v>Local</v>
      </c>
      <c r="X77" s="255">
        <f>'Assumptions HR'!G115</f>
        <v>26606076.923076924</v>
      </c>
      <c r="Y77" s="259">
        <f>IF(X77&lt;&gt;"",X77/VLOOKUP($V77,Setup!$C$30:$D$41,2,0),"")</f>
        <v>3251.9940649112718</v>
      </c>
      <c r="Z77" s="262">
        <v>2.6</v>
      </c>
      <c r="AA77" s="256">
        <f t="shared" si="42"/>
        <v>8455.1845687693076</v>
      </c>
      <c r="AB77" s="262">
        <v>2.6</v>
      </c>
      <c r="AC77" s="258">
        <f t="shared" si="43"/>
        <v>8455.1845687693076</v>
      </c>
      <c r="AD77" s="262">
        <v>2.6</v>
      </c>
      <c r="AE77" s="258">
        <f t="shared" si="44"/>
        <v>8455.1845687693076</v>
      </c>
      <c r="AF77" s="262">
        <v>2.6</v>
      </c>
      <c r="AG77" s="256">
        <f t="shared" si="45"/>
        <v>8455.1845687693076</v>
      </c>
      <c r="AH77" s="256">
        <f t="shared" si="46"/>
        <v>10.4</v>
      </c>
      <c r="AI77" s="256">
        <f t="shared" si="47"/>
        <v>33820.73827507723</v>
      </c>
      <c r="AJ77" s="111"/>
      <c r="AK77" s="255">
        <f t="shared" si="40"/>
        <v>26606076.923076924</v>
      </c>
      <c r="AL77" s="259">
        <f>IF(AK77&lt;&gt;"",AK77/VLOOKUP($V77,Setup!$C$30:$D$41,2,0),"")</f>
        <v>3251.9940649112718</v>
      </c>
      <c r="AM77" s="266">
        <v>2.6</v>
      </c>
      <c r="AN77" s="258">
        <f t="shared" si="48"/>
        <v>8455.1845687693076</v>
      </c>
      <c r="AO77" s="266">
        <v>2.6</v>
      </c>
      <c r="AP77" s="258">
        <f t="shared" si="49"/>
        <v>8455.1845687693076</v>
      </c>
      <c r="AQ77" s="266">
        <v>2.6</v>
      </c>
      <c r="AR77" s="258">
        <f t="shared" si="50"/>
        <v>8455.1845687693076</v>
      </c>
      <c r="AS77" s="266">
        <v>2.6</v>
      </c>
      <c r="AT77" s="256">
        <f t="shared" si="51"/>
        <v>8455.1845687693076</v>
      </c>
      <c r="AU77" s="256">
        <f t="shared" si="52"/>
        <v>10.4</v>
      </c>
      <c r="AV77" s="256">
        <f t="shared" si="53"/>
        <v>33820.73827507723</v>
      </c>
      <c r="AW77" s="267"/>
      <c r="AX77" s="255">
        <f t="shared" si="41"/>
        <v>26606076.923076924</v>
      </c>
      <c r="AY77" s="259">
        <f>IF(AX77&lt;&gt;"",AX77/VLOOKUP($V77,Setup!$C$30:$D$41,2,0),"")</f>
        <v>3251.9940649112718</v>
      </c>
      <c r="AZ77" s="268">
        <v>2.6</v>
      </c>
      <c r="BA77" s="258">
        <f t="shared" si="54"/>
        <v>8455.1845687693076</v>
      </c>
      <c r="BB77" s="268">
        <v>2.6</v>
      </c>
      <c r="BC77" s="258">
        <f t="shared" si="55"/>
        <v>8455.1845687693076</v>
      </c>
      <c r="BD77" s="268">
        <v>2.6</v>
      </c>
      <c r="BE77" s="258">
        <f t="shared" si="56"/>
        <v>8455.1845687693076</v>
      </c>
      <c r="BF77" s="268">
        <v>2.6</v>
      </c>
      <c r="BG77" s="256">
        <f t="shared" si="57"/>
        <v>8455.1845687693076</v>
      </c>
      <c r="BH77" s="256">
        <f t="shared" si="58"/>
        <v>10.4</v>
      </c>
      <c r="BI77" s="256">
        <f t="shared" si="59"/>
        <v>33820.73827507723</v>
      </c>
      <c r="BJ77" s="267"/>
      <c r="BK77" s="255"/>
      <c r="BL77" s="259" t="str">
        <f>IF(BK77&lt;&gt;"",BK77/VLOOKUP($V77,Setup!$C$30:$D$41,2,0),"")</f>
        <v/>
      </c>
      <c r="BM77" s="268"/>
      <c r="BN77" s="258" t="str">
        <f t="shared" si="60"/>
        <v/>
      </c>
      <c r="BO77" s="268"/>
      <c r="BP77" s="258" t="str">
        <f t="shared" si="61"/>
        <v/>
      </c>
      <c r="BQ77" s="268"/>
      <c r="BR77" s="258" t="str">
        <f t="shared" si="62"/>
        <v/>
      </c>
      <c r="BS77" s="268"/>
      <c r="BT77" s="256" t="str">
        <f t="shared" si="63"/>
        <v/>
      </c>
      <c r="BU77" s="256" t="str">
        <f t="shared" si="64"/>
        <v/>
      </c>
      <c r="BV77" s="256" t="str">
        <f t="shared" si="65"/>
        <v/>
      </c>
      <c r="BW77" s="267"/>
      <c r="BX77" s="256">
        <f t="shared" si="66"/>
        <v>31.200000000000003</v>
      </c>
      <c r="BY77" s="256">
        <f t="shared" si="67"/>
        <v>101462.2148252317</v>
      </c>
      <c r="BZ77" s="281"/>
      <c r="CA77" s="282"/>
      <c r="CC77" s="112" t="str">
        <f t="shared" ca="1" si="68"/>
        <v/>
      </c>
      <c r="CF77" s="284"/>
      <c r="CG77" s="284"/>
      <c r="CH77" s="284"/>
      <c r="CI77" s="284"/>
      <c r="CL77" s="356" t="str">
        <f>IFERROR(VLOOKUP(C77,'Data Sheet'!$A$3:$B$26,2,FALSE),"")</f>
        <v>MCI-00023</v>
      </c>
    </row>
    <row r="78" spans="1:90" s="98" customFormat="1" ht="51" x14ac:dyDescent="0.2">
      <c r="A78" s="97">
        <v>74</v>
      </c>
      <c r="B78" s="105" t="str">
        <f t="shared" ref="B78:B141" si="71">CONCATENATE(D78,"-",F78,"-",N78)</f>
        <v>a1O36000001EGFXEA4-a1O36000001EGIVEA4-Provincial</v>
      </c>
      <c r="C78" s="276" t="s">
        <v>2181</v>
      </c>
      <c r="D78" s="101" t="str">
        <f>IFERROR(IF(VLOOKUP(C78,'Data Sheet'!$A$3:$D$26,4,FALSE)=0,"",VLOOKUP(C78,'Data Sheet'!$A$3:$D$26,4,FALSE)),"")</f>
        <v>a1O36000001EGFXEA4</v>
      </c>
      <c r="E78" s="279" t="s">
        <v>2408</v>
      </c>
      <c r="F78" s="103" t="str">
        <f>IFERROR(IF(VLOOKUP(E78,'Data Sheet'!$C$29:$E$174,3,FALSE)=0,"",VLOOKUP(E78,'Data Sheet'!$C$29:$E$174,3,FALSE)),"")</f>
        <v>a1O36000001EGIVEA4</v>
      </c>
      <c r="G78" s="106" t="str">
        <f t="shared" si="69"/>
        <v>a1O36000001EGFXEA4-a1O36000001EGIVEA4</v>
      </c>
      <c r="H78" s="273" t="s">
        <v>2728</v>
      </c>
      <c r="I78" s="107" t="s">
        <v>2735</v>
      </c>
      <c r="J78" s="249" t="str">
        <f t="shared" si="70"/>
        <v>1.1</v>
      </c>
      <c r="K78" s="101" t="str">
        <f>IFERROR(INDEX('Data Sheet'!$C$198:$C$275,MATCH(I78,'Data Sheet'!$F$198:$F$275,0)),"")</f>
        <v>a2C360000007DA4EAM</v>
      </c>
      <c r="L78" s="250">
        <f>IFERROR(INDEX('Data Sheet'!$G$198:$G$275,MATCH(I78,'Data Sheet'!$F$198:$F$275,0)),"")</f>
        <v>1.1000000000000001</v>
      </c>
      <c r="M78" s="248" t="s">
        <v>2659</v>
      </c>
      <c r="N78" s="248" t="s">
        <v>2760</v>
      </c>
      <c r="O78" s="248" t="s">
        <v>2128</v>
      </c>
      <c r="P78" s="108" t="str">
        <f>IFERROR(INDEX(Setup!$D$44:$D$70,MATCH(M78,Setup!$K$44:$K$70,0))&amp;"","")</f>
        <v>SR</v>
      </c>
      <c r="Q78" s="108" t="str">
        <f>IFERROR(INDEX(Setup!$E$44:$E$70,MATCH(M78,Setup!$K$44:$K$70,0))&amp;"","")</f>
        <v>Civil Society - Community Based Organization</v>
      </c>
      <c r="R78" s="108" t="str">
        <f>IFERROR(INDEX(Setup!$L$44:$L$70,MATCH(M78,Setup!$K$44:$K$70,0))&amp;"","")</f>
        <v/>
      </c>
      <c r="S78" s="108" t="str">
        <f>Setup!$C$30</f>
        <v>USD</v>
      </c>
      <c r="T78" s="109" t="str">
        <f>IFERROR(INDEX('Data Sheet'!$B$198:$B$275,MATCH(I78,'Data Sheet'!$F$198:$F$275,0)),"")</f>
        <v>Average gross salary per FTE (person) per quarter</v>
      </c>
      <c r="U78" s="110">
        <f>IFERROR(INDEX('Data Sheet'!$D$198:$D$275,MATCH(I78,'Data Sheet'!$F$198:$F$275,0)),"")</f>
        <v>1</v>
      </c>
      <c r="V78" s="415" t="s">
        <v>992</v>
      </c>
      <c r="W78" s="195" t="str">
        <f>IF(V78=Setup!$C$30,"Grant",IF(V78=Setup!$C$31,"Local",IF(V78=Setup!$C$32,"Other",IF(ISBLANK(V78),"","Other"))))</f>
        <v>Local</v>
      </c>
      <c r="X78" s="255">
        <f>'Assumptions HR'!G122*3/6</f>
        <v>4650000</v>
      </c>
      <c r="Y78" s="259">
        <f>IF(X78&lt;&gt;"",X78/VLOOKUP($V78,Setup!$C$30:$D$41,2,0),"")</f>
        <v>568.35783966036206</v>
      </c>
      <c r="Z78" s="262">
        <v>6</v>
      </c>
      <c r="AA78" s="256">
        <f t="shared" si="42"/>
        <v>3410.1470379621724</v>
      </c>
      <c r="AB78" s="262">
        <v>6</v>
      </c>
      <c r="AC78" s="258">
        <f t="shared" si="43"/>
        <v>3410.1470379621724</v>
      </c>
      <c r="AD78" s="262">
        <v>6</v>
      </c>
      <c r="AE78" s="258">
        <f t="shared" si="44"/>
        <v>3410.1470379621724</v>
      </c>
      <c r="AF78" s="262">
        <v>6</v>
      </c>
      <c r="AG78" s="256">
        <f t="shared" si="45"/>
        <v>3410.1470379621724</v>
      </c>
      <c r="AH78" s="256">
        <f t="shared" si="46"/>
        <v>24</v>
      </c>
      <c r="AI78" s="256">
        <f t="shared" si="47"/>
        <v>13640.588151848689</v>
      </c>
      <c r="AJ78" s="111"/>
      <c r="AK78" s="255">
        <f t="shared" si="40"/>
        <v>4650000</v>
      </c>
      <c r="AL78" s="259">
        <f>IF(AK78&lt;&gt;"",AK78/VLOOKUP($V78,Setup!$C$30:$D$41,2,0),"")</f>
        <v>568.35783966036206</v>
      </c>
      <c r="AM78" s="266">
        <v>6</v>
      </c>
      <c r="AN78" s="258">
        <f t="shared" si="48"/>
        <v>3410.1470379621724</v>
      </c>
      <c r="AO78" s="266">
        <v>6</v>
      </c>
      <c r="AP78" s="258">
        <f t="shared" si="49"/>
        <v>3410.1470379621724</v>
      </c>
      <c r="AQ78" s="266">
        <v>6</v>
      </c>
      <c r="AR78" s="258">
        <f t="shared" si="50"/>
        <v>3410.1470379621724</v>
      </c>
      <c r="AS78" s="266">
        <v>6</v>
      </c>
      <c r="AT78" s="256">
        <f t="shared" si="51"/>
        <v>3410.1470379621724</v>
      </c>
      <c r="AU78" s="256">
        <f t="shared" si="52"/>
        <v>24</v>
      </c>
      <c r="AV78" s="256">
        <f t="shared" si="53"/>
        <v>13640.588151848689</v>
      </c>
      <c r="AW78" s="267"/>
      <c r="AX78" s="255">
        <f t="shared" si="41"/>
        <v>4650000</v>
      </c>
      <c r="AY78" s="259">
        <f>IF(AX78&lt;&gt;"",AX78/VLOOKUP($V78,Setup!$C$30:$D$41,2,0),"")</f>
        <v>568.35783966036206</v>
      </c>
      <c r="AZ78" s="268">
        <v>6</v>
      </c>
      <c r="BA78" s="258">
        <f t="shared" si="54"/>
        <v>3410.1470379621724</v>
      </c>
      <c r="BB78" s="268">
        <v>6</v>
      </c>
      <c r="BC78" s="258">
        <f t="shared" si="55"/>
        <v>3410.1470379621724</v>
      </c>
      <c r="BD78" s="268">
        <v>6</v>
      </c>
      <c r="BE78" s="258">
        <f t="shared" si="56"/>
        <v>3410.1470379621724</v>
      </c>
      <c r="BF78" s="268">
        <v>6</v>
      </c>
      <c r="BG78" s="256">
        <f t="shared" si="57"/>
        <v>3410.1470379621724</v>
      </c>
      <c r="BH78" s="256">
        <f t="shared" si="58"/>
        <v>24</v>
      </c>
      <c r="BI78" s="256">
        <f t="shared" si="59"/>
        <v>13640.588151848689</v>
      </c>
      <c r="BJ78" s="267"/>
      <c r="BK78" s="255"/>
      <c r="BL78" s="259" t="str">
        <f>IF(BK78&lt;&gt;"",BK78/VLOOKUP($V78,Setup!$C$30:$D$41,2,0),"")</f>
        <v/>
      </c>
      <c r="BM78" s="268"/>
      <c r="BN78" s="258" t="str">
        <f t="shared" si="60"/>
        <v/>
      </c>
      <c r="BO78" s="268"/>
      <c r="BP78" s="258" t="str">
        <f t="shared" si="61"/>
        <v/>
      </c>
      <c r="BQ78" s="268"/>
      <c r="BR78" s="258" t="str">
        <f t="shared" si="62"/>
        <v/>
      </c>
      <c r="BS78" s="268"/>
      <c r="BT78" s="256" t="str">
        <f t="shared" si="63"/>
        <v/>
      </c>
      <c r="BU78" s="256" t="str">
        <f t="shared" si="64"/>
        <v/>
      </c>
      <c r="BV78" s="256" t="str">
        <f t="shared" si="65"/>
        <v/>
      </c>
      <c r="BW78" s="267"/>
      <c r="BX78" s="256">
        <f t="shared" si="66"/>
        <v>72</v>
      </c>
      <c r="BY78" s="256">
        <f t="shared" si="67"/>
        <v>40921.764455546072</v>
      </c>
      <c r="BZ78" s="281"/>
      <c r="CA78" s="282"/>
      <c r="CC78" s="112" t="str">
        <f t="shared" ca="1" si="68"/>
        <v/>
      </c>
      <c r="CF78" s="284"/>
      <c r="CG78" s="284"/>
      <c r="CH78" s="284"/>
      <c r="CI78" s="284"/>
      <c r="CL78" s="356" t="str">
        <f>IFERROR(VLOOKUP(C78,'Data Sheet'!$A$3:$B$26,2,FALSE),"")</f>
        <v>MCI-00023</v>
      </c>
    </row>
    <row r="79" spans="1:90" s="98" customFormat="1" ht="51" x14ac:dyDescent="0.2">
      <c r="A79" s="97">
        <v>75</v>
      </c>
      <c r="B79" s="105" t="str">
        <f t="shared" si="71"/>
        <v>a1O36000001EGFCEA4-a1O36000001EGGZEA4-Provincial</v>
      </c>
      <c r="C79" s="276" t="s">
        <v>2154</v>
      </c>
      <c r="D79" s="101" t="str">
        <f>IFERROR(IF(VLOOKUP(C79,'Data Sheet'!$A$3:$D$26,4,FALSE)=0,"",VLOOKUP(C79,'Data Sheet'!$A$3:$D$26,4,FALSE)),"")</f>
        <v>a1O36000001EGFCEA4</v>
      </c>
      <c r="E79" s="279" t="s">
        <v>2232</v>
      </c>
      <c r="F79" s="103" t="str">
        <f>IFERROR(IF(VLOOKUP(E79,'Data Sheet'!$C$29:$E$174,3,FALSE)=0,"",VLOOKUP(E79,'Data Sheet'!$C$29:$E$174,3,FALSE)),"")</f>
        <v>a1O36000001EGGZEA4</v>
      </c>
      <c r="G79" s="106" t="str">
        <f t="shared" si="69"/>
        <v>a1O36000001EGFCEA4-a1O36000001EGGZEA4</v>
      </c>
      <c r="H79" s="273" t="s">
        <v>2729</v>
      </c>
      <c r="I79" s="107" t="s">
        <v>2752</v>
      </c>
      <c r="J79" s="249" t="str">
        <f t="shared" si="70"/>
        <v>1.2</v>
      </c>
      <c r="K79" s="101" t="str">
        <f>IFERROR(INDEX('Data Sheet'!$C$198:$C$275,MATCH(I79,'Data Sheet'!$F$198:$F$275,0)),"")</f>
        <v>a2C360000007DAFEA2</v>
      </c>
      <c r="L79" s="250">
        <f>IFERROR(INDEX('Data Sheet'!$G$198:$G$275,MATCH(I79,'Data Sheet'!$F$198:$F$275,0)),"")</f>
        <v>1.2</v>
      </c>
      <c r="M79" s="248" t="s">
        <v>2659</v>
      </c>
      <c r="N79" s="248" t="s">
        <v>2760</v>
      </c>
      <c r="O79" s="248" t="s">
        <v>2128</v>
      </c>
      <c r="P79" s="108" t="str">
        <f>IFERROR(INDEX(Setup!$D$44:$D$70,MATCH(M79,Setup!$K$44:$K$70,0))&amp;"","")</f>
        <v>SR</v>
      </c>
      <c r="Q79" s="108" t="str">
        <f>IFERROR(INDEX(Setup!$E$44:$E$70,MATCH(M79,Setup!$K$44:$K$70,0))&amp;"","")</f>
        <v>Civil Society - Community Based Organization</v>
      </c>
      <c r="R79" s="108" t="str">
        <f>IFERROR(INDEX(Setup!$L$44:$L$70,MATCH(M79,Setup!$K$44:$K$70,0))&amp;"","")</f>
        <v/>
      </c>
      <c r="S79" s="108" t="str">
        <f>Setup!$C$30</f>
        <v>USD</v>
      </c>
      <c r="T79" s="109" t="str">
        <f>IFERROR(INDEX('Data Sheet'!$B$198:$B$275,MATCH(I79,'Data Sheet'!$F$198:$F$275,0)),"")</f>
        <v>Average payment per FTE (person) per quarter</v>
      </c>
      <c r="U79" s="110">
        <f>IFERROR(INDEX('Data Sheet'!$D$198:$D$275,MATCH(I79,'Data Sheet'!$F$198:$F$275,0)),"")</f>
        <v>1</v>
      </c>
      <c r="V79" s="415" t="s">
        <v>992</v>
      </c>
      <c r="W79" s="195" t="str">
        <f>IF(V79=Setup!$C$30,"Grant",IF(V79=Setup!$C$31,"Local",IF(V79=Setup!$C$32,"Other",IF(ISBLANK(V79),"","Other"))))</f>
        <v>Local</v>
      </c>
      <c r="X79" s="255">
        <f>'Assumptions HR'!G128*3/8</f>
        <v>4410000</v>
      </c>
      <c r="Y79" s="259">
        <f>IF(X79&lt;&gt;"",X79/VLOOKUP($V79,Setup!$C$30:$D$41,2,0),"")</f>
        <v>539.02324148434343</v>
      </c>
      <c r="Z79" s="262">
        <v>8</v>
      </c>
      <c r="AA79" s="256">
        <f t="shared" si="42"/>
        <v>4312.1859318747474</v>
      </c>
      <c r="AB79" s="262">
        <v>8</v>
      </c>
      <c r="AC79" s="258">
        <f t="shared" si="43"/>
        <v>4312.1859318747474</v>
      </c>
      <c r="AD79" s="262">
        <v>8</v>
      </c>
      <c r="AE79" s="258">
        <f t="shared" si="44"/>
        <v>4312.1859318747474</v>
      </c>
      <c r="AF79" s="262">
        <v>8</v>
      </c>
      <c r="AG79" s="256">
        <f t="shared" si="45"/>
        <v>4312.1859318747474</v>
      </c>
      <c r="AH79" s="256">
        <f t="shared" si="46"/>
        <v>32</v>
      </c>
      <c r="AI79" s="256">
        <f t="shared" si="47"/>
        <v>17248.74372749899</v>
      </c>
      <c r="AJ79" s="111"/>
      <c r="AK79" s="255">
        <f t="shared" si="40"/>
        <v>4410000</v>
      </c>
      <c r="AL79" s="259">
        <f>IF(AK79&lt;&gt;"",AK79/VLOOKUP($V79,Setup!$C$30:$D$41,2,0),"")</f>
        <v>539.02324148434343</v>
      </c>
      <c r="AM79" s="266">
        <v>8</v>
      </c>
      <c r="AN79" s="258">
        <f t="shared" si="48"/>
        <v>4312.1859318747474</v>
      </c>
      <c r="AO79" s="266">
        <v>8</v>
      </c>
      <c r="AP79" s="258">
        <f t="shared" si="49"/>
        <v>4312.1859318747474</v>
      </c>
      <c r="AQ79" s="266">
        <v>8</v>
      </c>
      <c r="AR79" s="258">
        <f t="shared" si="50"/>
        <v>4312.1859318747474</v>
      </c>
      <c r="AS79" s="266">
        <v>8</v>
      </c>
      <c r="AT79" s="256">
        <f t="shared" si="51"/>
        <v>4312.1859318747474</v>
      </c>
      <c r="AU79" s="256">
        <f t="shared" si="52"/>
        <v>32</v>
      </c>
      <c r="AV79" s="256">
        <f t="shared" si="53"/>
        <v>17248.74372749899</v>
      </c>
      <c r="AW79" s="267"/>
      <c r="AX79" s="255">
        <f t="shared" si="41"/>
        <v>4410000</v>
      </c>
      <c r="AY79" s="259">
        <f>IF(AX79&lt;&gt;"",AX79/VLOOKUP($V79,Setup!$C$30:$D$41,2,0),"")</f>
        <v>539.02324148434343</v>
      </c>
      <c r="AZ79" s="268">
        <v>8</v>
      </c>
      <c r="BA79" s="258">
        <f t="shared" si="54"/>
        <v>4312.1859318747474</v>
      </c>
      <c r="BB79" s="268">
        <v>8</v>
      </c>
      <c r="BC79" s="258">
        <f t="shared" si="55"/>
        <v>4312.1859318747474</v>
      </c>
      <c r="BD79" s="268">
        <v>8</v>
      </c>
      <c r="BE79" s="258">
        <f t="shared" si="56"/>
        <v>4312.1859318747474</v>
      </c>
      <c r="BF79" s="268">
        <v>8</v>
      </c>
      <c r="BG79" s="256">
        <f t="shared" si="57"/>
        <v>4312.1859318747474</v>
      </c>
      <c r="BH79" s="256">
        <f t="shared" si="58"/>
        <v>32</v>
      </c>
      <c r="BI79" s="256">
        <f t="shared" si="59"/>
        <v>17248.74372749899</v>
      </c>
      <c r="BJ79" s="267"/>
      <c r="BK79" s="255"/>
      <c r="BL79" s="259" t="str">
        <f>IF(BK79&lt;&gt;"",BK79/VLOOKUP($V79,Setup!$C$30:$D$41,2,0),"")</f>
        <v/>
      </c>
      <c r="BM79" s="268"/>
      <c r="BN79" s="258" t="str">
        <f t="shared" si="60"/>
        <v/>
      </c>
      <c r="BO79" s="268"/>
      <c r="BP79" s="258" t="str">
        <f t="shared" si="61"/>
        <v/>
      </c>
      <c r="BQ79" s="268"/>
      <c r="BR79" s="258" t="str">
        <f t="shared" si="62"/>
        <v/>
      </c>
      <c r="BS79" s="268"/>
      <c r="BT79" s="256" t="str">
        <f t="shared" si="63"/>
        <v/>
      </c>
      <c r="BU79" s="256" t="str">
        <f t="shared" si="64"/>
        <v/>
      </c>
      <c r="BV79" s="256" t="str">
        <f t="shared" si="65"/>
        <v/>
      </c>
      <c r="BW79" s="267"/>
      <c r="BX79" s="256">
        <f t="shared" si="66"/>
        <v>96</v>
      </c>
      <c r="BY79" s="256">
        <f t="shared" si="67"/>
        <v>51746.231182496966</v>
      </c>
      <c r="BZ79" s="281"/>
      <c r="CA79" s="282"/>
      <c r="CC79" s="112" t="str">
        <f t="shared" ca="1" si="68"/>
        <v/>
      </c>
      <c r="CF79" s="284"/>
      <c r="CG79" s="284"/>
      <c r="CH79" s="284"/>
      <c r="CI79" s="284"/>
      <c r="CL79" s="356" t="str">
        <f>IFERROR(VLOOKUP(C79,'Data Sheet'!$A$3:$B$26,2,FALSE),"")</f>
        <v>MCI-00002</v>
      </c>
    </row>
    <row r="80" spans="1:90" s="98" customFormat="1" ht="51" x14ac:dyDescent="0.2">
      <c r="A80" s="97">
        <v>76</v>
      </c>
      <c r="B80" s="105" t="str">
        <f t="shared" si="71"/>
        <v>a1O36000001EGFXEA4-a1O36000001EGIVEA4-Provincial</v>
      </c>
      <c r="C80" s="276" t="s">
        <v>2181</v>
      </c>
      <c r="D80" s="101" t="str">
        <f>IFERROR(IF(VLOOKUP(C80,'Data Sheet'!$A$3:$D$26,4,FALSE)=0,"",VLOOKUP(C80,'Data Sheet'!$A$3:$D$26,4,FALSE)),"")</f>
        <v>a1O36000001EGFXEA4</v>
      </c>
      <c r="E80" s="279" t="s">
        <v>2408</v>
      </c>
      <c r="F80" s="103" t="str">
        <f>IFERROR(IF(VLOOKUP(E80,'Data Sheet'!$C$29:$E$174,3,FALSE)=0,"",VLOOKUP(E80,'Data Sheet'!$C$29:$E$174,3,FALSE)),"")</f>
        <v>a1O36000001EGIVEA4</v>
      </c>
      <c r="G80" s="106" t="str">
        <f t="shared" si="69"/>
        <v>a1O36000001EGFXEA4-a1O36000001EGIVEA4</v>
      </c>
      <c r="H80" s="273" t="s">
        <v>2730</v>
      </c>
      <c r="I80" s="107" t="s">
        <v>2737</v>
      </c>
      <c r="J80" s="249" t="str">
        <f t="shared" si="70"/>
        <v>11.1</v>
      </c>
      <c r="K80" s="101" t="str">
        <f>IFERROR(INDEX('Data Sheet'!$C$198:$C$275,MATCH(I80,'Data Sheet'!$F$198:$F$275,0)),"")</f>
        <v>a2C360000007DAuEAM</v>
      </c>
      <c r="L80" s="250">
        <f>IFERROR(INDEX('Data Sheet'!$G$198:$G$275,MATCH(I80,'Data Sheet'!$F$198:$F$275,0)),"")</f>
        <v>11.1</v>
      </c>
      <c r="M80" s="248" t="s">
        <v>2659</v>
      </c>
      <c r="N80" s="248" t="s">
        <v>2760</v>
      </c>
      <c r="O80" s="248" t="s">
        <v>2128</v>
      </c>
      <c r="P80" s="108" t="str">
        <f>IFERROR(INDEX(Setup!$D$44:$D$70,MATCH(M80,Setup!$K$44:$K$70,0))&amp;"","")</f>
        <v>SR</v>
      </c>
      <c r="Q80" s="108" t="str">
        <f>IFERROR(INDEX(Setup!$E$44:$E$70,MATCH(M80,Setup!$K$44:$K$70,0))&amp;"","")</f>
        <v>Civil Society - Community Based Organization</v>
      </c>
      <c r="R80" s="108" t="str">
        <f>IFERROR(INDEX(Setup!$L$44:$L$70,MATCH(M80,Setup!$K$44:$K$70,0))&amp;"","")</f>
        <v/>
      </c>
      <c r="S80" s="108" t="str">
        <f>Setup!$C$30</f>
        <v>USD</v>
      </c>
      <c r="T80" s="109" t="str">
        <f>IFERROR(INDEX('Data Sheet'!$B$198:$B$275,MATCH(I80,'Data Sheet'!$F$198:$F$275,0)),"")</f>
        <v>Average office cost per office unit per quarter</v>
      </c>
      <c r="U80" s="110">
        <f>IFERROR(INDEX('Data Sheet'!$D$198:$D$275,MATCH(I80,'Data Sheet'!$F$198:$F$275,0)),"")</f>
        <v>11</v>
      </c>
      <c r="V80" s="415" t="s">
        <v>992</v>
      </c>
      <c r="W80" s="195" t="str">
        <f>IF(V80=Setup!$C$30,"Grant",IF(V80=Setup!$C$31,"Local",IF(V80=Setup!$C$32,"Other",IF(ISBLANK(V80),"","Other"))))</f>
        <v>Local</v>
      </c>
      <c r="X80" s="255">
        <f>'Assumptions Other'!E110</f>
        <v>14400000</v>
      </c>
      <c r="Y80" s="259">
        <f>IF(X80&lt;&gt;"",X80/VLOOKUP($V80,Setup!$C$30:$D$41,2,0),"")</f>
        <v>1760.0758905611212</v>
      </c>
      <c r="Z80" s="262">
        <v>1</v>
      </c>
      <c r="AA80" s="256">
        <f t="shared" si="42"/>
        <v>1760.0758905611212</v>
      </c>
      <c r="AB80" s="262">
        <v>1</v>
      </c>
      <c r="AC80" s="258">
        <f t="shared" si="43"/>
        <v>1760.0758905611212</v>
      </c>
      <c r="AD80" s="262">
        <v>1</v>
      </c>
      <c r="AE80" s="258">
        <f t="shared" si="44"/>
        <v>1760.0758905611212</v>
      </c>
      <c r="AF80" s="262">
        <v>1</v>
      </c>
      <c r="AG80" s="256">
        <f t="shared" si="45"/>
        <v>1760.0758905611212</v>
      </c>
      <c r="AH80" s="256">
        <f t="shared" si="46"/>
        <v>4</v>
      </c>
      <c r="AI80" s="256">
        <f t="shared" si="47"/>
        <v>7040.303562244485</v>
      </c>
      <c r="AJ80" s="111"/>
      <c r="AK80" s="255">
        <f>X80</f>
        <v>14400000</v>
      </c>
      <c r="AL80" s="259">
        <f>IF(AK80&lt;&gt;"",AK80/VLOOKUP($V80,Setup!$C$30:$D$41,2,0),"")</f>
        <v>1760.0758905611212</v>
      </c>
      <c r="AM80" s="266">
        <v>1</v>
      </c>
      <c r="AN80" s="258">
        <f t="shared" si="48"/>
        <v>1760.0758905611212</v>
      </c>
      <c r="AO80" s="266">
        <v>1</v>
      </c>
      <c r="AP80" s="258">
        <f t="shared" si="49"/>
        <v>1760.0758905611212</v>
      </c>
      <c r="AQ80" s="266">
        <v>1</v>
      </c>
      <c r="AR80" s="258">
        <f t="shared" si="50"/>
        <v>1760.0758905611212</v>
      </c>
      <c r="AS80" s="266">
        <v>1</v>
      </c>
      <c r="AT80" s="256">
        <f t="shared" si="51"/>
        <v>1760.0758905611212</v>
      </c>
      <c r="AU80" s="256">
        <f t="shared" si="52"/>
        <v>4</v>
      </c>
      <c r="AV80" s="256">
        <f t="shared" si="53"/>
        <v>7040.303562244485</v>
      </c>
      <c r="AW80" s="267"/>
      <c r="AX80" s="255">
        <f>X80</f>
        <v>14400000</v>
      </c>
      <c r="AY80" s="259">
        <f>IF(AX80&lt;&gt;"",AX80/VLOOKUP($V80,Setup!$C$30:$D$41,2,0),"")</f>
        <v>1760.0758905611212</v>
      </c>
      <c r="AZ80" s="268">
        <v>1</v>
      </c>
      <c r="BA80" s="258">
        <f t="shared" si="54"/>
        <v>1760.0758905611212</v>
      </c>
      <c r="BB80" s="268">
        <v>1</v>
      </c>
      <c r="BC80" s="258">
        <f t="shared" si="55"/>
        <v>1760.0758905611212</v>
      </c>
      <c r="BD80" s="268">
        <v>1</v>
      </c>
      <c r="BE80" s="258">
        <f t="shared" si="56"/>
        <v>1760.0758905611212</v>
      </c>
      <c r="BF80" s="268">
        <v>1</v>
      </c>
      <c r="BG80" s="256">
        <f t="shared" si="57"/>
        <v>1760.0758905611212</v>
      </c>
      <c r="BH80" s="256">
        <f t="shared" si="58"/>
        <v>4</v>
      </c>
      <c r="BI80" s="256">
        <f t="shared" si="59"/>
        <v>7040.303562244485</v>
      </c>
      <c r="BJ80" s="267"/>
      <c r="BK80" s="255"/>
      <c r="BL80" s="259" t="str">
        <f>IF(BK80&lt;&gt;"",BK80/VLOOKUP($V80,Setup!$C$30:$D$41,2,0),"")</f>
        <v/>
      </c>
      <c r="BM80" s="268"/>
      <c r="BN80" s="258" t="str">
        <f t="shared" si="60"/>
        <v/>
      </c>
      <c r="BO80" s="268"/>
      <c r="BP80" s="258" t="str">
        <f t="shared" si="61"/>
        <v/>
      </c>
      <c r="BQ80" s="268"/>
      <c r="BR80" s="258" t="str">
        <f t="shared" si="62"/>
        <v/>
      </c>
      <c r="BS80" s="268"/>
      <c r="BT80" s="256" t="str">
        <f t="shared" si="63"/>
        <v/>
      </c>
      <c r="BU80" s="256" t="str">
        <f t="shared" si="64"/>
        <v/>
      </c>
      <c r="BV80" s="256" t="str">
        <f t="shared" si="65"/>
        <v/>
      </c>
      <c r="BW80" s="267"/>
      <c r="BX80" s="256">
        <f t="shared" si="66"/>
        <v>12</v>
      </c>
      <c r="BY80" s="256">
        <f t="shared" si="67"/>
        <v>21120.910686733456</v>
      </c>
      <c r="BZ80" s="281"/>
      <c r="CA80" s="282"/>
      <c r="CC80" s="112" t="str">
        <f t="shared" ca="1" si="68"/>
        <v/>
      </c>
      <c r="CF80" s="284"/>
      <c r="CG80" s="284"/>
      <c r="CH80" s="284"/>
      <c r="CI80" s="284"/>
      <c r="CL80" s="356" t="str">
        <f>IFERROR(VLOOKUP(C80,'Data Sheet'!$A$3:$B$26,2,FALSE),"")</f>
        <v>MCI-00023</v>
      </c>
    </row>
    <row r="81" spans="1:90" s="98" customFormat="1" ht="51" x14ac:dyDescent="0.2">
      <c r="A81" s="97">
        <v>77</v>
      </c>
      <c r="B81" s="105" t="str">
        <f t="shared" si="71"/>
        <v>a1O36000001EGFXEA4-a1O36000001EGIVEA4-Provincial</v>
      </c>
      <c r="C81" s="276" t="s">
        <v>2181</v>
      </c>
      <c r="D81" s="101" t="str">
        <f>IFERROR(IF(VLOOKUP(C81,'Data Sheet'!$A$3:$D$26,4,FALSE)=0,"",VLOOKUP(C81,'Data Sheet'!$A$3:$D$26,4,FALSE)),"")</f>
        <v>a1O36000001EGFXEA4</v>
      </c>
      <c r="E81" s="279" t="s">
        <v>2408</v>
      </c>
      <c r="F81" s="103" t="str">
        <f>IFERROR(IF(VLOOKUP(E81,'Data Sheet'!$C$29:$E$174,3,FALSE)=0,"",VLOOKUP(E81,'Data Sheet'!$C$29:$E$174,3,FALSE)),"")</f>
        <v>a1O36000001EGIVEA4</v>
      </c>
      <c r="G81" s="106" t="str">
        <f t="shared" si="69"/>
        <v>a1O36000001EGFXEA4-a1O36000001EGIVEA4</v>
      </c>
      <c r="H81" s="273" t="s">
        <v>2715</v>
      </c>
      <c r="I81" s="107" t="s">
        <v>2738</v>
      </c>
      <c r="J81" s="249" t="str">
        <f t="shared" si="70"/>
        <v>9.4</v>
      </c>
      <c r="K81" s="101" t="str">
        <f>IFERROR(INDEX('Data Sheet'!$C$198:$C$275,MATCH(I81,'Data Sheet'!$F$198:$F$275,0)),"")</f>
        <v>a2C360000007DArEAM</v>
      </c>
      <c r="L81" s="250">
        <f>IFERROR(INDEX('Data Sheet'!$G$198:$G$275,MATCH(I81,'Data Sheet'!$F$198:$F$275,0)),"")</f>
        <v>9.4</v>
      </c>
      <c r="M81" s="248" t="s">
        <v>2659</v>
      </c>
      <c r="N81" s="248" t="s">
        <v>2760</v>
      </c>
      <c r="O81" s="248" t="s">
        <v>2128</v>
      </c>
      <c r="P81" s="108" t="str">
        <f>IFERROR(INDEX(Setup!$D$44:$D$70,MATCH(M81,Setup!$K$44:$K$70,0))&amp;"","")</f>
        <v>SR</v>
      </c>
      <c r="Q81" s="108" t="str">
        <f>IFERROR(INDEX(Setup!$E$44:$E$70,MATCH(M81,Setup!$K$44:$K$70,0))&amp;"","")</f>
        <v>Civil Society - Community Based Organization</v>
      </c>
      <c r="R81" s="108" t="str">
        <f>IFERROR(INDEX(Setup!$L$44:$L$70,MATCH(M81,Setup!$K$44:$K$70,0))&amp;"","")</f>
        <v/>
      </c>
      <c r="S81" s="108" t="str">
        <f>Setup!$C$30</f>
        <v>USD</v>
      </c>
      <c r="T81" s="109" t="str">
        <f>IFERROR(INDEX('Data Sheet'!$B$198:$B$275,MATCH(I81,'Data Sheet'!$F$198:$F$275,0)),"")</f>
        <v>N/A</v>
      </c>
      <c r="U81" s="110">
        <f>IFERROR(INDEX('Data Sheet'!$D$198:$D$275,MATCH(I81,'Data Sheet'!$F$198:$F$275,0)),"")</f>
        <v>9</v>
      </c>
      <c r="V81" s="415" t="s">
        <v>992</v>
      </c>
      <c r="W81" s="195" t="str">
        <f>IF(V81=Setup!$C$30,"Grant",IF(V81=Setup!$C$31,"Local",IF(V81=Setup!$C$32,"Other",IF(ISBLANK(V81),"","Other"))))</f>
        <v>Local</v>
      </c>
      <c r="X81" s="255">
        <f>'Assumptions Other'!E112</f>
        <v>720000</v>
      </c>
      <c r="Y81" s="259">
        <f>IF(X81&lt;&gt;"",X81/VLOOKUP($V81,Setup!$C$30:$D$41,2,0),"")</f>
        <v>88.003794528056062</v>
      </c>
      <c r="Z81" s="262">
        <v>1</v>
      </c>
      <c r="AA81" s="256">
        <f t="shared" si="42"/>
        <v>88.003794528056062</v>
      </c>
      <c r="AB81" s="262">
        <v>1</v>
      </c>
      <c r="AC81" s="258">
        <f t="shared" si="43"/>
        <v>88.003794528056062</v>
      </c>
      <c r="AD81" s="262">
        <v>1</v>
      </c>
      <c r="AE81" s="258">
        <f t="shared" si="44"/>
        <v>88.003794528056062</v>
      </c>
      <c r="AF81" s="262">
        <v>1</v>
      </c>
      <c r="AG81" s="256">
        <f t="shared" si="45"/>
        <v>88.003794528056062</v>
      </c>
      <c r="AH81" s="256">
        <f t="shared" si="46"/>
        <v>4</v>
      </c>
      <c r="AI81" s="256">
        <f t="shared" si="47"/>
        <v>352.01517811222425</v>
      </c>
      <c r="AJ81" s="111"/>
      <c r="AK81" s="255">
        <f>X81</f>
        <v>720000</v>
      </c>
      <c r="AL81" s="259">
        <f>IF(AK81&lt;&gt;"",AK81/VLOOKUP($V81,Setup!$C$30:$D$41,2,0),"")</f>
        <v>88.003794528056062</v>
      </c>
      <c r="AM81" s="266">
        <v>1</v>
      </c>
      <c r="AN81" s="258">
        <f t="shared" si="48"/>
        <v>88.003794528056062</v>
      </c>
      <c r="AO81" s="266">
        <v>1</v>
      </c>
      <c r="AP81" s="258">
        <f t="shared" si="49"/>
        <v>88.003794528056062</v>
      </c>
      <c r="AQ81" s="266">
        <v>1</v>
      </c>
      <c r="AR81" s="258">
        <f t="shared" si="50"/>
        <v>88.003794528056062</v>
      </c>
      <c r="AS81" s="266">
        <v>1</v>
      </c>
      <c r="AT81" s="256">
        <f t="shared" si="51"/>
        <v>88.003794528056062</v>
      </c>
      <c r="AU81" s="256">
        <f t="shared" si="52"/>
        <v>4</v>
      </c>
      <c r="AV81" s="256">
        <f t="shared" si="53"/>
        <v>352.01517811222425</v>
      </c>
      <c r="AW81" s="267"/>
      <c r="AX81" s="255">
        <f>X81</f>
        <v>720000</v>
      </c>
      <c r="AY81" s="259">
        <f>IF(AX81&lt;&gt;"",AX81/VLOOKUP($V81,Setup!$C$30:$D$41,2,0),"")</f>
        <v>88.003794528056062</v>
      </c>
      <c r="AZ81" s="268">
        <v>1</v>
      </c>
      <c r="BA81" s="258">
        <f t="shared" si="54"/>
        <v>88.003794528056062</v>
      </c>
      <c r="BB81" s="268">
        <v>1</v>
      </c>
      <c r="BC81" s="258">
        <f t="shared" si="55"/>
        <v>88.003794528056062</v>
      </c>
      <c r="BD81" s="268">
        <v>1</v>
      </c>
      <c r="BE81" s="258">
        <f t="shared" si="56"/>
        <v>88.003794528056062</v>
      </c>
      <c r="BF81" s="268">
        <v>1</v>
      </c>
      <c r="BG81" s="256">
        <f t="shared" si="57"/>
        <v>88.003794528056062</v>
      </c>
      <c r="BH81" s="256">
        <f t="shared" si="58"/>
        <v>4</v>
      </c>
      <c r="BI81" s="256">
        <f t="shared" si="59"/>
        <v>352.01517811222425</v>
      </c>
      <c r="BJ81" s="267"/>
      <c r="BK81" s="255"/>
      <c r="BL81" s="259" t="str">
        <f>IF(BK81&lt;&gt;"",BK81/VLOOKUP($V81,Setup!$C$30:$D$41,2,0),"")</f>
        <v/>
      </c>
      <c r="BM81" s="268"/>
      <c r="BN81" s="258" t="str">
        <f t="shared" si="60"/>
        <v/>
      </c>
      <c r="BO81" s="268"/>
      <c r="BP81" s="258" t="str">
        <f t="shared" si="61"/>
        <v/>
      </c>
      <c r="BQ81" s="268"/>
      <c r="BR81" s="258" t="str">
        <f t="shared" si="62"/>
        <v/>
      </c>
      <c r="BS81" s="268"/>
      <c r="BT81" s="256" t="str">
        <f t="shared" si="63"/>
        <v/>
      </c>
      <c r="BU81" s="256" t="str">
        <f t="shared" si="64"/>
        <v/>
      </c>
      <c r="BV81" s="256" t="str">
        <f t="shared" si="65"/>
        <v/>
      </c>
      <c r="BW81" s="267"/>
      <c r="BX81" s="256">
        <f t="shared" si="66"/>
        <v>12</v>
      </c>
      <c r="BY81" s="256">
        <f t="shared" si="67"/>
        <v>1056.0455343366727</v>
      </c>
      <c r="BZ81" s="281"/>
      <c r="CA81" s="282"/>
      <c r="CC81" s="112" t="str">
        <f t="shared" ca="1" si="68"/>
        <v/>
      </c>
      <c r="CF81" s="284"/>
      <c r="CG81" s="284"/>
      <c r="CH81" s="284"/>
      <c r="CI81" s="284"/>
      <c r="CL81" s="356" t="str">
        <f>IFERROR(VLOOKUP(C81,'Data Sheet'!$A$3:$B$26,2,FALSE),"")</f>
        <v>MCI-00023</v>
      </c>
    </row>
    <row r="82" spans="1:90" s="98" customFormat="1" ht="51" x14ac:dyDescent="0.2">
      <c r="A82" s="97">
        <v>78</v>
      </c>
      <c r="B82" s="105" t="str">
        <f t="shared" si="71"/>
        <v>a1O36000001EGFXEA4-a1O36000001EGIVEA4-Provincial</v>
      </c>
      <c r="C82" s="276" t="s">
        <v>2181</v>
      </c>
      <c r="D82" s="101" t="str">
        <f>IFERROR(IF(VLOOKUP(C82,'Data Sheet'!$A$3:$D$26,4,FALSE)=0,"",VLOOKUP(C82,'Data Sheet'!$A$3:$D$26,4,FALSE)),"")</f>
        <v>a1O36000001EGFXEA4</v>
      </c>
      <c r="E82" s="279" t="s">
        <v>2408</v>
      </c>
      <c r="F82" s="103" t="str">
        <f>IFERROR(IF(VLOOKUP(E82,'Data Sheet'!$C$29:$E$174,3,FALSE)=0,"",VLOOKUP(E82,'Data Sheet'!$C$29:$E$174,3,FALSE)),"")</f>
        <v>a1O36000001EGIVEA4</v>
      </c>
      <c r="G82" s="106" t="str">
        <f t="shared" si="69"/>
        <v>a1O36000001EGFXEA4-a1O36000001EGIVEA4</v>
      </c>
      <c r="H82" s="273" t="s">
        <v>2731</v>
      </c>
      <c r="I82" s="107" t="s">
        <v>2755</v>
      </c>
      <c r="J82" s="249" t="str">
        <f t="shared" si="70"/>
        <v>11.4</v>
      </c>
      <c r="K82" s="101" t="str">
        <f>IFERROR(INDEX('Data Sheet'!$C$198:$C$275,MATCH(I82,'Data Sheet'!$F$198:$F$275,0)),"")</f>
        <v>a2C360000007DAxEAM</v>
      </c>
      <c r="L82" s="250">
        <f>IFERROR(INDEX('Data Sheet'!$G$198:$G$275,MATCH(I82,'Data Sheet'!$F$198:$F$275,0)),"")</f>
        <v>11.4</v>
      </c>
      <c r="M82" s="248" t="s">
        <v>2659</v>
      </c>
      <c r="N82" s="248" t="s">
        <v>2760</v>
      </c>
      <c r="O82" s="248" t="s">
        <v>2128</v>
      </c>
      <c r="P82" s="108" t="str">
        <f>IFERROR(INDEX(Setup!$D$44:$D$70,MATCH(M82,Setup!$K$44:$K$70,0))&amp;"","")</f>
        <v>SR</v>
      </c>
      <c r="Q82" s="108" t="str">
        <f>IFERROR(INDEX(Setup!$E$44:$E$70,MATCH(M82,Setup!$K$44:$K$70,0))&amp;"","")</f>
        <v>Civil Society - Community Based Organization</v>
      </c>
      <c r="R82" s="108" t="str">
        <f>IFERROR(INDEX(Setup!$L$44:$L$70,MATCH(M82,Setup!$K$44:$K$70,0))&amp;"","")</f>
        <v/>
      </c>
      <c r="S82" s="108" t="str">
        <f>Setup!$C$30</f>
        <v>USD</v>
      </c>
      <c r="T82" s="109" t="str">
        <f>IFERROR(INDEX('Data Sheet'!$B$198:$B$275,MATCH(I82,'Data Sheet'!$F$198:$F$275,0)),"")</f>
        <v>N/A</v>
      </c>
      <c r="U82" s="110">
        <f>IFERROR(INDEX('Data Sheet'!$D$198:$D$275,MATCH(I82,'Data Sheet'!$F$198:$F$275,0)),"")</f>
        <v>11</v>
      </c>
      <c r="V82" s="415" t="s">
        <v>992</v>
      </c>
      <c r="W82" s="195" t="str">
        <f>IF(V82=Setup!$C$30,"Grant",IF(V82=Setup!$C$31,"Local",IF(V82=Setup!$C$32,"Other",IF(ISBLANK(V82),"","Other"))))</f>
        <v>Local</v>
      </c>
      <c r="X82" s="255">
        <f>'Assumptions Other'!E113</f>
        <v>450000</v>
      </c>
      <c r="Y82" s="259">
        <f>IF(X82&lt;&gt;"",X82/VLOOKUP($V82,Setup!$C$30:$D$41,2,0),"")</f>
        <v>55.002371580035039</v>
      </c>
      <c r="Z82" s="262">
        <v>1</v>
      </c>
      <c r="AA82" s="256">
        <f t="shared" si="42"/>
        <v>55.002371580035039</v>
      </c>
      <c r="AB82" s="262">
        <v>1</v>
      </c>
      <c r="AC82" s="258">
        <f t="shared" si="43"/>
        <v>55.002371580035039</v>
      </c>
      <c r="AD82" s="262">
        <v>1</v>
      </c>
      <c r="AE82" s="258">
        <f t="shared" si="44"/>
        <v>55.002371580035039</v>
      </c>
      <c r="AF82" s="262">
        <v>1</v>
      </c>
      <c r="AG82" s="256">
        <f t="shared" si="45"/>
        <v>55.002371580035039</v>
      </c>
      <c r="AH82" s="256">
        <f t="shared" si="46"/>
        <v>4</v>
      </c>
      <c r="AI82" s="256">
        <f t="shared" si="47"/>
        <v>220.00948632014016</v>
      </c>
      <c r="AJ82" s="111"/>
      <c r="AK82" s="255">
        <f>X82</f>
        <v>450000</v>
      </c>
      <c r="AL82" s="259">
        <f>IF(AK82&lt;&gt;"",AK82/VLOOKUP($V82,Setup!$C$30:$D$41,2,0),"")</f>
        <v>55.002371580035039</v>
      </c>
      <c r="AM82" s="266">
        <v>1</v>
      </c>
      <c r="AN82" s="258">
        <f t="shared" si="48"/>
        <v>55.002371580035039</v>
      </c>
      <c r="AO82" s="266">
        <v>1</v>
      </c>
      <c r="AP82" s="258">
        <f t="shared" si="49"/>
        <v>55.002371580035039</v>
      </c>
      <c r="AQ82" s="266">
        <v>1</v>
      </c>
      <c r="AR82" s="258">
        <f t="shared" si="50"/>
        <v>55.002371580035039</v>
      </c>
      <c r="AS82" s="266">
        <v>1</v>
      </c>
      <c r="AT82" s="256">
        <f t="shared" si="51"/>
        <v>55.002371580035039</v>
      </c>
      <c r="AU82" s="256">
        <f t="shared" si="52"/>
        <v>4</v>
      </c>
      <c r="AV82" s="256">
        <f t="shared" si="53"/>
        <v>220.00948632014016</v>
      </c>
      <c r="AW82" s="267"/>
      <c r="AX82" s="255">
        <f>X82</f>
        <v>450000</v>
      </c>
      <c r="AY82" s="259">
        <f>IF(AX82&lt;&gt;"",AX82/VLOOKUP($V82,Setup!$C$30:$D$41,2,0),"")</f>
        <v>55.002371580035039</v>
      </c>
      <c r="AZ82" s="268">
        <v>1</v>
      </c>
      <c r="BA82" s="258">
        <f t="shared" si="54"/>
        <v>55.002371580035039</v>
      </c>
      <c r="BB82" s="268">
        <v>1</v>
      </c>
      <c r="BC82" s="258">
        <f t="shared" si="55"/>
        <v>55.002371580035039</v>
      </c>
      <c r="BD82" s="268">
        <v>1</v>
      </c>
      <c r="BE82" s="258">
        <f t="shared" si="56"/>
        <v>55.002371580035039</v>
      </c>
      <c r="BF82" s="268">
        <v>1</v>
      </c>
      <c r="BG82" s="256">
        <f t="shared" si="57"/>
        <v>55.002371580035039</v>
      </c>
      <c r="BH82" s="256">
        <f t="shared" si="58"/>
        <v>4</v>
      </c>
      <c r="BI82" s="256">
        <f t="shared" si="59"/>
        <v>220.00948632014016</v>
      </c>
      <c r="BJ82" s="267"/>
      <c r="BK82" s="255"/>
      <c r="BL82" s="259" t="str">
        <f>IF(BK82&lt;&gt;"",BK82/VLOOKUP($V82,Setup!$C$30:$D$41,2,0),"")</f>
        <v/>
      </c>
      <c r="BM82" s="268"/>
      <c r="BN82" s="258" t="str">
        <f t="shared" si="60"/>
        <v/>
      </c>
      <c r="BO82" s="268"/>
      <c r="BP82" s="258" t="str">
        <f t="shared" si="61"/>
        <v/>
      </c>
      <c r="BQ82" s="268"/>
      <c r="BR82" s="258" t="str">
        <f t="shared" si="62"/>
        <v/>
      </c>
      <c r="BS82" s="268"/>
      <c r="BT82" s="256" t="str">
        <f t="shared" si="63"/>
        <v/>
      </c>
      <c r="BU82" s="256" t="str">
        <f t="shared" si="64"/>
        <v/>
      </c>
      <c r="BV82" s="256" t="str">
        <f t="shared" si="65"/>
        <v/>
      </c>
      <c r="BW82" s="267"/>
      <c r="BX82" s="256">
        <f t="shared" si="66"/>
        <v>12</v>
      </c>
      <c r="BY82" s="256">
        <f t="shared" si="67"/>
        <v>660.02845896042049</v>
      </c>
      <c r="BZ82" s="281"/>
      <c r="CA82" s="282"/>
      <c r="CC82" s="112" t="str">
        <f t="shared" ca="1" si="68"/>
        <v/>
      </c>
      <c r="CF82" s="284"/>
      <c r="CG82" s="284"/>
      <c r="CH82" s="284"/>
      <c r="CI82" s="284"/>
      <c r="CL82" s="356" t="str">
        <f>IFERROR(VLOOKUP(C82,'Data Sheet'!$A$3:$B$26,2,FALSE),"")</f>
        <v>MCI-00023</v>
      </c>
    </row>
    <row r="83" spans="1:90" s="98" customFormat="1" ht="51" x14ac:dyDescent="0.2">
      <c r="A83" s="97">
        <v>79</v>
      </c>
      <c r="B83" s="105" t="str">
        <f t="shared" si="71"/>
        <v>a1O36000001EGFCEA4-a1O36000001EGGZEA4-Nationwide</v>
      </c>
      <c r="C83" s="276" t="s">
        <v>2154</v>
      </c>
      <c r="D83" s="101" t="str">
        <f>IFERROR(IF(VLOOKUP(C83,'Data Sheet'!$A$3:$D$26,4,FALSE)=0,"",VLOOKUP(C83,'Data Sheet'!$A$3:$D$26,4,FALSE)),"")</f>
        <v>a1O36000001EGFCEA4</v>
      </c>
      <c r="E83" s="279" t="s">
        <v>2232</v>
      </c>
      <c r="F83" s="103" t="str">
        <f>IFERROR(IF(VLOOKUP(E83,'Data Sheet'!$C$29:$E$174,3,FALSE)=0,"",VLOOKUP(E83,'Data Sheet'!$C$29:$E$174,3,FALSE)),"")</f>
        <v>a1O36000001EGGZEA4</v>
      </c>
      <c r="G83" s="106" t="str">
        <f t="shared" si="69"/>
        <v>a1O36000001EGFCEA4-a1O36000001EGGZEA4</v>
      </c>
      <c r="H83" s="273" t="s">
        <v>3325</v>
      </c>
      <c r="I83" s="107" t="s">
        <v>2743</v>
      </c>
      <c r="J83" s="249" t="str">
        <f t="shared" si="70"/>
        <v>2.3</v>
      </c>
      <c r="K83" s="101" t="str">
        <f>IFERROR(INDEX('Data Sheet'!$C$198:$C$275,MATCH(I83,'Data Sheet'!$F$198:$F$275,0)),"")</f>
        <v>a2C360000007DB3EAM</v>
      </c>
      <c r="L83" s="250">
        <f>IFERROR(INDEX('Data Sheet'!$G$198:$G$275,MATCH(I83,'Data Sheet'!$F$198:$F$275,0)),"")</f>
        <v>2.2999999999999998</v>
      </c>
      <c r="M83" s="248" t="s">
        <v>2657</v>
      </c>
      <c r="N83" s="248" t="s">
        <v>2759</v>
      </c>
      <c r="O83" s="248" t="s">
        <v>2128</v>
      </c>
      <c r="P83" s="108" t="str">
        <f>IFERROR(INDEX(Setup!$D$44:$D$70,MATCH(M83,Setup!$K$44:$K$70,0))&amp;"","")</f>
        <v>SR</v>
      </c>
      <c r="Q83" s="108" t="str">
        <f>IFERROR(INDEX(Setup!$E$44:$E$70,MATCH(M83,Setup!$K$44:$K$70,0))&amp;"","")</f>
        <v>Government - Ministry of Health</v>
      </c>
      <c r="R83" s="108" t="str">
        <f>IFERROR(INDEX(Setup!$L$44:$L$70,MATCH(M83,Setup!$K$44:$K$70,0))&amp;"","")</f>
        <v/>
      </c>
      <c r="S83" s="108" t="str">
        <f>Setup!$C$30</f>
        <v>USD</v>
      </c>
      <c r="T83" s="109" t="str">
        <f>IFERROR(INDEX('Data Sheet'!$B$198:$B$275,MATCH(I83,'Data Sheet'!$F$198:$F$275,0)),"")</f>
        <v>Average cost of subsistence per person per day</v>
      </c>
      <c r="U83" s="110">
        <f>IFERROR(INDEX('Data Sheet'!$D$198:$D$275,MATCH(I83,'Data Sheet'!$F$198:$F$275,0)),"")</f>
        <v>2</v>
      </c>
      <c r="V83" s="415" t="s">
        <v>992</v>
      </c>
      <c r="W83" s="195" t="str">
        <f>IF(V83=Setup!$C$30,"Grant",IF(V83=Setup!$C$31,"Local",IF(V83=Setup!$C$32,"Other",IF(ISBLANK(V83),"","Other"))))</f>
        <v>Local</v>
      </c>
      <c r="X83" s="255"/>
      <c r="Y83" s="259" t="str">
        <f>IF(X83&lt;&gt;"",X83/VLOOKUP($V83,Setup!$C$30:$D$41,2,0),"")</f>
        <v/>
      </c>
      <c r="Z83" s="262"/>
      <c r="AA83" s="256" t="str">
        <f t="shared" si="42"/>
        <v/>
      </c>
      <c r="AB83" s="262"/>
      <c r="AC83" s="258" t="str">
        <f t="shared" si="43"/>
        <v/>
      </c>
      <c r="AD83" s="262"/>
      <c r="AE83" s="258" t="str">
        <f t="shared" si="44"/>
        <v/>
      </c>
      <c r="AF83" s="262"/>
      <c r="AG83" s="256" t="str">
        <f t="shared" si="45"/>
        <v/>
      </c>
      <c r="AH83" s="256" t="str">
        <f t="shared" si="46"/>
        <v/>
      </c>
      <c r="AI83" s="256" t="str">
        <f t="shared" si="47"/>
        <v/>
      </c>
      <c r="AJ83" s="111"/>
      <c r="AK83" s="255"/>
      <c r="AL83" s="259" t="str">
        <f>IF(AK83&lt;&gt;"",AK83/VLOOKUP($V83,Setup!$C$30:$D$41,2,0),"")</f>
        <v/>
      </c>
      <c r="AM83" s="266"/>
      <c r="AN83" s="258" t="str">
        <f t="shared" si="48"/>
        <v/>
      </c>
      <c r="AO83" s="266"/>
      <c r="AP83" s="258" t="str">
        <f t="shared" si="49"/>
        <v/>
      </c>
      <c r="AQ83" s="266"/>
      <c r="AR83" s="258" t="str">
        <f t="shared" si="50"/>
        <v/>
      </c>
      <c r="AS83" s="266"/>
      <c r="AT83" s="256" t="str">
        <f t="shared" si="51"/>
        <v/>
      </c>
      <c r="AU83" s="256" t="str">
        <f t="shared" si="52"/>
        <v/>
      </c>
      <c r="AV83" s="256" t="str">
        <f t="shared" si="53"/>
        <v/>
      </c>
      <c r="AW83" s="267"/>
      <c r="AX83" s="574">
        <f>'Assumptions TRC'!G626</f>
        <v>57982.559216330941</v>
      </c>
      <c r="AY83" s="259">
        <f>IF(AX83&lt;&gt;"",AX83/VLOOKUP($V83,Setup!$C$30:$D$41,2,0),"")</f>
        <v>7.0870628159511551</v>
      </c>
      <c r="AZ83" s="268"/>
      <c r="BA83" s="258" t="str">
        <f t="shared" si="54"/>
        <v/>
      </c>
      <c r="BB83" s="904">
        <f>1500*15</f>
        <v>22500</v>
      </c>
      <c r="BC83" s="258">
        <f t="shared" si="55"/>
        <v>159458.91335890099</v>
      </c>
      <c r="BD83" s="268"/>
      <c r="BE83" s="258" t="str">
        <f t="shared" si="56"/>
        <v/>
      </c>
      <c r="BF83" s="268"/>
      <c r="BG83" s="256" t="str">
        <f t="shared" si="57"/>
        <v/>
      </c>
      <c r="BH83" s="256">
        <f t="shared" si="58"/>
        <v>22500</v>
      </c>
      <c r="BI83" s="256">
        <f t="shared" si="59"/>
        <v>159458.91335890099</v>
      </c>
      <c r="BJ83" s="267"/>
      <c r="BK83" s="255"/>
      <c r="BL83" s="259" t="str">
        <f>IF(BK83&lt;&gt;"",BK83/VLOOKUP($V83,Setup!$C$30:$D$41,2,0),"")</f>
        <v/>
      </c>
      <c r="BM83" s="268"/>
      <c r="BN83" s="258" t="str">
        <f t="shared" si="60"/>
        <v/>
      </c>
      <c r="BO83" s="268"/>
      <c r="BP83" s="258" t="str">
        <f t="shared" si="61"/>
        <v/>
      </c>
      <c r="BQ83" s="268"/>
      <c r="BR83" s="258" t="str">
        <f t="shared" si="62"/>
        <v/>
      </c>
      <c r="BS83" s="268"/>
      <c r="BT83" s="256" t="str">
        <f t="shared" si="63"/>
        <v/>
      </c>
      <c r="BU83" s="256" t="str">
        <f t="shared" si="64"/>
        <v/>
      </c>
      <c r="BV83" s="256" t="str">
        <f t="shared" si="65"/>
        <v/>
      </c>
      <c r="BW83" s="267"/>
      <c r="BX83" s="256">
        <f t="shared" si="66"/>
        <v>22500</v>
      </c>
      <c r="BY83" s="256">
        <f t="shared" si="67"/>
        <v>159458.91335890099</v>
      </c>
      <c r="BZ83" s="281"/>
      <c r="CA83" s="282"/>
      <c r="CC83" s="112" t="str">
        <f t="shared" ca="1" si="68"/>
        <v/>
      </c>
      <c r="CF83" s="284"/>
      <c r="CG83" s="284"/>
      <c r="CH83" s="284"/>
      <c r="CI83" s="284"/>
      <c r="CL83" s="356" t="str">
        <f>IFERROR(VLOOKUP(C83,'Data Sheet'!$A$3:$B$26,2,FALSE),"")</f>
        <v>MCI-00002</v>
      </c>
    </row>
    <row r="84" spans="1:90" s="98" customFormat="1" ht="51" x14ac:dyDescent="0.2">
      <c r="A84" s="97">
        <v>80</v>
      </c>
      <c r="B84" s="105" t="str">
        <f t="shared" si="71"/>
        <v>a1O36000001qZ7vEAE-a1O36000001qZ94EAE-Nationwide</v>
      </c>
      <c r="C84" s="276" t="s">
        <v>2148</v>
      </c>
      <c r="D84" s="101" t="str">
        <f>IFERROR(IF(VLOOKUP(C84,'Data Sheet'!$A$3:$D$26,4,FALSE)=0,"",VLOOKUP(C84,'Data Sheet'!$A$3:$D$26,4,FALSE)),"")</f>
        <v>a1O36000001qZ7vEAE</v>
      </c>
      <c r="E84" s="279" t="s">
        <v>2461</v>
      </c>
      <c r="F84" s="103" t="str">
        <f>IFERROR(IF(VLOOKUP(E84,'Data Sheet'!$C$29:$E$174,3,FALSE)=0,"",VLOOKUP(E84,'Data Sheet'!$C$29:$E$174,3,FALSE)),"")</f>
        <v>a1O36000001qZ94EAE</v>
      </c>
      <c r="G84" s="106" t="str">
        <f t="shared" si="69"/>
        <v>a1O36000001qZ7vEAE-a1O36000001qZ94EAE</v>
      </c>
      <c r="H84" s="273" t="s">
        <v>3326</v>
      </c>
      <c r="I84" s="107" t="s">
        <v>2743</v>
      </c>
      <c r="J84" s="249" t="str">
        <f t="shared" si="70"/>
        <v>2.3</v>
      </c>
      <c r="K84" s="101" t="str">
        <f>IFERROR(INDEX('Data Sheet'!$C$198:$C$275,MATCH(I84,'Data Sheet'!$F$198:$F$275,0)),"")</f>
        <v>a2C360000007DB3EAM</v>
      </c>
      <c r="L84" s="250">
        <f>IFERROR(INDEX('Data Sheet'!$G$198:$G$275,MATCH(I84,'Data Sheet'!$F$198:$F$275,0)),"")</f>
        <v>2.2999999999999998</v>
      </c>
      <c r="M84" s="248" t="s">
        <v>2657</v>
      </c>
      <c r="N84" s="248" t="s">
        <v>2759</v>
      </c>
      <c r="O84" s="248" t="s">
        <v>2128</v>
      </c>
      <c r="P84" s="108" t="str">
        <f>IFERROR(INDEX(Setup!$D$44:$D$70,MATCH(M84,Setup!$K$44:$K$70,0))&amp;"","")</f>
        <v>SR</v>
      </c>
      <c r="Q84" s="108" t="str">
        <f>IFERROR(INDEX(Setup!$E$44:$E$70,MATCH(M84,Setup!$K$44:$K$70,0))&amp;"","")</f>
        <v>Government - Ministry of Health</v>
      </c>
      <c r="R84" s="108" t="str">
        <f>IFERROR(INDEX(Setup!$L$44:$L$70,MATCH(M84,Setup!$K$44:$K$70,0))&amp;"","")</f>
        <v/>
      </c>
      <c r="S84" s="108" t="str">
        <f>Setup!$C$30</f>
        <v>USD</v>
      </c>
      <c r="T84" s="109" t="str">
        <f>IFERROR(INDEX('Data Sheet'!$B$198:$B$275,MATCH(I84,'Data Sheet'!$F$198:$F$275,0)),"")</f>
        <v>Average cost of subsistence per person per day</v>
      </c>
      <c r="U84" s="110">
        <f>IFERROR(INDEX('Data Sheet'!$D$198:$D$275,MATCH(I84,'Data Sheet'!$F$198:$F$275,0)),"")</f>
        <v>2</v>
      </c>
      <c r="V84" s="415" t="s">
        <v>992</v>
      </c>
      <c r="W84" s="195" t="str">
        <f>IF(V84=Setup!$C$30,"Grant",IF(V84=Setup!$C$31,"Local",IF(V84=Setup!$C$32,"Other",IF(ISBLANK(V84),"","Other"))))</f>
        <v>Local</v>
      </c>
      <c r="X84" s="255"/>
      <c r="Y84" s="259" t="str">
        <f>IF(X84&lt;&gt;"",X84/VLOOKUP($V84,Setup!$C$30:$D$41,2,0),"")</f>
        <v/>
      </c>
      <c r="Z84" s="262"/>
      <c r="AA84" s="256" t="str">
        <f t="shared" si="42"/>
        <v/>
      </c>
      <c r="AB84" s="262"/>
      <c r="AC84" s="258" t="str">
        <f t="shared" si="43"/>
        <v/>
      </c>
      <c r="AD84" s="262"/>
      <c r="AE84" s="258" t="str">
        <f t="shared" si="44"/>
        <v/>
      </c>
      <c r="AF84" s="262"/>
      <c r="AG84" s="256" t="str">
        <f t="shared" si="45"/>
        <v/>
      </c>
      <c r="AH84" s="256" t="str">
        <f t="shared" si="46"/>
        <v/>
      </c>
      <c r="AI84" s="256" t="str">
        <f t="shared" si="47"/>
        <v/>
      </c>
      <c r="AJ84" s="111"/>
      <c r="AK84" s="255"/>
      <c r="AL84" s="259" t="str">
        <f>IF(AK84&lt;&gt;"",AK84/VLOOKUP($V84,Setup!$C$30:$D$41,2,0),"")</f>
        <v/>
      </c>
      <c r="AM84" s="266"/>
      <c r="AN84" s="258" t="str">
        <f t="shared" si="48"/>
        <v/>
      </c>
      <c r="AO84" s="266"/>
      <c r="AP84" s="258" t="str">
        <f t="shared" si="49"/>
        <v/>
      </c>
      <c r="AQ84" s="266"/>
      <c r="AR84" s="258" t="str">
        <f t="shared" si="50"/>
        <v/>
      </c>
      <c r="AS84" s="266"/>
      <c r="AT84" s="256" t="str">
        <f t="shared" si="51"/>
        <v/>
      </c>
      <c r="AU84" s="256" t="str">
        <f t="shared" si="52"/>
        <v/>
      </c>
      <c r="AV84" s="256" t="str">
        <f t="shared" si="53"/>
        <v/>
      </c>
      <c r="AW84" s="267"/>
      <c r="AX84" s="574">
        <f>'Assumptions TRC'!G751</f>
        <v>33578.980762131898</v>
      </c>
      <c r="AY84" s="259">
        <f>IF(AX84&lt;&gt;"",AX84/VLOOKUP($V84,Setup!$C$30:$D$41,2,0),"")</f>
        <v>4.1042746159058376</v>
      </c>
      <c r="AZ84" s="268"/>
      <c r="BA84" s="258" t="str">
        <f t="shared" si="54"/>
        <v/>
      </c>
      <c r="BB84" s="904">
        <f>1200*25</f>
        <v>30000</v>
      </c>
      <c r="BC84" s="258">
        <f t="shared" si="55"/>
        <v>123128.23847717512</v>
      </c>
      <c r="BD84" s="268"/>
      <c r="BE84" s="258" t="str">
        <f t="shared" si="56"/>
        <v/>
      </c>
      <c r="BF84" s="268"/>
      <c r="BG84" s="256" t="str">
        <f t="shared" si="57"/>
        <v/>
      </c>
      <c r="BH84" s="256">
        <f t="shared" si="58"/>
        <v>30000</v>
      </c>
      <c r="BI84" s="256">
        <f t="shared" si="59"/>
        <v>123128.23847717512</v>
      </c>
      <c r="BJ84" s="267"/>
      <c r="BK84" s="255"/>
      <c r="BL84" s="259" t="str">
        <f>IF(BK84&lt;&gt;"",BK84/VLOOKUP($V84,Setup!$C$30:$D$41,2,0),"")</f>
        <v/>
      </c>
      <c r="BM84" s="268"/>
      <c r="BN84" s="258" t="str">
        <f t="shared" si="60"/>
        <v/>
      </c>
      <c r="BO84" s="268"/>
      <c r="BP84" s="258" t="str">
        <f t="shared" si="61"/>
        <v/>
      </c>
      <c r="BQ84" s="268"/>
      <c r="BR84" s="258" t="str">
        <f t="shared" si="62"/>
        <v/>
      </c>
      <c r="BS84" s="268"/>
      <c r="BT84" s="256" t="str">
        <f t="shared" si="63"/>
        <v/>
      </c>
      <c r="BU84" s="256" t="str">
        <f t="shared" si="64"/>
        <v/>
      </c>
      <c r="BV84" s="256" t="str">
        <f t="shared" si="65"/>
        <v/>
      </c>
      <c r="BW84" s="267"/>
      <c r="BX84" s="256">
        <f t="shared" si="66"/>
        <v>30000</v>
      </c>
      <c r="BY84" s="256">
        <f t="shared" si="67"/>
        <v>123128.23847717512</v>
      </c>
      <c r="BZ84" s="281"/>
      <c r="CA84" s="282"/>
      <c r="CC84" s="112" t="str">
        <f t="shared" ca="1" si="68"/>
        <v/>
      </c>
      <c r="CF84" s="284"/>
      <c r="CG84" s="284"/>
      <c r="CH84" s="284"/>
      <c r="CI84" s="284"/>
      <c r="CL84" s="356" t="str">
        <f>IFERROR(VLOOKUP(C84,'Data Sheet'!$A$3:$B$26,2,FALSE),"")</f>
        <v>MCI-00534</v>
      </c>
    </row>
    <row r="85" spans="1:90" s="98" customFormat="1" ht="15.75" x14ac:dyDescent="0.2">
      <c r="A85" s="97"/>
      <c r="B85" s="105" t="str">
        <f t="shared" si="71"/>
        <v>--</v>
      </c>
      <c r="C85" s="276"/>
      <c r="D85" s="101" t="str">
        <f>IFERROR(IF(VLOOKUP(C85,'Data Sheet'!$A$3:$D$26,4,FALSE)=0,"",VLOOKUP(C85,'Data Sheet'!$A$3:$D$26,4,FALSE)),"")</f>
        <v/>
      </c>
      <c r="E85" s="279"/>
      <c r="F85" s="103" t="str">
        <f>IFERROR(IF(VLOOKUP(E85,'Data Sheet'!$C$29:$E$174,3,FALSE)=0,"",VLOOKUP(E85,'Data Sheet'!$C$29:$E$174,3,FALSE)),"")</f>
        <v/>
      </c>
      <c r="G85" s="106" t="str">
        <f t="shared" si="69"/>
        <v>-</v>
      </c>
      <c r="H85" s="273"/>
      <c r="I85" s="107"/>
      <c r="J85" s="249" t="e">
        <f t="shared" si="70"/>
        <v>#VALUE!</v>
      </c>
      <c r="K85" s="101" t="str">
        <f>IFERROR(INDEX('Data Sheet'!$C$198:$C$275,MATCH(I85,'Data Sheet'!$F$198:$F$275,0)),"")</f>
        <v/>
      </c>
      <c r="L85" s="250" t="str">
        <f>IFERROR(INDEX('Data Sheet'!$G$198:$G$275,MATCH(I85,'Data Sheet'!$F$198:$F$275,0)),"")</f>
        <v/>
      </c>
      <c r="M85" s="194"/>
      <c r="N85" s="248"/>
      <c r="O85" s="248"/>
      <c r="P85" s="108" t="str">
        <f>IFERROR(INDEX(Setup!$D$44:$D$70,MATCH(M85,Setup!$K$44:$K$70,0))&amp;"","")</f>
        <v/>
      </c>
      <c r="Q85" s="108" t="str">
        <f>IFERROR(INDEX(Setup!$E$44:$E$70,MATCH(M85,Setup!$K$44:$K$70,0))&amp;"","")</f>
        <v/>
      </c>
      <c r="R85" s="108" t="str">
        <f>IFERROR(INDEX(Setup!$L$44:$L$70,MATCH(M85,Setup!$K$44:$K$70,0))&amp;"","")</f>
        <v/>
      </c>
      <c r="S85" s="108" t="str">
        <f>Setup!$C$30</f>
        <v>USD</v>
      </c>
      <c r="T85" s="109" t="str">
        <f>IFERROR(INDEX('Data Sheet'!$B$198:$B$275,MATCH(I85,'Data Sheet'!$F$198:$F$275,0)),"")</f>
        <v/>
      </c>
      <c r="U85" s="110" t="str">
        <f>IFERROR(INDEX('Data Sheet'!$D$198:$D$275,MATCH(I85,'Data Sheet'!$F$198:$F$275,0)),"")</f>
        <v/>
      </c>
      <c r="V85" s="99"/>
      <c r="W85" s="195" t="str">
        <f>IF(V85=Setup!$C$30,"Grant",IF(V85=Setup!$C$31,"Local",IF(V85=Setup!$C$32,"Other",IF(ISBLANK(V85),"","Other"))))</f>
        <v/>
      </c>
      <c r="X85" s="255"/>
      <c r="Y85" s="259" t="str">
        <f>IF(X85&lt;&gt;"",X85/VLOOKUP($V85,Setup!$C$30:$D$41,2,0),"")</f>
        <v/>
      </c>
      <c r="Z85" s="262"/>
      <c r="AA85" s="256" t="str">
        <f t="shared" si="42"/>
        <v/>
      </c>
      <c r="AB85" s="262"/>
      <c r="AC85" s="258" t="str">
        <f t="shared" si="43"/>
        <v/>
      </c>
      <c r="AD85" s="262"/>
      <c r="AE85" s="258" t="str">
        <f t="shared" si="44"/>
        <v/>
      </c>
      <c r="AF85" s="262"/>
      <c r="AG85" s="256" t="str">
        <f t="shared" si="45"/>
        <v/>
      </c>
      <c r="AH85" s="256" t="str">
        <f t="shared" si="46"/>
        <v/>
      </c>
      <c r="AI85" s="256" t="str">
        <f t="shared" si="47"/>
        <v/>
      </c>
      <c r="AJ85" s="111"/>
      <c r="AK85" s="255"/>
      <c r="AL85" s="259" t="str">
        <f>IF(AK85&lt;&gt;"",AK85/VLOOKUP($V85,Setup!$C$30:$D$41,2,0),"")</f>
        <v/>
      </c>
      <c r="AM85" s="266"/>
      <c r="AN85" s="258" t="str">
        <f t="shared" si="48"/>
        <v/>
      </c>
      <c r="AO85" s="266"/>
      <c r="AP85" s="258" t="str">
        <f t="shared" si="49"/>
        <v/>
      </c>
      <c r="AQ85" s="266"/>
      <c r="AR85" s="258" t="str">
        <f t="shared" si="50"/>
        <v/>
      </c>
      <c r="AS85" s="266"/>
      <c r="AT85" s="256" t="str">
        <f t="shared" si="51"/>
        <v/>
      </c>
      <c r="AU85" s="256" t="str">
        <f t="shared" si="52"/>
        <v/>
      </c>
      <c r="AV85" s="256" t="str">
        <f t="shared" si="53"/>
        <v/>
      </c>
      <c r="AW85" s="267"/>
      <c r="AX85" s="255"/>
      <c r="AY85" s="259" t="str">
        <f>IF(AX85&lt;&gt;"",AX85/VLOOKUP($V85,Setup!$C$30:$D$41,2,0),"")</f>
        <v/>
      </c>
      <c r="AZ85" s="268"/>
      <c r="BA85" s="258" t="str">
        <f t="shared" si="54"/>
        <v/>
      </c>
      <c r="BB85" s="268"/>
      <c r="BC85" s="258" t="str">
        <f t="shared" si="55"/>
        <v/>
      </c>
      <c r="BD85" s="268"/>
      <c r="BE85" s="258" t="str">
        <f t="shared" si="56"/>
        <v/>
      </c>
      <c r="BF85" s="268"/>
      <c r="BG85" s="256" t="str">
        <f t="shared" si="57"/>
        <v/>
      </c>
      <c r="BH85" s="256" t="str">
        <f t="shared" si="58"/>
        <v/>
      </c>
      <c r="BI85" s="256" t="str">
        <f t="shared" si="59"/>
        <v/>
      </c>
      <c r="BJ85" s="267"/>
      <c r="BK85" s="255"/>
      <c r="BL85" s="259" t="str">
        <f>IF(BK85&lt;&gt;"",BK85/VLOOKUP($V85,Setup!$C$30:$D$41,2,0),"")</f>
        <v/>
      </c>
      <c r="BM85" s="268"/>
      <c r="BN85" s="258" t="str">
        <f t="shared" si="60"/>
        <v/>
      </c>
      <c r="BO85" s="268"/>
      <c r="BP85" s="258" t="str">
        <f t="shared" si="61"/>
        <v/>
      </c>
      <c r="BQ85" s="268"/>
      <c r="BR85" s="258" t="str">
        <f t="shared" si="62"/>
        <v/>
      </c>
      <c r="BS85" s="268"/>
      <c r="BT85" s="256" t="str">
        <f t="shared" si="63"/>
        <v/>
      </c>
      <c r="BU85" s="256" t="str">
        <f t="shared" si="64"/>
        <v/>
      </c>
      <c r="BV85" s="256" t="str">
        <f t="shared" si="65"/>
        <v/>
      </c>
      <c r="BW85" s="267"/>
      <c r="BX85" s="256" t="str">
        <f t="shared" si="66"/>
        <v/>
      </c>
      <c r="BY85" s="256" t="str">
        <f t="shared" si="67"/>
        <v/>
      </c>
      <c r="BZ85" s="281"/>
      <c r="CA85" s="282"/>
      <c r="CC85" s="112" t="str">
        <f t="shared" ca="1" si="68"/>
        <v/>
      </c>
      <c r="CF85" s="284"/>
      <c r="CG85" s="284"/>
      <c r="CH85" s="284"/>
      <c r="CI85" s="284"/>
      <c r="CL85" s="356" t="str">
        <f>IFERROR(VLOOKUP(C85,'Data Sheet'!$A$3:$B$26,2,FALSE),"")</f>
        <v/>
      </c>
    </row>
    <row r="86" spans="1:90" s="98" customFormat="1" ht="15.75" x14ac:dyDescent="0.2">
      <c r="A86" s="97"/>
      <c r="B86" s="105" t="str">
        <f t="shared" si="71"/>
        <v>--</v>
      </c>
      <c r="C86" s="276"/>
      <c r="D86" s="101" t="str">
        <f>IFERROR(IF(VLOOKUP(C86,'Data Sheet'!$A$3:$D$26,4,FALSE)=0,"",VLOOKUP(C86,'Data Sheet'!$A$3:$D$26,4,FALSE)),"")</f>
        <v/>
      </c>
      <c r="E86" s="279"/>
      <c r="F86" s="103" t="str">
        <f>IFERROR(IF(VLOOKUP(E86,'Data Sheet'!$C$29:$E$174,3,FALSE)=0,"",VLOOKUP(E86,'Data Sheet'!$C$29:$E$174,3,FALSE)),"")</f>
        <v/>
      </c>
      <c r="G86" s="106" t="str">
        <f t="shared" si="69"/>
        <v>-</v>
      </c>
      <c r="H86" s="273"/>
      <c r="I86" s="107"/>
      <c r="J86" s="249" t="e">
        <f t="shared" si="70"/>
        <v>#VALUE!</v>
      </c>
      <c r="K86" s="101" t="str">
        <f>IFERROR(INDEX('Data Sheet'!$C$198:$C$275,MATCH(I86,'Data Sheet'!$F$198:$F$275,0)),"")</f>
        <v/>
      </c>
      <c r="L86" s="250" t="str">
        <f>IFERROR(INDEX('Data Sheet'!$G$198:$G$275,MATCH(I86,'Data Sheet'!$F$198:$F$275,0)),"")</f>
        <v/>
      </c>
      <c r="M86" s="194"/>
      <c r="N86" s="248"/>
      <c r="O86" s="248"/>
      <c r="P86" s="108" t="str">
        <f>IFERROR(INDEX(Setup!$D$44:$D$70,MATCH(M86,Setup!$K$44:$K$70,0))&amp;"","")</f>
        <v/>
      </c>
      <c r="Q86" s="108" t="str">
        <f>IFERROR(INDEX(Setup!$E$44:$E$70,MATCH(M86,Setup!$K$44:$K$70,0))&amp;"","")</f>
        <v/>
      </c>
      <c r="R86" s="108" t="str">
        <f>IFERROR(INDEX(Setup!$L$44:$L$70,MATCH(M86,Setup!$K$44:$K$70,0))&amp;"","")</f>
        <v/>
      </c>
      <c r="S86" s="108" t="str">
        <f>Setup!$C$30</f>
        <v>USD</v>
      </c>
      <c r="T86" s="109" t="str">
        <f>IFERROR(INDEX('Data Sheet'!$B$198:$B$275,MATCH(I86,'Data Sheet'!$F$198:$F$275,0)),"")</f>
        <v/>
      </c>
      <c r="U86" s="110" t="str">
        <f>IFERROR(INDEX('Data Sheet'!$D$198:$D$275,MATCH(I86,'Data Sheet'!$F$198:$F$275,0)),"")</f>
        <v/>
      </c>
      <c r="V86" s="99"/>
      <c r="W86" s="195" t="str">
        <f>IF(V86=Setup!$C$30,"Grant",IF(V86=Setup!$C$31,"Local",IF(V86=Setup!$C$32,"Other",IF(ISBLANK(V86),"","Other"))))</f>
        <v/>
      </c>
      <c r="X86" s="255"/>
      <c r="Y86" s="259" t="str">
        <f>IF(X86&lt;&gt;"",X86/VLOOKUP($V86,Setup!$C$30:$D$41,2,0),"")</f>
        <v/>
      </c>
      <c r="Z86" s="262"/>
      <c r="AA86" s="256" t="str">
        <f t="shared" si="42"/>
        <v/>
      </c>
      <c r="AB86" s="262"/>
      <c r="AC86" s="258" t="str">
        <f t="shared" si="43"/>
        <v/>
      </c>
      <c r="AD86" s="262"/>
      <c r="AE86" s="258" t="str">
        <f t="shared" si="44"/>
        <v/>
      </c>
      <c r="AF86" s="262"/>
      <c r="AG86" s="256" t="str">
        <f t="shared" si="45"/>
        <v/>
      </c>
      <c r="AH86" s="256" t="str">
        <f t="shared" si="46"/>
        <v/>
      </c>
      <c r="AI86" s="256" t="str">
        <f t="shared" si="47"/>
        <v/>
      </c>
      <c r="AJ86" s="111"/>
      <c r="AK86" s="255"/>
      <c r="AL86" s="259" t="str">
        <f>IF(AK86&lt;&gt;"",AK86/VLOOKUP($V86,Setup!$C$30:$D$41,2,0),"")</f>
        <v/>
      </c>
      <c r="AM86" s="266"/>
      <c r="AN86" s="258" t="str">
        <f t="shared" si="48"/>
        <v/>
      </c>
      <c r="AO86" s="266"/>
      <c r="AP86" s="258" t="str">
        <f t="shared" si="49"/>
        <v/>
      </c>
      <c r="AQ86" s="266"/>
      <c r="AR86" s="258" t="str">
        <f t="shared" si="50"/>
        <v/>
      </c>
      <c r="AS86" s="266"/>
      <c r="AT86" s="256" t="str">
        <f t="shared" si="51"/>
        <v/>
      </c>
      <c r="AU86" s="256" t="str">
        <f t="shared" si="52"/>
        <v/>
      </c>
      <c r="AV86" s="256" t="str">
        <f t="shared" si="53"/>
        <v/>
      </c>
      <c r="AW86" s="267"/>
      <c r="AX86" s="255"/>
      <c r="AY86" s="259" t="str">
        <f>IF(AX86&lt;&gt;"",AX86/VLOOKUP($V86,Setup!$C$30:$D$41,2,0),"")</f>
        <v/>
      </c>
      <c r="AZ86" s="268"/>
      <c r="BA86" s="258" t="str">
        <f t="shared" si="54"/>
        <v/>
      </c>
      <c r="BB86" s="268"/>
      <c r="BC86" s="258" t="str">
        <f t="shared" si="55"/>
        <v/>
      </c>
      <c r="BD86" s="268"/>
      <c r="BE86" s="258" t="str">
        <f t="shared" si="56"/>
        <v/>
      </c>
      <c r="BF86" s="268"/>
      <c r="BG86" s="256" t="str">
        <f t="shared" si="57"/>
        <v/>
      </c>
      <c r="BH86" s="256" t="str">
        <f t="shared" si="58"/>
        <v/>
      </c>
      <c r="BI86" s="256" t="str">
        <f t="shared" si="59"/>
        <v/>
      </c>
      <c r="BJ86" s="267"/>
      <c r="BK86" s="255"/>
      <c r="BL86" s="259" t="str">
        <f>IF(BK86&lt;&gt;"",BK86/VLOOKUP($V86,Setup!$C$30:$D$41,2,0),"")</f>
        <v/>
      </c>
      <c r="BM86" s="268"/>
      <c r="BN86" s="258" t="str">
        <f t="shared" si="60"/>
        <v/>
      </c>
      <c r="BO86" s="268"/>
      <c r="BP86" s="258" t="str">
        <f t="shared" si="61"/>
        <v/>
      </c>
      <c r="BQ86" s="268"/>
      <c r="BR86" s="258" t="str">
        <f t="shared" si="62"/>
        <v/>
      </c>
      <c r="BS86" s="268"/>
      <c r="BT86" s="256" t="str">
        <f t="shared" si="63"/>
        <v/>
      </c>
      <c r="BU86" s="256" t="str">
        <f t="shared" si="64"/>
        <v/>
      </c>
      <c r="BV86" s="256" t="str">
        <f t="shared" si="65"/>
        <v/>
      </c>
      <c r="BW86" s="267"/>
      <c r="BX86" s="256" t="str">
        <f t="shared" si="66"/>
        <v/>
      </c>
      <c r="BY86" s="256" t="str">
        <f t="shared" si="67"/>
        <v/>
      </c>
      <c r="BZ86" s="281"/>
      <c r="CA86" s="282"/>
      <c r="CC86" s="112" t="str">
        <f t="shared" ca="1" si="68"/>
        <v/>
      </c>
      <c r="CF86" s="284"/>
      <c r="CG86" s="284"/>
      <c r="CH86" s="284"/>
      <c r="CI86" s="284"/>
      <c r="CL86" s="356" t="str">
        <f>IFERROR(VLOOKUP(C86,'Data Sheet'!$A$3:$B$26,2,FALSE),"")</f>
        <v/>
      </c>
    </row>
    <row r="87" spans="1:90" s="98" customFormat="1" ht="15.75" x14ac:dyDescent="0.2">
      <c r="A87" s="97"/>
      <c r="B87" s="105" t="str">
        <f t="shared" si="71"/>
        <v>--</v>
      </c>
      <c r="C87" s="276"/>
      <c r="D87" s="101" t="str">
        <f>IFERROR(IF(VLOOKUP(C87,'Data Sheet'!$A$3:$D$26,4,FALSE)=0,"",VLOOKUP(C87,'Data Sheet'!$A$3:$D$26,4,FALSE)),"")</f>
        <v/>
      </c>
      <c r="E87" s="279"/>
      <c r="F87" s="103" t="str">
        <f>IFERROR(IF(VLOOKUP(E87,'Data Sheet'!$C$29:$E$174,3,FALSE)=0,"",VLOOKUP(E87,'Data Sheet'!$C$29:$E$174,3,FALSE)),"")</f>
        <v/>
      </c>
      <c r="G87" s="106" t="str">
        <f t="shared" si="69"/>
        <v>-</v>
      </c>
      <c r="H87" s="273"/>
      <c r="I87" s="107"/>
      <c r="J87" s="249" t="e">
        <f t="shared" si="70"/>
        <v>#VALUE!</v>
      </c>
      <c r="K87" s="101" t="str">
        <f>IFERROR(INDEX('Data Sheet'!$C$198:$C$275,MATCH(I87,'Data Sheet'!$F$198:$F$275,0)),"")</f>
        <v/>
      </c>
      <c r="L87" s="250" t="str">
        <f>IFERROR(INDEX('Data Sheet'!$G$198:$G$275,MATCH(I87,'Data Sheet'!$F$198:$F$275,0)),"")</f>
        <v/>
      </c>
      <c r="M87" s="194"/>
      <c r="N87" s="248"/>
      <c r="O87" s="248"/>
      <c r="P87" s="108" t="str">
        <f>IFERROR(INDEX(Setup!$D$44:$D$70,MATCH(M87,Setup!$K$44:$K$70,0))&amp;"","")</f>
        <v/>
      </c>
      <c r="Q87" s="108" t="str">
        <f>IFERROR(INDEX(Setup!$E$44:$E$70,MATCH(M87,Setup!$K$44:$K$70,0))&amp;"","")</f>
        <v/>
      </c>
      <c r="R87" s="108" t="str">
        <f>IFERROR(INDEX(Setup!$L$44:$L$70,MATCH(M87,Setup!$K$44:$K$70,0))&amp;"","")</f>
        <v/>
      </c>
      <c r="S87" s="108" t="str">
        <f>Setup!$C$30</f>
        <v>USD</v>
      </c>
      <c r="T87" s="109" t="str">
        <f>IFERROR(INDEX('Data Sheet'!$B$198:$B$275,MATCH(I87,'Data Sheet'!$F$198:$F$275,0)),"")</f>
        <v/>
      </c>
      <c r="U87" s="110" t="str">
        <f>IFERROR(INDEX('Data Sheet'!$D$198:$D$275,MATCH(I87,'Data Sheet'!$F$198:$F$275,0)),"")</f>
        <v/>
      </c>
      <c r="V87" s="99"/>
      <c r="W87" s="195" t="str">
        <f>IF(V87=Setup!$C$30,"Grant",IF(V87=Setup!$C$31,"Local",IF(V87=Setup!$C$32,"Other",IF(ISBLANK(V87),"","Other"))))</f>
        <v/>
      </c>
      <c r="X87" s="255"/>
      <c r="Y87" s="259" t="str">
        <f>IF(X87&lt;&gt;"",X87/VLOOKUP($V87,Setup!$C$30:$D$41,2,0),"")</f>
        <v/>
      </c>
      <c r="Z87" s="262"/>
      <c r="AA87" s="256" t="str">
        <f t="shared" si="42"/>
        <v/>
      </c>
      <c r="AB87" s="262"/>
      <c r="AC87" s="258" t="str">
        <f t="shared" si="43"/>
        <v/>
      </c>
      <c r="AD87" s="262"/>
      <c r="AE87" s="258" t="str">
        <f t="shared" si="44"/>
        <v/>
      </c>
      <c r="AF87" s="262"/>
      <c r="AG87" s="256" t="str">
        <f t="shared" si="45"/>
        <v/>
      </c>
      <c r="AH87" s="256" t="str">
        <f t="shared" si="46"/>
        <v/>
      </c>
      <c r="AI87" s="256" t="str">
        <f t="shared" si="47"/>
        <v/>
      </c>
      <c r="AJ87" s="111"/>
      <c r="AK87" s="255"/>
      <c r="AL87" s="259" t="str">
        <f>IF(AK87&lt;&gt;"",AK87/VLOOKUP($V87,Setup!$C$30:$D$41,2,0),"")</f>
        <v/>
      </c>
      <c r="AM87" s="266"/>
      <c r="AN87" s="258" t="str">
        <f t="shared" si="48"/>
        <v/>
      </c>
      <c r="AO87" s="266"/>
      <c r="AP87" s="258" t="str">
        <f t="shared" si="49"/>
        <v/>
      </c>
      <c r="AQ87" s="266"/>
      <c r="AR87" s="258" t="str">
        <f t="shared" si="50"/>
        <v/>
      </c>
      <c r="AS87" s="266"/>
      <c r="AT87" s="256" t="str">
        <f t="shared" si="51"/>
        <v/>
      </c>
      <c r="AU87" s="256" t="str">
        <f t="shared" si="52"/>
        <v/>
      </c>
      <c r="AV87" s="256" t="str">
        <f t="shared" si="53"/>
        <v/>
      </c>
      <c r="AW87" s="267"/>
      <c r="AX87" s="255"/>
      <c r="AY87" s="259" t="str">
        <f>IF(AX87&lt;&gt;"",AX87/VLOOKUP($V87,Setup!$C$30:$D$41,2,0),"")</f>
        <v/>
      </c>
      <c r="AZ87" s="268"/>
      <c r="BA87" s="258" t="str">
        <f t="shared" si="54"/>
        <v/>
      </c>
      <c r="BB87" s="268"/>
      <c r="BC87" s="258" t="str">
        <f t="shared" si="55"/>
        <v/>
      </c>
      <c r="BD87" s="268"/>
      <c r="BE87" s="258" t="str">
        <f t="shared" si="56"/>
        <v/>
      </c>
      <c r="BF87" s="268"/>
      <c r="BG87" s="256" t="str">
        <f t="shared" si="57"/>
        <v/>
      </c>
      <c r="BH87" s="256" t="str">
        <f t="shared" si="58"/>
        <v/>
      </c>
      <c r="BI87" s="256" t="str">
        <f t="shared" si="59"/>
        <v/>
      </c>
      <c r="BJ87" s="267"/>
      <c r="BK87" s="255"/>
      <c r="BL87" s="259" t="str">
        <f>IF(BK87&lt;&gt;"",BK87/VLOOKUP($V87,Setup!$C$30:$D$41,2,0),"")</f>
        <v/>
      </c>
      <c r="BM87" s="268"/>
      <c r="BN87" s="258" t="str">
        <f t="shared" si="60"/>
        <v/>
      </c>
      <c r="BO87" s="268"/>
      <c r="BP87" s="258" t="str">
        <f t="shared" si="61"/>
        <v/>
      </c>
      <c r="BQ87" s="268"/>
      <c r="BR87" s="258" t="str">
        <f t="shared" si="62"/>
        <v/>
      </c>
      <c r="BS87" s="268"/>
      <c r="BT87" s="256" t="str">
        <f t="shared" si="63"/>
        <v/>
      </c>
      <c r="BU87" s="256" t="str">
        <f t="shared" si="64"/>
        <v/>
      </c>
      <c r="BV87" s="256" t="str">
        <f t="shared" si="65"/>
        <v/>
      </c>
      <c r="BW87" s="267"/>
      <c r="BX87" s="256" t="str">
        <f t="shared" si="66"/>
        <v/>
      </c>
      <c r="BY87" s="256" t="str">
        <f t="shared" si="67"/>
        <v/>
      </c>
      <c r="BZ87" s="281"/>
      <c r="CA87" s="282"/>
      <c r="CC87" s="112" t="str">
        <f t="shared" ca="1" si="68"/>
        <v/>
      </c>
      <c r="CF87" s="284"/>
      <c r="CG87" s="284"/>
      <c r="CH87" s="284"/>
      <c r="CI87" s="284"/>
      <c r="CL87" s="356" t="str">
        <f>IFERROR(VLOOKUP(C87,'Data Sheet'!$A$3:$B$26,2,FALSE),"")</f>
        <v/>
      </c>
    </row>
    <row r="88" spans="1:90" s="98" customFormat="1" ht="15.75" x14ac:dyDescent="0.2">
      <c r="A88" s="97"/>
      <c r="B88" s="105" t="str">
        <f t="shared" si="71"/>
        <v>--</v>
      </c>
      <c r="C88" s="276"/>
      <c r="D88" s="101" t="str">
        <f>IFERROR(IF(VLOOKUP(C88,'Data Sheet'!$A$3:$D$26,4,FALSE)=0,"",VLOOKUP(C88,'Data Sheet'!$A$3:$D$26,4,FALSE)),"")</f>
        <v/>
      </c>
      <c r="E88" s="279"/>
      <c r="F88" s="103" t="str">
        <f>IFERROR(IF(VLOOKUP(E88,'Data Sheet'!$C$29:$E$174,3,FALSE)=0,"",VLOOKUP(E88,'Data Sheet'!$C$29:$E$174,3,FALSE)),"")</f>
        <v/>
      </c>
      <c r="G88" s="106" t="str">
        <f t="shared" si="69"/>
        <v>-</v>
      </c>
      <c r="H88" s="273"/>
      <c r="I88" s="107"/>
      <c r="J88" s="249" t="e">
        <f t="shared" si="70"/>
        <v>#VALUE!</v>
      </c>
      <c r="K88" s="101" t="str">
        <f>IFERROR(INDEX('Data Sheet'!$C$198:$C$275,MATCH(I88,'Data Sheet'!$F$198:$F$275,0)),"")</f>
        <v/>
      </c>
      <c r="L88" s="250" t="str">
        <f>IFERROR(INDEX('Data Sheet'!$G$198:$G$275,MATCH(I88,'Data Sheet'!$F$198:$F$275,0)),"")</f>
        <v/>
      </c>
      <c r="M88" s="194"/>
      <c r="N88" s="248"/>
      <c r="O88" s="248"/>
      <c r="P88" s="108" t="str">
        <f>IFERROR(INDEX(Setup!$D$44:$D$70,MATCH(M88,Setup!$K$44:$K$70,0))&amp;"","")</f>
        <v/>
      </c>
      <c r="Q88" s="108" t="str">
        <f>IFERROR(INDEX(Setup!$E$44:$E$70,MATCH(M88,Setup!$K$44:$K$70,0))&amp;"","")</f>
        <v/>
      </c>
      <c r="R88" s="108" t="str">
        <f>IFERROR(INDEX(Setup!$L$44:$L$70,MATCH(M88,Setup!$K$44:$K$70,0))&amp;"","")</f>
        <v/>
      </c>
      <c r="S88" s="108" t="str">
        <f>Setup!$C$30</f>
        <v>USD</v>
      </c>
      <c r="T88" s="109" t="str">
        <f>IFERROR(INDEX('Data Sheet'!$B$198:$B$275,MATCH(I88,'Data Sheet'!$F$198:$F$275,0)),"")</f>
        <v/>
      </c>
      <c r="U88" s="110" t="str">
        <f>IFERROR(INDEX('Data Sheet'!$D$198:$D$275,MATCH(I88,'Data Sheet'!$F$198:$F$275,0)),"")</f>
        <v/>
      </c>
      <c r="V88" s="99"/>
      <c r="W88" s="195" t="str">
        <f>IF(V88=Setup!$C$30,"Grant",IF(V88=Setup!$C$31,"Local",IF(V88=Setup!$C$32,"Other",IF(ISBLANK(V88),"","Other"))))</f>
        <v/>
      </c>
      <c r="X88" s="255"/>
      <c r="Y88" s="259" t="str">
        <f>IF(X88&lt;&gt;"",X88/VLOOKUP($V88,Setup!$C$30:$D$41,2,0),"")</f>
        <v/>
      </c>
      <c r="Z88" s="262"/>
      <c r="AA88" s="256" t="str">
        <f t="shared" si="42"/>
        <v/>
      </c>
      <c r="AB88" s="262"/>
      <c r="AC88" s="258" t="str">
        <f t="shared" si="43"/>
        <v/>
      </c>
      <c r="AD88" s="262"/>
      <c r="AE88" s="258" t="str">
        <f t="shared" si="44"/>
        <v/>
      </c>
      <c r="AF88" s="262"/>
      <c r="AG88" s="256" t="str">
        <f t="shared" si="45"/>
        <v/>
      </c>
      <c r="AH88" s="256" t="str">
        <f t="shared" si="46"/>
        <v/>
      </c>
      <c r="AI88" s="256" t="str">
        <f t="shared" si="47"/>
        <v/>
      </c>
      <c r="AJ88" s="111"/>
      <c r="AK88" s="255"/>
      <c r="AL88" s="259" t="str">
        <f>IF(AK88&lt;&gt;"",AK88/VLOOKUP($V88,Setup!$C$30:$D$41,2,0),"")</f>
        <v/>
      </c>
      <c r="AM88" s="266"/>
      <c r="AN88" s="258" t="str">
        <f t="shared" si="48"/>
        <v/>
      </c>
      <c r="AO88" s="266"/>
      <c r="AP88" s="258" t="str">
        <f t="shared" si="49"/>
        <v/>
      </c>
      <c r="AQ88" s="266"/>
      <c r="AR88" s="258" t="str">
        <f t="shared" si="50"/>
        <v/>
      </c>
      <c r="AS88" s="266"/>
      <c r="AT88" s="256" t="str">
        <f t="shared" si="51"/>
        <v/>
      </c>
      <c r="AU88" s="256" t="str">
        <f t="shared" si="52"/>
        <v/>
      </c>
      <c r="AV88" s="256" t="str">
        <f t="shared" si="53"/>
        <v/>
      </c>
      <c r="AW88" s="267"/>
      <c r="AX88" s="255"/>
      <c r="AY88" s="259" t="str">
        <f>IF(AX88&lt;&gt;"",AX88/VLOOKUP($V88,Setup!$C$30:$D$41,2,0),"")</f>
        <v/>
      </c>
      <c r="AZ88" s="268"/>
      <c r="BA88" s="258" t="str">
        <f t="shared" si="54"/>
        <v/>
      </c>
      <c r="BB88" s="268"/>
      <c r="BC88" s="258" t="str">
        <f t="shared" si="55"/>
        <v/>
      </c>
      <c r="BD88" s="268"/>
      <c r="BE88" s="258" t="str">
        <f t="shared" si="56"/>
        <v/>
      </c>
      <c r="BF88" s="268"/>
      <c r="BG88" s="256" t="str">
        <f t="shared" si="57"/>
        <v/>
      </c>
      <c r="BH88" s="256" t="str">
        <f t="shared" si="58"/>
        <v/>
      </c>
      <c r="BI88" s="256" t="str">
        <f t="shared" si="59"/>
        <v/>
      </c>
      <c r="BJ88" s="267"/>
      <c r="BK88" s="255"/>
      <c r="BL88" s="259" t="str">
        <f>IF(BK88&lt;&gt;"",BK88/VLOOKUP($V88,Setup!$C$30:$D$41,2,0),"")</f>
        <v/>
      </c>
      <c r="BM88" s="268"/>
      <c r="BN88" s="258" t="str">
        <f t="shared" si="60"/>
        <v/>
      </c>
      <c r="BO88" s="268"/>
      <c r="BP88" s="258" t="str">
        <f t="shared" si="61"/>
        <v/>
      </c>
      <c r="BQ88" s="268"/>
      <c r="BR88" s="258" t="str">
        <f t="shared" si="62"/>
        <v/>
      </c>
      <c r="BS88" s="268"/>
      <c r="BT88" s="256" t="str">
        <f t="shared" si="63"/>
        <v/>
      </c>
      <c r="BU88" s="256" t="str">
        <f t="shared" si="64"/>
        <v/>
      </c>
      <c r="BV88" s="256" t="str">
        <f t="shared" si="65"/>
        <v/>
      </c>
      <c r="BW88" s="267"/>
      <c r="BX88" s="256" t="str">
        <f t="shared" si="66"/>
        <v/>
      </c>
      <c r="BY88" s="256" t="str">
        <f t="shared" si="67"/>
        <v/>
      </c>
      <c r="BZ88" s="281"/>
      <c r="CA88" s="282"/>
      <c r="CC88" s="112" t="str">
        <f t="shared" ca="1" si="68"/>
        <v/>
      </c>
      <c r="CF88" s="284"/>
      <c r="CG88" s="284"/>
      <c r="CH88" s="284"/>
      <c r="CI88" s="284"/>
      <c r="CL88" s="356" t="str">
        <f>IFERROR(VLOOKUP(C88,'Data Sheet'!$A$3:$B$26,2,FALSE),"")</f>
        <v/>
      </c>
    </row>
    <row r="89" spans="1:90" s="98" customFormat="1" ht="15.75" x14ac:dyDescent="0.2">
      <c r="A89" s="97"/>
      <c r="B89" s="105" t="str">
        <f t="shared" si="71"/>
        <v>--</v>
      </c>
      <c r="C89" s="276"/>
      <c r="D89" s="101" t="str">
        <f>IFERROR(IF(VLOOKUP(C89,'Data Sheet'!$A$3:$D$26,4,FALSE)=0,"",VLOOKUP(C89,'Data Sheet'!$A$3:$D$26,4,FALSE)),"")</f>
        <v/>
      </c>
      <c r="E89" s="279"/>
      <c r="F89" s="103" t="str">
        <f>IFERROR(IF(VLOOKUP(E89,'Data Sheet'!$C$29:$E$174,3,FALSE)=0,"",VLOOKUP(E89,'Data Sheet'!$C$29:$E$174,3,FALSE)),"")</f>
        <v/>
      </c>
      <c r="G89" s="106" t="str">
        <f t="shared" si="69"/>
        <v>-</v>
      </c>
      <c r="H89" s="273"/>
      <c r="I89" s="107"/>
      <c r="J89" s="249" t="e">
        <f t="shared" si="70"/>
        <v>#VALUE!</v>
      </c>
      <c r="K89" s="101" t="str">
        <f>IFERROR(INDEX('Data Sheet'!$C$198:$C$275,MATCH(I89,'Data Sheet'!$F$198:$F$275,0)),"")</f>
        <v/>
      </c>
      <c r="L89" s="250" t="str">
        <f>IFERROR(INDEX('Data Sheet'!$G$198:$G$275,MATCH(I89,'Data Sheet'!$F$198:$F$275,0)),"")</f>
        <v/>
      </c>
      <c r="M89" s="194"/>
      <c r="N89" s="248"/>
      <c r="O89" s="248"/>
      <c r="P89" s="108" t="str">
        <f>IFERROR(INDEX(Setup!$D$44:$D$70,MATCH(M89,Setup!$K$44:$K$70,0))&amp;"","")</f>
        <v/>
      </c>
      <c r="Q89" s="108" t="str">
        <f>IFERROR(INDEX(Setup!$E$44:$E$70,MATCH(M89,Setup!$K$44:$K$70,0))&amp;"","")</f>
        <v/>
      </c>
      <c r="R89" s="108" t="str">
        <f>IFERROR(INDEX(Setup!$L$44:$L$70,MATCH(M89,Setup!$K$44:$K$70,0))&amp;"","")</f>
        <v/>
      </c>
      <c r="S89" s="108" t="str">
        <f>Setup!$C$30</f>
        <v>USD</v>
      </c>
      <c r="T89" s="109" t="str">
        <f>IFERROR(INDEX('Data Sheet'!$B$198:$B$275,MATCH(I89,'Data Sheet'!$F$198:$F$275,0)),"")</f>
        <v/>
      </c>
      <c r="U89" s="110" t="str">
        <f>IFERROR(INDEX('Data Sheet'!$D$198:$D$275,MATCH(I89,'Data Sheet'!$F$198:$F$275,0)),"")</f>
        <v/>
      </c>
      <c r="V89" s="99"/>
      <c r="W89" s="195" t="str">
        <f>IF(V89=Setup!$C$30,"Grant",IF(V89=Setup!$C$31,"Local",IF(V89=Setup!$C$32,"Other",IF(ISBLANK(V89),"","Other"))))</f>
        <v/>
      </c>
      <c r="X89" s="255"/>
      <c r="Y89" s="259" t="str">
        <f>IF(X89&lt;&gt;"",X89/VLOOKUP($V89,Setup!$C$30:$D$41,2,0),"")</f>
        <v/>
      </c>
      <c r="Z89" s="262"/>
      <c r="AA89" s="256" t="str">
        <f t="shared" si="42"/>
        <v/>
      </c>
      <c r="AB89" s="262"/>
      <c r="AC89" s="258" t="str">
        <f t="shared" si="43"/>
        <v/>
      </c>
      <c r="AD89" s="262"/>
      <c r="AE89" s="258" t="str">
        <f t="shared" si="44"/>
        <v/>
      </c>
      <c r="AF89" s="262"/>
      <c r="AG89" s="256" t="str">
        <f t="shared" si="45"/>
        <v/>
      </c>
      <c r="AH89" s="256" t="str">
        <f t="shared" si="46"/>
        <v/>
      </c>
      <c r="AI89" s="256" t="str">
        <f t="shared" si="47"/>
        <v/>
      </c>
      <c r="AJ89" s="111"/>
      <c r="AK89" s="255"/>
      <c r="AL89" s="259" t="str">
        <f>IF(AK89&lt;&gt;"",AK89/VLOOKUP($V89,Setup!$C$30:$D$41,2,0),"")</f>
        <v/>
      </c>
      <c r="AM89" s="266"/>
      <c r="AN89" s="258" t="str">
        <f t="shared" si="48"/>
        <v/>
      </c>
      <c r="AO89" s="266"/>
      <c r="AP89" s="258" t="str">
        <f t="shared" si="49"/>
        <v/>
      </c>
      <c r="AQ89" s="266"/>
      <c r="AR89" s="258" t="str">
        <f t="shared" si="50"/>
        <v/>
      </c>
      <c r="AS89" s="266"/>
      <c r="AT89" s="256" t="str">
        <f t="shared" si="51"/>
        <v/>
      </c>
      <c r="AU89" s="256" t="str">
        <f t="shared" si="52"/>
        <v/>
      </c>
      <c r="AV89" s="256" t="str">
        <f t="shared" si="53"/>
        <v/>
      </c>
      <c r="AW89" s="267"/>
      <c r="AX89" s="255"/>
      <c r="AY89" s="259" t="str">
        <f>IF(AX89&lt;&gt;"",AX89/VLOOKUP($V89,Setup!$C$30:$D$41,2,0),"")</f>
        <v/>
      </c>
      <c r="AZ89" s="268"/>
      <c r="BA89" s="258" t="str">
        <f t="shared" si="54"/>
        <v/>
      </c>
      <c r="BB89" s="268"/>
      <c r="BC89" s="258" t="str">
        <f t="shared" si="55"/>
        <v/>
      </c>
      <c r="BD89" s="268"/>
      <c r="BE89" s="258" t="str">
        <f t="shared" si="56"/>
        <v/>
      </c>
      <c r="BF89" s="268"/>
      <c r="BG89" s="256" t="str">
        <f t="shared" si="57"/>
        <v/>
      </c>
      <c r="BH89" s="256" t="str">
        <f t="shared" si="58"/>
        <v/>
      </c>
      <c r="BI89" s="256" t="str">
        <f t="shared" si="59"/>
        <v/>
      </c>
      <c r="BJ89" s="267"/>
      <c r="BK89" s="255"/>
      <c r="BL89" s="259" t="str">
        <f>IF(BK89&lt;&gt;"",BK89/VLOOKUP($V89,Setup!$C$30:$D$41,2,0),"")</f>
        <v/>
      </c>
      <c r="BM89" s="268"/>
      <c r="BN89" s="258" t="str">
        <f t="shared" si="60"/>
        <v/>
      </c>
      <c r="BO89" s="268"/>
      <c r="BP89" s="258" t="str">
        <f t="shared" si="61"/>
        <v/>
      </c>
      <c r="BQ89" s="268"/>
      <c r="BR89" s="258" t="str">
        <f t="shared" si="62"/>
        <v/>
      </c>
      <c r="BS89" s="268"/>
      <c r="BT89" s="256" t="str">
        <f t="shared" si="63"/>
        <v/>
      </c>
      <c r="BU89" s="256" t="str">
        <f t="shared" si="64"/>
        <v/>
      </c>
      <c r="BV89" s="256" t="str">
        <f t="shared" si="65"/>
        <v/>
      </c>
      <c r="BW89" s="267"/>
      <c r="BX89" s="256" t="str">
        <f t="shared" si="66"/>
        <v/>
      </c>
      <c r="BY89" s="256" t="str">
        <f t="shared" si="67"/>
        <v/>
      </c>
      <c r="BZ89" s="281"/>
      <c r="CA89" s="282"/>
      <c r="CC89" s="112" t="str">
        <f t="shared" ca="1" si="68"/>
        <v/>
      </c>
      <c r="CF89" s="284"/>
      <c r="CG89" s="284"/>
      <c r="CH89" s="284"/>
      <c r="CI89" s="284"/>
      <c r="CL89" s="356" t="str">
        <f>IFERROR(VLOOKUP(C89,'Data Sheet'!$A$3:$B$26,2,FALSE),"")</f>
        <v/>
      </c>
    </row>
    <row r="90" spans="1:90" s="98" customFormat="1" ht="15.75" x14ac:dyDescent="0.2">
      <c r="A90" s="97"/>
      <c r="B90" s="105" t="str">
        <f t="shared" si="71"/>
        <v>--</v>
      </c>
      <c r="C90" s="276"/>
      <c r="D90" s="101" t="str">
        <f>IFERROR(IF(VLOOKUP(C90,'Data Sheet'!$A$3:$D$26,4,FALSE)=0,"",VLOOKUP(C90,'Data Sheet'!$A$3:$D$26,4,FALSE)),"")</f>
        <v/>
      </c>
      <c r="E90" s="279"/>
      <c r="F90" s="103" t="str">
        <f>IFERROR(IF(VLOOKUP(E90,'Data Sheet'!$C$29:$E$174,3,FALSE)=0,"",VLOOKUP(E90,'Data Sheet'!$C$29:$E$174,3,FALSE)),"")</f>
        <v/>
      </c>
      <c r="G90" s="106" t="str">
        <f t="shared" si="69"/>
        <v>-</v>
      </c>
      <c r="H90" s="273"/>
      <c r="I90" s="107"/>
      <c r="J90" s="249" t="e">
        <f t="shared" si="70"/>
        <v>#VALUE!</v>
      </c>
      <c r="K90" s="101" t="str">
        <f>IFERROR(INDEX('Data Sheet'!$C$198:$C$275,MATCH(I90,'Data Sheet'!$F$198:$F$275,0)),"")</f>
        <v/>
      </c>
      <c r="L90" s="250" t="str">
        <f>IFERROR(INDEX('Data Sheet'!$G$198:$G$275,MATCH(I90,'Data Sheet'!$F$198:$F$275,0)),"")</f>
        <v/>
      </c>
      <c r="M90" s="194"/>
      <c r="N90" s="248"/>
      <c r="O90" s="248"/>
      <c r="P90" s="108" t="str">
        <f>IFERROR(INDEX(Setup!$D$44:$D$70,MATCH(M90,Setup!$K$44:$K$70,0))&amp;"","")</f>
        <v/>
      </c>
      <c r="Q90" s="108" t="str">
        <f>IFERROR(INDEX(Setup!$E$44:$E$70,MATCH(M90,Setup!$K$44:$K$70,0))&amp;"","")</f>
        <v/>
      </c>
      <c r="R90" s="108" t="str">
        <f>IFERROR(INDEX(Setup!$L$44:$L$70,MATCH(M90,Setup!$K$44:$K$70,0))&amp;"","")</f>
        <v/>
      </c>
      <c r="S90" s="108" t="str">
        <f>Setup!$C$30</f>
        <v>USD</v>
      </c>
      <c r="T90" s="109" t="str">
        <f>IFERROR(INDEX('Data Sheet'!$B$198:$B$275,MATCH(I90,'Data Sheet'!$F$198:$F$275,0)),"")</f>
        <v/>
      </c>
      <c r="U90" s="110" t="str">
        <f>IFERROR(INDEX('Data Sheet'!$D$198:$D$275,MATCH(I90,'Data Sheet'!$F$198:$F$275,0)),"")</f>
        <v/>
      </c>
      <c r="V90" s="99"/>
      <c r="W90" s="195" t="str">
        <f>IF(V90=Setup!$C$30,"Grant",IF(V90=Setup!$C$31,"Local",IF(V90=Setup!$C$32,"Other",IF(ISBLANK(V90),"","Other"))))</f>
        <v/>
      </c>
      <c r="X90" s="255"/>
      <c r="Y90" s="259" t="str">
        <f>IF(X90&lt;&gt;"",X90/VLOOKUP($V90,Setup!$C$30:$D$41,2,0),"")</f>
        <v/>
      </c>
      <c r="Z90" s="262"/>
      <c r="AA90" s="256" t="str">
        <f t="shared" si="42"/>
        <v/>
      </c>
      <c r="AB90" s="262"/>
      <c r="AC90" s="258" t="str">
        <f t="shared" si="43"/>
        <v/>
      </c>
      <c r="AD90" s="262"/>
      <c r="AE90" s="258" t="str">
        <f t="shared" si="44"/>
        <v/>
      </c>
      <c r="AF90" s="262"/>
      <c r="AG90" s="256" t="str">
        <f t="shared" si="45"/>
        <v/>
      </c>
      <c r="AH90" s="256" t="str">
        <f t="shared" si="46"/>
        <v/>
      </c>
      <c r="AI90" s="256" t="str">
        <f t="shared" si="47"/>
        <v/>
      </c>
      <c r="AJ90" s="111"/>
      <c r="AK90" s="255"/>
      <c r="AL90" s="259" t="str">
        <f>IF(AK90&lt;&gt;"",AK90/VLOOKUP($V90,Setup!$C$30:$D$41,2,0),"")</f>
        <v/>
      </c>
      <c r="AM90" s="266"/>
      <c r="AN90" s="258" t="str">
        <f t="shared" si="48"/>
        <v/>
      </c>
      <c r="AO90" s="266"/>
      <c r="AP90" s="258" t="str">
        <f t="shared" si="49"/>
        <v/>
      </c>
      <c r="AQ90" s="266"/>
      <c r="AR90" s="258" t="str">
        <f t="shared" si="50"/>
        <v/>
      </c>
      <c r="AS90" s="266"/>
      <c r="AT90" s="256" t="str">
        <f t="shared" si="51"/>
        <v/>
      </c>
      <c r="AU90" s="256" t="str">
        <f t="shared" si="52"/>
        <v/>
      </c>
      <c r="AV90" s="256" t="str">
        <f t="shared" si="53"/>
        <v/>
      </c>
      <c r="AW90" s="267"/>
      <c r="AX90" s="255"/>
      <c r="AY90" s="259" t="str">
        <f>IF(AX90&lt;&gt;"",AX90/VLOOKUP($V90,Setup!$C$30:$D$41,2,0),"")</f>
        <v/>
      </c>
      <c r="AZ90" s="268"/>
      <c r="BA90" s="258" t="str">
        <f t="shared" si="54"/>
        <v/>
      </c>
      <c r="BB90" s="268"/>
      <c r="BC90" s="258" t="str">
        <f t="shared" si="55"/>
        <v/>
      </c>
      <c r="BD90" s="268"/>
      <c r="BE90" s="258" t="str">
        <f t="shared" si="56"/>
        <v/>
      </c>
      <c r="BF90" s="268"/>
      <c r="BG90" s="256" t="str">
        <f t="shared" si="57"/>
        <v/>
      </c>
      <c r="BH90" s="256" t="str">
        <f t="shared" si="58"/>
        <v/>
      </c>
      <c r="BI90" s="256" t="str">
        <f t="shared" si="59"/>
        <v/>
      </c>
      <c r="BJ90" s="267"/>
      <c r="BK90" s="255"/>
      <c r="BL90" s="259" t="str">
        <f>IF(BK90&lt;&gt;"",BK90/VLOOKUP($V90,Setup!$C$30:$D$41,2,0),"")</f>
        <v/>
      </c>
      <c r="BM90" s="268"/>
      <c r="BN90" s="258" t="str">
        <f t="shared" si="60"/>
        <v/>
      </c>
      <c r="BO90" s="268"/>
      <c r="BP90" s="258" t="str">
        <f t="shared" si="61"/>
        <v/>
      </c>
      <c r="BQ90" s="268"/>
      <c r="BR90" s="258" t="str">
        <f t="shared" si="62"/>
        <v/>
      </c>
      <c r="BS90" s="268"/>
      <c r="BT90" s="256" t="str">
        <f t="shared" si="63"/>
        <v/>
      </c>
      <c r="BU90" s="256" t="str">
        <f t="shared" si="64"/>
        <v/>
      </c>
      <c r="BV90" s="256" t="str">
        <f t="shared" si="65"/>
        <v/>
      </c>
      <c r="BW90" s="267"/>
      <c r="BX90" s="256" t="str">
        <f t="shared" si="66"/>
        <v/>
      </c>
      <c r="BY90" s="256" t="str">
        <f t="shared" si="67"/>
        <v/>
      </c>
      <c r="BZ90" s="281"/>
      <c r="CA90" s="282"/>
      <c r="CC90" s="112" t="str">
        <f t="shared" ca="1" si="68"/>
        <v/>
      </c>
      <c r="CF90" s="284"/>
      <c r="CG90" s="284"/>
      <c r="CH90" s="284"/>
      <c r="CI90" s="284"/>
      <c r="CL90" s="356" t="str">
        <f>IFERROR(VLOOKUP(C90,'Data Sheet'!$A$3:$B$26,2,FALSE),"")</f>
        <v/>
      </c>
    </row>
    <row r="91" spans="1:90" s="98" customFormat="1" ht="15.75" x14ac:dyDescent="0.2">
      <c r="A91" s="97"/>
      <c r="B91" s="105" t="str">
        <f t="shared" si="71"/>
        <v>--</v>
      </c>
      <c r="C91" s="276"/>
      <c r="D91" s="101" t="str">
        <f>IFERROR(IF(VLOOKUP(C91,'Data Sheet'!$A$3:$D$26,4,FALSE)=0,"",VLOOKUP(C91,'Data Sheet'!$A$3:$D$26,4,FALSE)),"")</f>
        <v/>
      </c>
      <c r="E91" s="279"/>
      <c r="F91" s="103" t="str">
        <f>IFERROR(IF(VLOOKUP(E91,'Data Sheet'!$C$29:$E$174,3,FALSE)=0,"",VLOOKUP(E91,'Data Sheet'!$C$29:$E$174,3,FALSE)),"")</f>
        <v/>
      </c>
      <c r="G91" s="106" t="str">
        <f t="shared" si="69"/>
        <v>-</v>
      </c>
      <c r="H91" s="273"/>
      <c r="I91" s="107"/>
      <c r="J91" s="249" t="e">
        <f t="shared" si="70"/>
        <v>#VALUE!</v>
      </c>
      <c r="K91" s="101" t="str">
        <f>IFERROR(INDEX('Data Sheet'!$C$198:$C$275,MATCH(I91,'Data Sheet'!$F$198:$F$275,0)),"")</f>
        <v/>
      </c>
      <c r="L91" s="250" t="str">
        <f>IFERROR(INDEX('Data Sheet'!$G$198:$G$275,MATCH(I91,'Data Sheet'!$F$198:$F$275,0)),"")</f>
        <v/>
      </c>
      <c r="M91" s="194"/>
      <c r="N91" s="248"/>
      <c r="O91" s="248"/>
      <c r="P91" s="108" t="str">
        <f>IFERROR(INDEX(Setup!$D$44:$D$70,MATCH(M91,Setup!$K$44:$K$70,0))&amp;"","")</f>
        <v/>
      </c>
      <c r="Q91" s="108" t="str">
        <f>IFERROR(INDEX(Setup!$E$44:$E$70,MATCH(M91,Setup!$K$44:$K$70,0))&amp;"","")</f>
        <v/>
      </c>
      <c r="R91" s="108" t="str">
        <f>IFERROR(INDEX(Setup!$L$44:$L$70,MATCH(M91,Setup!$K$44:$K$70,0))&amp;"","")</f>
        <v/>
      </c>
      <c r="S91" s="108" t="str">
        <f>Setup!$C$30</f>
        <v>USD</v>
      </c>
      <c r="T91" s="109" t="str">
        <f>IFERROR(INDEX('Data Sheet'!$B$198:$B$275,MATCH(I91,'Data Sheet'!$F$198:$F$275,0)),"")</f>
        <v/>
      </c>
      <c r="U91" s="110" t="str">
        <f>IFERROR(INDEX('Data Sheet'!$D$198:$D$275,MATCH(I91,'Data Sheet'!$F$198:$F$275,0)),"")</f>
        <v/>
      </c>
      <c r="V91" s="99"/>
      <c r="W91" s="195" t="str">
        <f>IF(V91=Setup!$C$30,"Grant",IF(V91=Setup!$C$31,"Local",IF(V91=Setup!$C$32,"Other",IF(ISBLANK(V91),"","Other"))))</f>
        <v/>
      </c>
      <c r="X91" s="255"/>
      <c r="Y91" s="259" t="str">
        <f>IF(X91&lt;&gt;"",X91/VLOOKUP($V91,Setup!$C$30:$D$41,2,0),"")</f>
        <v/>
      </c>
      <c r="Z91" s="262"/>
      <c r="AA91" s="256" t="str">
        <f t="shared" si="42"/>
        <v/>
      </c>
      <c r="AB91" s="262"/>
      <c r="AC91" s="258" t="str">
        <f t="shared" si="43"/>
        <v/>
      </c>
      <c r="AD91" s="262"/>
      <c r="AE91" s="258" t="str">
        <f t="shared" si="44"/>
        <v/>
      </c>
      <c r="AF91" s="262"/>
      <c r="AG91" s="256" t="str">
        <f t="shared" si="45"/>
        <v/>
      </c>
      <c r="AH91" s="256" t="str">
        <f t="shared" si="46"/>
        <v/>
      </c>
      <c r="AI91" s="256" t="str">
        <f t="shared" si="47"/>
        <v/>
      </c>
      <c r="AJ91" s="111"/>
      <c r="AK91" s="255"/>
      <c r="AL91" s="259" t="str">
        <f>IF(AK91&lt;&gt;"",AK91/VLOOKUP($V91,Setup!$C$30:$D$41,2,0),"")</f>
        <v/>
      </c>
      <c r="AM91" s="266"/>
      <c r="AN91" s="258" t="str">
        <f t="shared" si="48"/>
        <v/>
      </c>
      <c r="AO91" s="266"/>
      <c r="AP91" s="258" t="str">
        <f t="shared" si="49"/>
        <v/>
      </c>
      <c r="AQ91" s="266"/>
      <c r="AR91" s="258" t="str">
        <f t="shared" si="50"/>
        <v/>
      </c>
      <c r="AS91" s="266"/>
      <c r="AT91" s="256" t="str">
        <f t="shared" si="51"/>
        <v/>
      </c>
      <c r="AU91" s="256" t="str">
        <f t="shared" si="52"/>
        <v/>
      </c>
      <c r="AV91" s="256" t="str">
        <f t="shared" si="53"/>
        <v/>
      </c>
      <c r="AW91" s="267"/>
      <c r="AX91" s="255"/>
      <c r="AY91" s="259" t="str">
        <f>IF(AX91&lt;&gt;"",AX91/VLOOKUP($V91,Setup!$C$30:$D$41,2,0),"")</f>
        <v/>
      </c>
      <c r="AZ91" s="268"/>
      <c r="BA91" s="258" t="str">
        <f t="shared" si="54"/>
        <v/>
      </c>
      <c r="BB91" s="268"/>
      <c r="BC91" s="258" t="str">
        <f t="shared" si="55"/>
        <v/>
      </c>
      <c r="BD91" s="268"/>
      <c r="BE91" s="258" t="str">
        <f t="shared" si="56"/>
        <v/>
      </c>
      <c r="BF91" s="268"/>
      <c r="BG91" s="256" t="str">
        <f t="shared" si="57"/>
        <v/>
      </c>
      <c r="BH91" s="256" t="str">
        <f t="shared" si="58"/>
        <v/>
      </c>
      <c r="BI91" s="256" t="str">
        <f t="shared" si="59"/>
        <v/>
      </c>
      <c r="BJ91" s="267"/>
      <c r="BK91" s="255"/>
      <c r="BL91" s="259" t="str">
        <f>IF(BK91&lt;&gt;"",BK91/VLOOKUP($V91,Setup!$C$30:$D$41,2,0),"")</f>
        <v/>
      </c>
      <c r="BM91" s="268"/>
      <c r="BN91" s="258" t="str">
        <f t="shared" si="60"/>
        <v/>
      </c>
      <c r="BO91" s="268"/>
      <c r="BP91" s="258" t="str">
        <f t="shared" si="61"/>
        <v/>
      </c>
      <c r="BQ91" s="268"/>
      <c r="BR91" s="258" t="str">
        <f t="shared" si="62"/>
        <v/>
      </c>
      <c r="BS91" s="268"/>
      <c r="BT91" s="256" t="str">
        <f t="shared" si="63"/>
        <v/>
      </c>
      <c r="BU91" s="256" t="str">
        <f t="shared" si="64"/>
        <v/>
      </c>
      <c r="BV91" s="256" t="str">
        <f t="shared" si="65"/>
        <v/>
      </c>
      <c r="BW91" s="267"/>
      <c r="BX91" s="256" t="str">
        <f t="shared" si="66"/>
        <v/>
      </c>
      <c r="BY91" s="256" t="str">
        <f t="shared" si="67"/>
        <v/>
      </c>
      <c r="BZ91" s="281"/>
      <c r="CA91" s="282"/>
      <c r="CC91" s="112" t="str">
        <f t="shared" ca="1" si="68"/>
        <v/>
      </c>
      <c r="CF91" s="284"/>
      <c r="CG91" s="284"/>
      <c r="CH91" s="284"/>
      <c r="CI91" s="284"/>
      <c r="CL91" s="356" t="str">
        <f>IFERROR(VLOOKUP(C91,'Data Sheet'!$A$3:$B$26,2,FALSE),"")</f>
        <v/>
      </c>
    </row>
    <row r="92" spans="1:90" s="98" customFormat="1" ht="15.75" x14ac:dyDescent="0.2">
      <c r="A92" s="97"/>
      <c r="B92" s="105" t="str">
        <f t="shared" si="71"/>
        <v>--</v>
      </c>
      <c r="C92" s="276"/>
      <c r="D92" s="101" t="str">
        <f>IFERROR(IF(VLOOKUP(C92,'Data Sheet'!$A$3:$D$26,4,FALSE)=0,"",VLOOKUP(C92,'Data Sheet'!$A$3:$D$26,4,FALSE)),"")</f>
        <v/>
      </c>
      <c r="E92" s="279"/>
      <c r="F92" s="103" t="str">
        <f>IFERROR(IF(VLOOKUP(E92,'Data Sheet'!$C$29:$E$174,3,FALSE)=0,"",VLOOKUP(E92,'Data Sheet'!$C$29:$E$174,3,FALSE)),"")</f>
        <v/>
      </c>
      <c r="G92" s="106" t="str">
        <f t="shared" si="69"/>
        <v>-</v>
      </c>
      <c r="H92" s="273"/>
      <c r="I92" s="107"/>
      <c r="J92" s="249" t="e">
        <f t="shared" si="70"/>
        <v>#VALUE!</v>
      </c>
      <c r="K92" s="101" t="str">
        <f>IFERROR(INDEX('Data Sheet'!$C$198:$C$275,MATCH(I92,'Data Sheet'!$F$198:$F$275,0)),"")</f>
        <v/>
      </c>
      <c r="L92" s="250" t="str">
        <f>IFERROR(INDEX('Data Sheet'!$G$198:$G$275,MATCH(I92,'Data Sheet'!$F$198:$F$275,0)),"")</f>
        <v/>
      </c>
      <c r="M92" s="194"/>
      <c r="N92" s="248"/>
      <c r="O92" s="248"/>
      <c r="P92" s="108" t="str">
        <f>IFERROR(INDEX(Setup!$D$44:$D$70,MATCH(M92,Setup!$K$44:$K$70,0))&amp;"","")</f>
        <v/>
      </c>
      <c r="Q92" s="108" t="str">
        <f>IFERROR(INDEX(Setup!$E$44:$E$70,MATCH(M92,Setup!$K$44:$K$70,0))&amp;"","")</f>
        <v/>
      </c>
      <c r="R92" s="108" t="str">
        <f>IFERROR(INDEX(Setup!$L$44:$L$70,MATCH(M92,Setup!$K$44:$K$70,0))&amp;"","")</f>
        <v/>
      </c>
      <c r="S92" s="108" t="str">
        <f>Setup!$C$30</f>
        <v>USD</v>
      </c>
      <c r="T92" s="109" t="str">
        <f>IFERROR(INDEX('Data Sheet'!$B$198:$B$275,MATCH(I92,'Data Sheet'!$F$198:$F$275,0)),"")</f>
        <v/>
      </c>
      <c r="U92" s="110" t="str">
        <f>IFERROR(INDEX('Data Sheet'!$D$198:$D$275,MATCH(I92,'Data Sheet'!$F$198:$F$275,0)),"")</f>
        <v/>
      </c>
      <c r="V92" s="99"/>
      <c r="W92" s="195" t="str">
        <f>IF(V92=Setup!$C$30,"Grant",IF(V92=Setup!$C$31,"Local",IF(V92=Setup!$C$32,"Other",IF(ISBLANK(V92),"","Other"))))</f>
        <v/>
      </c>
      <c r="X92" s="255"/>
      <c r="Y92" s="259" t="str">
        <f>IF(X92&lt;&gt;"",X92/VLOOKUP($V92,Setup!$C$30:$D$41,2,0),"")</f>
        <v/>
      </c>
      <c r="Z92" s="262"/>
      <c r="AA92" s="256" t="str">
        <f t="shared" si="42"/>
        <v/>
      </c>
      <c r="AB92" s="262"/>
      <c r="AC92" s="258" t="str">
        <f t="shared" si="43"/>
        <v/>
      </c>
      <c r="AD92" s="262"/>
      <c r="AE92" s="258" t="str">
        <f t="shared" si="44"/>
        <v/>
      </c>
      <c r="AF92" s="262"/>
      <c r="AG92" s="256" t="str">
        <f t="shared" si="45"/>
        <v/>
      </c>
      <c r="AH92" s="256" t="str">
        <f t="shared" si="46"/>
        <v/>
      </c>
      <c r="AI92" s="256" t="str">
        <f t="shared" si="47"/>
        <v/>
      </c>
      <c r="AJ92" s="111"/>
      <c r="AK92" s="255"/>
      <c r="AL92" s="259" t="str">
        <f>IF(AK92&lt;&gt;"",AK92/VLOOKUP($V92,Setup!$C$30:$D$41,2,0),"")</f>
        <v/>
      </c>
      <c r="AM92" s="266"/>
      <c r="AN92" s="258" t="str">
        <f t="shared" si="48"/>
        <v/>
      </c>
      <c r="AO92" s="266"/>
      <c r="AP92" s="258" t="str">
        <f t="shared" si="49"/>
        <v/>
      </c>
      <c r="AQ92" s="266"/>
      <c r="AR92" s="258" t="str">
        <f t="shared" si="50"/>
        <v/>
      </c>
      <c r="AS92" s="266"/>
      <c r="AT92" s="256" t="str">
        <f t="shared" si="51"/>
        <v/>
      </c>
      <c r="AU92" s="256" t="str">
        <f t="shared" si="52"/>
        <v/>
      </c>
      <c r="AV92" s="256" t="str">
        <f t="shared" si="53"/>
        <v/>
      </c>
      <c r="AW92" s="267"/>
      <c r="AX92" s="255"/>
      <c r="AY92" s="259" t="str">
        <f>IF(AX92&lt;&gt;"",AX92/VLOOKUP($V92,Setup!$C$30:$D$41,2,0),"")</f>
        <v/>
      </c>
      <c r="AZ92" s="268"/>
      <c r="BA92" s="258" t="str">
        <f t="shared" si="54"/>
        <v/>
      </c>
      <c r="BB92" s="268"/>
      <c r="BC92" s="258" t="str">
        <f t="shared" si="55"/>
        <v/>
      </c>
      <c r="BD92" s="268"/>
      <c r="BE92" s="258" t="str">
        <f t="shared" si="56"/>
        <v/>
      </c>
      <c r="BF92" s="268"/>
      <c r="BG92" s="256" t="str">
        <f t="shared" si="57"/>
        <v/>
      </c>
      <c r="BH92" s="256" t="str">
        <f t="shared" si="58"/>
        <v/>
      </c>
      <c r="BI92" s="256" t="str">
        <f t="shared" si="59"/>
        <v/>
      </c>
      <c r="BJ92" s="267"/>
      <c r="BK92" s="255"/>
      <c r="BL92" s="259" t="str">
        <f>IF(BK92&lt;&gt;"",BK92/VLOOKUP($V92,Setup!$C$30:$D$41,2,0),"")</f>
        <v/>
      </c>
      <c r="BM92" s="268"/>
      <c r="BN92" s="258" t="str">
        <f t="shared" si="60"/>
        <v/>
      </c>
      <c r="BO92" s="268"/>
      <c r="BP92" s="258" t="str">
        <f t="shared" si="61"/>
        <v/>
      </c>
      <c r="BQ92" s="268"/>
      <c r="BR92" s="258" t="str">
        <f t="shared" si="62"/>
        <v/>
      </c>
      <c r="BS92" s="268"/>
      <c r="BT92" s="256" t="str">
        <f t="shared" si="63"/>
        <v/>
      </c>
      <c r="BU92" s="256" t="str">
        <f t="shared" si="64"/>
        <v/>
      </c>
      <c r="BV92" s="256" t="str">
        <f t="shared" si="65"/>
        <v/>
      </c>
      <c r="BW92" s="267"/>
      <c r="BX92" s="256" t="str">
        <f t="shared" si="66"/>
        <v/>
      </c>
      <c r="BY92" s="256" t="str">
        <f t="shared" si="67"/>
        <v/>
      </c>
      <c r="BZ92" s="281"/>
      <c r="CA92" s="282"/>
      <c r="CC92" s="112" t="str">
        <f t="shared" ca="1" si="68"/>
        <v/>
      </c>
      <c r="CF92" s="284"/>
      <c r="CG92" s="284"/>
      <c r="CH92" s="284"/>
      <c r="CI92" s="284"/>
      <c r="CL92" s="356" t="str">
        <f>IFERROR(VLOOKUP(C92,'Data Sheet'!$A$3:$B$26,2,FALSE),"")</f>
        <v/>
      </c>
    </row>
    <row r="93" spans="1:90" s="98" customFormat="1" ht="15.75" x14ac:dyDescent="0.2">
      <c r="A93" s="97"/>
      <c r="B93" s="105" t="str">
        <f t="shared" si="71"/>
        <v>--</v>
      </c>
      <c r="C93" s="276"/>
      <c r="D93" s="101" t="str">
        <f>IFERROR(IF(VLOOKUP(C93,'Data Sheet'!$A$3:$D$26,4,FALSE)=0,"",VLOOKUP(C93,'Data Sheet'!$A$3:$D$26,4,FALSE)),"")</f>
        <v/>
      </c>
      <c r="E93" s="279"/>
      <c r="F93" s="103" t="str">
        <f>IFERROR(IF(VLOOKUP(E93,'Data Sheet'!$C$29:$E$174,3,FALSE)=0,"",VLOOKUP(E93,'Data Sheet'!$C$29:$E$174,3,FALSE)),"")</f>
        <v/>
      </c>
      <c r="G93" s="106" t="str">
        <f t="shared" si="69"/>
        <v>-</v>
      </c>
      <c r="H93" s="273"/>
      <c r="I93" s="107"/>
      <c r="J93" s="249" t="e">
        <f t="shared" si="70"/>
        <v>#VALUE!</v>
      </c>
      <c r="K93" s="101" t="str">
        <f>IFERROR(INDEX('Data Sheet'!$C$198:$C$275,MATCH(I93,'Data Sheet'!$F$198:$F$275,0)),"")</f>
        <v/>
      </c>
      <c r="L93" s="250" t="str">
        <f>IFERROR(INDEX('Data Sheet'!$G$198:$G$275,MATCH(I93,'Data Sheet'!$F$198:$F$275,0)),"")</f>
        <v/>
      </c>
      <c r="M93" s="194"/>
      <c r="N93" s="248"/>
      <c r="O93" s="248"/>
      <c r="P93" s="108" t="str">
        <f>IFERROR(INDEX(Setup!$D$44:$D$70,MATCH(M93,Setup!$K$44:$K$70,0))&amp;"","")</f>
        <v/>
      </c>
      <c r="Q93" s="108" t="str">
        <f>IFERROR(INDEX(Setup!$E$44:$E$70,MATCH(M93,Setup!$K$44:$K$70,0))&amp;"","")</f>
        <v/>
      </c>
      <c r="R93" s="108" t="str">
        <f>IFERROR(INDEX(Setup!$L$44:$L$70,MATCH(M93,Setup!$K$44:$K$70,0))&amp;"","")</f>
        <v/>
      </c>
      <c r="S93" s="108" t="str">
        <f>Setup!$C$30</f>
        <v>USD</v>
      </c>
      <c r="T93" s="109" t="str">
        <f>IFERROR(INDEX('Data Sheet'!$B$198:$B$275,MATCH(I93,'Data Sheet'!$F$198:$F$275,0)),"")</f>
        <v/>
      </c>
      <c r="U93" s="110" t="str">
        <f>IFERROR(INDEX('Data Sheet'!$D$198:$D$275,MATCH(I93,'Data Sheet'!$F$198:$F$275,0)),"")</f>
        <v/>
      </c>
      <c r="V93" s="99"/>
      <c r="W93" s="195" t="str">
        <f>IF(V93=Setup!$C$30,"Grant",IF(V93=Setup!$C$31,"Local",IF(V93=Setup!$C$32,"Other",IF(ISBLANK(V93),"","Other"))))</f>
        <v/>
      </c>
      <c r="X93" s="255"/>
      <c r="Y93" s="259" t="str">
        <f>IF(X93&lt;&gt;"",X93/VLOOKUP($V93,Setup!$C$30:$D$41,2,0),"")</f>
        <v/>
      </c>
      <c r="Z93" s="262"/>
      <c r="AA93" s="256" t="str">
        <f t="shared" si="42"/>
        <v/>
      </c>
      <c r="AB93" s="262"/>
      <c r="AC93" s="258" t="str">
        <f t="shared" si="43"/>
        <v/>
      </c>
      <c r="AD93" s="262"/>
      <c r="AE93" s="258" t="str">
        <f t="shared" si="44"/>
        <v/>
      </c>
      <c r="AF93" s="262"/>
      <c r="AG93" s="256" t="str">
        <f t="shared" si="45"/>
        <v/>
      </c>
      <c r="AH93" s="256" t="str">
        <f t="shared" si="46"/>
        <v/>
      </c>
      <c r="AI93" s="256" t="str">
        <f t="shared" si="47"/>
        <v/>
      </c>
      <c r="AJ93" s="111"/>
      <c r="AK93" s="255"/>
      <c r="AL93" s="259" t="str">
        <f>IF(AK93&lt;&gt;"",AK93/VLOOKUP($V93,Setup!$C$30:$D$41,2,0),"")</f>
        <v/>
      </c>
      <c r="AM93" s="266"/>
      <c r="AN93" s="258" t="str">
        <f t="shared" si="48"/>
        <v/>
      </c>
      <c r="AO93" s="266"/>
      <c r="AP93" s="258" t="str">
        <f t="shared" si="49"/>
        <v/>
      </c>
      <c r="AQ93" s="266"/>
      <c r="AR93" s="258" t="str">
        <f t="shared" si="50"/>
        <v/>
      </c>
      <c r="AS93" s="266"/>
      <c r="AT93" s="256" t="str">
        <f t="shared" si="51"/>
        <v/>
      </c>
      <c r="AU93" s="256" t="str">
        <f t="shared" si="52"/>
        <v/>
      </c>
      <c r="AV93" s="256" t="str">
        <f t="shared" si="53"/>
        <v/>
      </c>
      <c r="AW93" s="267"/>
      <c r="AX93" s="255"/>
      <c r="AY93" s="259" t="str">
        <f>IF(AX93&lt;&gt;"",AX93/VLOOKUP($V93,Setup!$C$30:$D$41,2,0),"")</f>
        <v/>
      </c>
      <c r="AZ93" s="268"/>
      <c r="BA93" s="258" t="str">
        <f t="shared" si="54"/>
        <v/>
      </c>
      <c r="BB93" s="268"/>
      <c r="BC93" s="258" t="str">
        <f t="shared" si="55"/>
        <v/>
      </c>
      <c r="BD93" s="268"/>
      <c r="BE93" s="258" t="str">
        <f t="shared" si="56"/>
        <v/>
      </c>
      <c r="BF93" s="268"/>
      <c r="BG93" s="256" t="str">
        <f t="shared" si="57"/>
        <v/>
      </c>
      <c r="BH93" s="256" t="str">
        <f t="shared" si="58"/>
        <v/>
      </c>
      <c r="BI93" s="256" t="str">
        <f t="shared" si="59"/>
        <v/>
      </c>
      <c r="BJ93" s="267"/>
      <c r="BK93" s="255"/>
      <c r="BL93" s="259" t="str">
        <f>IF(BK93&lt;&gt;"",BK93/VLOOKUP($V93,Setup!$C$30:$D$41,2,0),"")</f>
        <v/>
      </c>
      <c r="BM93" s="268"/>
      <c r="BN93" s="258" t="str">
        <f t="shared" si="60"/>
        <v/>
      </c>
      <c r="BO93" s="268"/>
      <c r="BP93" s="258" t="str">
        <f t="shared" si="61"/>
        <v/>
      </c>
      <c r="BQ93" s="268"/>
      <c r="BR93" s="258" t="str">
        <f t="shared" si="62"/>
        <v/>
      </c>
      <c r="BS93" s="268"/>
      <c r="BT93" s="256" t="str">
        <f t="shared" si="63"/>
        <v/>
      </c>
      <c r="BU93" s="256" t="str">
        <f t="shared" si="64"/>
        <v/>
      </c>
      <c r="BV93" s="256" t="str">
        <f t="shared" si="65"/>
        <v/>
      </c>
      <c r="BW93" s="267"/>
      <c r="BX93" s="256" t="str">
        <f t="shared" si="66"/>
        <v/>
      </c>
      <c r="BY93" s="256" t="str">
        <f t="shared" si="67"/>
        <v/>
      </c>
      <c r="BZ93" s="281"/>
      <c r="CA93" s="282"/>
      <c r="CC93" s="112" t="str">
        <f t="shared" ca="1" si="68"/>
        <v/>
      </c>
      <c r="CF93" s="284"/>
      <c r="CG93" s="284"/>
      <c r="CH93" s="284"/>
      <c r="CI93" s="284"/>
      <c r="CL93" s="356" t="str">
        <f>IFERROR(VLOOKUP(C93,'Data Sheet'!$A$3:$B$26,2,FALSE),"")</f>
        <v/>
      </c>
    </row>
    <row r="94" spans="1:90" s="98" customFormat="1" ht="15.75" x14ac:dyDescent="0.2">
      <c r="A94" s="97"/>
      <c r="B94" s="105" t="str">
        <f t="shared" si="71"/>
        <v>--</v>
      </c>
      <c r="C94" s="276"/>
      <c r="D94" s="101" t="str">
        <f>IFERROR(IF(VLOOKUP(C94,'Data Sheet'!$A$3:$D$26,4,FALSE)=0,"",VLOOKUP(C94,'Data Sheet'!$A$3:$D$26,4,FALSE)),"")</f>
        <v/>
      </c>
      <c r="E94" s="279"/>
      <c r="F94" s="103" t="str">
        <f>IFERROR(IF(VLOOKUP(E94,'Data Sheet'!$C$29:$E$174,3,FALSE)=0,"",VLOOKUP(E94,'Data Sheet'!$C$29:$E$174,3,FALSE)),"")</f>
        <v/>
      </c>
      <c r="G94" s="106" t="str">
        <f t="shared" si="69"/>
        <v>-</v>
      </c>
      <c r="H94" s="273"/>
      <c r="I94" s="107"/>
      <c r="J94" s="249" t="e">
        <f t="shared" si="70"/>
        <v>#VALUE!</v>
      </c>
      <c r="K94" s="101" t="str">
        <f>IFERROR(INDEX('Data Sheet'!$C$198:$C$275,MATCH(I94,'Data Sheet'!$F$198:$F$275,0)),"")</f>
        <v/>
      </c>
      <c r="L94" s="250" t="str">
        <f>IFERROR(INDEX('Data Sheet'!$G$198:$G$275,MATCH(I94,'Data Sheet'!$F$198:$F$275,0)),"")</f>
        <v/>
      </c>
      <c r="M94" s="194"/>
      <c r="N94" s="248"/>
      <c r="O94" s="248"/>
      <c r="P94" s="108" t="str">
        <f>IFERROR(INDEX(Setup!$D$44:$D$70,MATCH(M94,Setup!$K$44:$K$70,0))&amp;"","")</f>
        <v/>
      </c>
      <c r="Q94" s="108" t="str">
        <f>IFERROR(INDEX(Setup!$E$44:$E$70,MATCH(M94,Setup!$K$44:$K$70,0))&amp;"","")</f>
        <v/>
      </c>
      <c r="R94" s="108" t="str">
        <f>IFERROR(INDEX(Setup!$L$44:$L$70,MATCH(M94,Setup!$K$44:$K$70,0))&amp;"","")</f>
        <v/>
      </c>
      <c r="S94" s="108" t="str">
        <f>Setup!$C$30</f>
        <v>USD</v>
      </c>
      <c r="T94" s="109" t="str">
        <f>IFERROR(INDEX('Data Sheet'!$B$198:$B$275,MATCH(I94,'Data Sheet'!$F$198:$F$275,0)),"")</f>
        <v/>
      </c>
      <c r="U94" s="110" t="str">
        <f>IFERROR(INDEX('Data Sheet'!$D$198:$D$275,MATCH(I94,'Data Sheet'!$F$198:$F$275,0)),"")</f>
        <v/>
      </c>
      <c r="V94" s="99"/>
      <c r="W94" s="195" t="str">
        <f>IF(V94=Setup!$C$30,"Grant",IF(V94=Setup!$C$31,"Local",IF(V94=Setup!$C$32,"Other",IF(ISBLANK(V94),"","Other"))))</f>
        <v/>
      </c>
      <c r="X94" s="255"/>
      <c r="Y94" s="259" t="str">
        <f>IF(X94&lt;&gt;"",X94/VLOOKUP($V94,Setup!$C$30:$D$41,2,0),"")</f>
        <v/>
      </c>
      <c r="Z94" s="262"/>
      <c r="AA94" s="256" t="str">
        <f t="shared" si="42"/>
        <v/>
      </c>
      <c r="AB94" s="262"/>
      <c r="AC94" s="258" t="str">
        <f t="shared" si="43"/>
        <v/>
      </c>
      <c r="AD94" s="262"/>
      <c r="AE94" s="258" t="str">
        <f t="shared" si="44"/>
        <v/>
      </c>
      <c r="AF94" s="262"/>
      <c r="AG94" s="256" t="str">
        <f t="shared" si="45"/>
        <v/>
      </c>
      <c r="AH94" s="256" t="str">
        <f t="shared" si="46"/>
        <v/>
      </c>
      <c r="AI94" s="256" t="str">
        <f t="shared" si="47"/>
        <v/>
      </c>
      <c r="AJ94" s="111"/>
      <c r="AK94" s="255"/>
      <c r="AL94" s="259" t="str">
        <f>IF(AK94&lt;&gt;"",AK94/VLOOKUP($V94,Setup!$C$30:$D$41,2,0),"")</f>
        <v/>
      </c>
      <c r="AM94" s="266"/>
      <c r="AN94" s="258" t="str">
        <f t="shared" si="48"/>
        <v/>
      </c>
      <c r="AO94" s="266"/>
      <c r="AP94" s="258" t="str">
        <f t="shared" si="49"/>
        <v/>
      </c>
      <c r="AQ94" s="266"/>
      <c r="AR94" s="258" t="str">
        <f t="shared" si="50"/>
        <v/>
      </c>
      <c r="AS94" s="266"/>
      <c r="AT94" s="256" t="str">
        <f t="shared" si="51"/>
        <v/>
      </c>
      <c r="AU94" s="256" t="str">
        <f t="shared" si="52"/>
        <v/>
      </c>
      <c r="AV94" s="256" t="str">
        <f t="shared" si="53"/>
        <v/>
      </c>
      <c r="AW94" s="267"/>
      <c r="AX94" s="255"/>
      <c r="AY94" s="259" t="str">
        <f>IF(AX94&lt;&gt;"",AX94/VLOOKUP($V94,Setup!$C$30:$D$41,2,0),"")</f>
        <v/>
      </c>
      <c r="AZ94" s="268"/>
      <c r="BA94" s="258" t="str">
        <f t="shared" si="54"/>
        <v/>
      </c>
      <c r="BB94" s="268"/>
      <c r="BC94" s="258" t="str">
        <f t="shared" si="55"/>
        <v/>
      </c>
      <c r="BD94" s="268"/>
      <c r="BE94" s="258" t="str">
        <f t="shared" si="56"/>
        <v/>
      </c>
      <c r="BF94" s="268"/>
      <c r="BG94" s="256" t="str">
        <f t="shared" si="57"/>
        <v/>
      </c>
      <c r="BH94" s="256" t="str">
        <f t="shared" si="58"/>
        <v/>
      </c>
      <c r="BI94" s="256" t="str">
        <f t="shared" si="59"/>
        <v/>
      </c>
      <c r="BJ94" s="267"/>
      <c r="BK94" s="255"/>
      <c r="BL94" s="259" t="str">
        <f>IF(BK94&lt;&gt;"",BK94/VLOOKUP($V94,Setup!$C$30:$D$41,2,0),"")</f>
        <v/>
      </c>
      <c r="BM94" s="268"/>
      <c r="BN94" s="258" t="str">
        <f t="shared" si="60"/>
        <v/>
      </c>
      <c r="BO94" s="268"/>
      <c r="BP94" s="258" t="str">
        <f t="shared" si="61"/>
        <v/>
      </c>
      <c r="BQ94" s="268"/>
      <c r="BR94" s="258" t="str">
        <f t="shared" si="62"/>
        <v/>
      </c>
      <c r="BS94" s="268"/>
      <c r="BT94" s="256" t="str">
        <f t="shared" si="63"/>
        <v/>
      </c>
      <c r="BU94" s="256" t="str">
        <f t="shared" si="64"/>
        <v/>
      </c>
      <c r="BV94" s="256" t="str">
        <f t="shared" si="65"/>
        <v/>
      </c>
      <c r="BW94" s="267"/>
      <c r="BX94" s="256" t="str">
        <f t="shared" si="66"/>
        <v/>
      </c>
      <c r="BY94" s="256" t="str">
        <f t="shared" si="67"/>
        <v/>
      </c>
      <c r="BZ94" s="281"/>
      <c r="CA94" s="282"/>
      <c r="CC94" s="112" t="str">
        <f t="shared" ca="1" si="68"/>
        <v/>
      </c>
      <c r="CF94" s="284"/>
      <c r="CG94" s="284"/>
      <c r="CH94" s="284"/>
      <c r="CI94" s="284"/>
      <c r="CL94" s="356" t="str">
        <f>IFERROR(VLOOKUP(C94,'Data Sheet'!$A$3:$B$26,2,FALSE),"")</f>
        <v/>
      </c>
    </row>
    <row r="95" spans="1:90" s="98" customFormat="1" ht="15.75" x14ac:dyDescent="0.2">
      <c r="A95" s="97"/>
      <c r="B95" s="105" t="str">
        <f t="shared" si="71"/>
        <v>--</v>
      </c>
      <c r="C95" s="276"/>
      <c r="D95" s="101" t="str">
        <f>IFERROR(IF(VLOOKUP(C95,'Data Sheet'!$A$3:$D$26,4,FALSE)=0,"",VLOOKUP(C95,'Data Sheet'!$A$3:$D$26,4,FALSE)),"")</f>
        <v/>
      </c>
      <c r="E95" s="279"/>
      <c r="F95" s="103" t="str">
        <f>IFERROR(IF(VLOOKUP(E95,'Data Sheet'!$C$29:$E$174,3,FALSE)=0,"",VLOOKUP(E95,'Data Sheet'!$C$29:$E$174,3,FALSE)),"")</f>
        <v/>
      </c>
      <c r="G95" s="106" t="str">
        <f t="shared" si="69"/>
        <v>-</v>
      </c>
      <c r="H95" s="273"/>
      <c r="I95" s="107"/>
      <c r="J95" s="249" t="e">
        <f t="shared" si="70"/>
        <v>#VALUE!</v>
      </c>
      <c r="K95" s="101" t="str">
        <f>IFERROR(INDEX('Data Sheet'!$C$198:$C$275,MATCH(I95,'Data Sheet'!$F$198:$F$275,0)),"")</f>
        <v/>
      </c>
      <c r="L95" s="250" t="str">
        <f>IFERROR(INDEX('Data Sheet'!$G$198:$G$275,MATCH(I95,'Data Sheet'!$F$198:$F$275,0)),"")</f>
        <v/>
      </c>
      <c r="M95" s="194"/>
      <c r="N95" s="248"/>
      <c r="O95" s="248"/>
      <c r="P95" s="108" t="str">
        <f>IFERROR(INDEX(Setup!$D$44:$D$70,MATCH(M95,Setup!$K$44:$K$70,0))&amp;"","")</f>
        <v/>
      </c>
      <c r="Q95" s="108" t="str">
        <f>IFERROR(INDEX(Setup!$E$44:$E$70,MATCH(M95,Setup!$K$44:$K$70,0))&amp;"","")</f>
        <v/>
      </c>
      <c r="R95" s="108" t="str">
        <f>IFERROR(INDEX(Setup!$L$44:$L$70,MATCH(M95,Setup!$K$44:$K$70,0))&amp;"","")</f>
        <v/>
      </c>
      <c r="S95" s="108" t="str">
        <f>Setup!$C$30</f>
        <v>USD</v>
      </c>
      <c r="T95" s="109" t="str">
        <f>IFERROR(INDEX('Data Sheet'!$B$198:$B$275,MATCH(I95,'Data Sheet'!$F$198:$F$275,0)),"")</f>
        <v/>
      </c>
      <c r="U95" s="110" t="str">
        <f>IFERROR(INDEX('Data Sheet'!$D$198:$D$275,MATCH(I95,'Data Sheet'!$F$198:$F$275,0)),"")</f>
        <v/>
      </c>
      <c r="V95" s="99"/>
      <c r="W95" s="195" t="str">
        <f>IF(V95=Setup!$C$30,"Grant",IF(V95=Setup!$C$31,"Local",IF(V95=Setup!$C$32,"Other",IF(ISBLANK(V95),"","Other"))))</f>
        <v/>
      </c>
      <c r="X95" s="255"/>
      <c r="Y95" s="259" t="str">
        <f>IF(X95&lt;&gt;"",X95/VLOOKUP($V95,Setup!$C$30:$D$41,2,0),"")</f>
        <v/>
      </c>
      <c r="Z95" s="262"/>
      <c r="AA95" s="256" t="str">
        <f t="shared" si="42"/>
        <v/>
      </c>
      <c r="AB95" s="262"/>
      <c r="AC95" s="258" t="str">
        <f t="shared" si="43"/>
        <v/>
      </c>
      <c r="AD95" s="262"/>
      <c r="AE95" s="258" t="str">
        <f t="shared" si="44"/>
        <v/>
      </c>
      <c r="AF95" s="262"/>
      <c r="AG95" s="256" t="str">
        <f t="shared" si="45"/>
        <v/>
      </c>
      <c r="AH95" s="256" t="str">
        <f t="shared" si="46"/>
        <v/>
      </c>
      <c r="AI95" s="256" t="str">
        <f t="shared" si="47"/>
        <v/>
      </c>
      <c r="AJ95" s="111"/>
      <c r="AK95" s="255"/>
      <c r="AL95" s="259" t="str">
        <f>IF(AK95&lt;&gt;"",AK95/VLOOKUP($V95,Setup!$C$30:$D$41,2,0),"")</f>
        <v/>
      </c>
      <c r="AM95" s="266"/>
      <c r="AN95" s="258" t="str">
        <f t="shared" si="48"/>
        <v/>
      </c>
      <c r="AO95" s="266"/>
      <c r="AP95" s="258" t="str">
        <f t="shared" si="49"/>
        <v/>
      </c>
      <c r="AQ95" s="266"/>
      <c r="AR95" s="258" t="str">
        <f t="shared" si="50"/>
        <v/>
      </c>
      <c r="AS95" s="266"/>
      <c r="AT95" s="256" t="str">
        <f t="shared" si="51"/>
        <v/>
      </c>
      <c r="AU95" s="256" t="str">
        <f t="shared" si="52"/>
        <v/>
      </c>
      <c r="AV95" s="256" t="str">
        <f t="shared" si="53"/>
        <v/>
      </c>
      <c r="AW95" s="267"/>
      <c r="AX95" s="255"/>
      <c r="AY95" s="259" t="str">
        <f>IF(AX95&lt;&gt;"",AX95/VLOOKUP($V95,Setup!$C$30:$D$41,2,0),"")</f>
        <v/>
      </c>
      <c r="AZ95" s="268"/>
      <c r="BA95" s="258" t="str">
        <f t="shared" si="54"/>
        <v/>
      </c>
      <c r="BB95" s="268"/>
      <c r="BC95" s="258" t="str">
        <f t="shared" si="55"/>
        <v/>
      </c>
      <c r="BD95" s="268"/>
      <c r="BE95" s="258" t="str">
        <f t="shared" si="56"/>
        <v/>
      </c>
      <c r="BF95" s="268"/>
      <c r="BG95" s="256" t="str">
        <f t="shared" si="57"/>
        <v/>
      </c>
      <c r="BH95" s="256" t="str">
        <f t="shared" si="58"/>
        <v/>
      </c>
      <c r="BI95" s="256" t="str">
        <f t="shared" si="59"/>
        <v/>
      </c>
      <c r="BJ95" s="267"/>
      <c r="BK95" s="255"/>
      <c r="BL95" s="259" t="str">
        <f>IF(BK95&lt;&gt;"",BK95/VLOOKUP($V95,Setup!$C$30:$D$41,2,0),"")</f>
        <v/>
      </c>
      <c r="BM95" s="268"/>
      <c r="BN95" s="258" t="str">
        <f t="shared" si="60"/>
        <v/>
      </c>
      <c r="BO95" s="268"/>
      <c r="BP95" s="258" t="str">
        <f t="shared" si="61"/>
        <v/>
      </c>
      <c r="BQ95" s="268"/>
      <c r="BR95" s="258" t="str">
        <f t="shared" si="62"/>
        <v/>
      </c>
      <c r="BS95" s="268"/>
      <c r="BT95" s="256" t="str">
        <f t="shared" si="63"/>
        <v/>
      </c>
      <c r="BU95" s="256" t="str">
        <f t="shared" si="64"/>
        <v/>
      </c>
      <c r="BV95" s="256" t="str">
        <f t="shared" si="65"/>
        <v/>
      </c>
      <c r="BW95" s="267"/>
      <c r="BX95" s="256" t="str">
        <f t="shared" si="66"/>
        <v/>
      </c>
      <c r="BY95" s="256" t="str">
        <f t="shared" si="67"/>
        <v/>
      </c>
      <c r="BZ95" s="281"/>
      <c r="CA95" s="282"/>
      <c r="CC95" s="112" t="str">
        <f t="shared" ca="1" si="68"/>
        <v/>
      </c>
      <c r="CF95" s="284"/>
      <c r="CG95" s="284"/>
      <c r="CH95" s="284"/>
      <c r="CI95" s="284"/>
      <c r="CL95" s="356" t="str">
        <f>IFERROR(VLOOKUP(C95,'Data Sheet'!$A$3:$B$26,2,FALSE),"")</f>
        <v/>
      </c>
    </row>
    <row r="96" spans="1:90" s="98" customFormat="1" ht="15.75" x14ac:dyDescent="0.2">
      <c r="A96" s="97"/>
      <c r="B96" s="105" t="str">
        <f t="shared" si="71"/>
        <v>--</v>
      </c>
      <c r="C96" s="276"/>
      <c r="D96" s="101" t="str">
        <f>IFERROR(IF(VLOOKUP(C96,'Data Sheet'!$A$3:$D$26,4,FALSE)=0,"",VLOOKUP(C96,'Data Sheet'!$A$3:$D$26,4,FALSE)),"")</f>
        <v/>
      </c>
      <c r="E96" s="279"/>
      <c r="F96" s="103" t="str">
        <f>IFERROR(IF(VLOOKUP(E96,'Data Sheet'!$C$29:$E$174,3,FALSE)=0,"",VLOOKUP(E96,'Data Sheet'!$C$29:$E$174,3,FALSE)),"")</f>
        <v/>
      </c>
      <c r="G96" s="106" t="str">
        <f t="shared" si="69"/>
        <v>-</v>
      </c>
      <c r="H96" s="273"/>
      <c r="I96" s="107"/>
      <c r="J96" s="249" t="e">
        <f t="shared" si="70"/>
        <v>#VALUE!</v>
      </c>
      <c r="K96" s="101" t="str">
        <f>IFERROR(INDEX('Data Sheet'!$C$198:$C$275,MATCH(I96,'Data Sheet'!$F$198:$F$275,0)),"")</f>
        <v/>
      </c>
      <c r="L96" s="250" t="str">
        <f>IFERROR(INDEX('Data Sheet'!$G$198:$G$275,MATCH(I96,'Data Sheet'!$F$198:$F$275,0)),"")</f>
        <v/>
      </c>
      <c r="M96" s="194"/>
      <c r="N96" s="248"/>
      <c r="O96" s="248"/>
      <c r="P96" s="108" t="str">
        <f>IFERROR(INDEX(Setup!$D$44:$D$70,MATCH(M96,Setup!$K$44:$K$70,0))&amp;"","")</f>
        <v/>
      </c>
      <c r="Q96" s="108" t="str">
        <f>IFERROR(INDEX(Setup!$E$44:$E$70,MATCH(M96,Setup!$K$44:$K$70,0))&amp;"","")</f>
        <v/>
      </c>
      <c r="R96" s="108" t="str">
        <f>IFERROR(INDEX(Setup!$L$44:$L$70,MATCH(M96,Setup!$K$44:$K$70,0))&amp;"","")</f>
        <v/>
      </c>
      <c r="S96" s="108" t="str">
        <f>Setup!$C$30</f>
        <v>USD</v>
      </c>
      <c r="T96" s="109" t="str">
        <f>IFERROR(INDEX('Data Sheet'!$B$198:$B$275,MATCH(I96,'Data Sheet'!$F$198:$F$275,0)),"")</f>
        <v/>
      </c>
      <c r="U96" s="110" t="str">
        <f>IFERROR(INDEX('Data Sheet'!$D$198:$D$275,MATCH(I96,'Data Sheet'!$F$198:$F$275,0)),"")</f>
        <v/>
      </c>
      <c r="V96" s="99"/>
      <c r="W96" s="195" t="str">
        <f>IF(V96=Setup!$C$30,"Grant",IF(V96=Setup!$C$31,"Local",IF(V96=Setup!$C$32,"Other",IF(ISBLANK(V96),"","Other"))))</f>
        <v/>
      </c>
      <c r="X96" s="255"/>
      <c r="Y96" s="259" t="str">
        <f>IF(X96&lt;&gt;"",X96/VLOOKUP($V96,Setup!$C$30:$D$41,2,0),"")</f>
        <v/>
      </c>
      <c r="Z96" s="262"/>
      <c r="AA96" s="256" t="str">
        <f t="shared" si="42"/>
        <v/>
      </c>
      <c r="AB96" s="262"/>
      <c r="AC96" s="258" t="str">
        <f t="shared" si="43"/>
        <v/>
      </c>
      <c r="AD96" s="262"/>
      <c r="AE96" s="258" t="str">
        <f t="shared" si="44"/>
        <v/>
      </c>
      <c r="AF96" s="262"/>
      <c r="AG96" s="256" t="str">
        <f t="shared" si="45"/>
        <v/>
      </c>
      <c r="AH96" s="256" t="str">
        <f t="shared" si="46"/>
        <v/>
      </c>
      <c r="AI96" s="256" t="str">
        <f t="shared" si="47"/>
        <v/>
      </c>
      <c r="AJ96" s="111"/>
      <c r="AK96" s="255"/>
      <c r="AL96" s="259" t="str">
        <f>IF(AK96&lt;&gt;"",AK96/VLOOKUP($V96,Setup!$C$30:$D$41,2,0),"")</f>
        <v/>
      </c>
      <c r="AM96" s="266"/>
      <c r="AN96" s="258" t="str">
        <f t="shared" si="48"/>
        <v/>
      </c>
      <c r="AO96" s="266"/>
      <c r="AP96" s="258" t="str">
        <f t="shared" si="49"/>
        <v/>
      </c>
      <c r="AQ96" s="266"/>
      <c r="AR96" s="258" t="str">
        <f t="shared" si="50"/>
        <v/>
      </c>
      <c r="AS96" s="266"/>
      <c r="AT96" s="256" t="str">
        <f t="shared" si="51"/>
        <v/>
      </c>
      <c r="AU96" s="256" t="str">
        <f t="shared" si="52"/>
        <v/>
      </c>
      <c r="AV96" s="256" t="str">
        <f t="shared" si="53"/>
        <v/>
      </c>
      <c r="AW96" s="267"/>
      <c r="AX96" s="255"/>
      <c r="AY96" s="259" t="str">
        <f>IF(AX96&lt;&gt;"",AX96/VLOOKUP($V96,Setup!$C$30:$D$41,2,0),"")</f>
        <v/>
      </c>
      <c r="AZ96" s="268"/>
      <c r="BA96" s="258" t="str">
        <f t="shared" si="54"/>
        <v/>
      </c>
      <c r="BB96" s="268"/>
      <c r="BC96" s="258" t="str">
        <f t="shared" si="55"/>
        <v/>
      </c>
      <c r="BD96" s="268"/>
      <c r="BE96" s="258" t="str">
        <f t="shared" si="56"/>
        <v/>
      </c>
      <c r="BF96" s="268"/>
      <c r="BG96" s="256" t="str">
        <f t="shared" si="57"/>
        <v/>
      </c>
      <c r="BH96" s="256" t="str">
        <f t="shared" si="58"/>
        <v/>
      </c>
      <c r="BI96" s="256" t="str">
        <f t="shared" si="59"/>
        <v/>
      </c>
      <c r="BJ96" s="267"/>
      <c r="BK96" s="255"/>
      <c r="BL96" s="259" t="str">
        <f>IF(BK96&lt;&gt;"",BK96/VLOOKUP($V96,Setup!$C$30:$D$41,2,0),"")</f>
        <v/>
      </c>
      <c r="BM96" s="268"/>
      <c r="BN96" s="258" t="str">
        <f t="shared" si="60"/>
        <v/>
      </c>
      <c r="BO96" s="268"/>
      <c r="BP96" s="258" t="str">
        <f t="shared" si="61"/>
        <v/>
      </c>
      <c r="BQ96" s="268"/>
      <c r="BR96" s="258" t="str">
        <f t="shared" si="62"/>
        <v/>
      </c>
      <c r="BS96" s="268"/>
      <c r="BT96" s="256" t="str">
        <f t="shared" si="63"/>
        <v/>
      </c>
      <c r="BU96" s="256" t="str">
        <f t="shared" si="64"/>
        <v/>
      </c>
      <c r="BV96" s="256" t="str">
        <f t="shared" si="65"/>
        <v/>
      </c>
      <c r="BW96" s="267"/>
      <c r="BX96" s="256" t="str">
        <f t="shared" si="66"/>
        <v/>
      </c>
      <c r="BY96" s="256" t="str">
        <f t="shared" si="67"/>
        <v/>
      </c>
      <c r="BZ96" s="281"/>
      <c r="CA96" s="282"/>
      <c r="CC96" s="112" t="str">
        <f t="shared" ca="1" si="68"/>
        <v/>
      </c>
      <c r="CF96" s="284"/>
      <c r="CG96" s="284"/>
      <c r="CH96" s="284"/>
      <c r="CI96" s="284"/>
      <c r="CL96" s="356" t="str">
        <f>IFERROR(VLOOKUP(C96,'Data Sheet'!$A$3:$B$26,2,FALSE),"")</f>
        <v/>
      </c>
    </row>
    <row r="97" spans="1:90" s="98" customFormat="1" ht="15.75" x14ac:dyDescent="0.2">
      <c r="A97" s="97"/>
      <c r="B97" s="105" t="str">
        <f t="shared" si="71"/>
        <v>--</v>
      </c>
      <c r="C97" s="276"/>
      <c r="D97" s="101" t="str">
        <f>IFERROR(IF(VLOOKUP(C97,'Data Sheet'!$A$3:$D$26,4,FALSE)=0,"",VLOOKUP(C97,'Data Sheet'!$A$3:$D$26,4,FALSE)),"")</f>
        <v/>
      </c>
      <c r="E97" s="279"/>
      <c r="F97" s="103" t="str">
        <f>IFERROR(IF(VLOOKUP(E97,'Data Sheet'!$C$29:$E$174,3,FALSE)=0,"",VLOOKUP(E97,'Data Sheet'!$C$29:$E$174,3,FALSE)),"")</f>
        <v/>
      </c>
      <c r="G97" s="106" t="str">
        <f t="shared" si="69"/>
        <v>-</v>
      </c>
      <c r="H97" s="273"/>
      <c r="I97" s="107"/>
      <c r="J97" s="249" t="e">
        <f t="shared" si="70"/>
        <v>#VALUE!</v>
      </c>
      <c r="K97" s="101" t="str">
        <f>IFERROR(INDEX('Data Sheet'!$C$198:$C$275,MATCH(I97,'Data Sheet'!$F$198:$F$275,0)),"")</f>
        <v/>
      </c>
      <c r="L97" s="250" t="str">
        <f>IFERROR(INDEX('Data Sheet'!$G$198:$G$275,MATCH(I97,'Data Sheet'!$F$198:$F$275,0)),"")</f>
        <v/>
      </c>
      <c r="M97" s="194"/>
      <c r="N97" s="248"/>
      <c r="O97" s="248"/>
      <c r="P97" s="108" t="str">
        <f>IFERROR(INDEX(Setup!$D$44:$D$70,MATCH(M97,Setup!$K$44:$K$70,0))&amp;"","")</f>
        <v/>
      </c>
      <c r="Q97" s="108" t="str">
        <f>IFERROR(INDEX(Setup!$E$44:$E$70,MATCH(M97,Setup!$K$44:$K$70,0))&amp;"","")</f>
        <v/>
      </c>
      <c r="R97" s="108" t="str">
        <f>IFERROR(INDEX(Setup!$L$44:$L$70,MATCH(M97,Setup!$K$44:$K$70,0))&amp;"","")</f>
        <v/>
      </c>
      <c r="S97" s="108" t="str">
        <f>Setup!$C$30</f>
        <v>USD</v>
      </c>
      <c r="T97" s="109" t="str">
        <f>IFERROR(INDEX('Data Sheet'!$B$198:$B$275,MATCH(I97,'Data Sheet'!$F$198:$F$275,0)),"")</f>
        <v/>
      </c>
      <c r="U97" s="110" t="str">
        <f>IFERROR(INDEX('Data Sheet'!$D$198:$D$275,MATCH(I97,'Data Sheet'!$F$198:$F$275,0)),"")</f>
        <v/>
      </c>
      <c r="V97" s="99"/>
      <c r="W97" s="195" t="str">
        <f>IF(V97=Setup!$C$30,"Grant",IF(V97=Setup!$C$31,"Local",IF(V97=Setup!$C$32,"Other",IF(ISBLANK(V97),"","Other"))))</f>
        <v/>
      </c>
      <c r="X97" s="255"/>
      <c r="Y97" s="259" t="str">
        <f>IF(X97&lt;&gt;"",X97/VLOOKUP($V97,Setup!$C$30:$D$41,2,0),"")</f>
        <v/>
      </c>
      <c r="Z97" s="262"/>
      <c r="AA97" s="256" t="str">
        <f t="shared" si="42"/>
        <v/>
      </c>
      <c r="AB97" s="262"/>
      <c r="AC97" s="258" t="str">
        <f t="shared" si="43"/>
        <v/>
      </c>
      <c r="AD97" s="262"/>
      <c r="AE97" s="258" t="str">
        <f t="shared" si="44"/>
        <v/>
      </c>
      <c r="AF97" s="262"/>
      <c r="AG97" s="256" t="str">
        <f t="shared" si="45"/>
        <v/>
      </c>
      <c r="AH97" s="256" t="str">
        <f t="shared" si="46"/>
        <v/>
      </c>
      <c r="AI97" s="256" t="str">
        <f t="shared" si="47"/>
        <v/>
      </c>
      <c r="AJ97" s="111"/>
      <c r="AK97" s="255"/>
      <c r="AL97" s="259" t="str">
        <f>IF(AK97&lt;&gt;"",AK97/VLOOKUP($V97,Setup!$C$30:$D$41,2,0),"")</f>
        <v/>
      </c>
      <c r="AM97" s="266"/>
      <c r="AN97" s="258" t="str">
        <f t="shared" si="48"/>
        <v/>
      </c>
      <c r="AO97" s="266"/>
      <c r="AP97" s="258" t="str">
        <f t="shared" si="49"/>
        <v/>
      </c>
      <c r="AQ97" s="266"/>
      <c r="AR97" s="258" t="str">
        <f t="shared" si="50"/>
        <v/>
      </c>
      <c r="AS97" s="266"/>
      <c r="AT97" s="256" t="str">
        <f t="shared" si="51"/>
        <v/>
      </c>
      <c r="AU97" s="256" t="str">
        <f t="shared" si="52"/>
        <v/>
      </c>
      <c r="AV97" s="256" t="str">
        <f t="shared" si="53"/>
        <v/>
      </c>
      <c r="AW97" s="267"/>
      <c r="AX97" s="255"/>
      <c r="AY97" s="259" t="str">
        <f>IF(AX97&lt;&gt;"",AX97/VLOOKUP($V97,Setup!$C$30:$D$41,2,0),"")</f>
        <v/>
      </c>
      <c r="AZ97" s="268"/>
      <c r="BA97" s="258" t="str">
        <f t="shared" si="54"/>
        <v/>
      </c>
      <c r="BB97" s="268"/>
      <c r="BC97" s="258" t="str">
        <f t="shared" si="55"/>
        <v/>
      </c>
      <c r="BD97" s="268"/>
      <c r="BE97" s="258" t="str">
        <f t="shared" si="56"/>
        <v/>
      </c>
      <c r="BF97" s="268"/>
      <c r="BG97" s="256" t="str">
        <f t="shared" si="57"/>
        <v/>
      </c>
      <c r="BH97" s="256" t="str">
        <f t="shared" si="58"/>
        <v/>
      </c>
      <c r="BI97" s="256" t="str">
        <f t="shared" si="59"/>
        <v/>
      </c>
      <c r="BJ97" s="267"/>
      <c r="BK97" s="255"/>
      <c r="BL97" s="259" t="str">
        <f>IF(BK97&lt;&gt;"",BK97/VLOOKUP($V97,Setup!$C$30:$D$41,2,0),"")</f>
        <v/>
      </c>
      <c r="BM97" s="268"/>
      <c r="BN97" s="258" t="str">
        <f t="shared" si="60"/>
        <v/>
      </c>
      <c r="BO97" s="268"/>
      <c r="BP97" s="258" t="str">
        <f t="shared" si="61"/>
        <v/>
      </c>
      <c r="BQ97" s="268"/>
      <c r="BR97" s="258" t="str">
        <f t="shared" si="62"/>
        <v/>
      </c>
      <c r="BS97" s="268"/>
      <c r="BT97" s="256" t="str">
        <f t="shared" si="63"/>
        <v/>
      </c>
      <c r="BU97" s="256" t="str">
        <f t="shared" si="64"/>
        <v/>
      </c>
      <c r="BV97" s="256" t="str">
        <f t="shared" si="65"/>
        <v/>
      </c>
      <c r="BW97" s="267"/>
      <c r="BX97" s="256" t="str">
        <f t="shared" si="66"/>
        <v/>
      </c>
      <c r="BY97" s="256" t="str">
        <f t="shared" si="67"/>
        <v/>
      </c>
      <c r="BZ97" s="281"/>
      <c r="CA97" s="282"/>
      <c r="CC97" s="112" t="str">
        <f t="shared" ca="1" si="68"/>
        <v/>
      </c>
      <c r="CF97" s="284"/>
      <c r="CG97" s="284"/>
      <c r="CH97" s="284"/>
      <c r="CI97" s="284"/>
      <c r="CL97" s="356" t="str">
        <f>IFERROR(VLOOKUP(C97,'Data Sheet'!$A$3:$B$26,2,FALSE),"")</f>
        <v/>
      </c>
    </row>
    <row r="98" spans="1:90" s="98" customFormat="1" ht="15.75" x14ac:dyDescent="0.2">
      <c r="A98" s="97"/>
      <c r="B98" s="105" t="str">
        <f t="shared" si="71"/>
        <v>--</v>
      </c>
      <c r="C98" s="276"/>
      <c r="D98" s="101" t="str">
        <f>IFERROR(IF(VLOOKUP(C98,'Data Sheet'!$A$3:$D$26,4,FALSE)=0,"",VLOOKUP(C98,'Data Sheet'!$A$3:$D$26,4,FALSE)),"")</f>
        <v/>
      </c>
      <c r="E98" s="279"/>
      <c r="F98" s="103" t="str">
        <f>IFERROR(IF(VLOOKUP(E98,'Data Sheet'!$C$29:$E$174,3,FALSE)=0,"",VLOOKUP(E98,'Data Sheet'!$C$29:$E$174,3,FALSE)),"")</f>
        <v/>
      </c>
      <c r="G98" s="106" t="str">
        <f t="shared" si="69"/>
        <v>-</v>
      </c>
      <c r="H98" s="273"/>
      <c r="I98" s="107"/>
      <c r="J98" s="249" t="e">
        <f t="shared" si="70"/>
        <v>#VALUE!</v>
      </c>
      <c r="K98" s="101" t="str">
        <f>IFERROR(INDEX('Data Sheet'!$C$198:$C$275,MATCH(I98,'Data Sheet'!$F$198:$F$275,0)),"")</f>
        <v/>
      </c>
      <c r="L98" s="250" t="str">
        <f>IFERROR(INDEX('Data Sheet'!$G$198:$G$275,MATCH(I98,'Data Sheet'!$F$198:$F$275,0)),"")</f>
        <v/>
      </c>
      <c r="M98" s="194"/>
      <c r="N98" s="248"/>
      <c r="O98" s="248"/>
      <c r="P98" s="108" t="str">
        <f>IFERROR(INDEX(Setup!$D$44:$D$70,MATCH(M98,Setup!$K$44:$K$70,0))&amp;"","")</f>
        <v/>
      </c>
      <c r="Q98" s="108" t="str">
        <f>IFERROR(INDEX(Setup!$E$44:$E$70,MATCH(M98,Setup!$K$44:$K$70,0))&amp;"","")</f>
        <v/>
      </c>
      <c r="R98" s="108" t="str">
        <f>IFERROR(INDEX(Setup!$L$44:$L$70,MATCH(M98,Setup!$K$44:$K$70,0))&amp;"","")</f>
        <v/>
      </c>
      <c r="S98" s="108" t="str">
        <f>Setup!$C$30</f>
        <v>USD</v>
      </c>
      <c r="T98" s="109" t="str">
        <f>IFERROR(INDEX('Data Sheet'!$B$198:$B$275,MATCH(I98,'Data Sheet'!$F$198:$F$275,0)),"")</f>
        <v/>
      </c>
      <c r="U98" s="110" t="str">
        <f>IFERROR(INDEX('Data Sheet'!$D$198:$D$275,MATCH(I98,'Data Sheet'!$F$198:$F$275,0)),"")</f>
        <v/>
      </c>
      <c r="V98" s="99"/>
      <c r="W98" s="195" t="str">
        <f>IF(V98=Setup!$C$30,"Grant",IF(V98=Setup!$C$31,"Local",IF(V98=Setup!$C$32,"Other",IF(ISBLANK(V98),"","Other"))))</f>
        <v/>
      </c>
      <c r="X98" s="255"/>
      <c r="Y98" s="259" t="str">
        <f>IF(X98&lt;&gt;"",X98/VLOOKUP($V98,Setup!$C$30:$D$41,2,0),"")</f>
        <v/>
      </c>
      <c r="Z98" s="262"/>
      <c r="AA98" s="256" t="str">
        <f t="shared" si="42"/>
        <v/>
      </c>
      <c r="AB98" s="262"/>
      <c r="AC98" s="258" t="str">
        <f t="shared" si="43"/>
        <v/>
      </c>
      <c r="AD98" s="262"/>
      <c r="AE98" s="258" t="str">
        <f t="shared" si="44"/>
        <v/>
      </c>
      <c r="AF98" s="262"/>
      <c r="AG98" s="256" t="str">
        <f t="shared" si="45"/>
        <v/>
      </c>
      <c r="AH98" s="256" t="str">
        <f t="shared" si="46"/>
        <v/>
      </c>
      <c r="AI98" s="256" t="str">
        <f t="shared" si="47"/>
        <v/>
      </c>
      <c r="AJ98" s="111"/>
      <c r="AK98" s="255"/>
      <c r="AL98" s="259" t="str">
        <f>IF(AK98&lt;&gt;"",AK98/VLOOKUP($V98,Setup!$C$30:$D$41,2,0),"")</f>
        <v/>
      </c>
      <c r="AM98" s="266"/>
      <c r="AN98" s="258" t="str">
        <f t="shared" si="48"/>
        <v/>
      </c>
      <c r="AO98" s="266"/>
      <c r="AP98" s="258" t="str">
        <f t="shared" si="49"/>
        <v/>
      </c>
      <c r="AQ98" s="266"/>
      <c r="AR98" s="258" t="str">
        <f t="shared" si="50"/>
        <v/>
      </c>
      <c r="AS98" s="266"/>
      <c r="AT98" s="256" t="str">
        <f t="shared" si="51"/>
        <v/>
      </c>
      <c r="AU98" s="256" t="str">
        <f t="shared" si="52"/>
        <v/>
      </c>
      <c r="AV98" s="256" t="str">
        <f t="shared" si="53"/>
        <v/>
      </c>
      <c r="AW98" s="267"/>
      <c r="AX98" s="255"/>
      <c r="AY98" s="259" t="str">
        <f>IF(AX98&lt;&gt;"",AX98/VLOOKUP($V98,Setup!$C$30:$D$41,2,0),"")</f>
        <v/>
      </c>
      <c r="AZ98" s="268"/>
      <c r="BA98" s="258" t="str">
        <f t="shared" si="54"/>
        <v/>
      </c>
      <c r="BB98" s="268"/>
      <c r="BC98" s="258" t="str">
        <f t="shared" si="55"/>
        <v/>
      </c>
      <c r="BD98" s="268"/>
      <c r="BE98" s="258" t="str">
        <f t="shared" si="56"/>
        <v/>
      </c>
      <c r="BF98" s="268"/>
      <c r="BG98" s="256" t="str">
        <f t="shared" si="57"/>
        <v/>
      </c>
      <c r="BH98" s="256" t="str">
        <f t="shared" si="58"/>
        <v/>
      </c>
      <c r="BI98" s="256" t="str">
        <f t="shared" si="59"/>
        <v/>
      </c>
      <c r="BJ98" s="267"/>
      <c r="BK98" s="255"/>
      <c r="BL98" s="259" t="str">
        <f>IF(BK98&lt;&gt;"",BK98/VLOOKUP($V98,Setup!$C$30:$D$41,2,0),"")</f>
        <v/>
      </c>
      <c r="BM98" s="268"/>
      <c r="BN98" s="258" t="str">
        <f t="shared" si="60"/>
        <v/>
      </c>
      <c r="BO98" s="268"/>
      <c r="BP98" s="258" t="str">
        <f t="shared" si="61"/>
        <v/>
      </c>
      <c r="BQ98" s="268"/>
      <c r="BR98" s="258" t="str">
        <f t="shared" si="62"/>
        <v/>
      </c>
      <c r="BS98" s="268"/>
      <c r="BT98" s="256" t="str">
        <f t="shared" si="63"/>
        <v/>
      </c>
      <c r="BU98" s="256" t="str">
        <f t="shared" si="64"/>
        <v/>
      </c>
      <c r="BV98" s="256" t="str">
        <f t="shared" si="65"/>
        <v/>
      </c>
      <c r="BW98" s="267"/>
      <c r="BX98" s="256" t="str">
        <f t="shared" si="66"/>
        <v/>
      </c>
      <c r="BY98" s="256" t="str">
        <f t="shared" si="67"/>
        <v/>
      </c>
      <c r="BZ98" s="281"/>
      <c r="CA98" s="282"/>
      <c r="CC98" s="112" t="str">
        <f t="shared" ca="1" si="68"/>
        <v/>
      </c>
      <c r="CF98" s="284"/>
      <c r="CG98" s="284"/>
      <c r="CH98" s="284"/>
      <c r="CI98" s="284"/>
      <c r="CL98" s="356" t="str">
        <f>IFERROR(VLOOKUP(C98,'Data Sheet'!$A$3:$B$26,2,FALSE),"")</f>
        <v/>
      </c>
    </row>
    <row r="99" spans="1:90" s="98" customFormat="1" ht="15.75" x14ac:dyDescent="0.2">
      <c r="A99" s="97"/>
      <c r="B99" s="105" t="str">
        <f t="shared" si="71"/>
        <v>--</v>
      </c>
      <c r="C99" s="276"/>
      <c r="D99" s="101" t="str">
        <f>IFERROR(IF(VLOOKUP(C99,'Data Sheet'!$A$3:$D$26,4,FALSE)=0,"",VLOOKUP(C99,'Data Sheet'!$A$3:$D$26,4,FALSE)),"")</f>
        <v/>
      </c>
      <c r="E99" s="279"/>
      <c r="F99" s="103" t="str">
        <f>IFERROR(IF(VLOOKUP(E99,'Data Sheet'!$C$29:$E$174,3,FALSE)=0,"",VLOOKUP(E99,'Data Sheet'!$C$29:$E$174,3,FALSE)),"")</f>
        <v/>
      </c>
      <c r="G99" s="106" t="str">
        <f t="shared" si="69"/>
        <v>-</v>
      </c>
      <c r="H99" s="273"/>
      <c r="I99" s="107"/>
      <c r="J99" s="249" t="e">
        <f t="shared" si="70"/>
        <v>#VALUE!</v>
      </c>
      <c r="K99" s="101" t="str">
        <f>IFERROR(INDEX('Data Sheet'!$C$198:$C$275,MATCH(I99,'Data Sheet'!$F$198:$F$275,0)),"")</f>
        <v/>
      </c>
      <c r="L99" s="250" t="str">
        <f>IFERROR(INDEX('Data Sheet'!$G$198:$G$275,MATCH(I99,'Data Sheet'!$F$198:$F$275,0)),"")</f>
        <v/>
      </c>
      <c r="M99" s="194"/>
      <c r="N99" s="248"/>
      <c r="O99" s="248"/>
      <c r="P99" s="108" t="str">
        <f>IFERROR(INDEX(Setup!$D$44:$D$70,MATCH(M99,Setup!$K$44:$K$70,0))&amp;"","")</f>
        <v/>
      </c>
      <c r="Q99" s="108" t="str">
        <f>IFERROR(INDEX(Setup!$E$44:$E$70,MATCH(M99,Setup!$K$44:$K$70,0))&amp;"","")</f>
        <v/>
      </c>
      <c r="R99" s="108" t="str">
        <f>IFERROR(INDEX(Setup!$L$44:$L$70,MATCH(M99,Setup!$K$44:$K$70,0))&amp;"","")</f>
        <v/>
      </c>
      <c r="S99" s="108" t="str">
        <f>Setup!$C$30</f>
        <v>USD</v>
      </c>
      <c r="T99" s="109" t="str">
        <f>IFERROR(INDEX('Data Sheet'!$B$198:$B$275,MATCH(I99,'Data Sheet'!$F$198:$F$275,0)),"")</f>
        <v/>
      </c>
      <c r="U99" s="110" t="str">
        <f>IFERROR(INDEX('Data Sheet'!$D$198:$D$275,MATCH(I99,'Data Sheet'!$F$198:$F$275,0)),"")</f>
        <v/>
      </c>
      <c r="V99" s="99"/>
      <c r="W99" s="195" t="str">
        <f>IF(V99=Setup!$C$30,"Grant",IF(V99=Setup!$C$31,"Local",IF(V99=Setup!$C$32,"Other",IF(ISBLANK(V99),"","Other"))))</f>
        <v/>
      </c>
      <c r="X99" s="255"/>
      <c r="Y99" s="259" t="str">
        <f>IF(X99&lt;&gt;"",X99/VLOOKUP($V99,Setup!$C$30:$D$41,2,0),"")</f>
        <v/>
      </c>
      <c r="Z99" s="262"/>
      <c r="AA99" s="256" t="str">
        <f t="shared" si="42"/>
        <v/>
      </c>
      <c r="AB99" s="262"/>
      <c r="AC99" s="258" t="str">
        <f t="shared" si="43"/>
        <v/>
      </c>
      <c r="AD99" s="262"/>
      <c r="AE99" s="258" t="str">
        <f t="shared" si="44"/>
        <v/>
      </c>
      <c r="AF99" s="262"/>
      <c r="AG99" s="256" t="str">
        <f t="shared" si="45"/>
        <v/>
      </c>
      <c r="AH99" s="256" t="str">
        <f t="shared" si="46"/>
        <v/>
      </c>
      <c r="AI99" s="256" t="str">
        <f t="shared" si="47"/>
        <v/>
      </c>
      <c r="AJ99" s="111"/>
      <c r="AK99" s="255"/>
      <c r="AL99" s="259" t="str">
        <f>IF(AK99&lt;&gt;"",AK99/VLOOKUP($V99,Setup!$C$30:$D$41,2,0),"")</f>
        <v/>
      </c>
      <c r="AM99" s="266"/>
      <c r="AN99" s="258" t="str">
        <f t="shared" si="48"/>
        <v/>
      </c>
      <c r="AO99" s="266"/>
      <c r="AP99" s="258" t="str">
        <f t="shared" si="49"/>
        <v/>
      </c>
      <c r="AQ99" s="266"/>
      <c r="AR99" s="258" t="str">
        <f t="shared" si="50"/>
        <v/>
      </c>
      <c r="AS99" s="266"/>
      <c r="AT99" s="256" t="str">
        <f t="shared" si="51"/>
        <v/>
      </c>
      <c r="AU99" s="256" t="str">
        <f t="shared" si="52"/>
        <v/>
      </c>
      <c r="AV99" s="256" t="str">
        <f t="shared" si="53"/>
        <v/>
      </c>
      <c r="AW99" s="267"/>
      <c r="AX99" s="255"/>
      <c r="AY99" s="259" t="str">
        <f>IF(AX99&lt;&gt;"",AX99/VLOOKUP($V99,Setup!$C$30:$D$41,2,0),"")</f>
        <v/>
      </c>
      <c r="AZ99" s="268"/>
      <c r="BA99" s="258" t="str">
        <f t="shared" si="54"/>
        <v/>
      </c>
      <c r="BB99" s="268"/>
      <c r="BC99" s="258" t="str">
        <f t="shared" si="55"/>
        <v/>
      </c>
      <c r="BD99" s="268"/>
      <c r="BE99" s="258" t="str">
        <f t="shared" si="56"/>
        <v/>
      </c>
      <c r="BF99" s="268"/>
      <c r="BG99" s="256" t="str">
        <f t="shared" si="57"/>
        <v/>
      </c>
      <c r="BH99" s="256" t="str">
        <f t="shared" si="58"/>
        <v/>
      </c>
      <c r="BI99" s="256" t="str">
        <f t="shared" si="59"/>
        <v/>
      </c>
      <c r="BJ99" s="267"/>
      <c r="BK99" s="255"/>
      <c r="BL99" s="259" t="str">
        <f>IF(BK99&lt;&gt;"",BK99/VLOOKUP($V99,Setup!$C$30:$D$41,2,0),"")</f>
        <v/>
      </c>
      <c r="BM99" s="268"/>
      <c r="BN99" s="258" t="str">
        <f t="shared" si="60"/>
        <v/>
      </c>
      <c r="BO99" s="268"/>
      <c r="BP99" s="258" t="str">
        <f t="shared" si="61"/>
        <v/>
      </c>
      <c r="BQ99" s="268"/>
      <c r="BR99" s="258" t="str">
        <f t="shared" si="62"/>
        <v/>
      </c>
      <c r="BS99" s="268"/>
      <c r="BT99" s="256" t="str">
        <f t="shared" si="63"/>
        <v/>
      </c>
      <c r="BU99" s="256" t="str">
        <f t="shared" si="64"/>
        <v/>
      </c>
      <c r="BV99" s="256" t="str">
        <f t="shared" si="65"/>
        <v/>
      </c>
      <c r="BW99" s="267"/>
      <c r="BX99" s="256" t="str">
        <f t="shared" si="66"/>
        <v/>
      </c>
      <c r="BY99" s="256" t="str">
        <f t="shared" si="67"/>
        <v/>
      </c>
      <c r="BZ99" s="281"/>
      <c r="CA99" s="282"/>
      <c r="CC99" s="112" t="str">
        <f t="shared" ca="1" si="68"/>
        <v/>
      </c>
      <c r="CF99" s="284"/>
      <c r="CG99" s="284"/>
      <c r="CH99" s="284"/>
      <c r="CI99" s="284"/>
      <c r="CL99" s="356" t="str">
        <f>IFERROR(VLOOKUP(C99,'Data Sheet'!$A$3:$B$26,2,FALSE),"")</f>
        <v/>
      </c>
    </row>
    <row r="100" spans="1:90" s="98" customFormat="1" ht="15.75" x14ac:dyDescent="0.2">
      <c r="A100" s="97"/>
      <c r="B100" s="105" t="str">
        <f t="shared" si="71"/>
        <v>--</v>
      </c>
      <c r="C100" s="276"/>
      <c r="D100" s="101" t="str">
        <f>IFERROR(IF(VLOOKUP(C100,'Data Sheet'!$A$3:$D$26,4,FALSE)=0,"",VLOOKUP(C100,'Data Sheet'!$A$3:$D$26,4,FALSE)),"")</f>
        <v/>
      </c>
      <c r="E100" s="279"/>
      <c r="F100" s="103" t="str">
        <f>IFERROR(IF(VLOOKUP(E100,'Data Sheet'!$C$29:$E$174,3,FALSE)=0,"",VLOOKUP(E100,'Data Sheet'!$C$29:$E$174,3,FALSE)),"")</f>
        <v/>
      </c>
      <c r="G100" s="106" t="str">
        <f t="shared" si="69"/>
        <v>-</v>
      </c>
      <c r="H100" s="273"/>
      <c r="I100" s="107"/>
      <c r="J100" s="249" t="e">
        <f t="shared" si="70"/>
        <v>#VALUE!</v>
      </c>
      <c r="K100" s="101" t="str">
        <f>IFERROR(INDEX('Data Sheet'!$C$198:$C$275,MATCH(I100,'Data Sheet'!$F$198:$F$275,0)),"")</f>
        <v/>
      </c>
      <c r="L100" s="250" t="str">
        <f>IFERROR(INDEX('Data Sheet'!$G$198:$G$275,MATCH(I100,'Data Sheet'!$F$198:$F$275,0)),"")</f>
        <v/>
      </c>
      <c r="M100" s="194"/>
      <c r="N100" s="248"/>
      <c r="O100" s="248"/>
      <c r="P100" s="108" t="str">
        <f>IFERROR(INDEX(Setup!$D$44:$D$70,MATCH(M100,Setup!$K$44:$K$70,0))&amp;"","")</f>
        <v/>
      </c>
      <c r="Q100" s="108" t="str">
        <f>IFERROR(INDEX(Setup!$E$44:$E$70,MATCH(M100,Setup!$K$44:$K$70,0))&amp;"","")</f>
        <v/>
      </c>
      <c r="R100" s="108" t="str">
        <f>IFERROR(INDEX(Setup!$L$44:$L$70,MATCH(M100,Setup!$K$44:$K$70,0))&amp;"","")</f>
        <v/>
      </c>
      <c r="S100" s="108" t="str">
        <f>Setup!$C$30</f>
        <v>USD</v>
      </c>
      <c r="T100" s="109" t="str">
        <f>IFERROR(INDEX('Data Sheet'!$B$198:$B$275,MATCH(I100,'Data Sheet'!$F$198:$F$275,0)),"")</f>
        <v/>
      </c>
      <c r="U100" s="110" t="str">
        <f>IFERROR(INDEX('Data Sheet'!$D$198:$D$275,MATCH(I100,'Data Sheet'!$F$198:$F$275,0)),"")</f>
        <v/>
      </c>
      <c r="V100" s="99"/>
      <c r="W100" s="195" t="str">
        <f>IF(V100=Setup!$C$30,"Grant",IF(V100=Setup!$C$31,"Local",IF(V100=Setup!$C$32,"Other",IF(ISBLANK(V100),"","Other"))))</f>
        <v/>
      </c>
      <c r="X100" s="255"/>
      <c r="Y100" s="259" t="str">
        <f>IF(X100&lt;&gt;"",X100/VLOOKUP($V100,Setup!$C$30:$D$41,2,0),"")</f>
        <v/>
      </c>
      <c r="Z100" s="262"/>
      <c r="AA100" s="256" t="str">
        <f t="shared" si="42"/>
        <v/>
      </c>
      <c r="AB100" s="262"/>
      <c r="AC100" s="258" t="str">
        <f t="shared" si="43"/>
        <v/>
      </c>
      <c r="AD100" s="262"/>
      <c r="AE100" s="258" t="str">
        <f t="shared" si="44"/>
        <v/>
      </c>
      <c r="AF100" s="262"/>
      <c r="AG100" s="256" t="str">
        <f t="shared" si="45"/>
        <v/>
      </c>
      <c r="AH100" s="256" t="str">
        <f t="shared" si="46"/>
        <v/>
      </c>
      <c r="AI100" s="256" t="str">
        <f t="shared" si="47"/>
        <v/>
      </c>
      <c r="AJ100" s="111"/>
      <c r="AK100" s="255"/>
      <c r="AL100" s="259" t="str">
        <f>IF(AK100&lt;&gt;"",AK100/VLOOKUP($V100,Setup!$C$30:$D$41,2,0),"")</f>
        <v/>
      </c>
      <c r="AM100" s="266"/>
      <c r="AN100" s="258" t="str">
        <f t="shared" si="48"/>
        <v/>
      </c>
      <c r="AO100" s="266"/>
      <c r="AP100" s="258" t="str">
        <f t="shared" si="49"/>
        <v/>
      </c>
      <c r="AQ100" s="266"/>
      <c r="AR100" s="258" t="str">
        <f t="shared" si="50"/>
        <v/>
      </c>
      <c r="AS100" s="266"/>
      <c r="AT100" s="256" t="str">
        <f t="shared" si="51"/>
        <v/>
      </c>
      <c r="AU100" s="256" t="str">
        <f t="shared" si="52"/>
        <v/>
      </c>
      <c r="AV100" s="256" t="str">
        <f t="shared" si="53"/>
        <v/>
      </c>
      <c r="AW100" s="267"/>
      <c r="AX100" s="255"/>
      <c r="AY100" s="259" t="str">
        <f>IF(AX100&lt;&gt;"",AX100/VLOOKUP($V100,Setup!$C$30:$D$41,2,0),"")</f>
        <v/>
      </c>
      <c r="AZ100" s="268"/>
      <c r="BA100" s="258" t="str">
        <f t="shared" si="54"/>
        <v/>
      </c>
      <c r="BB100" s="268"/>
      <c r="BC100" s="258" t="str">
        <f t="shared" si="55"/>
        <v/>
      </c>
      <c r="BD100" s="268"/>
      <c r="BE100" s="258" t="str">
        <f t="shared" si="56"/>
        <v/>
      </c>
      <c r="BF100" s="268"/>
      <c r="BG100" s="256" t="str">
        <f t="shared" si="57"/>
        <v/>
      </c>
      <c r="BH100" s="256" t="str">
        <f t="shared" si="58"/>
        <v/>
      </c>
      <c r="BI100" s="256" t="str">
        <f t="shared" si="59"/>
        <v/>
      </c>
      <c r="BJ100" s="267"/>
      <c r="BK100" s="255"/>
      <c r="BL100" s="259" t="str">
        <f>IF(BK100&lt;&gt;"",BK100/VLOOKUP($V100,Setup!$C$30:$D$41,2,0),"")</f>
        <v/>
      </c>
      <c r="BM100" s="268"/>
      <c r="BN100" s="258" t="str">
        <f t="shared" si="60"/>
        <v/>
      </c>
      <c r="BO100" s="268"/>
      <c r="BP100" s="258" t="str">
        <f t="shared" si="61"/>
        <v/>
      </c>
      <c r="BQ100" s="268"/>
      <c r="BR100" s="258" t="str">
        <f t="shared" si="62"/>
        <v/>
      </c>
      <c r="BS100" s="268"/>
      <c r="BT100" s="256" t="str">
        <f t="shared" si="63"/>
        <v/>
      </c>
      <c r="BU100" s="256" t="str">
        <f t="shared" si="64"/>
        <v/>
      </c>
      <c r="BV100" s="256" t="str">
        <f t="shared" si="65"/>
        <v/>
      </c>
      <c r="BW100" s="267"/>
      <c r="BX100" s="256" t="str">
        <f t="shared" si="66"/>
        <v/>
      </c>
      <c r="BY100" s="256" t="str">
        <f t="shared" si="67"/>
        <v/>
      </c>
      <c r="BZ100" s="281"/>
      <c r="CA100" s="282"/>
      <c r="CC100" s="112" t="str">
        <f t="shared" ca="1" si="68"/>
        <v/>
      </c>
      <c r="CF100" s="284"/>
      <c r="CG100" s="284"/>
      <c r="CH100" s="284"/>
      <c r="CI100" s="284"/>
      <c r="CL100" s="356" t="str">
        <f>IFERROR(VLOOKUP(C100,'Data Sheet'!$A$3:$B$26,2,FALSE),"")</f>
        <v/>
      </c>
    </row>
    <row r="101" spans="1:90" s="98" customFormat="1" ht="15.75" x14ac:dyDescent="0.2">
      <c r="A101" s="97"/>
      <c r="B101" s="105" t="str">
        <f t="shared" si="71"/>
        <v>--</v>
      </c>
      <c r="C101" s="276"/>
      <c r="D101" s="101" t="str">
        <f>IFERROR(IF(VLOOKUP(C101,'Data Sheet'!$A$3:$D$26,4,FALSE)=0,"",VLOOKUP(C101,'Data Sheet'!$A$3:$D$26,4,FALSE)),"")</f>
        <v/>
      </c>
      <c r="E101" s="279"/>
      <c r="F101" s="103" t="str">
        <f>IFERROR(IF(VLOOKUP(E101,'Data Sheet'!$C$29:$E$174,3,FALSE)=0,"",VLOOKUP(E101,'Data Sheet'!$C$29:$E$174,3,FALSE)),"")</f>
        <v/>
      </c>
      <c r="G101" s="106" t="str">
        <f t="shared" si="69"/>
        <v>-</v>
      </c>
      <c r="H101" s="273"/>
      <c r="I101" s="107"/>
      <c r="J101" s="249" t="e">
        <f t="shared" si="70"/>
        <v>#VALUE!</v>
      </c>
      <c r="K101" s="101" t="str">
        <f>IFERROR(INDEX('Data Sheet'!$C$198:$C$275,MATCH(I101,'Data Sheet'!$F$198:$F$275,0)),"")</f>
        <v/>
      </c>
      <c r="L101" s="250" t="str">
        <f>IFERROR(INDEX('Data Sheet'!$G$198:$G$275,MATCH(I101,'Data Sheet'!$F$198:$F$275,0)),"")</f>
        <v/>
      </c>
      <c r="M101" s="194"/>
      <c r="N101" s="248"/>
      <c r="O101" s="248"/>
      <c r="P101" s="108" t="str">
        <f>IFERROR(INDEX(Setup!$D$44:$D$70,MATCH(M101,Setup!$K$44:$K$70,0))&amp;"","")</f>
        <v/>
      </c>
      <c r="Q101" s="108" t="str">
        <f>IFERROR(INDEX(Setup!$E$44:$E$70,MATCH(M101,Setup!$K$44:$K$70,0))&amp;"","")</f>
        <v/>
      </c>
      <c r="R101" s="108" t="str">
        <f>IFERROR(INDEX(Setup!$L$44:$L$70,MATCH(M101,Setup!$K$44:$K$70,0))&amp;"","")</f>
        <v/>
      </c>
      <c r="S101" s="108" t="str">
        <f>Setup!$C$30</f>
        <v>USD</v>
      </c>
      <c r="T101" s="109" t="str">
        <f>IFERROR(INDEX('Data Sheet'!$B$198:$B$275,MATCH(I101,'Data Sheet'!$F$198:$F$275,0)),"")</f>
        <v/>
      </c>
      <c r="U101" s="110" t="str">
        <f>IFERROR(INDEX('Data Sheet'!$D$198:$D$275,MATCH(I101,'Data Sheet'!$F$198:$F$275,0)),"")</f>
        <v/>
      </c>
      <c r="V101" s="99"/>
      <c r="W101" s="195" t="str">
        <f>IF(V101=Setup!$C$30,"Grant",IF(V101=Setup!$C$31,"Local",IF(V101=Setup!$C$32,"Other",IF(ISBLANK(V101),"","Other"))))</f>
        <v/>
      </c>
      <c r="X101" s="255"/>
      <c r="Y101" s="259" t="str">
        <f>IF(X101&lt;&gt;"",X101/VLOOKUP($V101,Setup!$C$30:$D$41,2,0),"")</f>
        <v/>
      </c>
      <c r="Z101" s="262"/>
      <c r="AA101" s="256" t="str">
        <f t="shared" si="42"/>
        <v/>
      </c>
      <c r="AB101" s="262"/>
      <c r="AC101" s="258" t="str">
        <f t="shared" si="43"/>
        <v/>
      </c>
      <c r="AD101" s="262"/>
      <c r="AE101" s="258" t="str">
        <f t="shared" si="44"/>
        <v/>
      </c>
      <c r="AF101" s="262"/>
      <c r="AG101" s="256" t="str">
        <f t="shared" si="45"/>
        <v/>
      </c>
      <c r="AH101" s="256" t="str">
        <f t="shared" si="46"/>
        <v/>
      </c>
      <c r="AI101" s="256" t="str">
        <f t="shared" si="47"/>
        <v/>
      </c>
      <c r="AJ101" s="111"/>
      <c r="AK101" s="255"/>
      <c r="AL101" s="259" t="str">
        <f>IF(AK101&lt;&gt;"",AK101/VLOOKUP($V101,Setup!$C$30:$D$41,2,0),"")</f>
        <v/>
      </c>
      <c r="AM101" s="266"/>
      <c r="AN101" s="258" t="str">
        <f t="shared" si="48"/>
        <v/>
      </c>
      <c r="AO101" s="266"/>
      <c r="AP101" s="258" t="str">
        <f t="shared" si="49"/>
        <v/>
      </c>
      <c r="AQ101" s="266"/>
      <c r="AR101" s="258" t="str">
        <f t="shared" si="50"/>
        <v/>
      </c>
      <c r="AS101" s="266"/>
      <c r="AT101" s="256" t="str">
        <f t="shared" si="51"/>
        <v/>
      </c>
      <c r="AU101" s="256" t="str">
        <f t="shared" si="52"/>
        <v/>
      </c>
      <c r="AV101" s="256" t="str">
        <f t="shared" si="53"/>
        <v/>
      </c>
      <c r="AW101" s="267"/>
      <c r="AX101" s="255"/>
      <c r="AY101" s="259" t="str">
        <f>IF(AX101&lt;&gt;"",AX101/VLOOKUP($V101,Setup!$C$30:$D$41,2,0),"")</f>
        <v/>
      </c>
      <c r="AZ101" s="268"/>
      <c r="BA101" s="258" t="str">
        <f t="shared" si="54"/>
        <v/>
      </c>
      <c r="BB101" s="268"/>
      <c r="BC101" s="258" t="str">
        <f t="shared" si="55"/>
        <v/>
      </c>
      <c r="BD101" s="268"/>
      <c r="BE101" s="258" t="str">
        <f t="shared" si="56"/>
        <v/>
      </c>
      <c r="BF101" s="268"/>
      <c r="BG101" s="256" t="str">
        <f t="shared" si="57"/>
        <v/>
      </c>
      <c r="BH101" s="256" t="str">
        <f t="shared" si="58"/>
        <v/>
      </c>
      <c r="BI101" s="256" t="str">
        <f t="shared" si="59"/>
        <v/>
      </c>
      <c r="BJ101" s="267"/>
      <c r="BK101" s="255"/>
      <c r="BL101" s="259" t="str">
        <f>IF(BK101&lt;&gt;"",BK101/VLOOKUP($V101,Setup!$C$30:$D$41,2,0),"")</f>
        <v/>
      </c>
      <c r="BM101" s="268"/>
      <c r="BN101" s="258" t="str">
        <f t="shared" si="60"/>
        <v/>
      </c>
      <c r="BO101" s="268"/>
      <c r="BP101" s="258" t="str">
        <f t="shared" si="61"/>
        <v/>
      </c>
      <c r="BQ101" s="268"/>
      <c r="BR101" s="258" t="str">
        <f t="shared" si="62"/>
        <v/>
      </c>
      <c r="BS101" s="268"/>
      <c r="BT101" s="256" t="str">
        <f t="shared" si="63"/>
        <v/>
      </c>
      <c r="BU101" s="256" t="str">
        <f t="shared" si="64"/>
        <v/>
      </c>
      <c r="BV101" s="256" t="str">
        <f t="shared" si="65"/>
        <v/>
      </c>
      <c r="BW101" s="267"/>
      <c r="BX101" s="256" t="str">
        <f t="shared" si="66"/>
        <v/>
      </c>
      <c r="BY101" s="256" t="str">
        <f t="shared" si="67"/>
        <v/>
      </c>
      <c r="BZ101" s="281"/>
      <c r="CA101" s="282"/>
      <c r="CC101" s="112" t="str">
        <f t="shared" ca="1" si="68"/>
        <v/>
      </c>
      <c r="CF101" s="284"/>
      <c r="CG101" s="284"/>
      <c r="CH101" s="284"/>
      <c r="CI101" s="284"/>
      <c r="CL101" s="356" t="str">
        <f>IFERROR(VLOOKUP(C101,'Data Sheet'!$A$3:$B$26,2,FALSE),"")</f>
        <v/>
      </c>
    </row>
    <row r="102" spans="1:90" s="98" customFormat="1" ht="15.75" x14ac:dyDescent="0.2">
      <c r="A102" s="97"/>
      <c r="B102" s="105" t="str">
        <f t="shared" si="71"/>
        <v>--</v>
      </c>
      <c r="C102" s="276"/>
      <c r="D102" s="101" t="str">
        <f>IFERROR(IF(VLOOKUP(C102,'Data Sheet'!$A$3:$D$26,4,FALSE)=0,"",VLOOKUP(C102,'Data Sheet'!$A$3:$D$26,4,FALSE)),"")</f>
        <v/>
      </c>
      <c r="E102" s="279"/>
      <c r="F102" s="103" t="str">
        <f>IFERROR(IF(VLOOKUP(E102,'Data Sheet'!$C$29:$E$174,3,FALSE)=0,"",VLOOKUP(E102,'Data Sheet'!$C$29:$E$174,3,FALSE)),"")</f>
        <v/>
      </c>
      <c r="G102" s="106" t="str">
        <f t="shared" si="69"/>
        <v>-</v>
      </c>
      <c r="H102" s="273"/>
      <c r="I102" s="107"/>
      <c r="J102" s="249" t="e">
        <f t="shared" si="70"/>
        <v>#VALUE!</v>
      </c>
      <c r="K102" s="101" t="str">
        <f>IFERROR(INDEX('Data Sheet'!$C$198:$C$275,MATCH(I102,'Data Sheet'!$F$198:$F$275,0)),"")</f>
        <v/>
      </c>
      <c r="L102" s="250" t="str">
        <f>IFERROR(INDEX('Data Sheet'!$G$198:$G$275,MATCH(I102,'Data Sheet'!$F$198:$F$275,0)),"")</f>
        <v/>
      </c>
      <c r="M102" s="194"/>
      <c r="N102" s="248"/>
      <c r="O102" s="248"/>
      <c r="P102" s="108" t="str">
        <f>IFERROR(INDEX(Setup!$D$44:$D$70,MATCH(M102,Setup!$K$44:$K$70,0))&amp;"","")</f>
        <v/>
      </c>
      <c r="Q102" s="108" t="str">
        <f>IFERROR(INDEX(Setup!$E$44:$E$70,MATCH(M102,Setup!$K$44:$K$70,0))&amp;"","")</f>
        <v/>
      </c>
      <c r="R102" s="108" t="str">
        <f>IFERROR(INDEX(Setup!$L$44:$L$70,MATCH(M102,Setup!$K$44:$K$70,0))&amp;"","")</f>
        <v/>
      </c>
      <c r="S102" s="108" t="str">
        <f>Setup!$C$30</f>
        <v>USD</v>
      </c>
      <c r="T102" s="109" t="str">
        <f>IFERROR(INDEX('Data Sheet'!$B$198:$B$275,MATCH(I102,'Data Sheet'!$F$198:$F$275,0)),"")</f>
        <v/>
      </c>
      <c r="U102" s="110" t="str">
        <f>IFERROR(INDEX('Data Sheet'!$D$198:$D$275,MATCH(I102,'Data Sheet'!$F$198:$F$275,0)),"")</f>
        <v/>
      </c>
      <c r="V102" s="99"/>
      <c r="W102" s="195" t="str">
        <f>IF(V102=Setup!$C$30,"Grant",IF(V102=Setup!$C$31,"Local",IF(V102=Setup!$C$32,"Other",IF(ISBLANK(V102),"","Other"))))</f>
        <v/>
      </c>
      <c r="X102" s="255"/>
      <c r="Y102" s="259" t="str">
        <f>IF(X102&lt;&gt;"",X102/VLOOKUP($V102,Setup!$C$30:$D$41,2,0),"")</f>
        <v/>
      </c>
      <c r="Z102" s="262"/>
      <c r="AA102" s="256" t="str">
        <f t="shared" si="42"/>
        <v/>
      </c>
      <c r="AB102" s="262"/>
      <c r="AC102" s="258" t="str">
        <f t="shared" si="43"/>
        <v/>
      </c>
      <c r="AD102" s="262"/>
      <c r="AE102" s="258" t="str">
        <f t="shared" si="44"/>
        <v/>
      </c>
      <c r="AF102" s="262"/>
      <c r="AG102" s="256" t="str">
        <f t="shared" si="45"/>
        <v/>
      </c>
      <c r="AH102" s="256" t="str">
        <f t="shared" si="46"/>
        <v/>
      </c>
      <c r="AI102" s="256" t="str">
        <f t="shared" si="47"/>
        <v/>
      </c>
      <c r="AJ102" s="111"/>
      <c r="AK102" s="255"/>
      <c r="AL102" s="259" t="str">
        <f>IF(AK102&lt;&gt;"",AK102/VLOOKUP($V102,Setup!$C$30:$D$41,2,0),"")</f>
        <v/>
      </c>
      <c r="AM102" s="266"/>
      <c r="AN102" s="258" t="str">
        <f t="shared" si="48"/>
        <v/>
      </c>
      <c r="AO102" s="266"/>
      <c r="AP102" s="258" t="str">
        <f t="shared" si="49"/>
        <v/>
      </c>
      <c r="AQ102" s="266"/>
      <c r="AR102" s="258" t="str">
        <f t="shared" si="50"/>
        <v/>
      </c>
      <c r="AS102" s="266"/>
      <c r="AT102" s="256" t="str">
        <f t="shared" si="51"/>
        <v/>
      </c>
      <c r="AU102" s="256" t="str">
        <f t="shared" si="52"/>
        <v/>
      </c>
      <c r="AV102" s="256" t="str">
        <f t="shared" si="53"/>
        <v/>
      </c>
      <c r="AW102" s="267"/>
      <c r="AX102" s="255"/>
      <c r="AY102" s="259" t="str">
        <f>IF(AX102&lt;&gt;"",AX102/VLOOKUP($V102,Setup!$C$30:$D$41,2,0),"")</f>
        <v/>
      </c>
      <c r="AZ102" s="268"/>
      <c r="BA102" s="258" t="str">
        <f t="shared" si="54"/>
        <v/>
      </c>
      <c r="BB102" s="268"/>
      <c r="BC102" s="258" t="str">
        <f t="shared" si="55"/>
        <v/>
      </c>
      <c r="BD102" s="268"/>
      <c r="BE102" s="258" t="str">
        <f t="shared" si="56"/>
        <v/>
      </c>
      <c r="BF102" s="268"/>
      <c r="BG102" s="256" t="str">
        <f t="shared" si="57"/>
        <v/>
      </c>
      <c r="BH102" s="256" t="str">
        <f t="shared" si="58"/>
        <v/>
      </c>
      <c r="BI102" s="256" t="str">
        <f t="shared" si="59"/>
        <v/>
      </c>
      <c r="BJ102" s="267"/>
      <c r="BK102" s="255"/>
      <c r="BL102" s="259" t="str">
        <f>IF(BK102&lt;&gt;"",BK102/VLOOKUP($V102,Setup!$C$30:$D$41,2,0),"")</f>
        <v/>
      </c>
      <c r="BM102" s="268"/>
      <c r="BN102" s="258" t="str">
        <f t="shared" si="60"/>
        <v/>
      </c>
      <c r="BO102" s="268"/>
      <c r="BP102" s="258" t="str">
        <f t="shared" si="61"/>
        <v/>
      </c>
      <c r="BQ102" s="268"/>
      <c r="BR102" s="258" t="str">
        <f t="shared" si="62"/>
        <v/>
      </c>
      <c r="BS102" s="268"/>
      <c r="BT102" s="256" t="str">
        <f t="shared" si="63"/>
        <v/>
      </c>
      <c r="BU102" s="256" t="str">
        <f t="shared" si="64"/>
        <v/>
      </c>
      <c r="BV102" s="256" t="str">
        <f t="shared" si="65"/>
        <v/>
      </c>
      <c r="BW102" s="267"/>
      <c r="BX102" s="256" t="str">
        <f t="shared" si="66"/>
        <v/>
      </c>
      <c r="BY102" s="256" t="str">
        <f t="shared" si="67"/>
        <v/>
      </c>
      <c r="BZ102" s="281"/>
      <c r="CA102" s="282"/>
      <c r="CC102" s="112" t="str">
        <f t="shared" ca="1" si="68"/>
        <v/>
      </c>
      <c r="CF102" s="284"/>
      <c r="CG102" s="284"/>
      <c r="CH102" s="284"/>
      <c r="CI102" s="284"/>
      <c r="CL102" s="356" t="str">
        <f>IFERROR(VLOOKUP(C102,'Data Sheet'!$A$3:$B$26,2,FALSE),"")</f>
        <v/>
      </c>
    </row>
    <row r="103" spans="1:90" s="98" customFormat="1" ht="15.75" x14ac:dyDescent="0.2">
      <c r="A103" s="97"/>
      <c r="B103" s="105" t="str">
        <f t="shared" si="71"/>
        <v>--</v>
      </c>
      <c r="C103" s="276"/>
      <c r="D103" s="101" t="str">
        <f>IFERROR(IF(VLOOKUP(C103,'Data Sheet'!$A$3:$D$26,4,FALSE)=0,"",VLOOKUP(C103,'Data Sheet'!$A$3:$D$26,4,FALSE)),"")</f>
        <v/>
      </c>
      <c r="E103" s="279"/>
      <c r="F103" s="103" t="str">
        <f>IFERROR(IF(VLOOKUP(E103,'Data Sheet'!$C$29:$E$174,3,FALSE)=0,"",VLOOKUP(E103,'Data Sheet'!$C$29:$E$174,3,FALSE)),"")</f>
        <v/>
      </c>
      <c r="G103" s="106" t="str">
        <f t="shared" si="69"/>
        <v>-</v>
      </c>
      <c r="H103" s="273"/>
      <c r="I103" s="107"/>
      <c r="J103" s="249" t="e">
        <f t="shared" si="70"/>
        <v>#VALUE!</v>
      </c>
      <c r="K103" s="101" t="str">
        <f>IFERROR(INDEX('Data Sheet'!$C$198:$C$275,MATCH(I103,'Data Sheet'!$F$198:$F$275,0)),"")</f>
        <v/>
      </c>
      <c r="L103" s="250" t="str">
        <f>IFERROR(INDEX('Data Sheet'!$G$198:$G$275,MATCH(I103,'Data Sheet'!$F$198:$F$275,0)),"")</f>
        <v/>
      </c>
      <c r="M103" s="194"/>
      <c r="N103" s="248"/>
      <c r="O103" s="248"/>
      <c r="P103" s="108" t="str">
        <f>IFERROR(INDEX(Setup!$D$44:$D$70,MATCH(M103,Setup!$K$44:$K$70,0))&amp;"","")</f>
        <v/>
      </c>
      <c r="Q103" s="108" t="str">
        <f>IFERROR(INDEX(Setup!$E$44:$E$70,MATCH(M103,Setup!$K$44:$K$70,0))&amp;"","")</f>
        <v/>
      </c>
      <c r="R103" s="108" t="str">
        <f>IFERROR(INDEX(Setup!$L$44:$L$70,MATCH(M103,Setup!$K$44:$K$70,0))&amp;"","")</f>
        <v/>
      </c>
      <c r="S103" s="108" t="str">
        <f>Setup!$C$30</f>
        <v>USD</v>
      </c>
      <c r="T103" s="109" t="str">
        <f>IFERROR(INDEX('Data Sheet'!$B$198:$B$275,MATCH(I103,'Data Sheet'!$F$198:$F$275,0)),"")</f>
        <v/>
      </c>
      <c r="U103" s="110" t="str">
        <f>IFERROR(INDEX('Data Sheet'!$D$198:$D$275,MATCH(I103,'Data Sheet'!$F$198:$F$275,0)),"")</f>
        <v/>
      </c>
      <c r="V103" s="99"/>
      <c r="W103" s="195" t="str">
        <f>IF(V103=Setup!$C$30,"Grant",IF(V103=Setup!$C$31,"Local",IF(V103=Setup!$C$32,"Other",IF(ISBLANK(V103),"","Other"))))</f>
        <v/>
      </c>
      <c r="X103" s="255"/>
      <c r="Y103" s="259" t="str">
        <f>IF(X103&lt;&gt;"",X103/VLOOKUP($V103,Setup!$C$30:$D$41,2,0),"")</f>
        <v/>
      </c>
      <c r="Z103" s="262"/>
      <c r="AA103" s="256" t="str">
        <f t="shared" si="42"/>
        <v/>
      </c>
      <c r="AB103" s="262"/>
      <c r="AC103" s="258" t="str">
        <f t="shared" si="43"/>
        <v/>
      </c>
      <c r="AD103" s="262"/>
      <c r="AE103" s="258" t="str">
        <f t="shared" si="44"/>
        <v/>
      </c>
      <c r="AF103" s="262"/>
      <c r="AG103" s="256" t="str">
        <f t="shared" si="45"/>
        <v/>
      </c>
      <c r="AH103" s="256" t="str">
        <f t="shared" si="46"/>
        <v/>
      </c>
      <c r="AI103" s="256" t="str">
        <f t="shared" si="47"/>
        <v/>
      </c>
      <c r="AJ103" s="111"/>
      <c r="AK103" s="255"/>
      <c r="AL103" s="259" t="str">
        <f>IF(AK103&lt;&gt;"",AK103/VLOOKUP($V103,Setup!$C$30:$D$41,2,0),"")</f>
        <v/>
      </c>
      <c r="AM103" s="266"/>
      <c r="AN103" s="258" t="str">
        <f t="shared" si="48"/>
        <v/>
      </c>
      <c r="AO103" s="266"/>
      <c r="AP103" s="258" t="str">
        <f t="shared" si="49"/>
        <v/>
      </c>
      <c r="AQ103" s="266"/>
      <c r="AR103" s="258" t="str">
        <f t="shared" si="50"/>
        <v/>
      </c>
      <c r="AS103" s="266"/>
      <c r="AT103" s="256" t="str">
        <f t="shared" si="51"/>
        <v/>
      </c>
      <c r="AU103" s="256" t="str">
        <f t="shared" si="52"/>
        <v/>
      </c>
      <c r="AV103" s="256" t="str">
        <f t="shared" si="53"/>
        <v/>
      </c>
      <c r="AW103" s="267"/>
      <c r="AX103" s="255"/>
      <c r="AY103" s="259" t="str">
        <f>IF(AX103&lt;&gt;"",AX103/VLOOKUP($V103,Setup!$C$30:$D$41,2,0),"")</f>
        <v/>
      </c>
      <c r="AZ103" s="268"/>
      <c r="BA103" s="258" t="str">
        <f t="shared" si="54"/>
        <v/>
      </c>
      <c r="BB103" s="268"/>
      <c r="BC103" s="258" t="str">
        <f t="shared" si="55"/>
        <v/>
      </c>
      <c r="BD103" s="268"/>
      <c r="BE103" s="258" t="str">
        <f t="shared" si="56"/>
        <v/>
      </c>
      <c r="BF103" s="268"/>
      <c r="BG103" s="256" t="str">
        <f t="shared" si="57"/>
        <v/>
      </c>
      <c r="BH103" s="256" t="str">
        <f t="shared" si="58"/>
        <v/>
      </c>
      <c r="BI103" s="256" t="str">
        <f t="shared" si="59"/>
        <v/>
      </c>
      <c r="BJ103" s="267"/>
      <c r="BK103" s="255"/>
      <c r="BL103" s="259" t="str">
        <f>IF(BK103&lt;&gt;"",BK103/VLOOKUP($V103,Setup!$C$30:$D$41,2,0),"")</f>
        <v/>
      </c>
      <c r="BM103" s="268"/>
      <c r="BN103" s="258" t="str">
        <f t="shared" si="60"/>
        <v/>
      </c>
      <c r="BO103" s="268"/>
      <c r="BP103" s="258" t="str">
        <f t="shared" si="61"/>
        <v/>
      </c>
      <c r="BQ103" s="268"/>
      <c r="BR103" s="258" t="str">
        <f t="shared" si="62"/>
        <v/>
      </c>
      <c r="BS103" s="268"/>
      <c r="BT103" s="256" t="str">
        <f t="shared" si="63"/>
        <v/>
      </c>
      <c r="BU103" s="256" t="str">
        <f t="shared" si="64"/>
        <v/>
      </c>
      <c r="BV103" s="256" t="str">
        <f t="shared" si="65"/>
        <v/>
      </c>
      <c r="BW103" s="267"/>
      <c r="BX103" s="256" t="str">
        <f t="shared" si="66"/>
        <v/>
      </c>
      <c r="BY103" s="256" t="str">
        <f t="shared" si="67"/>
        <v/>
      </c>
      <c r="BZ103" s="281"/>
      <c r="CA103" s="282"/>
      <c r="CC103" s="112" t="str">
        <f t="shared" ca="1" si="68"/>
        <v/>
      </c>
      <c r="CF103" s="284"/>
      <c r="CG103" s="284"/>
      <c r="CH103" s="284"/>
      <c r="CI103" s="284"/>
      <c r="CL103" s="356" t="str">
        <f>IFERROR(VLOOKUP(C103,'Data Sheet'!$A$3:$B$26,2,FALSE),"")</f>
        <v/>
      </c>
    </row>
    <row r="104" spans="1:90" s="98" customFormat="1" ht="15.75" x14ac:dyDescent="0.2">
      <c r="A104" s="97"/>
      <c r="B104" s="105" t="str">
        <f t="shared" si="71"/>
        <v>--</v>
      </c>
      <c r="C104" s="276"/>
      <c r="D104" s="101" t="str">
        <f>IFERROR(IF(VLOOKUP(C104,'Data Sheet'!$A$3:$D$26,4,FALSE)=0,"",VLOOKUP(C104,'Data Sheet'!$A$3:$D$26,4,FALSE)),"")</f>
        <v/>
      </c>
      <c r="E104" s="279"/>
      <c r="F104" s="103" t="str">
        <f>IFERROR(IF(VLOOKUP(E104,'Data Sheet'!$C$29:$E$174,3,FALSE)=0,"",VLOOKUP(E104,'Data Sheet'!$C$29:$E$174,3,FALSE)),"")</f>
        <v/>
      </c>
      <c r="G104" s="106" t="str">
        <f t="shared" si="69"/>
        <v>-</v>
      </c>
      <c r="H104" s="273"/>
      <c r="I104" s="107"/>
      <c r="J104" s="249" t="e">
        <f t="shared" si="70"/>
        <v>#VALUE!</v>
      </c>
      <c r="K104" s="101" t="str">
        <f>IFERROR(INDEX('Data Sheet'!$C$198:$C$275,MATCH(I104,'Data Sheet'!$F$198:$F$275,0)),"")</f>
        <v/>
      </c>
      <c r="L104" s="250" t="str">
        <f>IFERROR(INDEX('Data Sheet'!$G$198:$G$275,MATCH(I104,'Data Sheet'!$F$198:$F$275,0)),"")</f>
        <v/>
      </c>
      <c r="M104" s="194"/>
      <c r="N104" s="248"/>
      <c r="O104" s="248"/>
      <c r="P104" s="108" t="str">
        <f>IFERROR(INDEX(Setup!$D$44:$D$70,MATCH(M104,Setup!$K$44:$K$70,0))&amp;"","")</f>
        <v/>
      </c>
      <c r="Q104" s="108" t="str">
        <f>IFERROR(INDEX(Setup!$E$44:$E$70,MATCH(M104,Setup!$K$44:$K$70,0))&amp;"","")</f>
        <v/>
      </c>
      <c r="R104" s="108" t="str">
        <f>IFERROR(INDEX(Setup!$L$44:$L$70,MATCH(M104,Setup!$K$44:$K$70,0))&amp;"","")</f>
        <v/>
      </c>
      <c r="S104" s="108" t="str">
        <f>Setup!$C$30</f>
        <v>USD</v>
      </c>
      <c r="T104" s="109" t="str">
        <f>IFERROR(INDEX('Data Sheet'!$B$198:$B$275,MATCH(I104,'Data Sheet'!$F$198:$F$275,0)),"")</f>
        <v/>
      </c>
      <c r="U104" s="110" t="str">
        <f>IFERROR(INDEX('Data Sheet'!$D$198:$D$275,MATCH(I104,'Data Sheet'!$F$198:$F$275,0)),"")</f>
        <v/>
      </c>
      <c r="V104" s="99"/>
      <c r="W104" s="195" t="str">
        <f>IF(V104=Setup!$C$30,"Grant",IF(V104=Setup!$C$31,"Local",IF(V104=Setup!$C$32,"Other",IF(ISBLANK(V104),"","Other"))))</f>
        <v/>
      </c>
      <c r="X104" s="255"/>
      <c r="Y104" s="259" t="str">
        <f>IF(X104&lt;&gt;"",X104/VLOOKUP($V104,Setup!$C$30:$D$41,2,0),"")</f>
        <v/>
      </c>
      <c r="Z104" s="262"/>
      <c r="AA104" s="256" t="str">
        <f t="shared" si="42"/>
        <v/>
      </c>
      <c r="AB104" s="262"/>
      <c r="AC104" s="258" t="str">
        <f t="shared" si="43"/>
        <v/>
      </c>
      <c r="AD104" s="262"/>
      <c r="AE104" s="258" t="str">
        <f t="shared" si="44"/>
        <v/>
      </c>
      <c r="AF104" s="262"/>
      <c r="AG104" s="256" t="str">
        <f t="shared" si="45"/>
        <v/>
      </c>
      <c r="AH104" s="256" t="str">
        <f t="shared" si="46"/>
        <v/>
      </c>
      <c r="AI104" s="256" t="str">
        <f t="shared" si="47"/>
        <v/>
      </c>
      <c r="AJ104" s="111"/>
      <c r="AK104" s="255"/>
      <c r="AL104" s="259" t="str">
        <f>IF(AK104&lt;&gt;"",AK104/VLOOKUP($V104,Setup!$C$30:$D$41,2,0),"")</f>
        <v/>
      </c>
      <c r="AM104" s="266"/>
      <c r="AN104" s="258" t="str">
        <f t="shared" si="48"/>
        <v/>
      </c>
      <c r="AO104" s="266"/>
      <c r="AP104" s="258" t="str">
        <f t="shared" si="49"/>
        <v/>
      </c>
      <c r="AQ104" s="266"/>
      <c r="AR104" s="258" t="str">
        <f t="shared" si="50"/>
        <v/>
      </c>
      <c r="AS104" s="266"/>
      <c r="AT104" s="256" t="str">
        <f t="shared" si="51"/>
        <v/>
      </c>
      <c r="AU104" s="256" t="str">
        <f t="shared" si="52"/>
        <v/>
      </c>
      <c r="AV104" s="256" t="str">
        <f t="shared" si="53"/>
        <v/>
      </c>
      <c r="AW104" s="267"/>
      <c r="AX104" s="255"/>
      <c r="AY104" s="259" t="str">
        <f>IF(AX104&lt;&gt;"",AX104/VLOOKUP($V104,Setup!$C$30:$D$41,2,0),"")</f>
        <v/>
      </c>
      <c r="AZ104" s="268"/>
      <c r="BA104" s="258" t="str">
        <f t="shared" si="54"/>
        <v/>
      </c>
      <c r="BB104" s="268"/>
      <c r="BC104" s="258" t="str">
        <f t="shared" si="55"/>
        <v/>
      </c>
      <c r="BD104" s="268"/>
      <c r="BE104" s="258" t="str">
        <f t="shared" si="56"/>
        <v/>
      </c>
      <c r="BF104" s="268"/>
      <c r="BG104" s="256" t="str">
        <f t="shared" si="57"/>
        <v/>
      </c>
      <c r="BH104" s="256" t="str">
        <f t="shared" si="58"/>
        <v/>
      </c>
      <c r="BI104" s="256" t="str">
        <f t="shared" si="59"/>
        <v/>
      </c>
      <c r="BJ104" s="267"/>
      <c r="BK104" s="255"/>
      <c r="BL104" s="259" t="str">
        <f>IF(BK104&lt;&gt;"",BK104/VLOOKUP($V104,Setup!$C$30:$D$41,2,0),"")</f>
        <v/>
      </c>
      <c r="BM104" s="268"/>
      <c r="BN104" s="258" t="str">
        <f t="shared" si="60"/>
        <v/>
      </c>
      <c r="BO104" s="268"/>
      <c r="BP104" s="258" t="str">
        <f t="shared" si="61"/>
        <v/>
      </c>
      <c r="BQ104" s="268"/>
      <c r="BR104" s="258" t="str">
        <f t="shared" si="62"/>
        <v/>
      </c>
      <c r="BS104" s="268"/>
      <c r="BT104" s="256" t="str">
        <f t="shared" si="63"/>
        <v/>
      </c>
      <c r="BU104" s="256" t="str">
        <f t="shared" si="64"/>
        <v/>
      </c>
      <c r="BV104" s="256" t="str">
        <f t="shared" si="65"/>
        <v/>
      </c>
      <c r="BW104" s="267"/>
      <c r="BX104" s="256" t="str">
        <f t="shared" si="66"/>
        <v/>
      </c>
      <c r="BY104" s="256" t="str">
        <f t="shared" si="67"/>
        <v/>
      </c>
      <c r="BZ104" s="281"/>
      <c r="CA104" s="282"/>
      <c r="CC104" s="112" t="str">
        <f t="shared" ca="1" si="68"/>
        <v/>
      </c>
      <c r="CF104" s="284"/>
      <c r="CG104" s="284"/>
      <c r="CH104" s="284"/>
      <c r="CI104" s="284"/>
      <c r="CL104" s="356" t="str">
        <f>IFERROR(VLOOKUP(C104,'Data Sheet'!$A$3:$B$26,2,FALSE),"")</f>
        <v/>
      </c>
    </row>
    <row r="105" spans="1:90" s="98" customFormat="1" ht="15.75" x14ac:dyDescent="0.2">
      <c r="A105" s="97"/>
      <c r="B105" s="105" t="str">
        <f t="shared" si="71"/>
        <v>--</v>
      </c>
      <c r="C105" s="276"/>
      <c r="D105" s="101" t="str">
        <f>IFERROR(IF(VLOOKUP(C105,'Data Sheet'!$A$3:$D$26,4,FALSE)=0,"",VLOOKUP(C105,'Data Sheet'!$A$3:$D$26,4,FALSE)),"")</f>
        <v/>
      </c>
      <c r="E105" s="279"/>
      <c r="F105" s="103" t="str">
        <f>IFERROR(IF(VLOOKUP(E105,'Data Sheet'!$C$29:$E$174,3,FALSE)=0,"",VLOOKUP(E105,'Data Sheet'!$C$29:$E$174,3,FALSE)),"")</f>
        <v/>
      </c>
      <c r="G105" s="106" t="str">
        <f t="shared" si="69"/>
        <v>-</v>
      </c>
      <c r="H105" s="273"/>
      <c r="I105" s="107"/>
      <c r="J105" s="249" t="e">
        <f t="shared" si="70"/>
        <v>#VALUE!</v>
      </c>
      <c r="K105" s="101" t="str">
        <f>IFERROR(INDEX('Data Sheet'!$C$198:$C$275,MATCH(I105,'Data Sheet'!$F$198:$F$275,0)),"")</f>
        <v/>
      </c>
      <c r="L105" s="250" t="str">
        <f>IFERROR(INDEX('Data Sheet'!$G$198:$G$275,MATCH(I105,'Data Sheet'!$F$198:$F$275,0)),"")</f>
        <v/>
      </c>
      <c r="M105" s="194"/>
      <c r="N105" s="248"/>
      <c r="O105" s="248"/>
      <c r="P105" s="108" t="str">
        <f>IFERROR(INDEX(Setup!$D$44:$D$70,MATCH(M105,Setup!$K$44:$K$70,0))&amp;"","")</f>
        <v/>
      </c>
      <c r="Q105" s="108" t="str">
        <f>IFERROR(INDEX(Setup!$E$44:$E$70,MATCH(M105,Setup!$K$44:$K$70,0))&amp;"","")</f>
        <v/>
      </c>
      <c r="R105" s="108" t="str">
        <f>IFERROR(INDEX(Setup!$L$44:$L$70,MATCH(M105,Setup!$K$44:$K$70,0))&amp;"","")</f>
        <v/>
      </c>
      <c r="S105" s="108" t="str">
        <f>Setup!$C$30</f>
        <v>USD</v>
      </c>
      <c r="T105" s="109" t="str">
        <f>IFERROR(INDEX('Data Sheet'!$B$198:$B$275,MATCH(I105,'Data Sheet'!$F$198:$F$275,0)),"")</f>
        <v/>
      </c>
      <c r="U105" s="110" t="str">
        <f>IFERROR(INDEX('Data Sheet'!$D$198:$D$275,MATCH(I105,'Data Sheet'!$F$198:$F$275,0)),"")</f>
        <v/>
      </c>
      <c r="V105" s="99"/>
      <c r="W105" s="195" t="str">
        <f>IF(V105=Setup!$C$30,"Grant",IF(V105=Setup!$C$31,"Local",IF(V105=Setup!$C$32,"Other",IF(ISBLANK(V105),"","Other"))))</f>
        <v/>
      </c>
      <c r="X105" s="255"/>
      <c r="Y105" s="259" t="str">
        <f>IF(X105&lt;&gt;"",X105/VLOOKUP($V105,Setup!$C$30:$D$41,2,0),"")</f>
        <v/>
      </c>
      <c r="Z105" s="262"/>
      <c r="AA105" s="256" t="str">
        <f t="shared" si="42"/>
        <v/>
      </c>
      <c r="AB105" s="262"/>
      <c r="AC105" s="258" t="str">
        <f t="shared" si="43"/>
        <v/>
      </c>
      <c r="AD105" s="262"/>
      <c r="AE105" s="258" t="str">
        <f t="shared" si="44"/>
        <v/>
      </c>
      <c r="AF105" s="262"/>
      <c r="AG105" s="256" t="str">
        <f t="shared" si="45"/>
        <v/>
      </c>
      <c r="AH105" s="256" t="str">
        <f t="shared" si="46"/>
        <v/>
      </c>
      <c r="AI105" s="256" t="str">
        <f t="shared" si="47"/>
        <v/>
      </c>
      <c r="AJ105" s="111"/>
      <c r="AK105" s="255"/>
      <c r="AL105" s="259" t="str">
        <f>IF(AK105&lt;&gt;"",AK105/VLOOKUP($V105,Setup!$C$30:$D$41,2,0),"")</f>
        <v/>
      </c>
      <c r="AM105" s="266"/>
      <c r="AN105" s="258" t="str">
        <f t="shared" si="48"/>
        <v/>
      </c>
      <c r="AO105" s="266"/>
      <c r="AP105" s="258" t="str">
        <f t="shared" si="49"/>
        <v/>
      </c>
      <c r="AQ105" s="266"/>
      <c r="AR105" s="258" t="str">
        <f t="shared" si="50"/>
        <v/>
      </c>
      <c r="AS105" s="266"/>
      <c r="AT105" s="256" t="str">
        <f t="shared" si="51"/>
        <v/>
      </c>
      <c r="AU105" s="256" t="str">
        <f t="shared" si="52"/>
        <v/>
      </c>
      <c r="AV105" s="256" t="str">
        <f t="shared" si="53"/>
        <v/>
      </c>
      <c r="AW105" s="267"/>
      <c r="AX105" s="255"/>
      <c r="AY105" s="259" t="str">
        <f>IF(AX105&lt;&gt;"",AX105/VLOOKUP($V105,Setup!$C$30:$D$41,2,0),"")</f>
        <v/>
      </c>
      <c r="AZ105" s="268"/>
      <c r="BA105" s="258" t="str">
        <f t="shared" si="54"/>
        <v/>
      </c>
      <c r="BB105" s="268"/>
      <c r="BC105" s="258" t="str">
        <f t="shared" si="55"/>
        <v/>
      </c>
      <c r="BD105" s="268"/>
      <c r="BE105" s="258" t="str">
        <f t="shared" si="56"/>
        <v/>
      </c>
      <c r="BF105" s="268"/>
      <c r="BG105" s="256" t="str">
        <f t="shared" si="57"/>
        <v/>
      </c>
      <c r="BH105" s="256" t="str">
        <f t="shared" si="58"/>
        <v/>
      </c>
      <c r="BI105" s="256" t="str">
        <f t="shared" si="59"/>
        <v/>
      </c>
      <c r="BJ105" s="267"/>
      <c r="BK105" s="255"/>
      <c r="BL105" s="259" t="str">
        <f>IF(BK105&lt;&gt;"",BK105/VLOOKUP($V105,Setup!$C$30:$D$41,2,0),"")</f>
        <v/>
      </c>
      <c r="BM105" s="268"/>
      <c r="BN105" s="258" t="str">
        <f t="shared" si="60"/>
        <v/>
      </c>
      <c r="BO105" s="268"/>
      <c r="BP105" s="258" t="str">
        <f t="shared" si="61"/>
        <v/>
      </c>
      <c r="BQ105" s="268"/>
      <c r="BR105" s="258" t="str">
        <f t="shared" si="62"/>
        <v/>
      </c>
      <c r="BS105" s="268"/>
      <c r="BT105" s="256" t="str">
        <f t="shared" si="63"/>
        <v/>
      </c>
      <c r="BU105" s="256" t="str">
        <f t="shared" si="64"/>
        <v/>
      </c>
      <c r="BV105" s="256" t="str">
        <f t="shared" si="65"/>
        <v/>
      </c>
      <c r="BW105" s="267"/>
      <c r="BX105" s="256" t="str">
        <f t="shared" si="66"/>
        <v/>
      </c>
      <c r="BY105" s="256" t="str">
        <f t="shared" si="67"/>
        <v/>
      </c>
      <c r="BZ105" s="281"/>
      <c r="CA105" s="282"/>
      <c r="CC105" s="112" t="str">
        <f t="shared" ca="1" si="68"/>
        <v/>
      </c>
      <c r="CF105" s="284"/>
      <c r="CG105" s="284"/>
      <c r="CH105" s="284"/>
      <c r="CI105" s="284"/>
      <c r="CL105" s="356" t="str">
        <f>IFERROR(VLOOKUP(C105,'Data Sheet'!$A$3:$B$26,2,FALSE),"")</f>
        <v/>
      </c>
    </row>
    <row r="106" spans="1:90" s="98" customFormat="1" ht="15.75" x14ac:dyDescent="0.2">
      <c r="A106" s="97"/>
      <c r="B106" s="105" t="str">
        <f t="shared" si="71"/>
        <v>--</v>
      </c>
      <c r="C106" s="276"/>
      <c r="D106" s="101" t="str">
        <f>IFERROR(IF(VLOOKUP(C106,'Data Sheet'!$A$3:$D$26,4,FALSE)=0,"",VLOOKUP(C106,'Data Sheet'!$A$3:$D$26,4,FALSE)),"")</f>
        <v/>
      </c>
      <c r="E106" s="279"/>
      <c r="F106" s="103" t="str">
        <f>IFERROR(IF(VLOOKUP(E106,'Data Sheet'!$C$29:$E$174,3,FALSE)=0,"",VLOOKUP(E106,'Data Sheet'!$C$29:$E$174,3,FALSE)),"")</f>
        <v/>
      </c>
      <c r="G106" s="106" t="str">
        <f t="shared" si="69"/>
        <v>-</v>
      </c>
      <c r="H106" s="273"/>
      <c r="I106" s="107"/>
      <c r="J106" s="249" t="e">
        <f t="shared" si="70"/>
        <v>#VALUE!</v>
      </c>
      <c r="K106" s="101" t="str">
        <f>IFERROR(INDEX('Data Sheet'!$C$198:$C$275,MATCH(I106,'Data Sheet'!$F$198:$F$275,0)),"")</f>
        <v/>
      </c>
      <c r="L106" s="250" t="str">
        <f>IFERROR(INDEX('Data Sheet'!$G$198:$G$275,MATCH(I106,'Data Sheet'!$F$198:$F$275,0)),"")</f>
        <v/>
      </c>
      <c r="M106" s="194"/>
      <c r="N106" s="248"/>
      <c r="O106" s="248"/>
      <c r="P106" s="108" t="str">
        <f>IFERROR(INDEX(Setup!$D$44:$D$70,MATCH(M106,Setup!$K$44:$K$70,0))&amp;"","")</f>
        <v/>
      </c>
      <c r="Q106" s="108" t="str">
        <f>IFERROR(INDEX(Setup!$E$44:$E$70,MATCH(M106,Setup!$K$44:$K$70,0))&amp;"","")</f>
        <v/>
      </c>
      <c r="R106" s="108" t="str">
        <f>IFERROR(INDEX(Setup!$L$44:$L$70,MATCH(M106,Setup!$K$44:$K$70,0))&amp;"","")</f>
        <v/>
      </c>
      <c r="S106" s="108" t="str">
        <f>Setup!$C$30</f>
        <v>USD</v>
      </c>
      <c r="T106" s="109" t="str">
        <f>IFERROR(INDEX('Data Sheet'!$B$198:$B$275,MATCH(I106,'Data Sheet'!$F$198:$F$275,0)),"")</f>
        <v/>
      </c>
      <c r="U106" s="110" t="str">
        <f>IFERROR(INDEX('Data Sheet'!$D$198:$D$275,MATCH(I106,'Data Sheet'!$F$198:$F$275,0)),"")</f>
        <v/>
      </c>
      <c r="V106" s="99"/>
      <c r="W106" s="195" t="str">
        <f>IF(V106=Setup!$C$30,"Grant",IF(V106=Setup!$C$31,"Local",IF(V106=Setup!$C$32,"Other",IF(ISBLANK(V106),"","Other"))))</f>
        <v/>
      </c>
      <c r="X106" s="255"/>
      <c r="Y106" s="259" t="str">
        <f>IF(X106&lt;&gt;"",X106/VLOOKUP($V106,Setup!$C$30:$D$41,2,0),"")</f>
        <v/>
      </c>
      <c r="Z106" s="262"/>
      <c r="AA106" s="256" t="str">
        <f t="shared" si="42"/>
        <v/>
      </c>
      <c r="AB106" s="262"/>
      <c r="AC106" s="258" t="str">
        <f t="shared" si="43"/>
        <v/>
      </c>
      <c r="AD106" s="262"/>
      <c r="AE106" s="258" t="str">
        <f t="shared" si="44"/>
        <v/>
      </c>
      <c r="AF106" s="262"/>
      <c r="AG106" s="256" t="str">
        <f t="shared" si="45"/>
        <v/>
      </c>
      <c r="AH106" s="256" t="str">
        <f t="shared" si="46"/>
        <v/>
      </c>
      <c r="AI106" s="256" t="str">
        <f t="shared" si="47"/>
        <v/>
      </c>
      <c r="AJ106" s="111"/>
      <c r="AK106" s="255"/>
      <c r="AL106" s="259" t="str">
        <f>IF(AK106&lt;&gt;"",AK106/VLOOKUP($V106,Setup!$C$30:$D$41,2,0),"")</f>
        <v/>
      </c>
      <c r="AM106" s="266"/>
      <c r="AN106" s="258" t="str">
        <f t="shared" si="48"/>
        <v/>
      </c>
      <c r="AO106" s="266"/>
      <c r="AP106" s="258" t="str">
        <f t="shared" si="49"/>
        <v/>
      </c>
      <c r="AQ106" s="266"/>
      <c r="AR106" s="258" t="str">
        <f t="shared" si="50"/>
        <v/>
      </c>
      <c r="AS106" s="266"/>
      <c r="AT106" s="256" t="str">
        <f t="shared" si="51"/>
        <v/>
      </c>
      <c r="AU106" s="256" t="str">
        <f t="shared" si="52"/>
        <v/>
      </c>
      <c r="AV106" s="256" t="str">
        <f t="shared" si="53"/>
        <v/>
      </c>
      <c r="AW106" s="267"/>
      <c r="AX106" s="255"/>
      <c r="AY106" s="259" t="str">
        <f>IF(AX106&lt;&gt;"",AX106/VLOOKUP($V106,Setup!$C$30:$D$41,2,0),"")</f>
        <v/>
      </c>
      <c r="AZ106" s="268"/>
      <c r="BA106" s="258" t="str">
        <f t="shared" si="54"/>
        <v/>
      </c>
      <c r="BB106" s="268"/>
      <c r="BC106" s="258" t="str">
        <f t="shared" si="55"/>
        <v/>
      </c>
      <c r="BD106" s="268"/>
      <c r="BE106" s="258" t="str">
        <f t="shared" si="56"/>
        <v/>
      </c>
      <c r="BF106" s="268"/>
      <c r="BG106" s="256" t="str">
        <f t="shared" si="57"/>
        <v/>
      </c>
      <c r="BH106" s="256" t="str">
        <f t="shared" si="58"/>
        <v/>
      </c>
      <c r="BI106" s="256" t="str">
        <f t="shared" si="59"/>
        <v/>
      </c>
      <c r="BJ106" s="267"/>
      <c r="BK106" s="255"/>
      <c r="BL106" s="259" t="str">
        <f>IF(BK106&lt;&gt;"",BK106/VLOOKUP($V106,Setup!$C$30:$D$41,2,0),"")</f>
        <v/>
      </c>
      <c r="BM106" s="268"/>
      <c r="BN106" s="258" t="str">
        <f t="shared" si="60"/>
        <v/>
      </c>
      <c r="BO106" s="268"/>
      <c r="BP106" s="258" t="str">
        <f t="shared" si="61"/>
        <v/>
      </c>
      <c r="BQ106" s="268"/>
      <c r="BR106" s="258" t="str">
        <f t="shared" si="62"/>
        <v/>
      </c>
      <c r="BS106" s="268"/>
      <c r="BT106" s="256" t="str">
        <f t="shared" si="63"/>
        <v/>
      </c>
      <c r="BU106" s="256" t="str">
        <f t="shared" si="64"/>
        <v/>
      </c>
      <c r="BV106" s="256" t="str">
        <f t="shared" si="65"/>
        <v/>
      </c>
      <c r="BW106" s="267"/>
      <c r="BX106" s="256" t="str">
        <f t="shared" si="66"/>
        <v/>
      </c>
      <c r="BY106" s="256" t="str">
        <f t="shared" si="67"/>
        <v/>
      </c>
      <c r="BZ106" s="281"/>
      <c r="CA106" s="282"/>
      <c r="CC106" s="112" t="str">
        <f t="shared" ca="1" si="68"/>
        <v/>
      </c>
      <c r="CF106" s="284"/>
      <c r="CG106" s="284"/>
      <c r="CH106" s="284"/>
      <c r="CI106" s="284"/>
      <c r="CL106" s="356" t="str">
        <f>IFERROR(VLOOKUP(C106,'Data Sheet'!$A$3:$B$26,2,FALSE),"")</f>
        <v/>
      </c>
    </row>
    <row r="107" spans="1:90" s="98" customFormat="1" ht="15.75" x14ac:dyDescent="0.2">
      <c r="A107" s="97"/>
      <c r="B107" s="105" t="str">
        <f t="shared" si="71"/>
        <v>--</v>
      </c>
      <c r="C107" s="276"/>
      <c r="D107" s="101" t="str">
        <f>IFERROR(IF(VLOOKUP(C107,'Data Sheet'!$A$3:$D$26,4,FALSE)=0,"",VLOOKUP(C107,'Data Sheet'!$A$3:$D$26,4,FALSE)),"")</f>
        <v/>
      </c>
      <c r="E107" s="279"/>
      <c r="F107" s="103" t="str">
        <f>IFERROR(IF(VLOOKUP(E107,'Data Sheet'!$C$29:$E$174,3,FALSE)=0,"",VLOOKUP(E107,'Data Sheet'!$C$29:$E$174,3,FALSE)),"")</f>
        <v/>
      </c>
      <c r="G107" s="106" t="str">
        <f t="shared" si="69"/>
        <v>-</v>
      </c>
      <c r="H107" s="273"/>
      <c r="I107" s="107"/>
      <c r="J107" s="249" t="e">
        <f t="shared" si="70"/>
        <v>#VALUE!</v>
      </c>
      <c r="K107" s="101" t="str">
        <f>IFERROR(INDEX('Data Sheet'!$C$198:$C$275,MATCH(I107,'Data Sheet'!$F$198:$F$275,0)),"")</f>
        <v/>
      </c>
      <c r="L107" s="250" t="str">
        <f>IFERROR(INDEX('Data Sheet'!$G$198:$G$275,MATCH(I107,'Data Sheet'!$F$198:$F$275,0)),"")</f>
        <v/>
      </c>
      <c r="M107" s="194"/>
      <c r="N107" s="248"/>
      <c r="O107" s="248"/>
      <c r="P107" s="108" t="str">
        <f>IFERROR(INDEX(Setup!$D$44:$D$70,MATCH(M107,Setup!$K$44:$K$70,0))&amp;"","")</f>
        <v/>
      </c>
      <c r="Q107" s="108" t="str">
        <f>IFERROR(INDEX(Setup!$E$44:$E$70,MATCH(M107,Setup!$K$44:$K$70,0))&amp;"","")</f>
        <v/>
      </c>
      <c r="R107" s="108" t="str">
        <f>IFERROR(INDEX(Setup!$L$44:$L$70,MATCH(M107,Setup!$K$44:$K$70,0))&amp;"","")</f>
        <v/>
      </c>
      <c r="S107" s="108" t="str">
        <f>Setup!$C$30</f>
        <v>USD</v>
      </c>
      <c r="T107" s="109" t="str">
        <f>IFERROR(INDEX('Data Sheet'!$B$198:$B$275,MATCH(I107,'Data Sheet'!$F$198:$F$275,0)),"")</f>
        <v/>
      </c>
      <c r="U107" s="110" t="str">
        <f>IFERROR(INDEX('Data Sheet'!$D$198:$D$275,MATCH(I107,'Data Sheet'!$F$198:$F$275,0)),"")</f>
        <v/>
      </c>
      <c r="V107" s="99"/>
      <c r="W107" s="195" t="str">
        <f>IF(V107=Setup!$C$30,"Grant",IF(V107=Setup!$C$31,"Local",IF(V107=Setup!$C$32,"Other",IF(ISBLANK(V107),"","Other"))))</f>
        <v/>
      </c>
      <c r="X107" s="255"/>
      <c r="Y107" s="259" t="str">
        <f>IF(X107&lt;&gt;"",X107/VLOOKUP($V107,Setup!$C$30:$D$41,2,0),"")</f>
        <v/>
      </c>
      <c r="Z107" s="262"/>
      <c r="AA107" s="256" t="str">
        <f t="shared" si="42"/>
        <v/>
      </c>
      <c r="AB107" s="262"/>
      <c r="AC107" s="258" t="str">
        <f t="shared" si="43"/>
        <v/>
      </c>
      <c r="AD107" s="262"/>
      <c r="AE107" s="258" t="str">
        <f t="shared" si="44"/>
        <v/>
      </c>
      <c r="AF107" s="262"/>
      <c r="AG107" s="256" t="str">
        <f t="shared" si="45"/>
        <v/>
      </c>
      <c r="AH107" s="256" t="str">
        <f t="shared" si="46"/>
        <v/>
      </c>
      <c r="AI107" s="256" t="str">
        <f t="shared" si="47"/>
        <v/>
      </c>
      <c r="AJ107" s="111"/>
      <c r="AK107" s="255"/>
      <c r="AL107" s="259" t="str">
        <f>IF(AK107&lt;&gt;"",AK107/VLOOKUP($V107,Setup!$C$30:$D$41,2,0),"")</f>
        <v/>
      </c>
      <c r="AM107" s="266"/>
      <c r="AN107" s="258" t="str">
        <f t="shared" si="48"/>
        <v/>
      </c>
      <c r="AO107" s="266"/>
      <c r="AP107" s="258" t="str">
        <f t="shared" si="49"/>
        <v/>
      </c>
      <c r="AQ107" s="266"/>
      <c r="AR107" s="258" t="str">
        <f t="shared" si="50"/>
        <v/>
      </c>
      <c r="AS107" s="266"/>
      <c r="AT107" s="256" t="str">
        <f t="shared" si="51"/>
        <v/>
      </c>
      <c r="AU107" s="256" t="str">
        <f t="shared" si="52"/>
        <v/>
      </c>
      <c r="AV107" s="256" t="str">
        <f t="shared" si="53"/>
        <v/>
      </c>
      <c r="AW107" s="267"/>
      <c r="AX107" s="255"/>
      <c r="AY107" s="259" t="str">
        <f>IF(AX107&lt;&gt;"",AX107/VLOOKUP($V107,Setup!$C$30:$D$41,2,0),"")</f>
        <v/>
      </c>
      <c r="AZ107" s="268"/>
      <c r="BA107" s="258" t="str">
        <f t="shared" si="54"/>
        <v/>
      </c>
      <c r="BB107" s="268"/>
      <c r="BC107" s="258" t="str">
        <f t="shared" si="55"/>
        <v/>
      </c>
      <c r="BD107" s="268"/>
      <c r="BE107" s="258" t="str">
        <f t="shared" si="56"/>
        <v/>
      </c>
      <c r="BF107" s="268"/>
      <c r="BG107" s="256" t="str">
        <f t="shared" si="57"/>
        <v/>
      </c>
      <c r="BH107" s="256" t="str">
        <f t="shared" si="58"/>
        <v/>
      </c>
      <c r="BI107" s="256" t="str">
        <f t="shared" si="59"/>
        <v/>
      </c>
      <c r="BJ107" s="267"/>
      <c r="BK107" s="255"/>
      <c r="BL107" s="259" t="str">
        <f>IF(BK107&lt;&gt;"",BK107/VLOOKUP($V107,Setup!$C$30:$D$41,2,0),"")</f>
        <v/>
      </c>
      <c r="BM107" s="268"/>
      <c r="BN107" s="258" t="str">
        <f t="shared" si="60"/>
        <v/>
      </c>
      <c r="BO107" s="268"/>
      <c r="BP107" s="258" t="str">
        <f t="shared" si="61"/>
        <v/>
      </c>
      <c r="BQ107" s="268"/>
      <c r="BR107" s="258" t="str">
        <f t="shared" si="62"/>
        <v/>
      </c>
      <c r="BS107" s="268"/>
      <c r="BT107" s="256" t="str">
        <f t="shared" si="63"/>
        <v/>
      </c>
      <c r="BU107" s="256" t="str">
        <f t="shared" si="64"/>
        <v/>
      </c>
      <c r="BV107" s="256" t="str">
        <f t="shared" si="65"/>
        <v/>
      </c>
      <c r="BW107" s="267"/>
      <c r="BX107" s="256" t="str">
        <f t="shared" si="66"/>
        <v/>
      </c>
      <c r="BY107" s="256" t="str">
        <f t="shared" si="67"/>
        <v/>
      </c>
      <c r="BZ107" s="281"/>
      <c r="CA107" s="282"/>
      <c r="CC107" s="112" t="str">
        <f t="shared" ca="1" si="68"/>
        <v/>
      </c>
      <c r="CF107" s="284"/>
      <c r="CG107" s="284"/>
      <c r="CH107" s="284"/>
      <c r="CI107" s="284"/>
      <c r="CL107" s="356" t="str">
        <f>IFERROR(VLOOKUP(C107,'Data Sheet'!$A$3:$B$26,2,FALSE),"")</f>
        <v/>
      </c>
    </row>
    <row r="108" spans="1:90" s="98" customFormat="1" ht="15.75" x14ac:dyDescent="0.2">
      <c r="A108" s="97"/>
      <c r="B108" s="105" t="str">
        <f t="shared" si="71"/>
        <v>--</v>
      </c>
      <c r="C108" s="276"/>
      <c r="D108" s="101" t="str">
        <f>IFERROR(IF(VLOOKUP(C108,'Data Sheet'!$A$3:$D$26,4,FALSE)=0,"",VLOOKUP(C108,'Data Sheet'!$A$3:$D$26,4,FALSE)),"")</f>
        <v/>
      </c>
      <c r="E108" s="279"/>
      <c r="F108" s="103" t="str">
        <f>IFERROR(IF(VLOOKUP(E108,'Data Sheet'!$C$29:$E$174,3,FALSE)=0,"",VLOOKUP(E108,'Data Sheet'!$C$29:$E$174,3,FALSE)),"")</f>
        <v/>
      </c>
      <c r="G108" s="106" t="str">
        <f t="shared" si="69"/>
        <v>-</v>
      </c>
      <c r="H108" s="273"/>
      <c r="I108" s="107"/>
      <c r="J108" s="249" t="e">
        <f t="shared" si="70"/>
        <v>#VALUE!</v>
      </c>
      <c r="K108" s="101" t="str">
        <f>IFERROR(INDEX('Data Sheet'!$C$198:$C$275,MATCH(I108,'Data Sheet'!$F$198:$F$275,0)),"")</f>
        <v/>
      </c>
      <c r="L108" s="250" t="str">
        <f>IFERROR(INDEX('Data Sheet'!$G$198:$G$275,MATCH(I108,'Data Sheet'!$F$198:$F$275,0)),"")</f>
        <v/>
      </c>
      <c r="M108" s="194"/>
      <c r="N108" s="248"/>
      <c r="O108" s="248"/>
      <c r="P108" s="108" t="str">
        <f>IFERROR(INDEX(Setup!$D$44:$D$70,MATCH(M108,Setup!$K$44:$K$70,0))&amp;"","")</f>
        <v/>
      </c>
      <c r="Q108" s="108" t="str">
        <f>IFERROR(INDEX(Setup!$E$44:$E$70,MATCH(M108,Setup!$K$44:$K$70,0))&amp;"","")</f>
        <v/>
      </c>
      <c r="R108" s="108" t="str">
        <f>IFERROR(INDEX(Setup!$L$44:$L$70,MATCH(M108,Setup!$K$44:$K$70,0))&amp;"","")</f>
        <v/>
      </c>
      <c r="S108" s="108" t="str">
        <f>Setup!$C$30</f>
        <v>USD</v>
      </c>
      <c r="T108" s="109" t="str">
        <f>IFERROR(INDEX('Data Sheet'!$B$198:$B$275,MATCH(I108,'Data Sheet'!$F$198:$F$275,0)),"")</f>
        <v/>
      </c>
      <c r="U108" s="110" t="str">
        <f>IFERROR(INDEX('Data Sheet'!$D$198:$D$275,MATCH(I108,'Data Sheet'!$F$198:$F$275,0)),"")</f>
        <v/>
      </c>
      <c r="V108" s="99"/>
      <c r="W108" s="195" t="str">
        <f>IF(V108=Setup!$C$30,"Grant",IF(V108=Setup!$C$31,"Local",IF(V108=Setup!$C$32,"Other",IF(ISBLANK(V108),"","Other"))))</f>
        <v/>
      </c>
      <c r="X108" s="255"/>
      <c r="Y108" s="259" t="str">
        <f>IF(X108&lt;&gt;"",X108/VLOOKUP($V108,Setup!$C$30:$D$41,2,0),"")</f>
        <v/>
      </c>
      <c r="Z108" s="262"/>
      <c r="AA108" s="256" t="str">
        <f t="shared" si="42"/>
        <v/>
      </c>
      <c r="AB108" s="262"/>
      <c r="AC108" s="258" t="str">
        <f t="shared" si="43"/>
        <v/>
      </c>
      <c r="AD108" s="262"/>
      <c r="AE108" s="258" t="str">
        <f t="shared" si="44"/>
        <v/>
      </c>
      <c r="AF108" s="262"/>
      <c r="AG108" s="256" t="str">
        <f t="shared" si="45"/>
        <v/>
      </c>
      <c r="AH108" s="256" t="str">
        <f t="shared" si="46"/>
        <v/>
      </c>
      <c r="AI108" s="256" t="str">
        <f t="shared" si="47"/>
        <v/>
      </c>
      <c r="AJ108" s="111"/>
      <c r="AK108" s="255"/>
      <c r="AL108" s="259" t="str">
        <f>IF(AK108&lt;&gt;"",AK108/VLOOKUP($V108,Setup!$C$30:$D$41,2,0),"")</f>
        <v/>
      </c>
      <c r="AM108" s="266"/>
      <c r="AN108" s="258" t="str">
        <f t="shared" si="48"/>
        <v/>
      </c>
      <c r="AO108" s="266"/>
      <c r="AP108" s="258" t="str">
        <f t="shared" si="49"/>
        <v/>
      </c>
      <c r="AQ108" s="266"/>
      <c r="AR108" s="258" t="str">
        <f t="shared" si="50"/>
        <v/>
      </c>
      <c r="AS108" s="266"/>
      <c r="AT108" s="256" t="str">
        <f t="shared" si="51"/>
        <v/>
      </c>
      <c r="AU108" s="256" t="str">
        <f t="shared" si="52"/>
        <v/>
      </c>
      <c r="AV108" s="256" t="str">
        <f t="shared" si="53"/>
        <v/>
      </c>
      <c r="AW108" s="267"/>
      <c r="AX108" s="255"/>
      <c r="AY108" s="259" t="str">
        <f>IF(AX108&lt;&gt;"",AX108/VLOOKUP($V108,Setup!$C$30:$D$41,2,0),"")</f>
        <v/>
      </c>
      <c r="AZ108" s="268"/>
      <c r="BA108" s="258" t="str">
        <f t="shared" si="54"/>
        <v/>
      </c>
      <c r="BB108" s="268"/>
      <c r="BC108" s="258" t="str">
        <f t="shared" si="55"/>
        <v/>
      </c>
      <c r="BD108" s="268"/>
      <c r="BE108" s="258" t="str">
        <f t="shared" si="56"/>
        <v/>
      </c>
      <c r="BF108" s="268"/>
      <c r="BG108" s="256" t="str">
        <f t="shared" si="57"/>
        <v/>
      </c>
      <c r="BH108" s="256" t="str">
        <f t="shared" si="58"/>
        <v/>
      </c>
      <c r="BI108" s="256" t="str">
        <f t="shared" si="59"/>
        <v/>
      </c>
      <c r="BJ108" s="267"/>
      <c r="BK108" s="255"/>
      <c r="BL108" s="259" t="str">
        <f>IF(BK108&lt;&gt;"",BK108/VLOOKUP($V108,Setup!$C$30:$D$41,2,0),"")</f>
        <v/>
      </c>
      <c r="BM108" s="268"/>
      <c r="BN108" s="258" t="str">
        <f t="shared" si="60"/>
        <v/>
      </c>
      <c r="BO108" s="268"/>
      <c r="BP108" s="258" t="str">
        <f t="shared" si="61"/>
        <v/>
      </c>
      <c r="BQ108" s="268"/>
      <c r="BR108" s="258" t="str">
        <f t="shared" si="62"/>
        <v/>
      </c>
      <c r="BS108" s="268"/>
      <c r="BT108" s="256" t="str">
        <f t="shared" si="63"/>
        <v/>
      </c>
      <c r="BU108" s="256" t="str">
        <f t="shared" si="64"/>
        <v/>
      </c>
      <c r="BV108" s="256" t="str">
        <f t="shared" si="65"/>
        <v/>
      </c>
      <c r="BW108" s="267"/>
      <c r="BX108" s="256" t="str">
        <f t="shared" si="66"/>
        <v/>
      </c>
      <c r="BY108" s="256" t="str">
        <f t="shared" si="67"/>
        <v/>
      </c>
      <c r="BZ108" s="281"/>
      <c r="CA108" s="282"/>
      <c r="CC108" s="112" t="str">
        <f t="shared" ca="1" si="68"/>
        <v/>
      </c>
      <c r="CF108" s="284"/>
      <c r="CG108" s="284"/>
      <c r="CH108" s="284"/>
      <c r="CI108" s="284"/>
      <c r="CL108" s="356" t="str">
        <f>IFERROR(VLOOKUP(C108,'Data Sheet'!$A$3:$B$26,2,FALSE),"")</f>
        <v/>
      </c>
    </row>
    <row r="109" spans="1:90" s="98" customFormat="1" ht="15.75" x14ac:dyDescent="0.2">
      <c r="A109" s="97"/>
      <c r="B109" s="105" t="str">
        <f t="shared" si="71"/>
        <v>--</v>
      </c>
      <c r="C109" s="276"/>
      <c r="D109" s="101" t="str">
        <f>IFERROR(IF(VLOOKUP(C109,'Data Sheet'!$A$3:$D$26,4,FALSE)=0,"",VLOOKUP(C109,'Data Sheet'!$A$3:$D$26,4,FALSE)),"")</f>
        <v/>
      </c>
      <c r="E109" s="279"/>
      <c r="F109" s="103" t="str">
        <f>IFERROR(IF(VLOOKUP(E109,'Data Sheet'!$C$29:$E$174,3,FALSE)=0,"",VLOOKUP(E109,'Data Sheet'!$C$29:$E$174,3,FALSE)),"")</f>
        <v/>
      </c>
      <c r="G109" s="106" t="str">
        <f t="shared" si="69"/>
        <v>-</v>
      </c>
      <c r="H109" s="273"/>
      <c r="I109" s="107"/>
      <c r="J109" s="249" t="e">
        <f t="shared" si="70"/>
        <v>#VALUE!</v>
      </c>
      <c r="K109" s="101" t="str">
        <f>IFERROR(INDEX('Data Sheet'!$C$198:$C$275,MATCH(I109,'Data Sheet'!$F$198:$F$275,0)),"")</f>
        <v/>
      </c>
      <c r="L109" s="250" t="str">
        <f>IFERROR(INDEX('Data Sheet'!$G$198:$G$275,MATCH(I109,'Data Sheet'!$F$198:$F$275,0)),"")</f>
        <v/>
      </c>
      <c r="M109" s="194"/>
      <c r="N109" s="248"/>
      <c r="O109" s="248"/>
      <c r="P109" s="108" t="str">
        <f>IFERROR(INDEX(Setup!$D$44:$D$70,MATCH(M109,Setup!$K$44:$K$70,0))&amp;"","")</f>
        <v/>
      </c>
      <c r="Q109" s="108" t="str">
        <f>IFERROR(INDEX(Setup!$E$44:$E$70,MATCH(M109,Setup!$K$44:$K$70,0))&amp;"","")</f>
        <v/>
      </c>
      <c r="R109" s="108" t="str">
        <f>IFERROR(INDEX(Setup!$L$44:$L$70,MATCH(M109,Setup!$K$44:$K$70,0))&amp;"","")</f>
        <v/>
      </c>
      <c r="S109" s="108" t="str">
        <f>Setup!$C$30</f>
        <v>USD</v>
      </c>
      <c r="T109" s="109" t="str">
        <f>IFERROR(INDEX('Data Sheet'!$B$198:$B$275,MATCH(I109,'Data Sheet'!$F$198:$F$275,0)),"")</f>
        <v/>
      </c>
      <c r="U109" s="110" t="str">
        <f>IFERROR(INDEX('Data Sheet'!$D$198:$D$275,MATCH(I109,'Data Sheet'!$F$198:$F$275,0)),"")</f>
        <v/>
      </c>
      <c r="V109" s="99"/>
      <c r="W109" s="195" t="str">
        <f>IF(V109=Setup!$C$30,"Grant",IF(V109=Setup!$C$31,"Local",IF(V109=Setup!$C$32,"Other",IF(ISBLANK(V109),"","Other"))))</f>
        <v/>
      </c>
      <c r="X109" s="255"/>
      <c r="Y109" s="259" t="str">
        <f>IF(X109&lt;&gt;"",X109/VLOOKUP($V109,Setup!$C$30:$D$41,2,0),"")</f>
        <v/>
      </c>
      <c r="Z109" s="262"/>
      <c r="AA109" s="256" t="str">
        <f t="shared" si="42"/>
        <v/>
      </c>
      <c r="AB109" s="262"/>
      <c r="AC109" s="258" t="str">
        <f t="shared" si="43"/>
        <v/>
      </c>
      <c r="AD109" s="262"/>
      <c r="AE109" s="258" t="str">
        <f t="shared" si="44"/>
        <v/>
      </c>
      <c r="AF109" s="262"/>
      <c r="AG109" s="256" t="str">
        <f t="shared" si="45"/>
        <v/>
      </c>
      <c r="AH109" s="256" t="str">
        <f t="shared" si="46"/>
        <v/>
      </c>
      <c r="AI109" s="256" t="str">
        <f t="shared" si="47"/>
        <v/>
      </c>
      <c r="AJ109" s="111"/>
      <c r="AK109" s="255"/>
      <c r="AL109" s="259" t="str">
        <f>IF(AK109&lt;&gt;"",AK109/VLOOKUP($V109,Setup!$C$30:$D$41,2,0),"")</f>
        <v/>
      </c>
      <c r="AM109" s="266"/>
      <c r="AN109" s="258" t="str">
        <f t="shared" si="48"/>
        <v/>
      </c>
      <c r="AO109" s="266"/>
      <c r="AP109" s="258" t="str">
        <f t="shared" si="49"/>
        <v/>
      </c>
      <c r="AQ109" s="266"/>
      <c r="AR109" s="258" t="str">
        <f t="shared" si="50"/>
        <v/>
      </c>
      <c r="AS109" s="266"/>
      <c r="AT109" s="256" t="str">
        <f t="shared" si="51"/>
        <v/>
      </c>
      <c r="AU109" s="256" t="str">
        <f t="shared" si="52"/>
        <v/>
      </c>
      <c r="AV109" s="256" t="str">
        <f t="shared" si="53"/>
        <v/>
      </c>
      <c r="AW109" s="267"/>
      <c r="AX109" s="255"/>
      <c r="AY109" s="259" t="str">
        <f>IF(AX109&lt;&gt;"",AX109/VLOOKUP($V109,Setup!$C$30:$D$41,2,0),"")</f>
        <v/>
      </c>
      <c r="AZ109" s="268"/>
      <c r="BA109" s="258" t="str">
        <f t="shared" si="54"/>
        <v/>
      </c>
      <c r="BB109" s="268"/>
      <c r="BC109" s="258" t="str">
        <f t="shared" si="55"/>
        <v/>
      </c>
      <c r="BD109" s="268"/>
      <c r="BE109" s="258" t="str">
        <f t="shared" si="56"/>
        <v/>
      </c>
      <c r="BF109" s="268"/>
      <c r="BG109" s="256" t="str">
        <f t="shared" si="57"/>
        <v/>
      </c>
      <c r="BH109" s="256" t="str">
        <f t="shared" si="58"/>
        <v/>
      </c>
      <c r="BI109" s="256" t="str">
        <f t="shared" si="59"/>
        <v/>
      </c>
      <c r="BJ109" s="267"/>
      <c r="BK109" s="255"/>
      <c r="BL109" s="259" t="str">
        <f>IF(BK109&lt;&gt;"",BK109/VLOOKUP($V109,Setup!$C$30:$D$41,2,0),"")</f>
        <v/>
      </c>
      <c r="BM109" s="268"/>
      <c r="BN109" s="258" t="str">
        <f t="shared" si="60"/>
        <v/>
      </c>
      <c r="BO109" s="268"/>
      <c r="BP109" s="258" t="str">
        <f t="shared" si="61"/>
        <v/>
      </c>
      <c r="BQ109" s="268"/>
      <c r="BR109" s="258" t="str">
        <f t="shared" si="62"/>
        <v/>
      </c>
      <c r="BS109" s="268"/>
      <c r="BT109" s="256" t="str">
        <f t="shared" si="63"/>
        <v/>
      </c>
      <c r="BU109" s="256" t="str">
        <f t="shared" si="64"/>
        <v/>
      </c>
      <c r="BV109" s="256" t="str">
        <f t="shared" si="65"/>
        <v/>
      </c>
      <c r="BW109" s="267"/>
      <c r="BX109" s="256" t="str">
        <f t="shared" si="66"/>
        <v/>
      </c>
      <c r="BY109" s="256" t="str">
        <f t="shared" si="67"/>
        <v/>
      </c>
      <c r="BZ109" s="281"/>
      <c r="CA109" s="282"/>
      <c r="CC109" s="112" t="str">
        <f t="shared" ca="1" si="68"/>
        <v/>
      </c>
      <c r="CF109" s="284"/>
      <c r="CG109" s="284"/>
      <c r="CH109" s="284"/>
      <c r="CI109" s="284"/>
      <c r="CL109" s="356" t="str">
        <f>IFERROR(VLOOKUP(C109,'Data Sheet'!$A$3:$B$26,2,FALSE),"")</f>
        <v/>
      </c>
    </row>
    <row r="110" spans="1:90" s="98" customFormat="1" ht="15.75" x14ac:dyDescent="0.2">
      <c r="A110" s="97"/>
      <c r="B110" s="105" t="str">
        <f t="shared" si="71"/>
        <v>--</v>
      </c>
      <c r="C110" s="276"/>
      <c r="D110" s="101" t="str">
        <f>IFERROR(IF(VLOOKUP(C110,'Data Sheet'!$A$3:$D$26,4,FALSE)=0,"",VLOOKUP(C110,'Data Sheet'!$A$3:$D$26,4,FALSE)),"")</f>
        <v/>
      </c>
      <c r="E110" s="279"/>
      <c r="F110" s="103" t="str">
        <f>IFERROR(IF(VLOOKUP(E110,'Data Sheet'!$C$29:$E$174,3,FALSE)=0,"",VLOOKUP(E110,'Data Sheet'!$C$29:$E$174,3,FALSE)),"")</f>
        <v/>
      </c>
      <c r="G110" s="106" t="str">
        <f t="shared" si="69"/>
        <v>-</v>
      </c>
      <c r="H110" s="273"/>
      <c r="I110" s="107"/>
      <c r="J110" s="249" t="e">
        <f t="shared" si="70"/>
        <v>#VALUE!</v>
      </c>
      <c r="K110" s="101" t="str">
        <f>IFERROR(INDEX('Data Sheet'!$C$198:$C$275,MATCH(I110,'Data Sheet'!$F$198:$F$275,0)),"")</f>
        <v/>
      </c>
      <c r="L110" s="250" t="str">
        <f>IFERROR(INDEX('Data Sheet'!$G$198:$G$275,MATCH(I110,'Data Sheet'!$F$198:$F$275,0)),"")</f>
        <v/>
      </c>
      <c r="M110" s="194"/>
      <c r="N110" s="248"/>
      <c r="O110" s="248"/>
      <c r="P110" s="108" t="str">
        <f>IFERROR(INDEX(Setup!$D$44:$D$70,MATCH(M110,Setup!$K$44:$K$70,0))&amp;"","")</f>
        <v/>
      </c>
      <c r="Q110" s="108" t="str">
        <f>IFERROR(INDEX(Setup!$E$44:$E$70,MATCH(M110,Setup!$K$44:$K$70,0))&amp;"","")</f>
        <v/>
      </c>
      <c r="R110" s="108" t="str">
        <f>IFERROR(INDEX(Setup!$L$44:$L$70,MATCH(M110,Setup!$K$44:$K$70,0))&amp;"","")</f>
        <v/>
      </c>
      <c r="S110" s="108" t="str">
        <f>Setup!$C$30</f>
        <v>USD</v>
      </c>
      <c r="T110" s="109" t="str">
        <f>IFERROR(INDEX('Data Sheet'!$B$198:$B$275,MATCH(I110,'Data Sheet'!$F$198:$F$275,0)),"")</f>
        <v/>
      </c>
      <c r="U110" s="110" t="str">
        <f>IFERROR(INDEX('Data Sheet'!$D$198:$D$275,MATCH(I110,'Data Sheet'!$F$198:$F$275,0)),"")</f>
        <v/>
      </c>
      <c r="V110" s="99"/>
      <c r="W110" s="195" t="str">
        <f>IF(V110=Setup!$C$30,"Grant",IF(V110=Setup!$C$31,"Local",IF(V110=Setup!$C$32,"Other",IF(ISBLANK(V110),"","Other"))))</f>
        <v/>
      </c>
      <c r="X110" s="255"/>
      <c r="Y110" s="259" t="str">
        <f>IF(X110&lt;&gt;"",X110/VLOOKUP($V110,Setup!$C$30:$D$41,2,0),"")</f>
        <v/>
      </c>
      <c r="Z110" s="262"/>
      <c r="AA110" s="256" t="str">
        <f t="shared" si="42"/>
        <v/>
      </c>
      <c r="AB110" s="262"/>
      <c r="AC110" s="258" t="str">
        <f t="shared" si="43"/>
        <v/>
      </c>
      <c r="AD110" s="262"/>
      <c r="AE110" s="258" t="str">
        <f t="shared" si="44"/>
        <v/>
      </c>
      <c r="AF110" s="262"/>
      <c r="AG110" s="256" t="str">
        <f t="shared" si="45"/>
        <v/>
      </c>
      <c r="AH110" s="256" t="str">
        <f t="shared" si="46"/>
        <v/>
      </c>
      <c r="AI110" s="256" t="str">
        <f t="shared" si="47"/>
        <v/>
      </c>
      <c r="AJ110" s="111"/>
      <c r="AK110" s="255"/>
      <c r="AL110" s="259" t="str">
        <f>IF(AK110&lt;&gt;"",AK110/VLOOKUP($V110,Setup!$C$30:$D$41,2,0),"")</f>
        <v/>
      </c>
      <c r="AM110" s="266"/>
      <c r="AN110" s="258" t="str">
        <f t="shared" si="48"/>
        <v/>
      </c>
      <c r="AO110" s="266"/>
      <c r="AP110" s="258" t="str">
        <f t="shared" si="49"/>
        <v/>
      </c>
      <c r="AQ110" s="266"/>
      <c r="AR110" s="258" t="str">
        <f t="shared" si="50"/>
        <v/>
      </c>
      <c r="AS110" s="266"/>
      <c r="AT110" s="256" t="str">
        <f t="shared" si="51"/>
        <v/>
      </c>
      <c r="AU110" s="256" t="str">
        <f t="shared" si="52"/>
        <v/>
      </c>
      <c r="AV110" s="256" t="str">
        <f t="shared" si="53"/>
        <v/>
      </c>
      <c r="AW110" s="267"/>
      <c r="AX110" s="255"/>
      <c r="AY110" s="259" t="str">
        <f>IF(AX110&lt;&gt;"",AX110/VLOOKUP($V110,Setup!$C$30:$D$41,2,0),"")</f>
        <v/>
      </c>
      <c r="AZ110" s="268"/>
      <c r="BA110" s="258" t="str">
        <f t="shared" si="54"/>
        <v/>
      </c>
      <c r="BB110" s="268"/>
      <c r="BC110" s="258" t="str">
        <f t="shared" si="55"/>
        <v/>
      </c>
      <c r="BD110" s="268"/>
      <c r="BE110" s="258" t="str">
        <f t="shared" si="56"/>
        <v/>
      </c>
      <c r="BF110" s="268"/>
      <c r="BG110" s="256" t="str">
        <f t="shared" si="57"/>
        <v/>
      </c>
      <c r="BH110" s="256" t="str">
        <f t="shared" si="58"/>
        <v/>
      </c>
      <c r="BI110" s="256" t="str">
        <f t="shared" si="59"/>
        <v/>
      </c>
      <c r="BJ110" s="267"/>
      <c r="BK110" s="255"/>
      <c r="BL110" s="259" t="str">
        <f>IF(BK110&lt;&gt;"",BK110/VLOOKUP($V110,Setup!$C$30:$D$41,2,0),"")</f>
        <v/>
      </c>
      <c r="BM110" s="268"/>
      <c r="BN110" s="258" t="str">
        <f t="shared" si="60"/>
        <v/>
      </c>
      <c r="BO110" s="268"/>
      <c r="BP110" s="258" t="str">
        <f t="shared" si="61"/>
        <v/>
      </c>
      <c r="BQ110" s="268"/>
      <c r="BR110" s="258" t="str">
        <f t="shared" si="62"/>
        <v/>
      </c>
      <c r="BS110" s="268"/>
      <c r="BT110" s="256" t="str">
        <f t="shared" si="63"/>
        <v/>
      </c>
      <c r="BU110" s="256" t="str">
        <f t="shared" si="64"/>
        <v/>
      </c>
      <c r="BV110" s="256" t="str">
        <f t="shared" si="65"/>
        <v/>
      </c>
      <c r="BW110" s="267"/>
      <c r="BX110" s="256" t="str">
        <f t="shared" si="66"/>
        <v/>
      </c>
      <c r="BY110" s="256" t="str">
        <f t="shared" si="67"/>
        <v/>
      </c>
      <c r="BZ110" s="281"/>
      <c r="CA110" s="282"/>
      <c r="CC110" s="112" t="str">
        <f t="shared" ca="1" si="68"/>
        <v/>
      </c>
      <c r="CF110" s="284"/>
      <c r="CG110" s="284"/>
      <c r="CH110" s="284"/>
      <c r="CI110" s="284"/>
      <c r="CL110" s="356" t="str">
        <f>IFERROR(VLOOKUP(C110,'Data Sheet'!$A$3:$B$26,2,FALSE),"")</f>
        <v/>
      </c>
    </row>
    <row r="111" spans="1:90" s="98" customFormat="1" ht="15.75" x14ac:dyDescent="0.2">
      <c r="A111" s="97"/>
      <c r="B111" s="105" t="str">
        <f t="shared" si="71"/>
        <v>--</v>
      </c>
      <c r="C111" s="276"/>
      <c r="D111" s="101" t="str">
        <f>IFERROR(IF(VLOOKUP(C111,'Data Sheet'!$A$3:$D$26,4,FALSE)=0,"",VLOOKUP(C111,'Data Sheet'!$A$3:$D$26,4,FALSE)),"")</f>
        <v/>
      </c>
      <c r="E111" s="279"/>
      <c r="F111" s="103" t="str">
        <f>IFERROR(IF(VLOOKUP(E111,'Data Sheet'!$C$29:$E$174,3,FALSE)=0,"",VLOOKUP(E111,'Data Sheet'!$C$29:$E$174,3,FALSE)),"")</f>
        <v/>
      </c>
      <c r="G111" s="106" t="str">
        <f t="shared" si="69"/>
        <v>-</v>
      </c>
      <c r="H111" s="273"/>
      <c r="I111" s="107"/>
      <c r="J111" s="249" t="e">
        <f t="shared" si="70"/>
        <v>#VALUE!</v>
      </c>
      <c r="K111" s="101" t="str">
        <f>IFERROR(INDEX('Data Sheet'!$C$198:$C$275,MATCH(I111,'Data Sheet'!$F$198:$F$275,0)),"")</f>
        <v/>
      </c>
      <c r="L111" s="250" t="str">
        <f>IFERROR(INDEX('Data Sheet'!$G$198:$G$275,MATCH(I111,'Data Sheet'!$F$198:$F$275,0)),"")</f>
        <v/>
      </c>
      <c r="M111" s="194"/>
      <c r="N111" s="248"/>
      <c r="O111" s="248"/>
      <c r="P111" s="108" t="str">
        <f>IFERROR(INDEX(Setup!$D$44:$D$70,MATCH(M111,Setup!$K$44:$K$70,0))&amp;"","")</f>
        <v/>
      </c>
      <c r="Q111" s="108" t="str">
        <f>IFERROR(INDEX(Setup!$E$44:$E$70,MATCH(M111,Setup!$K$44:$K$70,0))&amp;"","")</f>
        <v/>
      </c>
      <c r="R111" s="108" t="str">
        <f>IFERROR(INDEX(Setup!$L$44:$L$70,MATCH(M111,Setup!$K$44:$K$70,0))&amp;"","")</f>
        <v/>
      </c>
      <c r="S111" s="108" t="str">
        <f>Setup!$C$30</f>
        <v>USD</v>
      </c>
      <c r="T111" s="109" t="str">
        <f>IFERROR(INDEX('Data Sheet'!$B$198:$B$275,MATCH(I111,'Data Sheet'!$F$198:$F$275,0)),"")</f>
        <v/>
      </c>
      <c r="U111" s="110" t="str">
        <f>IFERROR(INDEX('Data Sheet'!$D$198:$D$275,MATCH(I111,'Data Sheet'!$F$198:$F$275,0)),"")</f>
        <v/>
      </c>
      <c r="V111" s="99"/>
      <c r="W111" s="195" t="str">
        <f>IF(V111=Setup!$C$30,"Grant",IF(V111=Setup!$C$31,"Local",IF(V111=Setup!$C$32,"Other",IF(ISBLANK(V111),"","Other"))))</f>
        <v/>
      </c>
      <c r="X111" s="255"/>
      <c r="Y111" s="259" t="str">
        <f>IF(X111&lt;&gt;"",X111/VLOOKUP($V111,Setup!$C$30:$D$41,2,0),"")</f>
        <v/>
      </c>
      <c r="Z111" s="262"/>
      <c r="AA111" s="256" t="str">
        <f t="shared" si="42"/>
        <v/>
      </c>
      <c r="AB111" s="262"/>
      <c r="AC111" s="258" t="str">
        <f t="shared" si="43"/>
        <v/>
      </c>
      <c r="AD111" s="262"/>
      <c r="AE111" s="258" t="str">
        <f t="shared" si="44"/>
        <v/>
      </c>
      <c r="AF111" s="262"/>
      <c r="AG111" s="256" t="str">
        <f t="shared" si="45"/>
        <v/>
      </c>
      <c r="AH111" s="256" t="str">
        <f t="shared" si="46"/>
        <v/>
      </c>
      <c r="AI111" s="256" t="str">
        <f t="shared" si="47"/>
        <v/>
      </c>
      <c r="AJ111" s="111"/>
      <c r="AK111" s="255"/>
      <c r="AL111" s="259" t="str">
        <f>IF(AK111&lt;&gt;"",AK111/VLOOKUP($V111,Setup!$C$30:$D$41,2,0),"")</f>
        <v/>
      </c>
      <c r="AM111" s="266"/>
      <c r="AN111" s="258" t="str">
        <f t="shared" si="48"/>
        <v/>
      </c>
      <c r="AO111" s="266"/>
      <c r="AP111" s="258" t="str">
        <f t="shared" si="49"/>
        <v/>
      </c>
      <c r="AQ111" s="266"/>
      <c r="AR111" s="258" t="str">
        <f t="shared" si="50"/>
        <v/>
      </c>
      <c r="AS111" s="266"/>
      <c r="AT111" s="256" t="str">
        <f t="shared" si="51"/>
        <v/>
      </c>
      <c r="AU111" s="256" t="str">
        <f t="shared" si="52"/>
        <v/>
      </c>
      <c r="AV111" s="256" t="str">
        <f t="shared" si="53"/>
        <v/>
      </c>
      <c r="AW111" s="267"/>
      <c r="AX111" s="255"/>
      <c r="AY111" s="259" t="str">
        <f>IF(AX111&lt;&gt;"",AX111/VLOOKUP($V111,Setup!$C$30:$D$41,2,0),"")</f>
        <v/>
      </c>
      <c r="AZ111" s="268"/>
      <c r="BA111" s="258" t="str">
        <f t="shared" si="54"/>
        <v/>
      </c>
      <c r="BB111" s="268"/>
      <c r="BC111" s="258" t="str">
        <f t="shared" si="55"/>
        <v/>
      </c>
      <c r="BD111" s="268"/>
      <c r="BE111" s="258" t="str">
        <f t="shared" si="56"/>
        <v/>
      </c>
      <c r="BF111" s="268"/>
      <c r="BG111" s="256" t="str">
        <f t="shared" si="57"/>
        <v/>
      </c>
      <c r="BH111" s="256" t="str">
        <f t="shared" si="58"/>
        <v/>
      </c>
      <c r="BI111" s="256" t="str">
        <f t="shared" si="59"/>
        <v/>
      </c>
      <c r="BJ111" s="267"/>
      <c r="BK111" s="255"/>
      <c r="BL111" s="259" t="str">
        <f>IF(BK111&lt;&gt;"",BK111/VLOOKUP($V111,Setup!$C$30:$D$41,2,0),"")</f>
        <v/>
      </c>
      <c r="BM111" s="268"/>
      <c r="BN111" s="258" t="str">
        <f t="shared" si="60"/>
        <v/>
      </c>
      <c r="BO111" s="268"/>
      <c r="BP111" s="258" t="str">
        <f t="shared" si="61"/>
        <v/>
      </c>
      <c r="BQ111" s="268"/>
      <c r="BR111" s="258" t="str">
        <f t="shared" si="62"/>
        <v/>
      </c>
      <c r="BS111" s="268"/>
      <c r="BT111" s="256" t="str">
        <f t="shared" si="63"/>
        <v/>
      </c>
      <c r="BU111" s="256" t="str">
        <f t="shared" si="64"/>
        <v/>
      </c>
      <c r="BV111" s="256" t="str">
        <f t="shared" si="65"/>
        <v/>
      </c>
      <c r="BW111" s="267"/>
      <c r="BX111" s="256" t="str">
        <f t="shared" si="66"/>
        <v/>
      </c>
      <c r="BY111" s="256" t="str">
        <f t="shared" si="67"/>
        <v/>
      </c>
      <c r="BZ111" s="281"/>
      <c r="CA111" s="282"/>
      <c r="CC111" s="112" t="str">
        <f t="shared" ca="1" si="68"/>
        <v/>
      </c>
      <c r="CF111" s="284"/>
      <c r="CG111" s="284"/>
      <c r="CH111" s="284"/>
      <c r="CI111" s="284"/>
      <c r="CL111" s="356" t="str">
        <f>IFERROR(VLOOKUP(C111,'Data Sheet'!$A$3:$B$26,2,FALSE),"")</f>
        <v/>
      </c>
    </row>
    <row r="112" spans="1:90" s="98" customFormat="1" ht="15.75" x14ac:dyDescent="0.2">
      <c r="A112" s="97"/>
      <c r="B112" s="105" t="str">
        <f t="shared" si="71"/>
        <v>--</v>
      </c>
      <c r="C112" s="276"/>
      <c r="D112" s="101" t="str">
        <f>IFERROR(IF(VLOOKUP(C112,'Data Sheet'!$A$3:$D$26,4,FALSE)=0,"",VLOOKUP(C112,'Data Sheet'!$A$3:$D$26,4,FALSE)),"")</f>
        <v/>
      </c>
      <c r="E112" s="279"/>
      <c r="F112" s="103" t="str">
        <f>IFERROR(IF(VLOOKUP(E112,'Data Sheet'!$C$29:$E$174,3,FALSE)=0,"",VLOOKUP(E112,'Data Sheet'!$C$29:$E$174,3,FALSE)),"")</f>
        <v/>
      </c>
      <c r="G112" s="106" t="str">
        <f t="shared" si="69"/>
        <v>-</v>
      </c>
      <c r="H112" s="273"/>
      <c r="I112" s="107"/>
      <c r="J112" s="249" t="e">
        <f t="shared" si="70"/>
        <v>#VALUE!</v>
      </c>
      <c r="K112" s="101" t="str">
        <f>IFERROR(INDEX('Data Sheet'!$C$198:$C$275,MATCH(I112,'Data Sheet'!$F$198:$F$275,0)),"")</f>
        <v/>
      </c>
      <c r="L112" s="250" t="str">
        <f>IFERROR(INDEX('Data Sheet'!$G$198:$G$275,MATCH(I112,'Data Sheet'!$F$198:$F$275,0)),"")</f>
        <v/>
      </c>
      <c r="M112" s="194"/>
      <c r="N112" s="248"/>
      <c r="O112" s="248"/>
      <c r="P112" s="108" t="str">
        <f>IFERROR(INDEX(Setup!$D$44:$D$70,MATCH(M112,Setup!$K$44:$K$70,0))&amp;"","")</f>
        <v/>
      </c>
      <c r="Q112" s="108" t="str">
        <f>IFERROR(INDEX(Setup!$E$44:$E$70,MATCH(M112,Setup!$K$44:$K$70,0))&amp;"","")</f>
        <v/>
      </c>
      <c r="R112" s="108" t="str">
        <f>IFERROR(INDEX(Setup!$L$44:$L$70,MATCH(M112,Setup!$K$44:$K$70,0))&amp;"","")</f>
        <v/>
      </c>
      <c r="S112" s="108" t="str">
        <f>Setup!$C$30</f>
        <v>USD</v>
      </c>
      <c r="T112" s="109" t="str">
        <f>IFERROR(INDEX('Data Sheet'!$B$198:$B$275,MATCH(I112,'Data Sheet'!$F$198:$F$275,0)),"")</f>
        <v/>
      </c>
      <c r="U112" s="110" t="str">
        <f>IFERROR(INDEX('Data Sheet'!$D$198:$D$275,MATCH(I112,'Data Sheet'!$F$198:$F$275,0)),"")</f>
        <v/>
      </c>
      <c r="V112" s="99"/>
      <c r="W112" s="195" t="str">
        <f>IF(V112=Setup!$C$30,"Grant",IF(V112=Setup!$C$31,"Local",IF(V112=Setup!$C$32,"Other",IF(ISBLANK(V112),"","Other"))))</f>
        <v/>
      </c>
      <c r="X112" s="255"/>
      <c r="Y112" s="259" t="str">
        <f>IF(X112&lt;&gt;"",X112/VLOOKUP($V112,Setup!$C$30:$D$41,2,0),"")</f>
        <v/>
      </c>
      <c r="Z112" s="262"/>
      <c r="AA112" s="256" t="str">
        <f t="shared" si="42"/>
        <v/>
      </c>
      <c r="AB112" s="262"/>
      <c r="AC112" s="258" t="str">
        <f t="shared" si="43"/>
        <v/>
      </c>
      <c r="AD112" s="262"/>
      <c r="AE112" s="258" t="str">
        <f t="shared" si="44"/>
        <v/>
      </c>
      <c r="AF112" s="262"/>
      <c r="AG112" s="256" t="str">
        <f t="shared" si="45"/>
        <v/>
      </c>
      <c r="AH112" s="256" t="str">
        <f t="shared" si="46"/>
        <v/>
      </c>
      <c r="AI112" s="256" t="str">
        <f t="shared" si="47"/>
        <v/>
      </c>
      <c r="AJ112" s="111"/>
      <c r="AK112" s="255"/>
      <c r="AL112" s="259" t="str">
        <f>IF(AK112&lt;&gt;"",AK112/VLOOKUP($V112,Setup!$C$30:$D$41,2,0),"")</f>
        <v/>
      </c>
      <c r="AM112" s="266"/>
      <c r="AN112" s="258" t="str">
        <f t="shared" si="48"/>
        <v/>
      </c>
      <c r="AO112" s="266"/>
      <c r="AP112" s="258" t="str">
        <f t="shared" si="49"/>
        <v/>
      </c>
      <c r="AQ112" s="266"/>
      <c r="AR112" s="258" t="str">
        <f t="shared" si="50"/>
        <v/>
      </c>
      <c r="AS112" s="266"/>
      <c r="AT112" s="256" t="str">
        <f t="shared" si="51"/>
        <v/>
      </c>
      <c r="AU112" s="256" t="str">
        <f t="shared" si="52"/>
        <v/>
      </c>
      <c r="AV112" s="256" t="str">
        <f t="shared" si="53"/>
        <v/>
      </c>
      <c r="AW112" s="267"/>
      <c r="AX112" s="255"/>
      <c r="AY112" s="259" t="str">
        <f>IF(AX112&lt;&gt;"",AX112/VLOOKUP($V112,Setup!$C$30:$D$41,2,0),"")</f>
        <v/>
      </c>
      <c r="AZ112" s="268"/>
      <c r="BA112" s="258" t="str">
        <f t="shared" si="54"/>
        <v/>
      </c>
      <c r="BB112" s="268"/>
      <c r="BC112" s="258" t="str">
        <f t="shared" si="55"/>
        <v/>
      </c>
      <c r="BD112" s="268"/>
      <c r="BE112" s="258" t="str">
        <f t="shared" si="56"/>
        <v/>
      </c>
      <c r="BF112" s="268"/>
      <c r="BG112" s="256" t="str">
        <f t="shared" si="57"/>
        <v/>
      </c>
      <c r="BH112" s="256" t="str">
        <f t="shared" si="58"/>
        <v/>
      </c>
      <c r="BI112" s="256" t="str">
        <f t="shared" si="59"/>
        <v/>
      </c>
      <c r="BJ112" s="267"/>
      <c r="BK112" s="255"/>
      <c r="BL112" s="259" t="str">
        <f>IF(BK112&lt;&gt;"",BK112/VLOOKUP($V112,Setup!$C$30:$D$41,2,0),"")</f>
        <v/>
      </c>
      <c r="BM112" s="268"/>
      <c r="BN112" s="258" t="str">
        <f t="shared" si="60"/>
        <v/>
      </c>
      <c r="BO112" s="268"/>
      <c r="BP112" s="258" t="str">
        <f t="shared" si="61"/>
        <v/>
      </c>
      <c r="BQ112" s="268"/>
      <c r="BR112" s="258" t="str">
        <f t="shared" si="62"/>
        <v/>
      </c>
      <c r="BS112" s="268"/>
      <c r="BT112" s="256" t="str">
        <f t="shared" si="63"/>
        <v/>
      </c>
      <c r="BU112" s="256" t="str">
        <f t="shared" si="64"/>
        <v/>
      </c>
      <c r="BV112" s="256" t="str">
        <f t="shared" si="65"/>
        <v/>
      </c>
      <c r="BW112" s="267"/>
      <c r="BX112" s="256" t="str">
        <f t="shared" si="66"/>
        <v/>
      </c>
      <c r="BY112" s="256" t="str">
        <f t="shared" si="67"/>
        <v/>
      </c>
      <c r="BZ112" s="281"/>
      <c r="CA112" s="282"/>
      <c r="CC112" s="112" t="str">
        <f t="shared" ca="1" si="68"/>
        <v/>
      </c>
      <c r="CF112" s="284"/>
      <c r="CG112" s="284"/>
      <c r="CH112" s="284"/>
      <c r="CI112" s="284"/>
      <c r="CL112" s="356" t="str">
        <f>IFERROR(VLOOKUP(C112,'Data Sheet'!$A$3:$B$26,2,FALSE),"")</f>
        <v/>
      </c>
    </row>
    <row r="113" spans="1:90" s="98" customFormat="1" ht="15.75" x14ac:dyDescent="0.2">
      <c r="A113" s="97"/>
      <c r="B113" s="105" t="str">
        <f t="shared" si="71"/>
        <v>--</v>
      </c>
      <c r="C113" s="276"/>
      <c r="D113" s="101" t="str">
        <f>IFERROR(IF(VLOOKUP(C113,'Data Sheet'!$A$3:$D$26,4,FALSE)=0,"",VLOOKUP(C113,'Data Sheet'!$A$3:$D$26,4,FALSE)),"")</f>
        <v/>
      </c>
      <c r="E113" s="279"/>
      <c r="F113" s="103" t="str">
        <f>IFERROR(IF(VLOOKUP(E113,'Data Sheet'!$C$29:$E$174,3,FALSE)=0,"",VLOOKUP(E113,'Data Sheet'!$C$29:$E$174,3,FALSE)),"")</f>
        <v/>
      </c>
      <c r="G113" s="106" t="str">
        <f t="shared" si="69"/>
        <v>-</v>
      </c>
      <c r="H113" s="273"/>
      <c r="I113" s="107"/>
      <c r="J113" s="249" t="e">
        <f t="shared" si="70"/>
        <v>#VALUE!</v>
      </c>
      <c r="K113" s="101" t="str">
        <f>IFERROR(INDEX('Data Sheet'!$C$198:$C$275,MATCH(I113,'Data Sheet'!$F$198:$F$275,0)),"")</f>
        <v/>
      </c>
      <c r="L113" s="250" t="str">
        <f>IFERROR(INDEX('Data Sheet'!$G$198:$G$275,MATCH(I113,'Data Sheet'!$F$198:$F$275,0)),"")</f>
        <v/>
      </c>
      <c r="M113" s="194"/>
      <c r="N113" s="248"/>
      <c r="O113" s="248"/>
      <c r="P113" s="108" t="str">
        <f>IFERROR(INDEX(Setup!$D$44:$D$70,MATCH(M113,Setup!$K$44:$K$70,0))&amp;"","")</f>
        <v/>
      </c>
      <c r="Q113" s="108" t="str">
        <f>IFERROR(INDEX(Setup!$E$44:$E$70,MATCH(M113,Setup!$K$44:$K$70,0))&amp;"","")</f>
        <v/>
      </c>
      <c r="R113" s="108" t="str">
        <f>IFERROR(INDEX(Setup!$L$44:$L$70,MATCH(M113,Setup!$K$44:$K$70,0))&amp;"","")</f>
        <v/>
      </c>
      <c r="S113" s="108" t="str">
        <f>Setup!$C$30</f>
        <v>USD</v>
      </c>
      <c r="T113" s="109" t="str">
        <f>IFERROR(INDEX('Data Sheet'!$B$198:$B$275,MATCH(I113,'Data Sheet'!$F$198:$F$275,0)),"")</f>
        <v/>
      </c>
      <c r="U113" s="110" t="str">
        <f>IFERROR(INDEX('Data Sheet'!$D$198:$D$275,MATCH(I113,'Data Sheet'!$F$198:$F$275,0)),"")</f>
        <v/>
      </c>
      <c r="V113" s="99"/>
      <c r="W113" s="195" t="str">
        <f>IF(V113=Setup!$C$30,"Grant",IF(V113=Setup!$C$31,"Local",IF(V113=Setup!$C$32,"Other",IF(ISBLANK(V113),"","Other"))))</f>
        <v/>
      </c>
      <c r="X113" s="255"/>
      <c r="Y113" s="259" t="str">
        <f>IF(X113&lt;&gt;"",X113/VLOOKUP($V113,Setup!$C$30:$D$41,2,0),"")</f>
        <v/>
      </c>
      <c r="Z113" s="262"/>
      <c r="AA113" s="256" t="str">
        <f t="shared" si="42"/>
        <v/>
      </c>
      <c r="AB113" s="262"/>
      <c r="AC113" s="258" t="str">
        <f t="shared" si="43"/>
        <v/>
      </c>
      <c r="AD113" s="262"/>
      <c r="AE113" s="258" t="str">
        <f t="shared" si="44"/>
        <v/>
      </c>
      <c r="AF113" s="262"/>
      <c r="AG113" s="256" t="str">
        <f t="shared" si="45"/>
        <v/>
      </c>
      <c r="AH113" s="256" t="str">
        <f t="shared" si="46"/>
        <v/>
      </c>
      <c r="AI113" s="256" t="str">
        <f t="shared" si="47"/>
        <v/>
      </c>
      <c r="AJ113" s="111"/>
      <c r="AK113" s="255"/>
      <c r="AL113" s="259" t="str">
        <f>IF(AK113&lt;&gt;"",AK113/VLOOKUP($V113,Setup!$C$30:$D$41,2,0),"")</f>
        <v/>
      </c>
      <c r="AM113" s="266"/>
      <c r="AN113" s="258" t="str">
        <f t="shared" si="48"/>
        <v/>
      </c>
      <c r="AO113" s="266"/>
      <c r="AP113" s="258" t="str">
        <f t="shared" si="49"/>
        <v/>
      </c>
      <c r="AQ113" s="266"/>
      <c r="AR113" s="258" t="str">
        <f t="shared" si="50"/>
        <v/>
      </c>
      <c r="AS113" s="266"/>
      <c r="AT113" s="256" t="str">
        <f t="shared" si="51"/>
        <v/>
      </c>
      <c r="AU113" s="256" t="str">
        <f t="shared" si="52"/>
        <v/>
      </c>
      <c r="AV113" s="256" t="str">
        <f t="shared" si="53"/>
        <v/>
      </c>
      <c r="AW113" s="267"/>
      <c r="AX113" s="255"/>
      <c r="AY113" s="259" t="str">
        <f>IF(AX113&lt;&gt;"",AX113/VLOOKUP($V113,Setup!$C$30:$D$41,2,0),"")</f>
        <v/>
      </c>
      <c r="AZ113" s="268"/>
      <c r="BA113" s="258" t="str">
        <f t="shared" si="54"/>
        <v/>
      </c>
      <c r="BB113" s="268"/>
      <c r="BC113" s="258" t="str">
        <f t="shared" si="55"/>
        <v/>
      </c>
      <c r="BD113" s="268"/>
      <c r="BE113" s="258" t="str">
        <f t="shared" si="56"/>
        <v/>
      </c>
      <c r="BF113" s="268"/>
      <c r="BG113" s="256" t="str">
        <f t="shared" si="57"/>
        <v/>
      </c>
      <c r="BH113" s="256" t="str">
        <f t="shared" si="58"/>
        <v/>
      </c>
      <c r="BI113" s="256" t="str">
        <f t="shared" si="59"/>
        <v/>
      </c>
      <c r="BJ113" s="267"/>
      <c r="BK113" s="255"/>
      <c r="BL113" s="259" t="str">
        <f>IF(BK113&lt;&gt;"",BK113/VLOOKUP($V113,Setup!$C$30:$D$41,2,0),"")</f>
        <v/>
      </c>
      <c r="BM113" s="268"/>
      <c r="BN113" s="258" t="str">
        <f t="shared" si="60"/>
        <v/>
      </c>
      <c r="BO113" s="268"/>
      <c r="BP113" s="258" t="str">
        <f t="shared" si="61"/>
        <v/>
      </c>
      <c r="BQ113" s="268"/>
      <c r="BR113" s="258" t="str">
        <f t="shared" si="62"/>
        <v/>
      </c>
      <c r="BS113" s="268"/>
      <c r="BT113" s="256" t="str">
        <f t="shared" si="63"/>
        <v/>
      </c>
      <c r="BU113" s="256" t="str">
        <f t="shared" si="64"/>
        <v/>
      </c>
      <c r="BV113" s="256" t="str">
        <f t="shared" si="65"/>
        <v/>
      </c>
      <c r="BW113" s="267"/>
      <c r="BX113" s="256" t="str">
        <f t="shared" si="66"/>
        <v/>
      </c>
      <c r="BY113" s="256" t="str">
        <f t="shared" si="67"/>
        <v/>
      </c>
      <c r="BZ113" s="281"/>
      <c r="CA113" s="282"/>
      <c r="CC113" s="112" t="str">
        <f t="shared" ca="1" si="68"/>
        <v/>
      </c>
      <c r="CF113" s="284"/>
      <c r="CG113" s="284"/>
      <c r="CH113" s="284"/>
      <c r="CI113" s="284"/>
      <c r="CL113" s="356" t="str">
        <f>IFERROR(VLOOKUP(C113,'Data Sheet'!$A$3:$B$26,2,FALSE),"")</f>
        <v/>
      </c>
    </row>
    <row r="114" spans="1:90" s="98" customFormat="1" ht="15.75" x14ac:dyDescent="0.2">
      <c r="A114" s="97"/>
      <c r="B114" s="105" t="str">
        <f t="shared" si="71"/>
        <v>--</v>
      </c>
      <c r="C114" s="276"/>
      <c r="D114" s="101" t="str">
        <f>IFERROR(IF(VLOOKUP(C114,'Data Sheet'!$A$3:$D$26,4,FALSE)=0,"",VLOOKUP(C114,'Data Sheet'!$A$3:$D$26,4,FALSE)),"")</f>
        <v/>
      </c>
      <c r="E114" s="279"/>
      <c r="F114" s="103" t="str">
        <f>IFERROR(IF(VLOOKUP(E114,'Data Sheet'!$C$29:$E$174,3,FALSE)=0,"",VLOOKUP(E114,'Data Sheet'!$C$29:$E$174,3,FALSE)),"")</f>
        <v/>
      </c>
      <c r="G114" s="106" t="str">
        <f t="shared" si="69"/>
        <v>-</v>
      </c>
      <c r="H114" s="273"/>
      <c r="I114" s="107"/>
      <c r="J114" s="249" t="e">
        <f t="shared" si="70"/>
        <v>#VALUE!</v>
      </c>
      <c r="K114" s="101" t="str">
        <f>IFERROR(INDEX('Data Sheet'!$C$198:$C$275,MATCH(I114,'Data Sheet'!$F$198:$F$275,0)),"")</f>
        <v/>
      </c>
      <c r="L114" s="250" t="str">
        <f>IFERROR(INDEX('Data Sheet'!$G$198:$G$275,MATCH(I114,'Data Sheet'!$F$198:$F$275,0)),"")</f>
        <v/>
      </c>
      <c r="M114" s="194"/>
      <c r="N114" s="248"/>
      <c r="O114" s="248"/>
      <c r="P114" s="108" t="str">
        <f>IFERROR(INDEX(Setup!$D$44:$D$70,MATCH(M114,Setup!$K$44:$K$70,0))&amp;"","")</f>
        <v/>
      </c>
      <c r="Q114" s="108" t="str">
        <f>IFERROR(INDEX(Setup!$E$44:$E$70,MATCH(M114,Setup!$K$44:$K$70,0))&amp;"","")</f>
        <v/>
      </c>
      <c r="R114" s="108" t="str">
        <f>IFERROR(INDEX(Setup!$L$44:$L$70,MATCH(M114,Setup!$K$44:$K$70,0))&amp;"","")</f>
        <v/>
      </c>
      <c r="S114" s="108" t="str">
        <f>Setup!$C$30</f>
        <v>USD</v>
      </c>
      <c r="T114" s="109" t="str">
        <f>IFERROR(INDEX('Data Sheet'!$B$198:$B$275,MATCH(I114,'Data Sheet'!$F$198:$F$275,0)),"")</f>
        <v/>
      </c>
      <c r="U114" s="110" t="str">
        <f>IFERROR(INDEX('Data Sheet'!$D$198:$D$275,MATCH(I114,'Data Sheet'!$F$198:$F$275,0)),"")</f>
        <v/>
      </c>
      <c r="V114" s="99"/>
      <c r="W114" s="195" t="str">
        <f>IF(V114=Setup!$C$30,"Grant",IF(V114=Setup!$C$31,"Local",IF(V114=Setup!$C$32,"Other",IF(ISBLANK(V114),"","Other"))))</f>
        <v/>
      </c>
      <c r="X114" s="255"/>
      <c r="Y114" s="259" t="str">
        <f>IF(X114&lt;&gt;"",X114/VLOOKUP($V114,Setup!$C$30:$D$41,2,0),"")</f>
        <v/>
      </c>
      <c r="Z114" s="262"/>
      <c r="AA114" s="256" t="str">
        <f t="shared" si="42"/>
        <v/>
      </c>
      <c r="AB114" s="262"/>
      <c r="AC114" s="258" t="str">
        <f t="shared" si="43"/>
        <v/>
      </c>
      <c r="AD114" s="262"/>
      <c r="AE114" s="258" t="str">
        <f t="shared" si="44"/>
        <v/>
      </c>
      <c r="AF114" s="262"/>
      <c r="AG114" s="256" t="str">
        <f t="shared" si="45"/>
        <v/>
      </c>
      <c r="AH114" s="256" t="str">
        <f t="shared" si="46"/>
        <v/>
      </c>
      <c r="AI114" s="256" t="str">
        <f t="shared" si="47"/>
        <v/>
      </c>
      <c r="AJ114" s="111"/>
      <c r="AK114" s="255"/>
      <c r="AL114" s="259" t="str">
        <f>IF(AK114&lt;&gt;"",AK114/VLOOKUP($V114,Setup!$C$30:$D$41,2,0),"")</f>
        <v/>
      </c>
      <c r="AM114" s="266"/>
      <c r="AN114" s="258" t="str">
        <f t="shared" si="48"/>
        <v/>
      </c>
      <c r="AO114" s="266"/>
      <c r="AP114" s="258" t="str">
        <f t="shared" si="49"/>
        <v/>
      </c>
      <c r="AQ114" s="266"/>
      <c r="AR114" s="258" t="str">
        <f t="shared" si="50"/>
        <v/>
      </c>
      <c r="AS114" s="266"/>
      <c r="AT114" s="256" t="str">
        <f t="shared" si="51"/>
        <v/>
      </c>
      <c r="AU114" s="256" t="str">
        <f t="shared" si="52"/>
        <v/>
      </c>
      <c r="AV114" s="256" t="str">
        <f t="shared" si="53"/>
        <v/>
      </c>
      <c r="AW114" s="267"/>
      <c r="AX114" s="255"/>
      <c r="AY114" s="259" t="str">
        <f>IF(AX114&lt;&gt;"",AX114/VLOOKUP($V114,Setup!$C$30:$D$41,2,0),"")</f>
        <v/>
      </c>
      <c r="AZ114" s="268"/>
      <c r="BA114" s="258" t="str">
        <f t="shared" si="54"/>
        <v/>
      </c>
      <c r="BB114" s="268"/>
      <c r="BC114" s="258" t="str">
        <f t="shared" si="55"/>
        <v/>
      </c>
      <c r="BD114" s="268"/>
      <c r="BE114" s="258" t="str">
        <f t="shared" si="56"/>
        <v/>
      </c>
      <c r="BF114" s="268"/>
      <c r="BG114" s="256" t="str">
        <f t="shared" si="57"/>
        <v/>
      </c>
      <c r="BH114" s="256" t="str">
        <f t="shared" si="58"/>
        <v/>
      </c>
      <c r="BI114" s="256" t="str">
        <f t="shared" si="59"/>
        <v/>
      </c>
      <c r="BJ114" s="267"/>
      <c r="BK114" s="255"/>
      <c r="BL114" s="259" t="str">
        <f>IF(BK114&lt;&gt;"",BK114/VLOOKUP($V114,Setup!$C$30:$D$41,2,0),"")</f>
        <v/>
      </c>
      <c r="BM114" s="268"/>
      <c r="BN114" s="258" t="str">
        <f t="shared" si="60"/>
        <v/>
      </c>
      <c r="BO114" s="268"/>
      <c r="BP114" s="258" t="str">
        <f t="shared" si="61"/>
        <v/>
      </c>
      <c r="BQ114" s="268"/>
      <c r="BR114" s="258" t="str">
        <f t="shared" si="62"/>
        <v/>
      </c>
      <c r="BS114" s="268"/>
      <c r="BT114" s="256" t="str">
        <f t="shared" si="63"/>
        <v/>
      </c>
      <c r="BU114" s="256" t="str">
        <f t="shared" si="64"/>
        <v/>
      </c>
      <c r="BV114" s="256" t="str">
        <f t="shared" si="65"/>
        <v/>
      </c>
      <c r="BW114" s="267"/>
      <c r="BX114" s="256" t="str">
        <f t="shared" si="66"/>
        <v/>
      </c>
      <c r="BY114" s="256" t="str">
        <f t="shared" si="67"/>
        <v/>
      </c>
      <c r="BZ114" s="281"/>
      <c r="CA114" s="282"/>
      <c r="CC114" s="112" t="str">
        <f t="shared" ca="1" si="68"/>
        <v/>
      </c>
      <c r="CF114" s="284"/>
      <c r="CG114" s="284"/>
      <c r="CH114" s="284"/>
      <c r="CI114" s="284"/>
      <c r="CL114" s="356" t="str">
        <f>IFERROR(VLOOKUP(C114,'Data Sheet'!$A$3:$B$26,2,FALSE),"")</f>
        <v/>
      </c>
    </row>
    <row r="115" spans="1:90" s="98" customFormat="1" ht="15.75" x14ac:dyDescent="0.2">
      <c r="A115" s="97"/>
      <c r="B115" s="105" t="str">
        <f t="shared" si="71"/>
        <v>--</v>
      </c>
      <c r="C115" s="276"/>
      <c r="D115" s="101" t="str">
        <f>IFERROR(IF(VLOOKUP(C115,'Data Sheet'!$A$3:$D$26,4,FALSE)=0,"",VLOOKUP(C115,'Data Sheet'!$A$3:$D$26,4,FALSE)),"")</f>
        <v/>
      </c>
      <c r="E115" s="279"/>
      <c r="F115" s="103" t="str">
        <f>IFERROR(IF(VLOOKUP(E115,'Data Sheet'!$C$29:$E$174,3,FALSE)=0,"",VLOOKUP(E115,'Data Sheet'!$C$29:$E$174,3,FALSE)),"")</f>
        <v/>
      </c>
      <c r="G115" s="106" t="str">
        <f t="shared" si="69"/>
        <v>-</v>
      </c>
      <c r="H115" s="273"/>
      <c r="I115" s="107"/>
      <c r="J115" s="249" t="e">
        <f t="shared" si="70"/>
        <v>#VALUE!</v>
      </c>
      <c r="K115" s="101" t="str">
        <f>IFERROR(INDEX('Data Sheet'!$C$198:$C$275,MATCH(I115,'Data Sheet'!$F$198:$F$275,0)),"")</f>
        <v/>
      </c>
      <c r="L115" s="250" t="str">
        <f>IFERROR(INDEX('Data Sheet'!$G$198:$G$275,MATCH(I115,'Data Sheet'!$F$198:$F$275,0)),"")</f>
        <v/>
      </c>
      <c r="M115" s="194"/>
      <c r="N115" s="248"/>
      <c r="O115" s="248"/>
      <c r="P115" s="108" t="str">
        <f>IFERROR(INDEX(Setup!$D$44:$D$70,MATCH(M115,Setup!$K$44:$K$70,0))&amp;"","")</f>
        <v/>
      </c>
      <c r="Q115" s="108" t="str">
        <f>IFERROR(INDEX(Setup!$E$44:$E$70,MATCH(M115,Setup!$K$44:$K$70,0))&amp;"","")</f>
        <v/>
      </c>
      <c r="R115" s="108" t="str">
        <f>IFERROR(INDEX(Setup!$L$44:$L$70,MATCH(M115,Setup!$K$44:$K$70,0))&amp;"","")</f>
        <v/>
      </c>
      <c r="S115" s="108" t="str">
        <f>Setup!$C$30</f>
        <v>USD</v>
      </c>
      <c r="T115" s="109" t="str">
        <f>IFERROR(INDEX('Data Sheet'!$B$198:$B$275,MATCH(I115,'Data Sheet'!$F$198:$F$275,0)),"")</f>
        <v/>
      </c>
      <c r="U115" s="110" t="str">
        <f>IFERROR(INDEX('Data Sheet'!$D$198:$D$275,MATCH(I115,'Data Sheet'!$F$198:$F$275,0)),"")</f>
        <v/>
      </c>
      <c r="V115" s="99"/>
      <c r="W115" s="195" t="str">
        <f>IF(V115=Setup!$C$30,"Grant",IF(V115=Setup!$C$31,"Local",IF(V115=Setup!$C$32,"Other",IF(ISBLANK(V115),"","Other"))))</f>
        <v/>
      </c>
      <c r="X115" s="255"/>
      <c r="Y115" s="259" t="str">
        <f>IF(X115&lt;&gt;"",X115/VLOOKUP($V115,Setup!$C$30:$D$41,2,0),"")</f>
        <v/>
      </c>
      <c r="Z115" s="262"/>
      <c r="AA115" s="256" t="str">
        <f t="shared" si="42"/>
        <v/>
      </c>
      <c r="AB115" s="262"/>
      <c r="AC115" s="258" t="str">
        <f t="shared" si="43"/>
        <v/>
      </c>
      <c r="AD115" s="262"/>
      <c r="AE115" s="258" t="str">
        <f t="shared" si="44"/>
        <v/>
      </c>
      <c r="AF115" s="262"/>
      <c r="AG115" s="256" t="str">
        <f t="shared" si="45"/>
        <v/>
      </c>
      <c r="AH115" s="256" t="str">
        <f t="shared" si="46"/>
        <v/>
      </c>
      <c r="AI115" s="256" t="str">
        <f t="shared" si="47"/>
        <v/>
      </c>
      <c r="AJ115" s="111"/>
      <c r="AK115" s="255"/>
      <c r="AL115" s="259" t="str">
        <f>IF(AK115&lt;&gt;"",AK115/VLOOKUP($V115,Setup!$C$30:$D$41,2,0),"")</f>
        <v/>
      </c>
      <c r="AM115" s="266"/>
      <c r="AN115" s="258" t="str">
        <f t="shared" si="48"/>
        <v/>
      </c>
      <c r="AO115" s="266"/>
      <c r="AP115" s="258" t="str">
        <f t="shared" si="49"/>
        <v/>
      </c>
      <c r="AQ115" s="266"/>
      <c r="AR115" s="258" t="str">
        <f t="shared" si="50"/>
        <v/>
      </c>
      <c r="AS115" s="266"/>
      <c r="AT115" s="256" t="str">
        <f t="shared" si="51"/>
        <v/>
      </c>
      <c r="AU115" s="256" t="str">
        <f t="shared" si="52"/>
        <v/>
      </c>
      <c r="AV115" s="256" t="str">
        <f t="shared" si="53"/>
        <v/>
      </c>
      <c r="AW115" s="267"/>
      <c r="AX115" s="255"/>
      <c r="AY115" s="259" t="str">
        <f>IF(AX115&lt;&gt;"",AX115/VLOOKUP($V115,Setup!$C$30:$D$41,2,0),"")</f>
        <v/>
      </c>
      <c r="AZ115" s="268"/>
      <c r="BA115" s="258" t="str">
        <f t="shared" si="54"/>
        <v/>
      </c>
      <c r="BB115" s="268"/>
      <c r="BC115" s="258" t="str">
        <f t="shared" si="55"/>
        <v/>
      </c>
      <c r="BD115" s="268"/>
      <c r="BE115" s="258" t="str">
        <f t="shared" si="56"/>
        <v/>
      </c>
      <c r="BF115" s="268"/>
      <c r="BG115" s="256" t="str">
        <f t="shared" si="57"/>
        <v/>
      </c>
      <c r="BH115" s="256" t="str">
        <f t="shared" si="58"/>
        <v/>
      </c>
      <c r="BI115" s="256" t="str">
        <f t="shared" si="59"/>
        <v/>
      </c>
      <c r="BJ115" s="267"/>
      <c r="BK115" s="255"/>
      <c r="BL115" s="259" t="str">
        <f>IF(BK115&lt;&gt;"",BK115/VLOOKUP($V115,Setup!$C$30:$D$41,2,0),"")</f>
        <v/>
      </c>
      <c r="BM115" s="268"/>
      <c r="BN115" s="258" t="str">
        <f t="shared" si="60"/>
        <v/>
      </c>
      <c r="BO115" s="268"/>
      <c r="BP115" s="258" t="str">
        <f t="shared" si="61"/>
        <v/>
      </c>
      <c r="BQ115" s="268"/>
      <c r="BR115" s="258" t="str">
        <f t="shared" si="62"/>
        <v/>
      </c>
      <c r="BS115" s="268"/>
      <c r="BT115" s="256" t="str">
        <f t="shared" si="63"/>
        <v/>
      </c>
      <c r="BU115" s="256" t="str">
        <f t="shared" si="64"/>
        <v/>
      </c>
      <c r="BV115" s="256" t="str">
        <f t="shared" si="65"/>
        <v/>
      </c>
      <c r="BW115" s="267"/>
      <c r="BX115" s="256" t="str">
        <f t="shared" si="66"/>
        <v/>
      </c>
      <c r="BY115" s="256" t="str">
        <f t="shared" si="67"/>
        <v/>
      </c>
      <c r="BZ115" s="281"/>
      <c r="CA115" s="282"/>
      <c r="CC115" s="112" t="str">
        <f t="shared" ca="1" si="68"/>
        <v/>
      </c>
      <c r="CF115" s="284"/>
      <c r="CG115" s="284"/>
      <c r="CH115" s="284"/>
      <c r="CI115" s="284"/>
      <c r="CL115" s="356" t="str">
        <f>IFERROR(VLOOKUP(C115,'Data Sheet'!$A$3:$B$26,2,FALSE),"")</f>
        <v/>
      </c>
    </row>
    <row r="116" spans="1:90" s="98" customFormat="1" ht="15.75" x14ac:dyDescent="0.2">
      <c r="A116" s="97"/>
      <c r="B116" s="105" t="str">
        <f t="shared" si="71"/>
        <v>--</v>
      </c>
      <c r="C116" s="276"/>
      <c r="D116" s="101" t="str">
        <f>IFERROR(IF(VLOOKUP(C116,'Data Sheet'!$A$3:$D$26,4,FALSE)=0,"",VLOOKUP(C116,'Data Sheet'!$A$3:$D$26,4,FALSE)),"")</f>
        <v/>
      </c>
      <c r="E116" s="279"/>
      <c r="F116" s="103" t="str">
        <f>IFERROR(IF(VLOOKUP(E116,'Data Sheet'!$C$29:$E$174,3,FALSE)=0,"",VLOOKUP(E116,'Data Sheet'!$C$29:$E$174,3,FALSE)),"")</f>
        <v/>
      </c>
      <c r="G116" s="106" t="str">
        <f t="shared" si="69"/>
        <v>-</v>
      </c>
      <c r="H116" s="273"/>
      <c r="I116" s="107"/>
      <c r="J116" s="249" t="e">
        <f t="shared" si="70"/>
        <v>#VALUE!</v>
      </c>
      <c r="K116" s="101" t="str">
        <f>IFERROR(INDEX('Data Sheet'!$C$198:$C$275,MATCH(I116,'Data Sheet'!$F$198:$F$275,0)),"")</f>
        <v/>
      </c>
      <c r="L116" s="250" t="str">
        <f>IFERROR(INDEX('Data Sheet'!$G$198:$G$275,MATCH(I116,'Data Sheet'!$F$198:$F$275,0)),"")</f>
        <v/>
      </c>
      <c r="M116" s="194"/>
      <c r="N116" s="248"/>
      <c r="O116" s="248"/>
      <c r="P116" s="108" t="str">
        <f>IFERROR(INDEX(Setup!$D$44:$D$70,MATCH(M116,Setup!$K$44:$K$70,0))&amp;"","")</f>
        <v/>
      </c>
      <c r="Q116" s="108" t="str">
        <f>IFERROR(INDEX(Setup!$E$44:$E$70,MATCH(M116,Setup!$K$44:$K$70,0))&amp;"","")</f>
        <v/>
      </c>
      <c r="R116" s="108" t="str">
        <f>IFERROR(INDEX(Setup!$L$44:$L$70,MATCH(M116,Setup!$K$44:$K$70,0))&amp;"","")</f>
        <v/>
      </c>
      <c r="S116" s="108" t="str">
        <f>Setup!$C$30</f>
        <v>USD</v>
      </c>
      <c r="T116" s="109" t="str">
        <f>IFERROR(INDEX('Data Sheet'!$B$198:$B$275,MATCH(I116,'Data Sheet'!$F$198:$F$275,0)),"")</f>
        <v/>
      </c>
      <c r="U116" s="110" t="str">
        <f>IFERROR(INDEX('Data Sheet'!$D$198:$D$275,MATCH(I116,'Data Sheet'!$F$198:$F$275,0)),"")</f>
        <v/>
      </c>
      <c r="V116" s="99"/>
      <c r="W116" s="195" t="str">
        <f>IF(V116=Setup!$C$30,"Grant",IF(V116=Setup!$C$31,"Local",IF(V116=Setup!$C$32,"Other",IF(ISBLANK(V116),"","Other"))))</f>
        <v/>
      </c>
      <c r="X116" s="255"/>
      <c r="Y116" s="259" t="str">
        <f>IF(X116&lt;&gt;"",X116/VLOOKUP($V116,Setup!$C$30:$D$41,2,0),"")</f>
        <v/>
      </c>
      <c r="Z116" s="262"/>
      <c r="AA116" s="256" t="str">
        <f t="shared" si="42"/>
        <v/>
      </c>
      <c r="AB116" s="262"/>
      <c r="AC116" s="258" t="str">
        <f t="shared" si="43"/>
        <v/>
      </c>
      <c r="AD116" s="262"/>
      <c r="AE116" s="258" t="str">
        <f t="shared" si="44"/>
        <v/>
      </c>
      <c r="AF116" s="262"/>
      <c r="AG116" s="256" t="str">
        <f t="shared" si="45"/>
        <v/>
      </c>
      <c r="AH116" s="256" t="str">
        <f t="shared" si="46"/>
        <v/>
      </c>
      <c r="AI116" s="256" t="str">
        <f t="shared" si="47"/>
        <v/>
      </c>
      <c r="AJ116" s="111"/>
      <c r="AK116" s="255"/>
      <c r="AL116" s="259" t="str">
        <f>IF(AK116&lt;&gt;"",AK116/VLOOKUP($V116,Setup!$C$30:$D$41,2,0),"")</f>
        <v/>
      </c>
      <c r="AM116" s="266"/>
      <c r="AN116" s="258" t="str">
        <f t="shared" si="48"/>
        <v/>
      </c>
      <c r="AO116" s="266"/>
      <c r="AP116" s="258" t="str">
        <f t="shared" si="49"/>
        <v/>
      </c>
      <c r="AQ116" s="266"/>
      <c r="AR116" s="258" t="str">
        <f t="shared" si="50"/>
        <v/>
      </c>
      <c r="AS116" s="266"/>
      <c r="AT116" s="256" t="str">
        <f t="shared" si="51"/>
        <v/>
      </c>
      <c r="AU116" s="256" t="str">
        <f t="shared" si="52"/>
        <v/>
      </c>
      <c r="AV116" s="256" t="str">
        <f t="shared" si="53"/>
        <v/>
      </c>
      <c r="AW116" s="267"/>
      <c r="AX116" s="255"/>
      <c r="AY116" s="259" t="str">
        <f>IF(AX116&lt;&gt;"",AX116/VLOOKUP($V116,Setup!$C$30:$D$41,2,0),"")</f>
        <v/>
      </c>
      <c r="AZ116" s="268"/>
      <c r="BA116" s="258" t="str">
        <f t="shared" si="54"/>
        <v/>
      </c>
      <c r="BB116" s="268"/>
      <c r="BC116" s="258" t="str">
        <f t="shared" si="55"/>
        <v/>
      </c>
      <c r="BD116" s="268"/>
      <c r="BE116" s="258" t="str">
        <f t="shared" si="56"/>
        <v/>
      </c>
      <c r="BF116" s="268"/>
      <c r="BG116" s="256" t="str">
        <f t="shared" si="57"/>
        <v/>
      </c>
      <c r="BH116" s="256" t="str">
        <f t="shared" si="58"/>
        <v/>
      </c>
      <c r="BI116" s="256" t="str">
        <f t="shared" si="59"/>
        <v/>
      </c>
      <c r="BJ116" s="267"/>
      <c r="BK116" s="255"/>
      <c r="BL116" s="259" t="str">
        <f>IF(BK116&lt;&gt;"",BK116/VLOOKUP($V116,Setup!$C$30:$D$41,2,0),"")</f>
        <v/>
      </c>
      <c r="BM116" s="268"/>
      <c r="BN116" s="258" t="str">
        <f t="shared" si="60"/>
        <v/>
      </c>
      <c r="BO116" s="268"/>
      <c r="BP116" s="258" t="str">
        <f t="shared" si="61"/>
        <v/>
      </c>
      <c r="BQ116" s="268"/>
      <c r="BR116" s="258" t="str">
        <f t="shared" si="62"/>
        <v/>
      </c>
      <c r="BS116" s="268"/>
      <c r="BT116" s="256" t="str">
        <f t="shared" si="63"/>
        <v/>
      </c>
      <c r="BU116" s="256" t="str">
        <f t="shared" si="64"/>
        <v/>
      </c>
      <c r="BV116" s="256" t="str">
        <f t="shared" si="65"/>
        <v/>
      </c>
      <c r="BW116" s="267"/>
      <c r="BX116" s="256" t="str">
        <f t="shared" si="66"/>
        <v/>
      </c>
      <c r="BY116" s="256" t="str">
        <f t="shared" si="67"/>
        <v/>
      </c>
      <c r="BZ116" s="281"/>
      <c r="CA116" s="282"/>
      <c r="CC116" s="112" t="str">
        <f t="shared" ca="1" si="68"/>
        <v/>
      </c>
      <c r="CF116" s="284"/>
      <c r="CG116" s="284"/>
      <c r="CH116" s="284"/>
      <c r="CI116" s="284"/>
      <c r="CL116" s="356" t="str">
        <f>IFERROR(VLOOKUP(C116,'Data Sheet'!$A$3:$B$26,2,FALSE),"")</f>
        <v/>
      </c>
    </row>
    <row r="117" spans="1:90" s="98" customFormat="1" ht="15.75" x14ac:dyDescent="0.2">
      <c r="A117" s="97"/>
      <c r="B117" s="105" t="str">
        <f t="shared" si="71"/>
        <v>--</v>
      </c>
      <c r="C117" s="276"/>
      <c r="D117" s="101" t="str">
        <f>IFERROR(IF(VLOOKUP(C117,'Data Sheet'!$A$3:$D$26,4,FALSE)=0,"",VLOOKUP(C117,'Data Sheet'!$A$3:$D$26,4,FALSE)),"")</f>
        <v/>
      </c>
      <c r="E117" s="279"/>
      <c r="F117" s="103" t="str">
        <f>IFERROR(IF(VLOOKUP(E117,'Data Sheet'!$C$29:$E$174,3,FALSE)=0,"",VLOOKUP(E117,'Data Sheet'!$C$29:$E$174,3,FALSE)),"")</f>
        <v/>
      </c>
      <c r="G117" s="106" t="str">
        <f t="shared" si="69"/>
        <v>-</v>
      </c>
      <c r="H117" s="273"/>
      <c r="I117" s="107"/>
      <c r="J117" s="249" t="e">
        <f t="shared" si="70"/>
        <v>#VALUE!</v>
      </c>
      <c r="K117" s="101" t="str">
        <f>IFERROR(INDEX('Data Sheet'!$C$198:$C$275,MATCH(I117,'Data Sheet'!$F$198:$F$275,0)),"")</f>
        <v/>
      </c>
      <c r="L117" s="250" t="str">
        <f>IFERROR(INDEX('Data Sheet'!$G$198:$G$275,MATCH(I117,'Data Sheet'!$F$198:$F$275,0)),"")</f>
        <v/>
      </c>
      <c r="M117" s="194"/>
      <c r="N117" s="248"/>
      <c r="O117" s="248"/>
      <c r="P117" s="108" t="str">
        <f>IFERROR(INDEX(Setup!$D$44:$D$70,MATCH(M117,Setup!$K$44:$K$70,0))&amp;"","")</f>
        <v/>
      </c>
      <c r="Q117" s="108" t="str">
        <f>IFERROR(INDEX(Setup!$E$44:$E$70,MATCH(M117,Setup!$K$44:$K$70,0))&amp;"","")</f>
        <v/>
      </c>
      <c r="R117" s="108" t="str">
        <f>IFERROR(INDEX(Setup!$L$44:$L$70,MATCH(M117,Setup!$K$44:$K$70,0))&amp;"","")</f>
        <v/>
      </c>
      <c r="S117" s="108" t="str">
        <f>Setup!$C$30</f>
        <v>USD</v>
      </c>
      <c r="T117" s="109" t="str">
        <f>IFERROR(INDEX('Data Sheet'!$B$198:$B$275,MATCH(I117,'Data Sheet'!$F$198:$F$275,0)),"")</f>
        <v/>
      </c>
      <c r="U117" s="110" t="str">
        <f>IFERROR(INDEX('Data Sheet'!$D$198:$D$275,MATCH(I117,'Data Sheet'!$F$198:$F$275,0)),"")</f>
        <v/>
      </c>
      <c r="V117" s="99"/>
      <c r="W117" s="195" t="str">
        <f>IF(V117=Setup!$C$30,"Grant",IF(V117=Setup!$C$31,"Local",IF(V117=Setup!$C$32,"Other",IF(ISBLANK(V117),"","Other"))))</f>
        <v/>
      </c>
      <c r="X117" s="255"/>
      <c r="Y117" s="259" t="str">
        <f>IF(X117&lt;&gt;"",X117/VLOOKUP($V117,Setup!$C$30:$D$41,2,0),"")</f>
        <v/>
      </c>
      <c r="Z117" s="262"/>
      <c r="AA117" s="256" t="str">
        <f t="shared" si="42"/>
        <v/>
      </c>
      <c r="AB117" s="262"/>
      <c r="AC117" s="258" t="str">
        <f t="shared" si="43"/>
        <v/>
      </c>
      <c r="AD117" s="262"/>
      <c r="AE117" s="258" t="str">
        <f t="shared" si="44"/>
        <v/>
      </c>
      <c r="AF117" s="262"/>
      <c r="AG117" s="256" t="str">
        <f t="shared" si="45"/>
        <v/>
      </c>
      <c r="AH117" s="256" t="str">
        <f t="shared" si="46"/>
        <v/>
      </c>
      <c r="AI117" s="256" t="str">
        <f t="shared" si="47"/>
        <v/>
      </c>
      <c r="AJ117" s="111"/>
      <c r="AK117" s="255"/>
      <c r="AL117" s="259" t="str">
        <f>IF(AK117&lt;&gt;"",AK117/VLOOKUP($V117,Setup!$C$30:$D$41,2,0),"")</f>
        <v/>
      </c>
      <c r="AM117" s="266"/>
      <c r="AN117" s="258" t="str">
        <f t="shared" si="48"/>
        <v/>
      </c>
      <c r="AO117" s="266"/>
      <c r="AP117" s="258" t="str">
        <f t="shared" si="49"/>
        <v/>
      </c>
      <c r="AQ117" s="266"/>
      <c r="AR117" s="258" t="str">
        <f t="shared" si="50"/>
        <v/>
      </c>
      <c r="AS117" s="266"/>
      <c r="AT117" s="256" t="str">
        <f t="shared" si="51"/>
        <v/>
      </c>
      <c r="AU117" s="256" t="str">
        <f t="shared" si="52"/>
        <v/>
      </c>
      <c r="AV117" s="256" t="str">
        <f t="shared" si="53"/>
        <v/>
      </c>
      <c r="AW117" s="267"/>
      <c r="AX117" s="255"/>
      <c r="AY117" s="259" t="str">
        <f>IF(AX117&lt;&gt;"",AX117/VLOOKUP($V117,Setup!$C$30:$D$41,2,0),"")</f>
        <v/>
      </c>
      <c r="AZ117" s="268"/>
      <c r="BA117" s="258" t="str">
        <f t="shared" si="54"/>
        <v/>
      </c>
      <c r="BB117" s="268"/>
      <c r="BC117" s="258" t="str">
        <f t="shared" si="55"/>
        <v/>
      </c>
      <c r="BD117" s="268"/>
      <c r="BE117" s="258" t="str">
        <f t="shared" si="56"/>
        <v/>
      </c>
      <c r="BF117" s="268"/>
      <c r="BG117" s="256" t="str">
        <f t="shared" si="57"/>
        <v/>
      </c>
      <c r="BH117" s="256" t="str">
        <f t="shared" si="58"/>
        <v/>
      </c>
      <c r="BI117" s="256" t="str">
        <f t="shared" si="59"/>
        <v/>
      </c>
      <c r="BJ117" s="267"/>
      <c r="BK117" s="255"/>
      <c r="BL117" s="259" t="str">
        <f>IF(BK117&lt;&gt;"",BK117/VLOOKUP($V117,Setup!$C$30:$D$41,2,0),"")</f>
        <v/>
      </c>
      <c r="BM117" s="268"/>
      <c r="BN117" s="258" t="str">
        <f t="shared" si="60"/>
        <v/>
      </c>
      <c r="BO117" s="268"/>
      <c r="BP117" s="258" t="str">
        <f t="shared" si="61"/>
        <v/>
      </c>
      <c r="BQ117" s="268"/>
      <c r="BR117" s="258" t="str">
        <f t="shared" si="62"/>
        <v/>
      </c>
      <c r="BS117" s="268"/>
      <c r="BT117" s="256" t="str">
        <f t="shared" si="63"/>
        <v/>
      </c>
      <c r="BU117" s="256" t="str">
        <f t="shared" si="64"/>
        <v/>
      </c>
      <c r="BV117" s="256" t="str">
        <f t="shared" si="65"/>
        <v/>
      </c>
      <c r="BW117" s="267"/>
      <c r="BX117" s="256" t="str">
        <f t="shared" si="66"/>
        <v/>
      </c>
      <c r="BY117" s="256" t="str">
        <f t="shared" si="67"/>
        <v/>
      </c>
      <c r="BZ117" s="281"/>
      <c r="CA117" s="282"/>
      <c r="CC117" s="112" t="str">
        <f t="shared" ca="1" si="68"/>
        <v/>
      </c>
      <c r="CF117" s="284"/>
      <c r="CG117" s="284"/>
      <c r="CH117" s="284"/>
      <c r="CI117" s="284"/>
      <c r="CL117" s="356" t="str">
        <f>IFERROR(VLOOKUP(C117,'Data Sheet'!$A$3:$B$26,2,FALSE),"")</f>
        <v/>
      </c>
    </row>
    <row r="118" spans="1:90" s="98" customFormat="1" ht="15.75" x14ac:dyDescent="0.2">
      <c r="A118" s="97"/>
      <c r="B118" s="105" t="str">
        <f t="shared" si="71"/>
        <v>--</v>
      </c>
      <c r="C118" s="276"/>
      <c r="D118" s="101" t="str">
        <f>IFERROR(IF(VLOOKUP(C118,'Data Sheet'!$A$3:$D$26,4,FALSE)=0,"",VLOOKUP(C118,'Data Sheet'!$A$3:$D$26,4,FALSE)),"")</f>
        <v/>
      </c>
      <c r="E118" s="279"/>
      <c r="F118" s="103" t="str">
        <f>IFERROR(IF(VLOOKUP(E118,'Data Sheet'!$C$29:$E$174,3,FALSE)=0,"",VLOOKUP(E118,'Data Sheet'!$C$29:$E$174,3,FALSE)),"")</f>
        <v/>
      </c>
      <c r="G118" s="106" t="str">
        <f t="shared" si="69"/>
        <v>-</v>
      </c>
      <c r="H118" s="273"/>
      <c r="I118" s="107"/>
      <c r="J118" s="249" t="e">
        <f t="shared" si="70"/>
        <v>#VALUE!</v>
      </c>
      <c r="K118" s="101" t="str">
        <f>IFERROR(INDEX('Data Sheet'!$C$198:$C$275,MATCH(I118,'Data Sheet'!$F$198:$F$275,0)),"")</f>
        <v/>
      </c>
      <c r="L118" s="250" t="str">
        <f>IFERROR(INDEX('Data Sheet'!$G$198:$G$275,MATCH(I118,'Data Sheet'!$F$198:$F$275,0)),"")</f>
        <v/>
      </c>
      <c r="M118" s="194"/>
      <c r="N118" s="248"/>
      <c r="O118" s="248"/>
      <c r="P118" s="108" t="str">
        <f>IFERROR(INDEX(Setup!$D$44:$D$70,MATCH(M118,Setup!$K$44:$K$70,0))&amp;"","")</f>
        <v/>
      </c>
      <c r="Q118" s="108" t="str">
        <f>IFERROR(INDEX(Setup!$E$44:$E$70,MATCH(M118,Setup!$K$44:$K$70,0))&amp;"","")</f>
        <v/>
      </c>
      <c r="R118" s="108" t="str">
        <f>IFERROR(INDEX(Setup!$L$44:$L$70,MATCH(M118,Setup!$K$44:$K$70,0))&amp;"","")</f>
        <v/>
      </c>
      <c r="S118" s="108" t="str">
        <f>Setup!$C$30</f>
        <v>USD</v>
      </c>
      <c r="T118" s="109" t="str">
        <f>IFERROR(INDEX('Data Sheet'!$B$198:$B$275,MATCH(I118,'Data Sheet'!$F$198:$F$275,0)),"")</f>
        <v/>
      </c>
      <c r="U118" s="110" t="str">
        <f>IFERROR(INDEX('Data Sheet'!$D$198:$D$275,MATCH(I118,'Data Sheet'!$F$198:$F$275,0)),"")</f>
        <v/>
      </c>
      <c r="V118" s="99"/>
      <c r="W118" s="195" t="str">
        <f>IF(V118=Setup!$C$30,"Grant",IF(V118=Setup!$C$31,"Local",IF(V118=Setup!$C$32,"Other",IF(ISBLANK(V118),"","Other"))))</f>
        <v/>
      </c>
      <c r="X118" s="255"/>
      <c r="Y118" s="259" t="str">
        <f>IF(X118&lt;&gt;"",X118/VLOOKUP($V118,Setup!$C$30:$D$41,2,0),"")</f>
        <v/>
      </c>
      <c r="Z118" s="262"/>
      <c r="AA118" s="256" t="str">
        <f t="shared" si="42"/>
        <v/>
      </c>
      <c r="AB118" s="262"/>
      <c r="AC118" s="258" t="str">
        <f t="shared" si="43"/>
        <v/>
      </c>
      <c r="AD118" s="262"/>
      <c r="AE118" s="258" t="str">
        <f t="shared" si="44"/>
        <v/>
      </c>
      <c r="AF118" s="262"/>
      <c r="AG118" s="256" t="str">
        <f t="shared" si="45"/>
        <v/>
      </c>
      <c r="AH118" s="256" t="str">
        <f t="shared" si="46"/>
        <v/>
      </c>
      <c r="AI118" s="256" t="str">
        <f t="shared" si="47"/>
        <v/>
      </c>
      <c r="AJ118" s="111"/>
      <c r="AK118" s="255"/>
      <c r="AL118" s="259" t="str">
        <f>IF(AK118&lt;&gt;"",AK118/VLOOKUP($V118,Setup!$C$30:$D$41,2,0),"")</f>
        <v/>
      </c>
      <c r="AM118" s="266"/>
      <c r="AN118" s="258" t="str">
        <f t="shared" si="48"/>
        <v/>
      </c>
      <c r="AO118" s="266"/>
      <c r="AP118" s="258" t="str">
        <f t="shared" si="49"/>
        <v/>
      </c>
      <c r="AQ118" s="266"/>
      <c r="AR118" s="258" t="str">
        <f t="shared" si="50"/>
        <v/>
      </c>
      <c r="AS118" s="266"/>
      <c r="AT118" s="256" t="str">
        <f t="shared" si="51"/>
        <v/>
      </c>
      <c r="AU118" s="256" t="str">
        <f t="shared" si="52"/>
        <v/>
      </c>
      <c r="AV118" s="256" t="str">
        <f t="shared" si="53"/>
        <v/>
      </c>
      <c r="AW118" s="267"/>
      <c r="AX118" s="255"/>
      <c r="AY118" s="259" t="str">
        <f>IF(AX118&lt;&gt;"",AX118/VLOOKUP($V118,Setup!$C$30:$D$41,2,0),"")</f>
        <v/>
      </c>
      <c r="AZ118" s="268"/>
      <c r="BA118" s="258" t="str">
        <f t="shared" si="54"/>
        <v/>
      </c>
      <c r="BB118" s="268"/>
      <c r="BC118" s="258" t="str">
        <f t="shared" si="55"/>
        <v/>
      </c>
      <c r="BD118" s="268"/>
      <c r="BE118" s="258" t="str">
        <f t="shared" si="56"/>
        <v/>
      </c>
      <c r="BF118" s="268"/>
      <c r="BG118" s="256" t="str">
        <f t="shared" si="57"/>
        <v/>
      </c>
      <c r="BH118" s="256" t="str">
        <f t="shared" si="58"/>
        <v/>
      </c>
      <c r="BI118" s="256" t="str">
        <f t="shared" si="59"/>
        <v/>
      </c>
      <c r="BJ118" s="267"/>
      <c r="BK118" s="255"/>
      <c r="BL118" s="259" t="str">
        <f>IF(BK118&lt;&gt;"",BK118/VLOOKUP($V118,Setup!$C$30:$D$41,2,0),"")</f>
        <v/>
      </c>
      <c r="BM118" s="268"/>
      <c r="BN118" s="258" t="str">
        <f t="shared" si="60"/>
        <v/>
      </c>
      <c r="BO118" s="268"/>
      <c r="BP118" s="258" t="str">
        <f t="shared" si="61"/>
        <v/>
      </c>
      <c r="BQ118" s="268"/>
      <c r="BR118" s="258" t="str">
        <f t="shared" si="62"/>
        <v/>
      </c>
      <c r="BS118" s="268"/>
      <c r="BT118" s="256" t="str">
        <f t="shared" si="63"/>
        <v/>
      </c>
      <c r="BU118" s="256" t="str">
        <f t="shared" si="64"/>
        <v/>
      </c>
      <c r="BV118" s="256" t="str">
        <f t="shared" si="65"/>
        <v/>
      </c>
      <c r="BW118" s="267"/>
      <c r="BX118" s="256" t="str">
        <f t="shared" si="66"/>
        <v/>
      </c>
      <c r="BY118" s="256" t="str">
        <f t="shared" si="67"/>
        <v/>
      </c>
      <c r="BZ118" s="281"/>
      <c r="CA118" s="282"/>
      <c r="CC118" s="112" t="str">
        <f t="shared" ca="1" si="68"/>
        <v/>
      </c>
      <c r="CF118" s="284"/>
      <c r="CG118" s="284"/>
      <c r="CH118" s="284"/>
      <c r="CI118" s="284"/>
      <c r="CL118" s="356" t="str">
        <f>IFERROR(VLOOKUP(C118,'Data Sheet'!$A$3:$B$26,2,FALSE),"")</f>
        <v/>
      </c>
    </row>
    <row r="119" spans="1:90" s="98" customFormat="1" ht="15.75" x14ac:dyDescent="0.2">
      <c r="A119" s="97"/>
      <c r="B119" s="105" t="str">
        <f t="shared" si="71"/>
        <v>--</v>
      </c>
      <c r="C119" s="276"/>
      <c r="D119" s="101" t="str">
        <f>IFERROR(IF(VLOOKUP(C119,'Data Sheet'!$A$3:$D$26,4,FALSE)=0,"",VLOOKUP(C119,'Data Sheet'!$A$3:$D$26,4,FALSE)),"")</f>
        <v/>
      </c>
      <c r="E119" s="279"/>
      <c r="F119" s="103" t="str">
        <f>IFERROR(IF(VLOOKUP(E119,'Data Sheet'!$C$29:$E$174,3,FALSE)=0,"",VLOOKUP(E119,'Data Sheet'!$C$29:$E$174,3,FALSE)),"")</f>
        <v/>
      </c>
      <c r="G119" s="106" t="str">
        <f t="shared" si="69"/>
        <v>-</v>
      </c>
      <c r="H119" s="273"/>
      <c r="I119" s="107"/>
      <c r="J119" s="249" t="e">
        <f t="shared" si="70"/>
        <v>#VALUE!</v>
      </c>
      <c r="K119" s="101" t="str">
        <f>IFERROR(INDEX('Data Sheet'!$C$198:$C$275,MATCH(I119,'Data Sheet'!$F$198:$F$275,0)),"")</f>
        <v/>
      </c>
      <c r="L119" s="250" t="str">
        <f>IFERROR(INDEX('Data Sheet'!$G$198:$G$275,MATCH(I119,'Data Sheet'!$F$198:$F$275,0)),"")</f>
        <v/>
      </c>
      <c r="M119" s="194"/>
      <c r="N119" s="248"/>
      <c r="O119" s="248"/>
      <c r="P119" s="108" t="str">
        <f>IFERROR(INDEX(Setup!$D$44:$D$70,MATCH(M119,Setup!$K$44:$K$70,0))&amp;"","")</f>
        <v/>
      </c>
      <c r="Q119" s="108" t="str">
        <f>IFERROR(INDEX(Setup!$E$44:$E$70,MATCH(M119,Setup!$K$44:$K$70,0))&amp;"","")</f>
        <v/>
      </c>
      <c r="R119" s="108" t="str">
        <f>IFERROR(INDEX(Setup!$L$44:$L$70,MATCH(M119,Setup!$K$44:$K$70,0))&amp;"","")</f>
        <v/>
      </c>
      <c r="S119" s="108" t="str">
        <f>Setup!$C$30</f>
        <v>USD</v>
      </c>
      <c r="T119" s="109" t="str">
        <f>IFERROR(INDEX('Data Sheet'!$B$198:$B$275,MATCH(I119,'Data Sheet'!$F$198:$F$275,0)),"")</f>
        <v/>
      </c>
      <c r="U119" s="110" t="str">
        <f>IFERROR(INDEX('Data Sheet'!$D$198:$D$275,MATCH(I119,'Data Sheet'!$F$198:$F$275,0)),"")</f>
        <v/>
      </c>
      <c r="V119" s="99"/>
      <c r="W119" s="195" t="str">
        <f>IF(V119=Setup!$C$30,"Grant",IF(V119=Setup!$C$31,"Local",IF(V119=Setup!$C$32,"Other",IF(ISBLANK(V119),"","Other"))))</f>
        <v/>
      </c>
      <c r="X119" s="255"/>
      <c r="Y119" s="259" t="str">
        <f>IF(X119&lt;&gt;"",X119/VLOOKUP($V119,Setup!$C$30:$D$41,2,0),"")</f>
        <v/>
      </c>
      <c r="Z119" s="262"/>
      <c r="AA119" s="256" t="str">
        <f t="shared" si="42"/>
        <v/>
      </c>
      <c r="AB119" s="262"/>
      <c r="AC119" s="258" t="str">
        <f t="shared" si="43"/>
        <v/>
      </c>
      <c r="AD119" s="262"/>
      <c r="AE119" s="258" t="str">
        <f t="shared" si="44"/>
        <v/>
      </c>
      <c r="AF119" s="262"/>
      <c r="AG119" s="256" t="str">
        <f t="shared" si="45"/>
        <v/>
      </c>
      <c r="AH119" s="256" t="str">
        <f t="shared" si="46"/>
        <v/>
      </c>
      <c r="AI119" s="256" t="str">
        <f t="shared" si="47"/>
        <v/>
      </c>
      <c r="AJ119" s="111"/>
      <c r="AK119" s="255"/>
      <c r="AL119" s="259" t="str">
        <f>IF(AK119&lt;&gt;"",AK119/VLOOKUP($V119,Setup!$C$30:$D$41,2,0),"")</f>
        <v/>
      </c>
      <c r="AM119" s="266"/>
      <c r="AN119" s="258" t="str">
        <f t="shared" si="48"/>
        <v/>
      </c>
      <c r="AO119" s="266"/>
      <c r="AP119" s="258" t="str">
        <f t="shared" si="49"/>
        <v/>
      </c>
      <c r="AQ119" s="266"/>
      <c r="AR119" s="258" t="str">
        <f t="shared" si="50"/>
        <v/>
      </c>
      <c r="AS119" s="266"/>
      <c r="AT119" s="256" t="str">
        <f t="shared" si="51"/>
        <v/>
      </c>
      <c r="AU119" s="256" t="str">
        <f t="shared" si="52"/>
        <v/>
      </c>
      <c r="AV119" s="256" t="str">
        <f t="shared" si="53"/>
        <v/>
      </c>
      <c r="AW119" s="267"/>
      <c r="AX119" s="255"/>
      <c r="AY119" s="259" t="str">
        <f>IF(AX119&lt;&gt;"",AX119/VLOOKUP($V119,Setup!$C$30:$D$41,2,0),"")</f>
        <v/>
      </c>
      <c r="AZ119" s="268"/>
      <c r="BA119" s="258" t="str">
        <f t="shared" si="54"/>
        <v/>
      </c>
      <c r="BB119" s="268"/>
      <c r="BC119" s="258" t="str">
        <f t="shared" si="55"/>
        <v/>
      </c>
      <c r="BD119" s="268"/>
      <c r="BE119" s="258" t="str">
        <f t="shared" si="56"/>
        <v/>
      </c>
      <c r="BF119" s="268"/>
      <c r="BG119" s="256" t="str">
        <f t="shared" si="57"/>
        <v/>
      </c>
      <c r="BH119" s="256" t="str">
        <f t="shared" si="58"/>
        <v/>
      </c>
      <c r="BI119" s="256" t="str">
        <f t="shared" si="59"/>
        <v/>
      </c>
      <c r="BJ119" s="267"/>
      <c r="BK119" s="255"/>
      <c r="BL119" s="259" t="str">
        <f>IF(BK119&lt;&gt;"",BK119/VLOOKUP($V119,Setup!$C$30:$D$41,2,0),"")</f>
        <v/>
      </c>
      <c r="BM119" s="268"/>
      <c r="BN119" s="258" t="str">
        <f t="shared" si="60"/>
        <v/>
      </c>
      <c r="BO119" s="268"/>
      <c r="BP119" s="258" t="str">
        <f t="shared" si="61"/>
        <v/>
      </c>
      <c r="BQ119" s="268"/>
      <c r="BR119" s="258" t="str">
        <f t="shared" si="62"/>
        <v/>
      </c>
      <c r="BS119" s="268"/>
      <c r="BT119" s="256" t="str">
        <f t="shared" si="63"/>
        <v/>
      </c>
      <c r="BU119" s="256" t="str">
        <f t="shared" si="64"/>
        <v/>
      </c>
      <c r="BV119" s="256" t="str">
        <f t="shared" si="65"/>
        <v/>
      </c>
      <c r="BW119" s="267"/>
      <c r="BX119" s="256" t="str">
        <f t="shared" si="66"/>
        <v/>
      </c>
      <c r="BY119" s="256" t="str">
        <f t="shared" si="67"/>
        <v/>
      </c>
      <c r="BZ119" s="281"/>
      <c r="CA119" s="282"/>
      <c r="CC119" s="112" t="str">
        <f t="shared" ca="1" si="68"/>
        <v/>
      </c>
      <c r="CF119" s="284"/>
      <c r="CG119" s="284"/>
      <c r="CH119" s="284"/>
      <c r="CI119" s="284"/>
      <c r="CL119" s="356" t="str">
        <f>IFERROR(VLOOKUP(C119,'Data Sheet'!$A$3:$B$26,2,FALSE),"")</f>
        <v/>
      </c>
    </row>
    <row r="120" spans="1:90" s="98" customFormat="1" ht="15.75" x14ac:dyDescent="0.2">
      <c r="A120" s="97"/>
      <c r="B120" s="105" t="str">
        <f t="shared" si="71"/>
        <v>--</v>
      </c>
      <c r="C120" s="276"/>
      <c r="D120" s="101" t="str">
        <f>IFERROR(IF(VLOOKUP(C120,'Data Sheet'!$A$3:$D$26,4,FALSE)=0,"",VLOOKUP(C120,'Data Sheet'!$A$3:$D$26,4,FALSE)),"")</f>
        <v/>
      </c>
      <c r="E120" s="279"/>
      <c r="F120" s="103" t="str">
        <f>IFERROR(IF(VLOOKUP(E120,'Data Sheet'!$C$29:$E$174,3,FALSE)=0,"",VLOOKUP(E120,'Data Sheet'!$C$29:$E$174,3,FALSE)),"")</f>
        <v/>
      </c>
      <c r="G120" s="106" t="str">
        <f t="shared" si="69"/>
        <v>-</v>
      </c>
      <c r="H120" s="273"/>
      <c r="I120" s="107"/>
      <c r="J120" s="249" t="e">
        <f t="shared" si="70"/>
        <v>#VALUE!</v>
      </c>
      <c r="K120" s="101" t="str">
        <f>IFERROR(INDEX('Data Sheet'!$C$198:$C$275,MATCH(I120,'Data Sheet'!$F$198:$F$275,0)),"")</f>
        <v/>
      </c>
      <c r="L120" s="250" t="str">
        <f>IFERROR(INDEX('Data Sheet'!$G$198:$G$275,MATCH(I120,'Data Sheet'!$F$198:$F$275,0)),"")</f>
        <v/>
      </c>
      <c r="M120" s="194"/>
      <c r="N120" s="248"/>
      <c r="O120" s="248"/>
      <c r="P120" s="108" t="str">
        <f>IFERROR(INDEX(Setup!$D$44:$D$70,MATCH(M120,Setup!$K$44:$K$70,0))&amp;"","")</f>
        <v/>
      </c>
      <c r="Q120" s="108" t="str">
        <f>IFERROR(INDEX(Setup!$E$44:$E$70,MATCH(M120,Setup!$K$44:$K$70,0))&amp;"","")</f>
        <v/>
      </c>
      <c r="R120" s="108" t="str">
        <f>IFERROR(INDEX(Setup!$L$44:$L$70,MATCH(M120,Setup!$K$44:$K$70,0))&amp;"","")</f>
        <v/>
      </c>
      <c r="S120" s="108" t="str">
        <f>Setup!$C$30</f>
        <v>USD</v>
      </c>
      <c r="T120" s="109" t="str">
        <f>IFERROR(INDEX('Data Sheet'!$B$198:$B$275,MATCH(I120,'Data Sheet'!$F$198:$F$275,0)),"")</f>
        <v/>
      </c>
      <c r="U120" s="110" t="str">
        <f>IFERROR(INDEX('Data Sheet'!$D$198:$D$275,MATCH(I120,'Data Sheet'!$F$198:$F$275,0)),"")</f>
        <v/>
      </c>
      <c r="V120" s="99"/>
      <c r="W120" s="195" t="str">
        <f>IF(V120=Setup!$C$30,"Grant",IF(V120=Setup!$C$31,"Local",IF(V120=Setup!$C$32,"Other",IF(ISBLANK(V120),"","Other"))))</f>
        <v/>
      </c>
      <c r="X120" s="255"/>
      <c r="Y120" s="259" t="str">
        <f>IF(X120&lt;&gt;"",X120/VLOOKUP($V120,Setup!$C$30:$D$41,2,0),"")</f>
        <v/>
      </c>
      <c r="Z120" s="262"/>
      <c r="AA120" s="256" t="str">
        <f t="shared" si="42"/>
        <v/>
      </c>
      <c r="AB120" s="262"/>
      <c r="AC120" s="258" t="str">
        <f t="shared" si="43"/>
        <v/>
      </c>
      <c r="AD120" s="262"/>
      <c r="AE120" s="258" t="str">
        <f t="shared" si="44"/>
        <v/>
      </c>
      <c r="AF120" s="262"/>
      <c r="AG120" s="256" t="str">
        <f t="shared" si="45"/>
        <v/>
      </c>
      <c r="AH120" s="256" t="str">
        <f t="shared" si="46"/>
        <v/>
      </c>
      <c r="AI120" s="256" t="str">
        <f t="shared" si="47"/>
        <v/>
      </c>
      <c r="AJ120" s="111"/>
      <c r="AK120" s="255"/>
      <c r="AL120" s="259" t="str">
        <f>IF(AK120&lt;&gt;"",AK120/VLOOKUP($V120,Setup!$C$30:$D$41,2,0),"")</f>
        <v/>
      </c>
      <c r="AM120" s="266"/>
      <c r="AN120" s="258" t="str">
        <f t="shared" si="48"/>
        <v/>
      </c>
      <c r="AO120" s="266"/>
      <c r="AP120" s="258" t="str">
        <f t="shared" si="49"/>
        <v/>
      </c>
      <c r="AQ120" s="266"/>
      <c r="AR120" s="258" t="str">
        <f t="shared" si="50"/>
        <v/>
      </c>
      <c r="AS120" s="266"/>
      <c r="AT120" s="256" t="str">
        <f t="shared" si="51"/>
        <v/>
      </c>
      <c r="AU120" s="256" t="str">
        <f t="shared" si="52"/>
        <v/>
      </c>
      <c r="AV120" s="256" t="str">
        <f t="shared" si="53"/>
        <v/>
      </c>
      <c r="AW120" s="267"/>
      <c r="AX120" s="255"/>
      <c r="AY120" s="259" t="str">
        <f>IF(AX120&lt;&gt;"",AX120/VLOOKUP($V120,Setup!$C$30:$D$41,2,0),"")</f>
        <v/>
      </c>
      <c r="AZ120" s="268"/>
      <c r="BA120" s="258" t="str">
        <f t="shared" si="54"/>
        <v/>
      </c>
      <c r="BB120" s="268"/>
      <c r="BC120" s="258" t="str">
        <f t="shared" si="55"/>
        <v/>
      </c>
      <c r="BD120" s="268"/>
      <c r="BE120" s="258" t="str">
        <f t="shared" si="56"/>
        <v/>
      </c>
      <c r="BF120" s="268"/>
      <c r="BG120" s="256" t="str">
        <f t="shared" si="57"/>
        <v/>
      </c>
      <c r="BH120" s="256" t="str">
        <f t="shared" si="58"/>
        <v/>
      </c>
      <c r="BI120" s="256" t="str">
        <f t="shared" si="59"/>
        <v/>
      </c>
      <c r="BJ120" s="267"/>
      <c r="BK120" s="255"/>
      <c r="BL120" s="259" t="str">
        <f>IF(BK120&lt;&gt;"",BK120/VLOOKUP($V120,Setup!$C$30:$D$41,2,0),"")</f>
        <v/>
      </c>
      <c r="BM120" s="268"/>
      <c r="BN120" s="258" t="str">
        <f t="shared" si="60"/>
        <v/>
      </c>
      <c r="BO120" s="268"/>
      <c r="BP120" s="258" t="str">
        <f t="shared" si="61"/>
        <v/>
      </c>
      <c r="BQ120" s="268"/>
      <c r="BR120" s="258" t="str">
        <f t="shared" si="62"/>
        <v/>
      </c>
      <c r="BS120" s="268"/>
      <c r="BT120" s="256" t="str">
        <f t="shared" si="63"/>
        <v/>
      </c>
      <c r="BU120" s="256" t="str">
        <f t="shared" si="64"/>
        <v/>
      </c>
      <c r="BV120" s="256" t="str">
        <f t="shared" si="65"/>
        <v/>
      </c>
      <c r="BW120" s="267"/>
      <c r="BX120" s="256" t="str">
        <f t="shared" si="66"/>
        <v/>
      </c>
      <c r="BY120" s="256" t="str">
        <f t="shared" si="67"/>
        <v/>
      </c>
      <c r="BZ120" s="281"/>
      <c r="CA120" s="282"/>
      <c r="CC120" s="112" t="str">
        <f t="shared" ca="1" si="68"/>
        <v/>
      </c>
      <c r="CF120" s="284"/>
      <c r="CG120" s="284"/>
      <c r="CH120" s="284"/>
      <c r="CI120" s="284"/>
      <c r="CL120" s="356" t="str">
        <f>IFERROR(VLOOKUP(C120,'Data Sheet'!$A$3:$B$26,2,FALSE),"")</f>
        <v/>
      </c>
    </row>
    <row r="121" spans="1:90" s="98" customFormat="1" ht="15.75" x14ac:dyDescent="0.2">
      <c r="A121" s="97"/>
      <c r="B121" s="105" t="str">
        <f t="shared" si="71"/>
        <v>--</v>
      </c>
      <c r="C121" s="276"/>
      <c r="D121" s="101" t="str">
        <f>IFERROR(IF(VLOOKUP(C121,'Data Sheet'!$A$3:$D$26,4,FALSE)=0,"",VLOOKUP(C121,'Data Sheet'!$A$3:$D$26,4,FALSE)),"")</f>
        <v/>
      </c>
      <c r="E121" s="279"/>
      <c r="F121" s="103" t="str">
        <f>IFERROR(IF(VLOOKUP(E121,'Data Sheet'!$C$29:$E$174,3,FALSE)=0,"",VLOOKUP(E121,'Data Sheet'!$C$29:$E$174,3,FALSE)),"")</f>
        <v/>
      </c>
      <c r="G121" s="106" t="str">
        <f t="shared" si="69"/>
        <v>-</v>
      </c>
      <c r="H121" s="273"/>
      <c r="I121" s="107"/>
      <c r="J121" s="249" t="e">
        <f t="shared" si="70"/>
        <v>#VALUE!</v>
      </c>
      <c r="K121" s="101" t="str">
        <f>IFERROR(INDEX('Data Sheet'!$C$198:$C$275,MATCH(I121,'Data Sheet'!$F$198:$F$275,0)),"")</f>
        <v/>
      </c>
      <c r="L121" s="250" t="str">
        <f>IFERROR(INDEX('Data Sheet'!$G$198:$G$275,MATCH(I121,'Data Sheet'!$F$198:$F$275,0)),"")</f>
        <v/>
      </c>
      <c r="M121" s="194"/>
      <c r="N121" s="248"/>
      <c r="O121" s="248"/>
      <c r="P121" s="108" t="str">
        <f>IFERROR(INDEX(Setup!$D$44:$D$70,MATCH(M121,Setup!$K$44:$K$70,0))&amp;"","")</f>
        <v/>
      </c>
      <c r="Q121" s="108" t="str">
        <f>IFERROR(INDEX(Setup!$E$44:$E$70,MATCH(M121,Setup!$K$44:$K$70,0))&amp;"","")</f>
        <v/>
      </c>
      <c r="R121" s="108" t="str">
        <f>IFERROR(INDEX(Setup!$L$44:$L$70,MATCH(M121,Setup!$K$44:$K$70,0))&amp;"","")</f>
        <v/>
      </c>
      <c r="S121" s="108" t="str">
        <f>Setup!$C$30</f>
        <v>USD</v>
      </c>
      <c r="T121" s="109" t="str">
        <f>IFERROR(INDEX('Data Sheet'!$B$198:$B$275,MATCH(I121,'Data Sheet'!$F$198:$F$275,0)),"")</f>
        <v/>
      </c>
      <c r="U121" s="110" t="str">
        <f>IFERROR(INDEX('Data Sheet'!$D$198:$D$275,MATCH(I121,'Data Sheet'!$F$198:$F$275,0)),"")</f>
        <v/>
      </c>
      <c r="V121" s="99"/>
      <c r="W121" s="195" t="str">
        <f>IF(V121=Setup!$C$30,"Grant",IF(V121=Setup!$C$31,"Local",IF(V121=Setup!$C$32,"Other",IF(ISBLANK(V121),"","Other"))))</f>
        <v/>
      </c>
      <c r="X121" s="255"/>
      <c r="Y121" s="259" t="str">
        <f>IF(X121&lt;&gt;"",X121/VLOOKUP($V121,Setup!$C$30:$D$41,2,0),"")</f>
        <v/>
      </c>
      <c r="Z121" s="262"/>
      <c r="AA121" s="256" t="str">
        <f t="shared" si="42"/>
        <v/>
      </c>
      <c r="AB121" s="262"/>
      <c r="AC121" s="258" t="str">
        <f t="shared" si="43"/>
        <v/>
      </c>
      <c r="AD121" s="262"/>
      <c r="AE121" s="258" t="str">
        <f t="shared" si="44"/>
        <v/>
      </c>
      <c r="AF121" s="262"/>
      <c r="AG121" s="256" t="str">
        <f t="shared" si="45"/>
        <v/>
      </c>
      <c r="AH121" s="256" t="str">
        <f t="shared" si="46"/>
        <v/>
      </c>
      <c r="AI121" s="256" t="str">
        <f t="shared" si="47"/>
        <v/>
      </c>
      <c r="AJ121" s="111"/>
      <c r="AK121" s="255"/>
      <c r="AL121" s="259" t="str">
        <f>IF(AK121&lt;&gt;"",AK121/VLOOKUP($V121,Setup!$C$30:$D$41,2,0),"")</f>
        <v/>
      </c>
      <c r="AM121" s="266"/>
      <c r="AN121" s="258" t="str">
        <f t="shared" si="48"/>
        <v/>
      </c>
      <c r="AO121" s="266"/>
      <c r="AP121" s="258" t="str">
        <f t="shared" si="49"/>
        <v/>
      </c>
      <c r="AQ121" s="266"/>
      <c r="AR121" s="258" t="str">
        <f t="shared" si="50"/>
        <v/>
      </c>
      <c r="AS121" s="266"/>
      <c r="AT121" s="256" t="str">
        <f t="shared" si="51"/>
        <v/>
      </c>
      <c r="AU121" s="256" t="str">
        <f t="shared" si="52"/>
        <v/>
      </c>
      <c r="AV121" s="256" t="str">
        <f t="shared" si="53"/>
        <v/>
      </c>
      <c r="AW121" s="267"/>
      <c r="AX121" s="255"/>
      <c r="AY121" s="259" t="str">
        <f>IF(AX121&lt;&gt;"",AX121/VLOOKUP($V121,Setup!$C$30:$D$41,2,0),"")</f>
        <v/>
      </c>
      <c r="AZ121" s="268"/>
      <c r="BA121" s="258" t="str">
        <f t="shared" si="54"/>
        <v/>
      </c>
      <c r="BB121" s="268"/>
      <c r="BC121" s="258" t="str">
        <f t="shared" si="55"/>
        <v/>
      </c>
      <c r="BD121" s="268"/>
      <c r="BE121" s="258" t="str">
        <f t="shared" si="56"/>
        <v/>
      </c>
      <c r="BF121" s="268"/>
      <c r="BG121" s="256" t="str">
        <f t="shared" si="57"/>
        <v/>
      </c>
      <c r="BH121" s="256" t="str">
        <f t="shared" si="58"/>
        <v/>
      </c>
      <c r="BI121" s="256" t="str">
        <f t="shared" si="59"/>
        <v/>
      </c>
      <c r="BJ121" s="267"/>
      <c r="BK121" s="255"/>
      <c r="BL121" s="259" t="str">
        <f>IF(BK121&lt;&gt;"",BK121/VLOOKUP($V121,Setup!$C$30:$D$41,2,0),"")</f>
        <v/>
      </c>
      <c r="BM121" s="268"/>
      <c r="BN121" s="258" t="str">
        <f t="shared" si="60"/>
        <v/>
      </c>
      <c r="BO121" s="268"/>
      <c r="BP121" s="258" t="str">
        <f t="shared" si="61"/>
        <v/>
      </c>
      <c r="BQ121" s="268"/>
      <c r="BR121" s="258" t="str">
        <f t="shared" si="62"/>
        <v/>
      </c>
      <c r="BS121" s="268"/>
      <c r="BT121" s="256" t="str">
        <f t="shared" si="63"/>
        <v/>
      </c>
      <c r="BU121" s="256" t="str">
        <f t="shared" si="64"/>
        <v/>
      </c>
      <c r="BV121" s="256" t="str">
        <f t="shared" si="65"/>
        <v/>
      </c>
      <c r="BW121" s="267"/>
      <c r="BX121" s="256" t="str">
        <f t="shared" si="66"/>
        <v/>
      </c>
      <c r="BY121" s="256" t="str">
        <f t="shared" si="67"/>
        <v/>
      </c>
      <c r="BZ121" s="281"/>
      <c r="CA121" s="282"/>
      <c r="CC121" s="112" t="str">
        <f t="shared" ca="1" si="68"/>
        <v/>
      </c>
      <c r="CF121" s="284"/>
      <c r="CG121" s="284"/>
      <c r="CH121" s="284"/>
      <c r="CI121" s="284"/>
      <c r="CL121" s="356" t="str">
        <f>IFERROR(VLOOKUP(C121,'Data Sheet'!$A$3:$B$26,2,FALSE),"")</f>
        <v/>
      </c>
    </row>
    <row r="122" spans="1:90" s="98" customFormat="1" ht="15.75" x14ac:dyDescent="0.2">
      <c r="A122" s="97"/>
      <c r="B122" s="105" t="str">
        <f t="shared" si="71"/>
        <v>--</v>
      </c>
      <c r="C122" s="276"/>
      <c r="D122" s="101" t="str">
        <f>IFERROR(IF(VLOOKUP(C122,'Data Sheet'!$A$3:$D$26,4,FALSE)=0,"",VLOOKUP(C122,'Data Sheet'!$A$3:$D$26,4,FALSE)),"")</f>
        <v/>
      </c>
      <c r="E122" s="279"/>
      <c r="F122" s="103" t="str">
        <f>IFERROR(IF(VLOOKUP(E122,'Data Sheet'!$C$29:$E$174,3,FALSE)=0,"",VLOOKUP(E122,'Data Sheet'!$C$29:$E$174,3,FALSE)),"")</f>
        <v/>
      </c>
      <c r="G122" s="106" t="str">
        <f t="shared" si="69"/>
        <v>-</v>
      </c>
      <c r="H122" s="273"/>
      <c r="I122" s="107"/>
      <c r="J122" s="249" t="e">
        <f t="shared" si="70"/>
        <v>#VALUE!</v>
      </c>
      <c r="K122" s="101" t="str">
        <f>IFERROR(INDEX('Data Sheet'!$C$198:$C$275,MATCH(I122,'Data Sheet'!$F$198:$F$275,0)),"")</f>
        <v/>
      </c>
      <c r="L122" s="250" t="str">
        <f>IFERROR(INDEX('Data Sheet'!$G$198:$G$275,MATCH(I122,'Data Sheet'!$F$198:$F$275,0)),"")</f>
        <v/>
      </c>
      <c r="M122" s="194"/>
      <c r="N122" s="248"/>
      <c r="O122" s="248"/>
      <c r="P122" s="108" t="str">
        <f>IFERROR(INDEX(Setup!$D$44:$D$70,MATCH(M122,Setup!$K$44:$K$70,0))&amp;"","")</f>
        <v/>
      </c>
      <c r="Q122" s="108" t="str">
        <f>IFERROR(INDEX(Setup!$E$44:$E$70,MATCH(M122,Setup!$K$44:$K$70,0))&amp;"","")</f>
        <v/>
      </c>
      <c r="R122" s="108" t="str">
        <f>IFERROR(INDEX(Setup!$L$44:$L$70,MATCH(M122,Setup!$K$44:$K$70,0))&amp;"","")</f>
        <v/>
      </c>
      <c r="S122" s="108" t="str">
        <f>Setup!$C$30</f>
        <v>USD</v>
      </c>
      <c r="T122" s="109" t="str">
        <f>IFERROR(INDEX('Data Sheet'!$B$198:$B$275,MATCH(I122,'Data Sheet'!$F$198:$F$275,0)),"")</f>
        <v/>
      </c>
      <c r="U122" s="110" t="str">
        <f>IFERROR(INDEX('Data Sheet'!$D$198:$D$275,MATCH(I122,'Data Sheet'!$F$198:$F$275,0)),"")</f>
        <v/>
      </c>
      <c r="V122" s="99"/>
      <c r="W122" s="195" t="str">
        <f>IF(V122=Setup!$C$30,"Grant",IF(V122=Setup!$C$31,"Local",IF(V122=Setup!$C$32,"Other",IF(ISBLANK(V122),"","Other"))))</f>
        <v/>
      </c>
      <c r="X122" s="255"/>
      <c r="Y122" s="259" t="str">
        <f>IF(X122&lt;&gt;"",X122/VLOOKUP($V122,Setup!$C$30:$D$41,2,0),"")</f>
        <v/>
      </c>
      <c r="Z122" s="262"/>
      <c r="AA122" s="256" t="str">
        <f t="shared" si="42"/>
        <v/>
      </c>
      <c r="AB122" s="262"/>
      <c r="AC122" s="258" t="str">
        <f t="shared" si="43"/>
        <v/>
      </c>
      <c r="AD122" s="262"/>
      <c r="AE122" s="258" t="str">
        <f t="shared" si="44"/>
        <v/>
      </c>
      <c r="AF122" s="262"/>
      <c r="AG122" s="256" t="str">
        <f t="shared" si="45"/>
        <v/>
      </c>
      <c r="AH122" s="256" t="str">
        <f t="shared" si="46"/>
        <v/>
      </c>
      <c r="AI122" s="256" t="str">
        <f t="shared" si="47"/>
        <v/>
      </c>
      <c r="AJ122" s="111"/>
      <c r="AK122" s="255"/>
      <c r="AL122" s="259" t="str">
        <f>IF(AK122&lt;&gt;"",AK122/VLOOKUP($V122,Setup!$C$30:$D$41,2,0),"")</f>
        <v/>
      </c>
      <c r="AM122" s="266"/>
      <c r="AN122" s="258" t="str">
        <f t="shared" si="48"/>
        <v/>
      </c>
      <c r="AO122" s="266"/>
      <c r="AP122" s="258" t="str">
        <f t="shared" si="49"/>
        <v/>
      </c>
      <c r="AQ122" s="266"/>
      <c r="AR122" s="258" t="str">
        <f t="shared" si="50"/>
        <v/>
      </c>
      <c r="AS122" s="266"/>
      <c r="AT122" s="256" t="str">
        <f t="shared" si="51"/>
        <v/>
      </c>
      <c r="AU122" s="256" t="str">
        <f t="shared" si="52"/>
        <v/>
      </c>
      <c r="AV122" s="256" t="str">
        <f t="shared" si="53"/>
        <v/>
      </c>
      <c r="AW122" s="267"/>
      <c r="AX122" s="255"/>
      <c r="AY122" s="259" t="str">
        <f>IF(AX122&lt;&gt;"",AX122/VLOOKUP($V122,Setup!$C$30:$D$41,2,0),"")</f>
        <v/>
      </c>
      <c r="AZ122" s="268"/>
      <c r="BA122" s="258" t="str">
        <f t="shared" si="54"/>
        <v/>
      </c>
      <c r="BB122" s="268"/>
      <c r="BC122" s="258" t="str">
        <f t="shared" si="55"/>
        <v/>
      </c>
      <c r="BD122" s="268"/>
      <c r="BE122" s="258" t="str">
        <f t="shared" si="56"/>
        <v/>
      </c>
      <c r="BF122" s="268"/>
      <c r="BG122" s="256" t="str">
        <f t="shared" si="57"/>
        <v/>
      </c>
      <c r="BH122" s="256" t="str">
        <f t="shared" si="58"/>
        <v/>
      </c>
      <c r="BI122" s="256" t="str">
        <f t="shared" si="59"/>
        <v/>
      </c>
      <c r="BJ122" s="267"/>
      <c r="BK122" s="255"/>
      <c r="BL122" s="259" t="str">
        <f>IF(BK122&lt;&gt;"",BK122/VLOOKUP($V122,Setup!$C$30:$D$41,2,0),"")</f>
        <v/>
      </c>
      <c r="BM122" s="268"/>
      <c r="BN122" s="258" t="str">
        <f t="shared" si="60"/>
        <v/>
      </c>
      <c r="BO122" s="268"/>
      <c r="BP122" s="258" t="str">
        <f t="shared" si="61"/>
        <v/>
      </c>
      <c r="BQ122" s="268"/>
      <c r="BR122" s="258" t="str">
        <f t="shared" si="62"/>
        <v/>
      </c>
      <c r="BS122" s="268"/>
      <c r="BT122" s="256" t="str">
        <f t="shared" si="63"/>
        <v/>
      </c>
      <c r="BU122" s="256" t="str">
        <f t="shared" si="64"/>
        <v/>
      </c>
      <c r="BV122" s="256" t="str">
        <f t="shared" si="65"/>
        <v/>
      </c>
      <c r="BW122" s="267"/>
      <c r="BX122" s="256" t="str">
        <f t="shared" si="66"/>
        <v/>
      </c>
      <c r="BY122" s="256" t="str">
        <f t="shared" si="67"/>
        <v/>
      </c>
      <c r="BZ122" s="281"/>
      <c r="CA122" s="282"/>
      <c r="CC122" s="112" t="str">
        <f t="shared" ca="1" si="68"/>
        <v/>
      </c>
      <c r="CF122" s="284"/>
      <c r="CG122" s="284"/>
      <c r="CH122" s="284"/>
      <c r="CI122" s="284"/>
      <c r="CL122" s="356" t="str">
        <f>IFERROR(VLOOKUP(C122,'Data Sheet'!$A$3:$B$26,2,FALSE),"")</f>
        <v/>
      </c>
    </row>
    <row r="123" spans="1:90" s="98" customFormat="1" ht="15.75" x14ac:dyDescent="0.2">
      <c r="A123" s="97"/>
      <c r="B123" s="105" t="str">
        <f t="shared" si="71"/>
        <v>--</v>
      </c>
      <c r="C123" s="276"/>
      <c r="D123" s="101" t="str">
        <f>IFERROR(IF(VLOOKUP(C123,'Data Sheet'!$A$3:$D$26,4,FALSE)=0,"",VLOOKUP(C123,'Data Sheet'!$A$3:$D$26,4,FALSE)),"")</f>
        <v/>
      </c>
      <c r="E123" s="279"/>
      <c r="F123" s="103" t="str">
        <f>IFERROR(IF(VLOOKUP(E123,'Data Sheet'!$C$29:$E$174,3,FALSE)=0,"",VLOOKUP(E123,'Data Sheet'!$C$29:$E$174,3,FALSE)),"")</f>
        <v/>
      </c>
      <c r="G123" s="106" t="str">
        <f t="shared" si="69"/>
        <v>-</v>
      </c>
      <c r="H123" s="273"/>
      <c r="I123" s="107"/>
      <c r="J123" s="249" t="e">
        <f t="shared" si="70"/>
        <v>#VALUE!</v>
      </c>
      <c r="K123" s="101" t="str">
        <f>IFERROR(INDEX('Data Sheet'!$C$198:$C$275,MATCH(I123,'Data Sheet'!$F$198:$F$275,0)),"")</f>
        <v/>
      </c>
      <c r="L123" s="250" t="str">
        <f>IFERROR(INDEX('Data Sheet'!$G$198:$G$275,MATCH(I123,'Data Sheet'!$F$198:$F$275,0)),"")</f>
        <v/>
      </c>
      <c r="M123" s="194"/>
      <c r="N123" s="248"/>
      <c r="O123" s="248"/>
      <c r="P123" s="108" t="str">
        <f>IFERROR(INDEX(Setup!$D$44:$D$70,MATCH(M123,Setup!$K$44:$K$70,0))&amp;"","")</f>
        <v/>
      </c>
      <c r="Q123" s="108" t="str">
        <f>IFERROR(INDEX(Setup!$E$44:$E$70,MATCH(M123,Setup!$K$44:$K$70,0))&amp;"","")</f>
        <v/>
      </c>
      <c r="R123" s="108" t="str">
        <f>IFERROR(INDEX(Setup!$L$44:$L$70,MATCH(M123,Setup!$K$44:$K$70,0))&amp;"","")</f>
        <v/>
      </c>
      <c r="S123" s="108" t="str">
        <f>Setup!$C$30</f>
        <v>USD</v>
      </c>
      <c r="T123" s="109" t="str">
        <f>IFERROR(INDEX('Data Sheet'!$B$198:$B$275,MATCH(I123,'Data Sheet'!$F$198:$F$275,0)),"")</f>
        <v/>
      </c>
      <c r="U123" s="110" t="str">
        <f>IFERROR(INDEX('Data Sheet'!$D$198:$D$275,MATCH(I123,'Data Sheet'!$F$198:$F$275,0)),"")</f>
        <v/>
      </c>
      <c r="V123" s="99"/>
      <c r="W123" s="195" t="str">
        <f>IF(V123=Setup!$C$30,"Grant",IF(V123=Setup!$C$31,"Local",IF(V123=Setup!$C$32,"Other",IF(ISBLANK(V123),"","Other"))))</f>
        <v/>
      </c>
      <c r="X123" s="255"/>
      <c r="Y123" s="259" t="str">
        <f>IF(X123&lt;&gt;"",X123/VLOOKUP($V123,Setup!$C$30:$D$41,2,0),"")</f>
        <v/>
      </c>
      <c r="Z123" s="262"/>
      <c r="AA123" s="256" t="str">
        <f t="shared" si="42"/>
        <v/>
      </c>
      <c r="AB123" s="262"/>
      <c r="AC123" s="258" t="str">
        <f t="shared" si="43"/>
        <v/>
      </c>
      <c r="AD123" s="262"/>
      <c r="AE123" s="258" t="str">
        <f t="shared" si="44"/>
        <v/>
      </c>
      <c r="AF123" s="262"/>
      <c r="AG123" s="256" t="str">
        <f t="shared" si="45"/>
        <v/>
      </c>
      <c r="AH123" s="256" t="str">
        <f t="shared" si="46"/>
        <v/>
      </c>
      <c r="AI123" s="256" t="str">
        <f t="shared" si="47"/>
        <v/>
      </c>
      <c r="AJ123" s="111"/>
      <c r="AK123" s="255"/>
      <c r="AL123" s="259" t="str">
        <f>IF(AK123&lt;&gt;"",AK123/VLOOKUP($V123,Setup!$C$30:$D$41,2,0),"")</f>
        <v/>
      </c>
      <c r="AM123" s="266"/>
      <c r="AN123" s="258" t="str">
        <f t="shared" si="48"/>
        <v/>
      </c>
      <c r="AO123" s="266"/>
      <c r="AP123" s="258" t="str">
        <f t="shared" si="49"/>
        <v/>
      </c>
      <c r="AQ123" s="266"/>
      <c r="AR123" s="258" t="str">
        <f t="shared" si="50"/>
        <v/>
      </c>
      <c r="AS123" s="266"/>
      <c r="AT123" s="256" t="str">
        <f t="shared" si="51"/>
        <v/>
      </c>
      <c r="AU123" s="256" t="str">
        <f t="shared" si="52"/>
        <v/>
      </c>
      <c r="AV123" s="256" t="str">
        <f t="shared" si="53"/>
        <v/>
      </c>
      <c r="AW123" s="267"/>
      <c r="AX123" s="255"/>
      <c r="AY123" s="259" t="str">
        <f>IF(AX123&lt;&gt;"",AX123/VLOOKUP($V123,Setup!$C$30:$D$41,2,0),"")</f>
        <v/>
      </c>
      <c r="AZ123" s="268"/>
      <c r="BA123" s="258" t="str">
        <f t="shared" si="54"/>
        <v/>
      </c>
      <c r="BB123" s="268"/>
      <c r="BC123" s="258" t="str">
        <f t="shared" si="55"/>
        <v/>
      </c>
      <c r="BD123" s="268"/>
      <c r="BE123" s="258" t="str">
        <f t="shared" si="56"/>
        <v/>
      </c>
      <c r="BF123" s="268"/>
      <c r="BG123" s="256" t="str">
        <f t="shared" si="57"/>
        <v/>
      </c>
      <c r="BH123" s="256" t="str">
        <f t="shared" si="58"/>
        <v/>
      </c>
      <c r="BI123" s="256" t="str">
        <f t="shared" si="59"/>
        <v/>
      </c>
      <c r="BJ123" s="267"/>
      <c r="BK123" s="255"/>
      <c r="BL123" s="259" t="str">
        <f>IF(BK123&lt;&gt;"",BK123/VLOOKUP($V123,Setup!$C$30:$D$41,2,0),"")</f>
        <v/>
      </c>
      <c r="BM123" s="268"/>
      <c r="BN123" s="258" t="str">
        <f t="shared" si="60"/>
        <v/>
      </c>
      <c r="BO123" s="268"/>
      <c r="BP123" s="258" t="str">
        <f t="shared" si="61"/>
        <v/>
      </c>
      <c r="BQ123" s="268"/>
      <c r="BR123" s="258" t="str">
        <f t="shared" si="62"/>
        <v/>
      </c>
      <c r="BS123" s="268"/>
      <c r="BT123" s="256" t="str">
        <f t="shared" si="63"/>
        <v/>
      </c>
      <c r="BU123" s="256" t="str">
        <f t="shared" si="64"/>
        <v/>
      </c>
      <c r="BV123" s="256" t="str">
        <f t="shared" si="65"/>
        <v/>
      </c>
      <c r="BW123" s="267"/>
      <c r="BX123" s="256" t="str">
        <f t="shared" si="66"/>
        <v/>
      </c>
      <c r="BY123" s="256" t="str">
        <f t="shared" si="67"/>
        <v/>
      </c>
      <c r="BZ123" s="281"/>
      <c r="CA123" s="282"/>
      <c r="CC123" s="112" t="str">
        <f t="shared" ca="1" si="68"/>
        <v/>
      </c>
      <c r="CF123" s="284"/>
      <c r="CG123" s="284"/>
      <c r="CH123" s="284"/>
      <c r="CI123" s="284"/>
      <c r="CL123" s="356" t="str">
        <f>IFERROR(VLOOKUP(C123,'Data Sheet'!$A$3:$B$26,2,FALSE),"")</f>
        <v/>
      </c>
    </row>
    <row r="124" spans="1:90" s="98" customFormat="1" ht="15.75" x14ac:dyDescent="0.2">
      <c r="A124" s="97"/>
      <c r="B124" s="105" t="str">
        <f t="shared" si="71"/>
        <v>--</v>
      </c>
      <c r="C124" s="276"/>
      <c r="D124" s="101" t="str">
        <f>IFERROR(IF(VLOOKUP(C124,'Data Sheet'!$A$3:$D$26,4,FALSE)=0,"",VLOOKUP(C124,'Data Sheet'!$A$3:$D$26,4,FALSE)),"")</f>
        <v/>
      </c>
      <c r="E124" s="279"/>
      <c r="F124" s="103" t="str">
        <f>IFERROR(IF(VLOOKUP(E124,'Data Sheet'!$C$29:$E$174,3,FALSE)=0,"",VLOOKUP(E124,'Data Sheet'!$C$29:$E$174,3,FALSE)),"")</f>
        <v/>
      </c>
      <c r="G124" s="106" t="str">
        <f t="shared" si="69"/>
        <v>-</v>
      </c>
      <c r="H124" s="273"/>
      <c r="I124" s="107"/>
      <c r="J124" s="249" t="e">
        <f t="shared" si="70"/>
        <v>#VALUE!</v>
      </c>
      <c r="K124" s="101" t="str">
        <f>IFERROR(INDEX('Data Sheet'!$C$198:$C$275,MATCH(I124,'Data Sheet'!$F$198:$F$275,0)),"")</f>
        <v/>
      </c>
      <c r="L124" s="250" t="str">
        <f>IFERROR(INDEX('Data Sheet'!$G$198:$G$275,MATCH(I124,'Data Sheet'!$F$198:$F$275,0)),"")</f>
        <v/>
      </c>
      <c r="M124" s="194"/>
      <c r="N124" s="248"/>
      <c r="O124" s="248"/>
      <c r="P124" s="108" t="str">
        <f>IFERROR(INDEX(Setup!$D$44:$D$70,MATCH(M124,Setup!$K$44:$K$70,0))&amp;"","")</f>
        <v/>
      </c>
      <c r="Q124" s="108" t="str">
        <f>IFERROR(INDEX(Setup!$E$44:$E$70,MATCH(M124,Setup!$K$44:$K$70,0))&amp;"","")</f>
        <v/>
      </c>
      <c r="R124" s="108" t="str">
        <f>IFERROR(INDEX(Setup!$L$44:$L$70,MATCH(M124,Setup!$K$44:$K$70,0))&amp;"","")</f>
        <v/>
      </c>
      <c r="S124" s="108" t="str">
        <f>Setup!$C$30</f>
        <v>USD</v>
      </c>
      <c r="T124" s="109" t="str">
        <f>IFERROR(INDEX('Data Sheet'!$B$198:$B$275,MATCH(I124,'Data Sheet'!$F$198:$F$275,0)),"")</f>
        <v/>
      </c>
      <c r="U124" s="110" t="str">
        <f>IFERROR(INDEX('Data Sheet'!$D$198:$D$275,MATCH(I124,'Data Sheet'!$F$198:$F$275,0)),"")</f>
        <v/>
      </c>
      <c r="V124" s="99"/>
      <c r="W124" s="195" t="str">
        <f>IF(V124=Setup!$C$30,"Grant",IF(V124=Setup!$C$31,"Local",IF(V124=Setup!$C$32,"Other",IF(ISBLANK(V124),"","Other"))))</f>
        <v/>
      </c>
      <c r="X124" s="255"/>
      <c r="Y124" s="259" t="str">
        <f>IF(X124&lt;&gt;"",X124/VLOOKUP($V124,Setup!$C$30:$D$41,2,0),"")</f>
        <v/>
      </c>
      <c r="Z124" s="262"/>
      <c r="AA124" s="256" t="str">
        <f t="shared" si="42"/>
        <v/>
      </c>
      <c r="AB124" s="262"/>
      <c r="AC124" s="258" t="str">
        <f t="shared" si="43"/>
        <v/>
      </c>
      <c r="AD124" s="262"/>
      <c r="AE124" s="258" t="str">
        <f t="shared" si="44"/>
        <v/>
      </c>
      <c r="AF124" s="262"/>
      <c r="AG124" s="256" t="str">
        <f t="shared" si="45"/>
        <v/>
      </c>
      <c r="AH124" s="256" t="str">
        <f t="shared" si="46"/>
        <v/>
      </c>
      <c r="AI124" s="256" t="str">
        <f t="shared" si="47"/>
        <v/>
      </c>
      <c r="AJ124" s="111"/>
      <c r="AK124" s="255"/>
      <c r="AL124" s="259" t="str">
        <f>IF(AK124&lt;&gt;"",AK124/VLOOKUP($V124,Setup!$C$30:$D$41,2,0),"")</f>
        <v/>
      </c>
      <c r="AM124" s="266"/>
      <c r="AN124" s="258" t="str">
        <f t="shared" si="48"/>
        <v/>
      </c>
      <c r="AO124" s="266"/>
      <c r="AP124" s="258" t="str">
        <f t="shared" si="49"/>
        <v/>
      </c>
      <c r="AQ124" s="266"/>
      <c r="AR124" s="258" t="str">
        <f t="shared" si="50"/>
        <v/>
      </c>
      <c r="AS124" s="266"/>
      <c r="AT124" s="256" t="str">
        <f t="shared" si="51"/>
        <v/>
      </c>
      <c r="AU124" s="256" t="str">
        <f t="shared" si="52"/>
        <v/>
      </c>
      <c r="AV124" s="256" t="str">
        <f t="shared" si="53"/>
        <v/>
      </c>
      <c r="AW124" s="267"/>
      <c r="AX124" s="255"/>
      <c r="AY124" s="259" t="str">
        <f>IF(AX124&lt;&gt;"",AX124/VLOOKUP($V124,Setup!$C$30:$D$41,2,0),"")</f>
        <v/>
      </c>
      <c r="AZ124" s="268"/>
      <c r="BA124" s="258" t="str">
        <f t="shared" si="54"/>
        <v/>
      </c>
      <c r="BB124" s="268"/>
      <c r="BC124" s="258" t="str">
        <f t="shared" si="55"/>
        <v/>
      </c>
      <c r="BD124" s="268"/>
      <c r="BE124" s="258" t="str">
        <f t="shared" si="56"/>
        <v/>
      </c>
      <c r="BF124" s="268"/>
      <c r="BG124" s="256" t="str">
        <f t="shared" si="57"/>
        <v/>
      </c>
      <c r="BH124" s="256" t="str">
        <f t="shared" si="58"/>
        <v/>
      </c>
      <c r="BI124" s="256" t="str">
        <f t="shared" si="59"/>
        <v/>
      </c>
      <c r="BJ124" s="267"/>
      <c r="BK124" s="255"/>
      <c r="BL124" s="259" t="str">
        <f>IF(BK124&lt;&gt;"",BK124/VLOOKUP($V124,Setup!$C$30:$D$41,2,0),"")</f>
        <v/>
      </c>
      <c r="BM124" s="268"/>
      <c r="BN124" s="258" t="str">
        <f t="shared" si="60"/>
        <v/>
      </c>
      <c r="BO124" s="268"/>
      <c r="BP124" s="258" t="str">
        <f t="shared" si="61"/>
        <v/>
      </c>
      <c r="BQ124" s="268"/>
      <c r="BR124" s="258" t="str">
        <f t="shared" si="62"/>
        <v/>
      </c>
      <c r="BS124" s="268"/>
      <c r="BT124" s="256" t="str">
        <f t="shared" si="63"/>
        <v/>
      </c>
      <c r="BU124" s="256" t="str">
        <f t="shared" si="64"/>
        <v/>
      </c>
      <c r="BV124" s="256" t="str">
        <f t="shared" si="65"/>
        <v/>
      </c>
      <c r="BW124" s="267"/>
      <c r="BX124" s="256" t="str">
        <f t="shared" si="66"/>
        <v/>
      </c>
      <c r="BY124" s="256" t="str">
        <f t="shared" si="67"/>
        <v/>
      </c>
      <c r="BZ124" s="281"/>
      <c r="CA124" s="282"/>
      <c r="CC124" s="112" t="str">
        <f t="shared" ca="1" si="68"/>
        <v/>
      </c>
      <c r="CF124" s="284"/>
      <c r="CG124" s="284"/>
      <c r="CH124" s="284"/>
      <c r="CI124" s="284"/>
      <c r="CL124" s="356" t="str">
        <f>IFERROR(VLOOKUP(C124,'Data Sheet'!$A$3:$B$26,2,FALSE),"")</f>
        <v/>
      </c>
    </row>
    <row r="125" spans="1:90" s="98" customFormat="1" ht="15.75" x14ac:dyDescent="0.2">
      <c r="A125" s="97"/>
      <c r="B125" s="105" t="str">
        <f t="shared" si="71"/>
        <v>--</v>
      </c>
      <c r="C125" s="276"/>
      <c r="D125" s="101" t="str">
        <f>IFERROR(IF(VLOOKUP(C125,'Data Sheet'!$A$3:$D$26,4,FALSE)=0,"",VLOOKUP(C125,'Data Sheet'!$A$3:$D$26,4,FALSE)),"")</f>
        <v/>
      </c>
      <c r="E125" s="279"/>
      <c r="F125" s="103" t="str">
        <f>IFERROR(IF(VLOOKUP(E125,'Data Sheet'!$C$29:$E$174,3,FALSE)=0,"",VLOOKUP(E125,'Data Sheet'!$C$29:$E$174,3,FALSE)),"")</f>
        <v/>
      </c>
      <c r="G125" s="106" t="str">
        <f t="shared" si="69"/>
        <v>-</v>
      </c>
      <c r="H125" s="273"/>
      <c r="I125" s="107"/>
      <c r="J125" s="249" t="e">
        <f t="shared" si="70"/>
        <v>#VALUE!</v>
      </c>
      <c r="K125" s="101" t="str">
        <f>IFERROR(INDEX('Data Sheet'!$C$198:$C$275,MATCH(I125,'Data Sheet'!$F$198:$F$275,0)),"")</f>
        <v/>
      </c>
      <c r="L125" s="250" t="str">
        <f>IFERROR(INDEX('Data Sheet'!$G$198:$G$275,MATCH(I125,'Data Sheet'!$F$198:$F$275,0)),"")</f>
        <v/>
      </c>
      <c r="M125" s="194"/>
      <c r="N125" s="248"/>
      <c r="O125" s="248"/>
      <c r="P125" s="108" t="str">
        <f>IFERROR(INDEX(Setup!$D$44:$D$70,MATCH(M125,Setup!$K$44:$K$70,0))&amp;"","")</f>
        <v/>
      </c>
      <c r="Q125" s="108" t="str">
        <f>IFERROR(INDEX(Setup!$E$44:$E$70,MATCH(M125,Setup!$K$44:$K$70,0))&amp;"","")</f>
        <v/>
      </c>
      <c r="R125" s="108" t="str">
        <f>IFERROR(INDEX(Setup!$L$44:$L$70,MATCH(M125,Setup!$K$44:$K$70,0))&amp;"","")</f>
        <v/>
      </c>
      <c r="S125" s="108" t="str">
        <f>Setup!$C$30</f>
        <v>USD</v>
      </c>
      <c r="T125" s="109" t="str">
        <f>IFERROR(INDEX('Data Sheet'!$B$198:$B$275,MATCH(I125,'Data Sheet'!$F$198:$F$275,0)),"")</f>
        <v/>
      </c>
      <c r="U125" s="110" t="str">
        <f>IFERROR(INDEX('Data Sheet'!$D$198:$D$275,MATCH(I125,'Data Sheet'!$F$198:$F$275,0)),"")</f>
        <v/>
      </c>
      <c r="V125" s="99"/>
      <c r="W125" s="195" t="str">
        <f>IF(V125=Setup!$C$30,"Grant",IF(V125=Setup!$C$31,"Local",IF(V125=Setup!$C$32,"Other",IF(ISBLANK(V125),"","Other"))))</f>
        <v/>
      </c>
      <c r="X125" s="255"/>
      <c r="Y125" s="259" t="str">
        <f>IF(X125&lt;&gt;"",X125/VLOOKUP($V125,Setup!$C$30:$D$41,2,0),"")</f>
        <v/>
      </c>
      <c r="Z125" s="262"/>
      <c r="AA125" s="256" t="str">
        <f t="shared" si="42"/>
        <v/>
      </c>
      <c r="AB125" s="262"/>
      <c r="AC125" s="258" t="str">
        <f t="shared" si="43"/>
        <v/>
      </c>
      <c r="AD125" s="262"/>
      <c r="AE125" s="258" t="str">
        <f t="shared" si="44"/>
        <v/>
      </c>
      <c r="AF125" s="262"/>
      <c r="AG125" s="256" t="str">
        <f t="shared" si="45"/>
        <v/>
      </c>
      <c r="AH125" s="256" t="str">
        <f t="shared" si="46"/>
        <v/>
      </c>
      <c r="AI125" s="256" t="str">
        <f t="shared" si="47"/>
        <v/>
      </c>
      <c r="AJ125" s="111"/>
      <c r="AK125" s="255"/>
      <c r="AL125" s="259" t="str">
        <f>IF(AK125&lt;&gt;"",AK125/VLOOKUP($V125,Setup!$C$30:$D$41,2,0),"")</f>
        <v/>
      </c>
      <c r="AM125" s="266"/>
      <c r="AN125" s="258" t="str">
        <f t="shared" si="48"/>
        <v/>
      </c>
      <c r="AO125" s="266"/>
      <c r="AP125" s="258" t="str">
        <f t="shared" si="49"/>
        <v/>
      </c>
      <c r="AQ125" s="266"/>
      <c r="AR125" s="258" t="str">
        <f t="shared" si="50"/>
        <v/>
      </c>
      <c r="AS125" s="266"/>
      <c r="AT125" s="256" t="str">
        <f t="shared" si="51"/>
        <v/>
      </c>
      <c r="AU125" s="256" t="str">
        <f t="shared" si="52"/>
        <v/>
      </c>
      <c r="AV125" s="256" t="str">
        <f t="shared" si="53"/>
        <v/>
      </c>
      <c r="AW125" s="267"/>
      <c r="AX125" s="255"/>
      <c r="AY125" s="259" t="str">
        <f>IF(AX125&lt;&gt;"",AX125/VLOOKUP($V125,Setup!$C$30:$D$41,2,0),"")</f>
        <v/>
      </c>
      <c r="AZ125" s="268"/>
      <c r="BA125" s="258" t="str">
        <f t="shared" si="54"/>
        <v/>
      </c>
      <c r="BB125" s="268"/>
      <c r="BC125" s="258" t="str">
        <f t="shared" si="55"/>
        <v/>
      </c>
      <c r="BD125" s="268"/>
      <c r="BE125" s="258" t="str">
        <f t="shared" si="56"/>
        <v/>
      </c>
      <c r="BF125" s="268"/>
      <c r="BG125" s="256" t="str">
        <f t="shared" si="57"/>
        <v/>
      </c>
      <c r="BH125" s="256" t="str">
        <f t="shared" si="58"/>
        <v/>
      </c>
      <c r="BI125" s="256" t="str">
        <f t="shared" si="59"/>
        <v/>
      </c>
      <c r="BJ125" s="267"/>
      <c r="BK125" s="255"/>
      <c r="BL125" s="259" t="str">
        <f>IF(BK125&lt;&gt;"",BK125/VLOOKUP($V125,Setup!$C$30:$D$41,2,0),"")</f>
        <v/>
      </c>
      <c r="BM125" s="268"/>
      <c r="BN125" s="258" t="str">
        <f t="shared" si="60"/>
        <v/>
      </c>
      <c r="BO125" s="268"/>
      <c r="BP125" s="258" t="str">
        <f t="shared" si="61"/>
        <v/>
      </c>
      <c r="BQ125" s="268"/>
      <c r="BR125" s="258" t="str">
        <f t="shared" si="62"/>
        <v/>
      </c>
      <c r="BS125" s="268"/>
      <c r="BT125" s="256" t="str">
        <f t="shared" si="63"/>
        <v/>
      </c>
      <c r="BU125" s="256" t="str">
        <f t="shared" si="64"/>
        <v/>
      </c>
      <c r="BV125" s="256" t="str">
        <f t="shared" si="65"/>
        <v/>
      </c>
      <c r="BW125" s="267"/>
      <c r="BX125" s="256" t="str">
        <f t="shared" si="66"/>
        <v/>
      </c>
      <c r="BY125" s="256" t="str">
        <f t="shared" si="67"/>
        <v/>
      </c>
      <c r="BZ125" s="281"/>
      <c r="CA125" s="282"/>
      <c r="CC125" s="112" t="str">
        <f t="shared" ca="1" si="68"/>
        <v/>
      </c>
      <c r="CF125" s="284"/>
      <c r="CG125" s="284"/>
      <c r="CH125" s="284"/>
      <c r="CI125" s="284"/>
      <c r="CL125" s="356" t="str">
        <f>IFERROR(VLOOKUP(C125,'Data Sheet'!$A$3:$B$26,2,FALSE),"")</f>
        <v/>
      </c>
    </row>
    <row r="126" spans="1:90" s="98" customFormat="1" ht="15.75" x14ac:dyDescent="0.2">
      <c r="A126" s="97"/>
      <c r="B126" s="105" t="str">
        <f t="shared" si="71"/>
        <v>--</v>
      </c>
      <c r="C126" s="276"/>
      <c r="D126" s="101" t="str">
        <f>IFERROR(IF(VLOOKUP(C126,'Data Sheet'!$A$3:$D$26,4,FALSE)=0,"",VLOOKUP(C126,'Data Sheet'!$A$3:$D$26,4,FALSE)),"")</f>
        <v/>
      </c>
      <c r="E126" s="279"/>
      <c r="F126" s="103" t="str">
        <f>IFERROR(IF(VLOOKUP(E126,'Data Sheet'!$C$29:$E$174,3,FALSE)=0,"",VLOOKUP(E126,'Data Sheet'!$C$29:$E$174,3,FALSE)),"")</f>
        <v/>
      </c>
      <c r="G126" s="106" t="str">
        <f t="shared" si="69"/>
        <v>-</v>
      </c>
      <c r="H126" s="273"/>
      <c r="I126" s="107"/>
      <c r="J126" s="249" t="e">
        <f t="shared" si="70"/>
        <v>#VALUE!</v>
      </c>
      <c r="K126" s="101" t="str">
        <f>IFERROR(INDEX('Data Sheet'!$C$198:$C$275,MATCH(I126,'Data Sheet'!$F$198:$F$275,0)),"")</f>
        <v/>
      </c>
      <c r="L126" s="250" t="str">
        <f>IFERROR(INDEX('Data Sheet'!$G$198:$G$275,MATCH(I126,'Data Sheet'!$F$198:$F$275,0)),"")</f>
        <v/>
      </c>
      <c r="M126" s="194"/>
      <c r="N126" s="248"/>
      <c r="O126" s="248"/>
      <c r="P126" s="108" t="str">
        <f>IFERROR(INDEX(Setup!$D$44:$D$70,MATCH(M126,Setup!$K$44:$K$70,0))&amp;"","")</f>
        <v/>
      </c>
      <c r="Q126" s="108" t="str">
        <f>IFERROR(INDEX(Setup!$E$44:$E$70,MATCH(M126,Setup!$K$44:$K$70,0))&amp;"","")</f>
        <v/>
      </c>
      <c r="R126" s="108" t="str">
        <f>IFERROR(INDEX(Setup!$L$44:$L$70,MATCH(M126,Setup!$K$44:$K$70,0))&amp;"","")</f>
        <v/>
      </c>
      <c r="S126" s="108" t="str">
        <f>Setup!$C$30</f>
        <v>USD</v>
      </c>
      <c r="T126" s="109" t="str">
        <f>IFERROR(INDEX('Data Sheet'!$B$198:$B$275,MATCH(I126,'Data Sheet'!$F$198:$F$275,0)),"")</f>
        <v/>
      </c>
      <c r="U126" s="110" t="str">
        <f>IFERROR(INDEX('Data Sheet'!$D$198:$D$275,MATCH(I126,'Data Sheet'!$F$198:$F$275,0)),"")</f>
        <v/>
      </c>
      <c r="V126" s="99"/>
      <c r="W126" s="195" t="str">
        <f>IF(V126=Setup!$C$30,"Grant",IF(V126=Setup!$C$31,"Local",IF(V126=Setup!$C$32,"Other",IF(ISBLANK(V126),"","Other"))))</f>
        <v/>
      </c>
      <c r="X126" s="255"/>
      <c r="Y126" s="259" t="str">
        <f>IF(X126&lt;&gt;"",X126/VLOOKUP($V126,Setup!$C$30:$D$41,2,0),"")</f>
        <v/>
      </c>
      <c r="Z126" s="262"/>
      <c r="AA126" s="256" t="str">
        <f t="shared" si="42"/>
        <v/>
      </c>
      <c r="AB126" s="262"/>
      <c r="AC126" s="258" t="str">
        <f t="shared" si="43"/>
        <v/>
      </c>
      <c r="AD126" s="262"/>
      <c r="AE126" s="258" t="str">
        <f t="shared" si="44"/>
        <v/>
      </c>
      <c r="AF126" s="262"/>
      <c r="AG126" s="256" t="str">
        <f t="shared" si="45"/>
        <v/>
      </c>
      <c r="AH126" s="256" t="str">
        <f t="shared" si="46"/>
        <v/>
      </c>
      <c r="AI126" s="256" t="str">
        <f t="shared" si="47"/>
        <v/>
      </c>
      <c r="AJ126" s="111"/>
      <c r="AK126" s="255"/>
      <c r="AL126" s="259" t="str">
        <f>IF(AK126&lt;&gt;"",AK126/VLOOKUP($V126,Setup!$C$30:$D$41,2,0),"")</f>
        <v/>
      </c>
      <c r="AM126" s="266"/>
      <c r="AN126" s="258" t="str">
        <f t="shared" si="48"/>
        <v/>
      </c>
      <c r="AO126" s="266"/>
      <c r="AP126" s="258" t="str">
        <f t="shared" si="49"/>
        <v/>
      </c>
      <c r="AQ126" s="266"/>
      <c r="AR126" s="258" t="str">
        <f t="shared" si="50"/>
        <v/>
      </c>
      <c r="AS126" s="266"/>
      <c r="AT126" s="256" t="str">
        <f t="shared" si="51"/>
        <v/>
      </c>
      <c r="AU126" s="256" t="str">
        <f t="shared" si="52"/>
        <v/>
      </c>
      <c r="AV126" s="256" t="str">
        <f t="shared" si="53"/>
        <v/>
      </c>
      <c r="AW126" s="267"/>
      <c r="AX126" s="255"/>
      <c r="AY126" s="259" t="str">
        <f>IF(AX126&lt;&gt;"",AX126/VLOOKUP($V126,Setup!$C$30:$D$41,2,0),"")</f>
        <v/>
      </c>
      <c r="AZ126" s="268"/>
      <c r="BA126" s="258" t="str">
        <f t="shared" si="54"/>
        <v/>
      </c>
      <c r="BB126" s="268"/>
      <c r="BC126" s="258" t="str">
        <f t="shared" si="55"/>
        <v/>
      </c>
      <c r="BD126" s="268"/>
      <c r="BE126" s="258" t="str">
        <f t="shared" si="56"/>
        <v/>
      </c>
      <c r="BF126" s="268"/>
      <c r="BG126" s="256" t="str">
        <f t="shared" si="57"/>
        <v/>
      </c>
      <c r="BH126" s="256" t="str">
        <f t="shared" si="58"/>
        <v/>
      </c>
      <c r="BI126" s="256" t="str">
        <f t="shared" si="59"/>
        <v/>
      </c>
      <c r="BJ126" s="267"/>
      <c r="BK126" s="255"/>
      <c r="BL126" s="259" t="str">
        <f>IF(BK126&lt;&gt;"",BK126/VLOOKUP($V126,Setup!$C$30:$D$41,2,0),"")</f>
        <v/>
      </c>
      <c r="BM126" s="268"/>
      <c r="BN126" s="258" t="str">
        <f t="shared" si="60"/>
        <v/>
      </c>
      <c r="BO126" s="268"/>
      <c r="BP126" s="258" t="str">
        <f t="shared" si="61"/>
        <v/>
      </c>
      <c r="BQ126" s="268"/>
      <c r="BR126" s="258" t="str">
        <f t="shared" si="62"/>
        <v/>
      </c>
      <c r="BS126" s="268"/>
      <c r="BT126" s="256" t="str">
        <f t="shared" si="63"/>
        <v/>
      </c>
      <c r="BU126" s="256" t="str">
        <f t="shared" si="64"/>
        <v/>
      </c>
      <c r="BV126" s="256" t="str">
        <f t="shared" si="65"/>
        <v/>
      </c>
      <c r="BW126" s="267"/>
      <c r="BX126" s="256" t="str">
        <f t="shared" si="66"/>
        <v/>
      </c>
      <c r="BY126" s="256" t="str">
        <f t="shared" si="67"/>
        <v/>
      </c>
      <c r="BZ126" s="281"/>
      <c r="CA126" s="282"/>
      <c r="CC126" s="112" t="str">
        <f t="shared" ca="1" si="68"/>
        <v/>
      </c>
      <c r="CF126" s="284"/>
      <c r="CG126" s="284"/>
      <c r="CH126" s="284"/>
      <c r="CI126" s="284"/>
      <c r="CL126" s="356" t="str">
        <f>IFERROR(VLOOKUP(C126,'Data Sheet'!$A$3:$B$26,2,FALSE),"")</f>
        <v/>
      </c>
    </row>
    <row r="127" spans="1:90" s="98" customFormat="1" ht="15.75" x14ac:dyDescent="0.2">
      <c r="A127" s="97"/>
      <c r="B127" s="105" t="str">
        <f t="shared" si="71"/>
        <v>--</v>
      </c>
      <c r="C127" s="276"/>
      <c r="D127" s="101" t="str">
        <f>IFERROR(IF(VLOOKUP(C127,'Data Sheet'!$A$3:$D$26,4,FALSE)=0,"",VLOOKUP(C127,'Data Sheet'!$A$3:$D$26,4,FALSE)),"")</f>
        <v/>
      </c>
      <c r="E127" s="279"/>
      <c r="F127" s="103" t="str">
        <f>IFERROR(IF(VLOOKUP(E127,'Data Sheet'!$C$29:$E$174,3,FALSE)=0,"",VLOOKUP(E127,'Data Sheet'!$C$29:$E$174,3,FALSE)),"")</f>
        <v/>
      </c>
      <c r="G127" s="106" t="str">
        <f t="shared" si="69"/>
        <v>-</v>
      </c>
      <c r="H127" s="273"/>
      <c r="I127" s="107"/>
      <c r="J127" s="249" t="e">
        <f t="shared" si="70"/>
        <v>#VALUE!</v>
      </c>
      <c r="K127" s="101" t="str">
        <f>IFERROR(INDEX('Data Sheet'!$C$198:$C$275,MATCH(I127,'Data Sheet'!$F$198:$F$275,0)),"")</f>
        <v/>
      </c>
      <c r="L127" s="250" t="str">
        <f>IFERROR(INDEX('Data Sheet'!$G$198:$G$275,MATCH(I127,'Data Sheet'!$F$198:$F$275,0)),"")</f>
        <v/>
      </c>
      <c r="M127" s="194"/>
      <c r="N127" s="248"/>
      <c r="O127" s="248"/>
      <c r="P127" s="108" t="str">
        <f>IFERROR(INDEX(Setup!$D$44:$D$70,MATCH(M127,Setup!$K$44:$K$70,0))&amp;"","")</f>
        <v/>
      </c>
      <c r="Q127" s="108" t="str">
        <f>IFERROR(INDEX(Setup!$E$44:$E$70,MATCH(M127,Setup!$K$44:$K$70,0))&amp;"","")</f>
        <v/>
      </c>
      <c r="R127" s="108" t="str">
        <f>IFERROR(INDEX(Setup!$L$44:$L$70,MATCH(M127,Setup!$K$44:$K$70,0))&amp;"","")</f>
        <v/>
      </c>
      <c r="S127" s="108" t="str">
        <f>Setup!$C$30</f>
        <v>USD</v>
      </c>
      <c r="T127" s="109" t="str">
        <f>IFERROR(INDEX('Data Sheet'!$B$198:$B$275,MATCH(I127,'Data Sheet'!$F$198:$F$275,0)),"")</f>
        <v/>
      </c>
      <c r="U127" s="110" t="str">
        <f>IFERROR(INDEX('Data Sheet'!$D$198:$D$275,MATCH(I127,'Data Sheet'!$F$198:$F$275,0)),"")</f>
        <v/>
      </c>
      <c r="V127" s="99"/>
      <c r="W127" s="195" t="str">
        <f>IF(V127=Setup!$C$30,"Grant",IF(V127=Setup!$C$31,"Local",IF(V127=Setup!$C$32,"Other",IF(ISBLANK(V127),"","Other"))))</f>
        <v/>
      </c>
      <c r="X127" s="255"/>
      <c r="Y127" s="259" t="str">
        <f>IF(X127&lt;&gt;"",X127/VLOOKUP($V127,Setup!$C$30:$D$41,2,0),"")</f>
        <v/>
      </c>
      <c r="Z127" s="262"/>
      <c r="AA127" s="256" t="str">
        <f t="shared" si="42"/>
        <v/>
      </c>
      <c r="AB127" s="262"/>
      <c r="AC127" s="258" t="str">
        <f t="shared" si="43"/>
        <v/>
      </c>
      <c r="AD127" s="262"/>
      <c r="AE127" s="258" t="str">
        <f t="shared" si="44"/>
        <v/>
      </c>
      <c r="AF127" s="262"/>
      <c r="AG127" s="256" t="str">
        <f t="shared" si="45"/>
        <v/>
      </c>
      <c r="AH127" s="256" t="str">
        <f t="shared" si="46"/>
        <v/>
      </c>
      <c r="AI127" s="256" t="str">
        <f t="shared" si="47"/>
        <v/>
      </c>
      <c r="AJ127" s="111"/>
      <c r="AK127" s="255"/>
      <c r="AL127" s="259" t="str">
        <f>IF(AK127&lt;&gt;"",AK127/VLOOKUP($V127,Setup!$C$30:$D$41,2,0),"")</f>
        <v/>
      </c>
      <c r="AM127" s="266"/>
      <c r="AN127" s="258" t="str">
        <f t="shared" si="48"/>
        <v/>
      </c>
      <c r="AO127" s="266"/>
      <c r="AP127" s="258" t="str">
        <f t="shared" si="49"/>
        <v/>
      </c>
      <c r="AQ127" s="266"/>
      <c r="AR127" s="258" t="str">
        <f t="shared" si="50"/>
        <v/>
      </c>
      <c r="AS127" s="266"/>
      <c r="AT127" s="256" t="str">
        <f t="shared" si="51"/>
        <v/>
      </c>
      <c r="AU127" s="256" t="str">
        <f t="shared" si="52"/>
        <v/>
      </c>
      <c r="AV127" s="256" t="str">
        <f t="shared" si="53"/>
        <v/>
      </c>
      <c r="AW127" s="267"/>
      <c r="AX127" s="255"/>
      <c r="AY127" s="259" t="str">
        <f>IF(AX127&lt;&gt;"",AX127/VLOOKUP($V127,Setup!$C$30:$D$41,2,0),"")</f>
        <v/>
      </c>
      <c r="AZ127" s="268"/>
      <c r="BA127" s="258" t="str">
        <f t="shared" si="54"/>
        <v/>
      </c>
      <c r="BB127" s="268"/>
      <c r="BC127" s="258" t="str">
        <f t="shared" si="55"/>
        <v/>
      </c>
      <c r="BD127" s="268"/>
      <c r="BE127" s="258" t="str">
        <f t="shared" si="56"/>
        <v/>
      </c>
      <c r="BF127" s="268"/>
      <c r="BG127" s="256" t="str">
        <f t="shared" si="57"/>
        <v/>
      </c>
      <c r="BH127" s="256" t="str">
        <f t="shared" si="58"/>
        <v/>
      </c>
      <c r="BI127" s="256" t="str">
        <f t="shared" si="59"/>
        <v/>
      </c>
      <c r="BJ127" s="267"/>
      <c r="BK127" s="255"/>
      <c r="BL127" s="259" t="str">
        <f>IF(BK127&lt;&gt;"",BK127/VLOOKUP($V127,Setup!$C$30:$D$41,2,0),"")</f>
        <v/>
      </c>
      <c r="BM127" s="268"/>
      <c r="BN127" s="258" t="str">
        <f t="shared" si="60"/>
        <v/>
      </c>
      <c r="BO127" s="268"/>
      <c r="BP127" s="258" t="str">
        <f t="shared" si="61"/>
        <v/>
      </c>
      <c r="BQ127" s="268"/>
      <c r="BR127" s="258" t="str">
        <f t="shared" si="62"/>
        <v/>
      </c>
      <c r="BS127" s="268"/>
      <c r="BT127" s="256" t="str">
        <f t="shared" si="63"/>
        <v/>
      </c>
      <c r="BU127" s="256" t="str">
        <f t="shared" si="64"/>
        <v/>
      </c>
      <c r="BV127" s="256" t="str">
        <f t="shared" si="65"/>
        <v/>
      </c>
      <c r="BW127" s="267"/>
      <c r="BX127" s="256" t="str">
        <f t="shared" si="66"/>
        <v/>
      </c>
      <c r="BY127" s="256" t="str">
        <f t="shared" si="67"/>
        <v/>
      </c>
      <c r="BZ127" s="281"/>
      <c r="CA127" s="282"/>
      <c r="CC127" s="112" t="str">
        <f t="shared" ca="1" si="68"/>
        <v/>
      </c>
      <c r="CF127" s="284"/>
      <c r="CG127" s="284"/>
      <c r="CH127" s="284"/>
      <c r="CI127" s="284"/>
      <c r="CL127" s="356" t="str">
        <f>IFERROR(VLOOKUP(C127,'Data Sheet'!$A$3:$B$26,2,FALSE),"")</f>
        <v/>
      </c>
    </row>
    <row r="128" spans="1:90" s="98" customFormat="1" ht="15.75" x14ac:dyDescent="0.2">
      <c r="A128" s="97"/>
      <c r="B128" s="105" t="str">
        <f t="shared" si="71"/>
        <v>--</v>
      </c>
      <c r="C128" s="276"/>
      <c r="D128" s="101" t="str">
        <f>IFERROR(IF(VLOOKUP(C128,'Data Sheet'!$A$3:$D$26,4,FALSE)=0,"",VLOOKUP(C128,'Data Sheet'!$A$3:$D$26,4,FALSE)),"")</f>
        <v/>
      </c>
      <c r="E128" s="279"/>
      <c r="F128" s="103" t="str">
        <f>IFERROR(IF(VLOOKUP(E128,'Data Sheet'!$C$29:$E$174,3,FALSE)=0,"",VLOOKUP(E128,'Data Sheet'!$C$29:$E$174,3,FALSE)),"")</f>
        <v/>
      </c>
      <c r="G128" s="106" t="str">
        <f t="shared" si="69"/>
        <v>-</v>
      </c>
      <c r="H128" s="273"/>
      <c r="I128" s="107"/>
      <c r="J128" s="249" t="e">
        <f t="shared" si="70"/>
        <v>#VALUE!</v>
      </c>
      <c r="K128" s="101" t="str">
        <f>IFERROR(INDEX('Data Sheet'!$C$198:$C$275,MATCH(I128,'Data Sheet'!$F$198:$F$275,0)),"")</f>
        <v/>
      </c>
      <c r="L128" s="250" t="str">
        <f>IFERROR(INDEX('Data Sheet'!$G$198:$G$275,MATCH(I128,'Data Sheet'!$F$198:$F$275,0)),"")</f>
        <v/>
      </c>
      <c r="M128" s="194"/>
      <c r="N128" s="248"/>
      <c r="O128" s="248"/>
      <c r="P128" s="108" t="str">
        <f>IFERROR(INDEX(Setup!$D$44:$D$70,MATCH(M128,Setup!$K$44:$K$70,0))&amp;"","")</f>
        <v/>
      </c>
      <c r="Q128" s="108" t="str">
        <f>IFERROR(INDEX(Setup!$E$44:$E$70,MATCH(M128,Setup!$K$44:$K$70,0))&amp;"","")</f>
        <v/>
      </c>
      <c r="R128" s="108" t="str">
        <f>IFERROR(INDEX(Setup!$L$44:$L$70,MATCH(M128,Setup!$K$44:$K$70,0))&amp;"","")</f>
        <v/>
      </c>
      <c r="S128" s="108" t="str">
        <f>Setup!$C$30</f>
        <v>USD</v>
      </c>
      <c r="T128" s="109" t="str">
        <f>IFERROR(INDEX('Data Sheet'!$B$198:$B$275,MATCH(I128,'Data Sheet'!$F$198:$F$275,0)),"")</f>
        <v/>
      </c>
      <c r="U128" s="110" t="str">
        <f>IFERROR(INDEX('Data Sheet'!$D$198:$D$275,MATCH(I128,'Data Sheet'!$F$198:$F$275,0)),"")</f>
        <v/>
      </c>
      <c r="V128" s="99"/>
      <c r="W128" s="195" t="str">
        <f>IF(V128=Setup!$C$30,"Grant",IF(V128=Setup!$C$31,"Local",IF(V128=Setup!$C$32,"Other",IF(ISBLANK(V128),"","Other"))))</f>
        <v/>
      </c>
      <c r="X128" s="255"/>
      <c r="Y128" s="259" t="str">
        <f>IF(X128&lt;&gt;"",X128/VLOOKUP($V128,Setup!$C$30:$D$41,2,0),"")</f>
        <v/>
      </c>
      <c r="Z128" s="262"/>
      <c r="AA128" s="256" t="str">
        <f t="shared" si="42"/>
        <v/>
      </c>
      <c r="AB128" s="262"/>
      <c r="AC128" s="258" t="str">
        <f t="shared" si="43"/>
        <v/>
      </c>
      <c r="AD128" s="262"/>
      <c r="AE128" s="258" t="str">
        <f t="shared" si="44"/>
        <v/>
      </c>
      <c r="AF128" s="262"/>
      <c r="AG128" s="256" t="str">
        <f t="shared" si="45"/>
        <v/>
      </c>
      <c r="AH128" s="256" t="str">
        <f t="shared" si="46"/>
        <v/>
      </c>
      <c r="AI128" s="256" t="str">
        <f t="shared" si="47"/>
        <v/>
      </c>
      <c r="AJ128" s="111"/>
      <c r="AK128" s="255"/>
      <c r="AL128" s="259" t="str">
        <f>IF(AK128&lt;&gt;"",AK128/VLOOKUP($V128,Setup!$C$30:$D$41,2,0),"")</f>
        <v/>
      </c>
      <c r="AM128" s="266"/>
      <c r="AN128" s="258" t="str">
        <f t="shared" si="48"/>
        <v/>
      </c>
      <c r="AO128" s="266"/>
      <c r="AP128" s="258" t="str">
        <f t="shared" si="49"/>
        <v/>
      </c>
      <c r="AQ128" s="266"/>
      <c r="AR128" s="258" t="str">
        <f t="shared" si="50"/>
        <v/>
      </c>
      <c r="AS128" s="266"/>
      <c r="AT128" s="256" t="str">
        <f t="shared" si="51"/>
        <v/>
      </c>
      <c r="AU128" s="256" t="str">
        <f t="shared" si="52"/>
        <v/>
      </c>
      <c r="AV128" s="256" t="str">
        <f t="shared" si="53"/>
        <v/>
      </c>
      <c r="AW128" s="267"/>
      <c r="AX128" s="255"/>
      <c r="AY128" s="259" t="str">
        <f>IF(AX128&lt;&gt;"",AX128/VLOOKUP($V128,Setup!$C$30:$D$41,2,0),"")</f>
        <v/>
      </c>
      <c r="AZ128" s="268"/>
      <c r="BA128" s="258" t="str">
        <f t="shared" si="54"/>
        <v/>
      </c>
      <c r="BB128" s="268"/>
      <c r="BC128" s="258" t="str">
        <f t="shared" si="55"/>
        <v/>
      </c>
      <c r="BD128" s="268"/>
      <c r="BE128" s="258" t="str">
        <f t="shared" si="56"/>
        <v/>
      </c>
      <c r="BF128" s="268"/>
      <c r="BG128" s="256" t="str">
        <f t="shared" si="57"/>
        <v/>
      </c>
      <c r="BH128" s="256" t="str">
        <f t="shared" si="58"/>
        <v/>
      </c>
      <c r="BI128" s="256" t="str">
        <f t="shared" si="59"/>
        <v/>
      </c>
      <c r="BJ128" s="267"/>
      <c r="BK128" s="255"/>
      <c r="BL128" s="259" t="str">
        <f>IF(BK128&lt;&gt;"",BK128/VLOOKUP($V128,Setup!$C$30:$D$41,2,0),"")</f>
        <v/>
      </c>
      <c r="BM128" s="268"/>
      <c r="BN128" s="258" t="str">
        <f t="shared" si="60"/>
        <v/>
      </c>
      <c r="BO128" s="268"/>
      <c r="BP128" s="258" t="str">
        <f t="shared" si="61"/>
        <v/>
      </c>
      <c r="BQ128" s="268"/>
      <c r="BR128" s="258" t="str">
        <f t="shared" si="62"/>
        <v/>
      </c>
      <c r="BS128" s="268"/>
      <c r="BT128" s="256" t="str">
        <f t="shared" si="63"/>
        <v/>
      </c>
      <c r="BU128" s="256" t="str">
        <f t="shared" si="64"/>
        <v/>
      </c>
      <c r="BV128" s="256" t="str">
        <f t="shared" si="65"/>
        <v/>
      </c>
      <c r="BW128" s="267"/>
      <c r="BX128" s="256" t="str">
        <f t="shared" si="66"/>
        <v/>
      </c>
      <c r="BY128" s="256" t="str">
        <f t="shared" si="67"/>
        <v/>
      </c>
      <c r="BZ128" s="281"/>
      <c r="CA128" s="282"/>
      <c r="CC128" s="112" t="str">
        <f t="shared" ca="1" si="68"/>
        <v/>
      </c>
      <c r="CF128" s="284"/>
      <c r="CG128" s="284"/>
      <c r="CH128" s="284"/>
      <c r="CI128" s="284"/>
      <c r="CL128" s="356" t="str">
        <f>IFERROR(VLOOKUP(C128,'Data Sheet'!$A$3:$B$26,2,FALSE),"")</f>
        <v/>
      </c>
    </row>
    <row r="129" spans="1:90" s="98" customFormat="1" ht="15.75" x14ac:dyDescent="0.2">
      <c r="A129" s="97"/>
      <c r="B129" s="105" t="str">
        <f t="shared" si="71"/>
        <v>--</v>
      </c>
      <c r="C129" s="276"/>
      <c r="D129" s="101" t="str">
        <f>IFERROR(IF(VLOOKUP(C129,'Data Sheet'!$A$3:$D$26,4,FALSE)=0,"",VLOOKUP(C129,'Data Sheet'!$A$3:$D$26,4,FALSE)),"")</f>
        <v/>
      </c>
      <c r="E129" s="279"/>
      <c r="F129" s="103" t="str">
        <f>IFERROR(IF(VLOOKUP(E129,'Data Sheet'!$C$29:$E$174,3,FALSE)=0,"",VLOOKUP(E129,'Data Sheet'!$C$29:$E$174,3,FALSE)),"")</f>
        <v/>
      </c>
      <c r="G129" s="106" t="str">
        <f t="shared" si="69"/>
        <v>-</v>
      </c>
      <c r="H129" s="273"/>
      <c r="I129" s="107"/>
      <c r="J129" s="249" t="e">
        <f t="shared" si="70"/>
        <v>#VALUE!</v>
      </c>
      <c r="K129" s="101" t="str">
        <f>IFERROR(INDEX('Data Sheet'!$C$198:$C$275,MATCH(I129,'Data Sheet'!$F$198:$F$275,0)),"")</f>
        <v/>
      </c>
      <c r="L129" s="250" t="str">
        <f>IFERROR(INDEX('Data Sheet'!$G$198:$G$275,MATCH(I129,'Data Sheet'!$F$198:$F$275,0)),"")</f>
        <v/>
      </c>
      <c r="M129" s="194"/>
      <c r="N129" s="248"/>
      <c r="O129" s="248"/>
      <c r="P129" s="108" t="str">
        <f>IFERROR(INDEX(Setup!$D$44:$D$70,MATCH(M129,Setup!$K$44:$K$70,0))&amp;"","")</f>
        <v/>
      </c>
      <c r="Q129" s="108" t="str">
        <f>IFERROR(INDEX(Setup!$E$44:$E$70,MATCH(M129,Setup!$K$44:$K$70,0))&amp;"","")</f>
        <v/>
      </c>
      <c r="R129" s="108" t="str">
        <f>IFERROR(INDEX(Setup!$L$44:$L$70,MATCH(M129,Setup!$K$44:$K$70,0))&amp;"","")</f>
        <v/>
      </c>
      <c r="S129" s="108" t="str">
        <f>Setup!$C$30</f>
        <v>USD</v>
      </c>
      <c r="T129" s="109" t="str">
        <f>IFERROR(INDEX('Data Sheet'!$B$198:$B$275,MATCH(I129,'Data Sheet'!$F$198:$F$275,0)),"")</f>
        <v/>
      </c>
      <c r="U129" s="110" t="str">
        <f>IFERROR(INDEX('Data Sheet'!$D$198:$D$275,MATCH(I129,'Data Sheet'!$F$198:$F$275,0)),"")</f>
        <v/>
      </c>
      <c r="V129" s="99"/>
      <c r="W129" s="195" t="str">
        <f>IF(V129=Setup!$C$30,"Grant",IF(V129=Setup!$C$31,"Local",IF(V129=Setup!$C$32,"Other",IF(ISBLANK(V129),"","Other"))))</f>
        <v/>
      </c>
      <c r="X129" s="255"/>
      <c r="Y129" s="259" t="str">
        <f>IF(X129&lt;&gt;"",X129/VLOOKUP($V129,Setup!$C$30:$D$41,2,0),"")</f>
        <v/>
      </c>
      <c r="Z129" s="262"/>
      <c r="AA129" s="256" t="str">
        <f t="shared" si="42"/>
        <v/>
      </c>
      <c r="AB129" s="262"/>
      <c r="AC129" s="258" t="str">
        <f t="shared" si="43"/>
        <v/>
      </c>
      <c r="AD129" s="262"/>
      <c r="AE129" s="258" t="str">
        <f t="shared" si="44"/>
        <v/>
      </c>
      <c r="AF129" s="262"/>
      <c r="AG129" s="256" t="str">
        <f t="shared" si="45"/>
        <v/>
      </c>
      <c r="AH129" s="256" t="str">
        <f t="shared" si="46"/>
        <v/>
      </c>
      <c r="AI129" s="256" t="str">
        <f t="shared" si="47"/>
        <v/>
      </c>
      <c r="AJ129" s="111"/>
      <c r="AK129" s="255"/>
      <c r="AL129" s="259" t="str">
        <f>IF(AK129&lt;&gt;"",AK129/VLOOKUP($V129,Setup!$C$30:$D$41,2,0),"")</f>
        <v/>
      </c>
      <c r="AM129" s="266"/>
      <c r="AN129" s="258" t="str">
        <f t="shared" si="48"/>
        <v/>
      </c>
      <c r="AO129" s="266"/>
      <c r="AP129" s="258" t="str">
        <f t="shared" si="49"/>
        <v/>
      </c>
      <c r="AQ129" s="266"/>
      <c r="AR129" s="258" t="str">
        <f t="shared" si="50"/>
        <v/>
      </c>
      <c r="AS129" s="266"/>
      <c r="AT129" s="256" t="str">
        <f t="shared" si="51"/>
        <v/>
      </c>
      <c r="AU129" s="256" t="str">
        <f t="shared" si="52"/>
        <v/>
      </c>
      <c r="AV129" s="256" t="str">
        <f t="shared" si="53"/>
        <v/>
      </c>
      <c r="AW129" s="267"/>
      <c r="AX129" s="255"/>
      <c r="AY129" s="259" t="str">
        <f>IF(AX129&lt;&gt;"",AX129/VLOOKUP($V129,Setup!$C$30:$D$41,2,0),"")</f>
        <v/>
      </c>
      <c r="AZ129" s="268"/>
      <c r="BA129" s="258" t="str">
        <f t="shared" si="54"/>
        <v/>
      </c>
      <c r="BB129" s="268"/>
      <c r="BC129" s="258" t="str">
        <f t="shared" si="55"/>
        <v/>
      </c>
      <c r="BD129" s="268"/>
      <c r="BE129" s="258" t="str">
        <f t="shared" si="56"/>
        <v/>
      </c>
      <c r="BF129" s="268"/>
      <c r="BG129" s="256" t="str">
        <f t="shared" si="57"/>
        <v/>
      </c>
      <c r="BH129" s="256" t="str">
        <f t="shared" si="58"/>
        <v/>
      </c>
      <c r="BI129" s="256" t="str">
        <f t="shared" si="59"/>
        <v/>
      </c>
      <c r="BJ129" s="267"/>
      <c r="BK129" s="255"/>
      <c r="BL129" s="259" t="str">
        <f>IF(BK129&lt;&gt;"",BK129/VLOOKUP($V129,Setup!$C$30:$D$41,2,0),"")</f>
        <v/>
      </c>
      <c r="BM129" s="268"/>
      <c r="BN129" s="258" t="str">
        <f t="shared" si="60"/>
        <v/>
      </c>
      <c r="BO129" s="268"/>
      <c r="BP129" s="258" t="str">
        <f t="shared" si="61"/>
        <v/>
      </c>
      <c r="BQ129" s="268"/>
      <c r="BR129" s="258" t="str">
        <f t="shared" si="62"/>
        <v/>
      </c>
      <c r="BS129" s="268"/>
      <c r="BT129" s="256" t="str">
        <f t="shared" si="63"/>
        <v/>
      </c>
      <c r="BU129" s="256" t="str">
        <f t="shared" si="64"/>
        <v/>
      </c>
      <c r="BV129" s="256" t="str">
        <f t="shared" si="65"/>
        <v/>
      </c>
      <c r="BW129" s="267"/>
      <c r="BX129" s="256" t="str">
        <f t="shared" si="66"/>
        <v/>
      </c>
      <c r="BY129" s="256" t="str">
        <f t="shared" si="67"/>
        <v/>
      </c>
      <c r="BZ129" s="281"/>
      <c r="CA129" s="282"/>
      <c r="CC129" s="112" t="str">
        <f t="shared" ca="1" si="68"/>
        <v/>
      </c>
      <c r="CF129" s="284"/>
      <c r="CG129" s="284"/>
      <c r="CH129" s="284"/>
      <c r="CI129" s="284"/>
      <c r="CL129" s="356" t="str">
        <f>IFERROR(VLOOKUP(C129,'Data Sheet'!$A$3:$B$26,2,FALSE),"")</f>
        <v/>
      </c>
    </row>
    <row r="130" spans="1:90" s="98" customFormat="1" ht="15.75" x14ac:dyDescent="0.2">
      <c r="A130" s="97"/>
      <c r="B130" s="105" t="str">
        <f t="shared" si="71"/>
        <v>--</v>
      </c>
      <c r="C130" s="276"/>
      <c r="D130" s="101" t="str">
        <f>IFERROR(IF(VLOOKUP(C130,'Data Sheet'!$A$3:$D$26,4,FALSE)=0,"",VLOOKUP(C130,'Data Sheet'!$A$3:$D$26,4,FALSE)),"")</f>
        <v/>
      </c>
      <c r="E130" s="279"/>
      <c r="F130" s="103" t="str">
        <f>IFERROR(IF(VLOOKUP(E130,'Data Sheet'!$C$29:$E$174,3,FALSE)=0,"",VLOOKUP(E130,'Data Sheet'!$C$29:$E$174,3,FALSE)),"")</f>
        <v/>
      </c>
      <c r="G130" s="106" t="str">
        <f t="shared" si="69"/>
        <v>-</v>
      </c>
      <c r="H130" s="273"/>
      <c r="I130" s="107"/>
      <c r="J130" s="249" t="e">
        <f t="shared" si="70"/>
        <v>#VALUE!</v>
      </c>
      <c r="K130" s="101" t="str">
        <f>IFERROR(INDEX('Data Sheet'!$C$198:$C$275,MATCH(I130,'Data Sheet'!$F$198:$F$275,0)),"")</f>
        <v/>
      </c>
      <c r="L130" s="250" t="str">
        <f>IFERROR(INDEX('Data Sheet'!$G$198:$G$275,MATCH(I130,'Data Sheet'!$F$198:$F$275,0)),"")</f>
        <v/>
      </c>
      <c r="M130" s="194"/>
      <c r="N130" s="248"/>
      <c r="O130" s="248"/>
      <c r="P130" s="108" t="str">
        <f>IFERROR(INDEX(Setup!$D$44:$D$70,MATCH(M130,Setup!$K$44:$K$70,0))&amp;"","")</f>
        <v/>
      </c>
      <c r="Q130" s="108" t="str">
        <f>IFERROR(INDEX(Setup!$E$44:$E$70,MATCH(M130,Setup!$K$44:$K$70,0))&amp;"","")</f>
        <v/>
      </c>
      <c r="R130" s="108" t="str">
        <f>IFERROR(INDEX(Setup!$L$44:$L$70,MATCH(M130,Setup!$K$44:$K$70,0))&amp;"","")</f>
        <v/>
      </c>
      <c r="S130" s="108" t="str">
        <f>Setup!$C$30</f>
        <v>USD</v>
      </c>
      <c r="T130" s="109" t="str">
        <f>IFERROR(INDEX('Data Sheet'!$B$198:$B$275,MATCH(I130,'Data Sheet'!$F$198:$F$275,0)),"")</f>
        <v/>
      </c>
      <c r="U130" s="110" t="str">
        <f>IFERROR(INDEX('Data Sheet'!$D$198:$D$275,MATCH(I130,'Data Sheet'!$F$198:$F$275,0)),"")</f>
        <v/>
      </c>
      <c r="V130" s="99"/>
      <c r="W130" s="195" t="str">
        <f>IF(V130=Setup!$C$30,"Grant",IF(V130=Setup!$C$31,"Local",IF(V130=Setup!$C$32,"Other",IF(ISBLANK(V130),"","Other"))))</f>
        <v/>
      </c>
      <c r="X130" s="255"/>
      <c r="Y130" s="259" t="str">
        <f>IF(X130&lt;&gt;"",X130/VLOOKUP($V130,Setup!$C$30:$D$41,2,0),"")</f>
        <v/>
      </c>
      <c r="Z130" s="262"/>
      <c r="AA130" s="256" t="str">
        <f t="shared" si="42"/>
        <v/>
      </c>
      <c r="AB130" s="262"/>
      <c r="AC130" s="258" t="str">
        <f t="shared" si="43"/>
        <v/>
      </c>
      <c r="AD130" s="262"/>
      <c r="AE130" s="258" t="str">
        <f t="shared" si="44"/>
        <v/>
      </c>
      <c r="AF130" s="262"/>
      <c r="AG130" s="256" t="str">
        <f t="shared" si="45"/>
        <v/>
      </c>
      <c r="AH130" s="256" t="str">
        <f t="shared" si="46"/>
        <v/>
      </c>
      <c r="AI130" s="256" t="str">
        <f t="shared" si="47"/>
        <v/>
      </c>
      <c r="AJ130" s="111"/>
      <c r="AK130" s="255"/>
      <c r="AL130" s="259" t="str">
        <f>IF(AK130&lt;&gt;"",AK130/VLOOKUP($V130,Setup!$C$30:$D$41,2,0),"")</f>
        <v/>
      </c>
      <c r="AM130" s="266"/>
      <c r="AN130" s="258" t="str">
        <f t="shared" si="48"/>
        <v/>
      </c>
      <c r="AO130" s="266"/>
      <c r="AP130" s="258" t="str">
        <f t="shared" si="49"/>
        <v/>
      </c>
      <c r="AQ130" s="266"/>
      <c r="AR130" s="258" t="str">
        <f t="shared" si="50"/>
        <v/>
      </c>
      <c r="AS130" s="266"/>
      <c r="AT130" s="256" t="str">
        <f t="shared" si="51"/>
        <v/>
      </c>
      <c r="AU130" s="256" t="str">
        <f t="shared" si="52"/>
        <v/>
      </c>
      <c r="AV130" s="256" t="str">
        <f t="shared" si="53"/>
        <v/>
      </c>
      <c r="AW130" s="267"/>
      <c r="AX130" s="255"/>
      <c r="AY130" s="259" t="str">
        <f>IF(AX130&lt;&gt;"",AX130/VLOOKUP($V130,Setup!$C$30:$D$41,2,0),"")</f>
        <v/>
      </c>
      <c r="AZ130" s="268"/>
      <c r="BA130" s="258" t="str">
        <f t="shared" si="54"/>
        <v/>
      </c>
      <c r="BB130" s="268"/>
      <c r="BC130" s="258" t="str">
        <f t="shared" si="55"/>
        <v/>
      </c>
      <c r="BD130" s="268"/>
      <c r="BE130" s="258" t="str">
        <f t="shared" si="56"/>
        <v/>
      </c>
      <c r="BF130" s="268"/>
      <c r="BG130" s="256" t="str">
        <f t="shared" si="57"/>
        <v/>
      </c>
      <c r="BH130" s="256" t="str">
        <f t="shared" si="58"/>
        <v/>
      </c>
      <c r="BI130" s="256" t="str">
        <f t="shared" si="59"/>
        <v/>
      </c>
      <c r="BJ130" s="267"/>
      <c r="BK130" s="255"/>
      <c r="BL130" s="259" t="str">
        <f>IF(BK130&lt;&gt;"",BK130/VLOOKUP($V130,Setup!$C$30:$D$41,2,0),"")</f>
        <v/>
      </c>
      <c r="BM130" s="268"/>
      <c r="BN130" s="258" t="str">
        <f t="shared" si="60"/>
        <v/>
      </c>
      <c r="BO130" s="268"/>
      <c r="BP130" s="258" t="str">
        <f t="shared" si="61"/>
        <v/>
      </c>
      <c r="BQ130" s="268"/>
      <c r="BR130" s="258" t="str">
        <f t="shared" si="62"/>
        <v/>
      </c>
      <c r="BS130" s="268"/>
      <c r="BT130" s="256" t="str">
        <f t="shared" si="63"/>
        <v/>
      </c>
      <c r="BU130" s="256" t="str">
        <f t="shared" si="64"/>
        <v/>
      </c>
      <c r="BV130" s="256" t="str">
        <f t="shared" si="65"/>
        <v/>
      </c>
      <c r="BW130" s="267"/>
      <c r="BX130" s="256" t="str">
        <f t="shared" si="66"/>
        <v/>
      </c>
      <c r="BY130" s="256" t="str">
        <f t="shared" si="67"/>
        <v/>
      </c>
      <c r="BZ130" s="281"/>
      <c r="CA130" s="282"/>
      <c r="CC130" s="112" t="str">
        <f t="shared" ca="1" si="68"/>
        <v/>
      </c>
      <c r="CF130" s="284"/>
      <c r="CG130" s="284"/>
      <c r="CH130" s="284"/>
      <c r="CI130" s="284"/>
      <c r="CL130" s="356" t="str">
        <f>IFERROR(VLOOKUP(C130,'Data Sheet'!$A$3:$B$26,2,FALSE),"")</f>
        <v/>
      </c>
    </row>
    <row r="131" spans="1:90" s="98" customFormat="1" ht="15.75" x14ac:dyDescent="0.2">
      <c r="A131" s="97"/>
      <c r="B131" s="105" t="str">
        <f t="shared" si="71"/>
        <v>--</v>
      </c>
      <c r="C131" s="276"/>
      <c r="D131" s="101" t="str">
        <f>IFERROR(IF(VLOOKUP(C131,'Data Sheet'!$A$3:$D$26,4,FALSE)=0,"",VLOOKUP(C131,'Data Sheet'!$A$3:$D$26,4,FALSE)),"")</f>
        <v/>
      </c>
      <c r="E131" s="279"/>
      <c r="F131" s="103" t="str">
        <f>IFERROR(IF(VLOOKUP(E131,'Data Sheet'!$C$29:$E$174,3,FALSE)=0,"",VLOOKUP(E131,'Data Sheet'!$C$29:$E$174,3,FALSE)),"")</f>
        <v/>
      </c>
      <c r="G131" s="106" t="str">
        <f t="shared" si="69"/>
        <v>-</v>
      </c>
      <c r="H131" s="273"/>
      <c r="I131" s="107"/>
      <c r="J131" s="249" t="e">
        <f t="shared" si="70"/>
        <v>#VALUE!</v>
      </c>
      <c r="K131" s="101" t="str">
        <f>IFERROR(INDEX('Data Sheet'!$C$198:$C$275,MATCH(I131,'Data Sheet'!$F$198:$F$275,0)),"")</f>
        <v/>
      </c>
      <c r="L131" s="250" t="str">
        <f>IFERROR(INDEX('Data Sheet'!$G$198:$G$275,MATCH(I131,'Data Sheet'!$F$198:$F$275,0)),"")</f>
        <v/>
      </c>
      <c r="M131" s="194"/>
      <c r="N131" s="248"/>
      <c r="O131" s="248"/>
      <c r="P131" s="108" t="str">
        <f>IFERROR(INDEX(Setup!$D$44:$D$70,MATCH(M131,Setup!$K$44:$K$70,0))&amp;"","")</f>
        <v/>
      </c>
      <c r="Q131" s="108" t="str">
        <f>IFERROR(INDEX(Setup!$E$44:$E$70,MATCH(M131,Setup!$K$44:$K$70,0))&amp;"","")</f>
        <v/>
      </c>
      <c r="R131" s="108" t="str">
        <f>IFERROR(INDEX(Setup!$L$44:$L$70,MATCH(M131,Setup!$K$44:$K$70,0))&amp;"","")</f>
        <v/>
      </c>
      <c r="S131" s="108" t="str">
        <f>Setup!$C$30</f>
        <v>USD</v>
      </c>
      <c r="T131" s="109" t="str">
        <f>IFERROR(INDEX('Data Sheet'!$B$198:$B$275,MATCH(I131,'Data Sheet'!$F$198:$F$275,0)),"")</f>
        <v/>
      </c>
      <c r="U131" s="110" t="str">
        <f>IFERROR(INDEX('Data Sheet'!$D$198:$D$275,MATCH(I131,'Data Sheet'!$F$198:$F$275,0)),"")</f>
        <v/>
      </c>
      <c r="V131" s="99"/>
      <c r="W131" s="195" t="str">
        <f>IF(V131=Setup!$C$30,"Grant",IF(V131=Setup!$C$31,"Local",IF(V131=Setup!$C$32,"Other",IF(ISBLANK(V131),"","Other"))))</f>
        <v/>
      </c>
      <c r="X131" s="255"/>
      <c r="Y131" s="259" t="str">
        <f>IF(X131&lt;&gt;"",X131/VLOOKUP($V131,Setup!$C$30:$D$41,2,0),"")</f>
        <v/>
      </c>
      <c r="Z131" s="262"/>
      <c r="AA131" s="256" t="str">
        <f t="shared" si="42"/>
        <v/>
      </c>
      <c r="AB131" s="262"/>
      <c r="AC131" s="258" t="str">
        <f t="shared" si="43"/>
        <v/>
      </c>
      <c r="AD131" s="262"/>
      <c r="AE131" s="258" t="str">
        <f t="shared" si="44"/>
        <v/>
      </c>
      <c r="AF131" s="262"/>
      <c r="AG131" s="256" t="str">
        <f t="shared" si="45"/>
        <v/>
      </c>
      <c r="AH131" s="256" t="str">
        <f t="shared" si="46"/>
        <v/>
      </c>
      <c r="AI131" s="256" t="str">
        <f t="shared" si="47"/>
        <v/>
      </c>
      <c r="AJ131" s="111"/>
      <c r="AK131" s="255"/>
      <c r="AL131" s="259" t="str">
        <f>IF(AK131&lt;&gt;"",AK131/VLOOKUP($V131,Setup!$C$30:$D$41,2,0),"")</f>
        <v/>
      </c>
      <c r="AM131" s="266"/>
      <c r="AN131" s="258" t="str">
        <f t="shared" si="48"/>
        <v/>
      </c>
      <c r="AO131" s="266"/>
      <c r="AP131" s="258" t="str">
        <f t="shared" si="49"/>
        <v/>
      </c>
      <c r="AQ131" s="266"/>
      <c r="AR131" s="258" t="str">
        <f t="shared" si="50"/>
        <v/>
      </c>
      <c r="AS131" s="266"/>
      <c r="AT131" s="256" t="str">
        <f t="shared" si="51"/>
        <v/>
      </c>
      <c r="AU131" s="256" t="str">
        <f t="shared" si="52"/>
        <v/>
      </c>
      <c r="AV131" s="256" t="str">
        <f t="shared" si="53"/>
        <v/>
      </c>
      <c r="AW131" s="267"/>
      <c r="AX131" s="255"/>
      <c r="AY131" s="259" t="str">
        <f>IF(AX131&lt;&gt;"",AX131/VLOOKUP($V131,Setup!$C$30:$D$41,2,0),"")</f>
        <v/>
      </c>
      <c r="AZ131" s="268"/>
      <c r="BA131" s="258" t="str">
        <f t="shared" si="54"/>
        <v/>
      </c>
      <c r="BB131" s="268"/>
      <c r="BC131" s="258" t="str">
        <f t="shared" si="55"/>
        <v/>
      </c>
      <c r="BD131" s="268"/>
      <c r="BE131" s="258" t="str">
        <f t="shared" si="56"/>
        <v/>
      </c>
      <c r="BF131" s="268"/>
      <c r="BG131" s="256" t="str">
        <f t="shared" si="57"/>
        <v/>
      </c>
      <c r="BH131" s="256" t="str">
        <f t="shared" si="58"/>
        <v/>
      </c>
      <c r="BI131" s="256" t="str">
        <f t="shared" si="59"/>
        <v/>
      </c>
      <c r="BJ131" s="267"/>
      <c r="BK131" s="255"/>
      <c r="BL131" s="259" t="str">
        <f>IF(BK131&lt;&gt;"",BK131/VLOOKUP($V131,Setup!$C$30:$D$41,2,0),"")</f>
        <v/>
      </c>
      <c r="BM131" s="268"/>
      <c r="BN131" s="258" t="str">
        <f t="shared" si="60"/>
        <v/>
      </c>
      <c r="BO131" s="268"/>
      <c r="BP131" s="258" t="str">
        <f t="shared" si="61"/>
        <v/>
      </c>
      <c r="BQ131" s="268"/>
      <c r="BR131" s="258" t="str">
        <f t="shared" si="62"/>
        <v/>
      </c>
      <c r="BS131" s="268"/>
      <c r="BT131" s="256" t="str">
        <f t="shared" si="63"/>
        <v/>
      </c>
      <c r="BU131" s="256" t="str">
        <f t="shared" si="64"/>
        <v/>
      </c>
      <c r="BV131" s="256" t="str">
        <f t="shared" si="65"/>
        <v/>
      </c>
      <c r="BW131" s="267"/>
      <c r="BX131" s="256" t="str">
        <f t="shared" si="66"/>
        <v/>
      </c>
      <c r="BY131" s="256" t="str">
        <f t="shared" si="67"/>
        <v/>
      </c>
      <c r="BZ131" s="281"/>
      <c r="CA131" s="282"/>
      <c r="CC131" s="112" t="str">
        <f t="shared" ca="1" si="68"/>
        <v/>
      </c>
      <c r="CF131" s="284"/>
      <c r="CG131" s="284"/>
      <c r="CH131" s="284"/>
      <c r="CI131" s="284"/>
      <c r="CL131" s="356" t="str">
        <f>IFERROR(VLOOKUP(C131,'Data Sheet'!$A$3:$B$26,2,FALSE),"")</f>
        <v/>
      </c>
    </row>
    <row r="132" spans="1:90" s="98" customFormat="1" ht="15.75" x14ac:dyDescent="0.2">
      <c r="A132" s="97"/>
      <c r="B132" s="105" t="str">
        <f t="shared" si="71"/>
        <v>--</v>
      </c>
      <c r="C132" s="276"/>
      <c r="D132" s="101" t="str">
        <f>IFERROR(IF(VLOOKUP(C132,'Data Sheet'!$A$3:$D$26,4,FALSE)=0,"",VLOOKUP(C132,'Data Sheet'!$A$3:$D$26,4,FALSE)),"")</f>
        <v/>
      </c>
      <c r="E132" s="279"/>
      <c r="F132" s="103" t="str">
        <f>IFERROR(IF(VLOOKUP(E132,'Data Sheet'!$C$29:$E$174,3,FALSE)=0,"",VLOOKUP(E132,'Data Sheet'!$C$29:$E$174,3,FALSE)),"")</f>
        <v/>
      </c>
      <c r="G132" s="106" t="str">
        <f t="shared" si="69"/>
        <v>-</v>
      </c>
      <c r="H132" s="273"/>
      <c r="I132" s="107"/>
      <c r="J132" s="249" t="e">
        <f t="shared" si="70"/>
        <v>#VALUE!</v>
      </c>
      <c r="K132" s="101" t="str">
        <f>IFERROR(INDEX('Data Sheet'!$C$198:$C$275,MATCH(I132,'Data Sheet'!$F$198:$F$275,0)),"")</f>
        <v/>
      </c>
      <c r="L132" s="250" t="str">
        <f>IFERROR(INDEX('Data Sheet'!$G$198:$G$275,MATCH(I132,'Data Sheet'!$F$198:$F$275,0)),"")</f>
        <v/>
      </c>
      <c r="M132" s="194"/>
      <c r="N132" s="248"/>
      <c r="O132" s="248"/>
      <c r="P132" s="108" t="str">
        <f>IFERROR(INDEX(Setup!$D$44:$D$70,MATCH(M132,Setup!$K$44:$K$70,0))&amp;"","")</f>
        <v/>
      </c>
      <c r="Q132" s="108" t="str">
        <f>IFERROR(INDEX(Setup!$E$44:$E$70,MATCH(M132,Setup!$K$44:$K$70,0))&amp;"","")</f>
        <v/>
      </c>
      <c r="R132" s="108" t="str">
        <f>IFERROR(INDEX(Setup!$L$44:$L$70,MATCH(M132,Setup!$K$44:$K$70,0))&amp;"","")</f>
        <v/>
      </c>
      <c r="S132" s="108" t="str">
        <f>Setup!$C$30</f>
        <v>USD</v>
      </c>
      <c r="T132" s="109" t="str">
        <f>IFERROR(INDEX('Data Sheet'!$B$198:$B$275,MATCH(I132,'Data Sheet'!$F$198:$F$275,0)),"")</f>
        <v/>
      </c>
      <c r="U132" s="110" t="str">
        <f>IFERROR(INDEX('Data Sheet'!$D$198:$D$275,MATCH(I132,'Data Sheet'!$F$198:$F$275,0)),"")</f>
        <v/>
      </c>
      <c r="V132" s="99"/>
      <c r="W132" s="195" t="str">
        <f>IF(V132=Setup!$C$30,"Grant",IF(V132=Setup!$C$31,"Local",IF(V132=Setup!$C$32,"Other",IF(ISBLANK(V132),"","Other"))))</f>
        <v/>
      </c>
      <c r="X132" s="255"/>
      <c r="Y132" s="259" t="str">
        <f>IF(X132&lt;&gt;"",X132/VLOOKUP($V132,Setup!$C$30:$D$41,2,0),"")</f>
        <v/>
      </c>
      <c r="Z132" s="262"/>
      <c r="AA132" s="256" t="str">
        <f t="shared" si="42"/>
        <v/>
      </c>
      <c r="AB132" s="262"/>
      <c r="AC132" s="258" t="str">
        <f t="shared" si="43"/>
        <v/>
      </c>
      <c r="AD132" s="262"/>
      <c r="AE132" s="258" t="str">
        <f t="shared" si="44"/>
        <v/>
      </c>
      <c r="AF132" s="262"/>
      <c r="AG132" s="256" t="str">
        <f t="shared" si="45"/>
        <v/>
      </c>
      <c r="AH132" s="256" t="str">
        <f t="shared" si="46"/>
        <v/>
      </c>
      <c r="AI132" s="256" t="str">
        <f t="shared" si="47"/>
        <v/>
      </c>
      <c r="AJ132" s="111"/>
      <c r="AK132" s="255"/>
      <c r="AL132" s="259" t="str">
        <f>IF(AK132&lt;&gt;"",AK132/VLOOKUP($V132,Setup!$C$30:$D$41,2,0),"")</f>
        <v/>
      </c>
      <c r="AM132" s="266"/>
      <c r="AN132" s="258" t="str">
        <f t="shared" si="48"/>
        <v/>
      </c>
      <c r="AO132" s="266"/>
      <c r="AP132" s="258" t="str">
        <f t="shared" si="49"/>
        <v/>
      </c>
      <c r="AQ132" s="266"/>
      <c r="AR132" s="258" t="str">
        <f t="shared" si="50"/>
        <v/>
      </c>
      <c r="AS132" s="266"/>
      <c r="AT132" s="256" t="str">
        <f t="shared" si="51"/>
        <v/>
      </c>
      <c r="AU132" s="256" t="str">
        <f t="shared" si="52"/>
        <v/>
      </c>
      <c r="AV132" s="256" t="str">
        <f t="shared" si="53"/>
        <v/>
      </c>
      <c r="AW132" s="267"/>
      <c r="AX132" s="255"/>
      <c r="AY132" s="259" t="str">
        <f>IF(AX132&lt;&gt;"",AX132/VLOOKUP($V132,Setup!$C$30:$D$41,2,0),"")</f>
        <v/>
      </c>
      <c r="AZ132" s="268"/>
      <c r="BA132" s="258" t="str">
        <f t="shared" si="54"/>
        <v/>
      </c>
      <c r="BB132" s="268"/>
      <c r="BC132" s="258" t="str">
        <f t="shared" si="55"/>
        <v/>
      </c>
      <c r="BD132" s="268"/>
      <c r="BE132" s="258" t="str">
        <f t="shared" si="56"/>
        <v/>
      </c>
      <c r="BF132" s="268"/>
      <c r="BG132" s="256" t="str">
        <f t="shared" si="57"/>
        <v/>
      </c>
      <c r="BH132" s="256" t="str">
        <f t="shared" si="58"/>
        <v/>
      </c>
      <c r="BI132" s="256" t="str">
        <f t="shared" si="59"/>
        <v/>
      </c>
      <c r="BJ132" s="267"/>
      <c r="BK132" s="255"/>
      <c r="BL132" s="259" t="str">
        <f>IF(BK132&lt;&gt;"",BK132/VLOOKUP($V132,Setup!$C$30:$D$41,2,0),"")</f>
        <v/>
      </c>
      <c r="BM132" s="268"/>
      <c r="BN132" s="258" t="str">
        <f t="shared" si="60"/>
        <v/>
      </c>
      <c r="BO132" s="268"/>
      <c r="BP132" s="258" t="str">
        <f t="shared" si="61"/>
        <v/>
      </c>
      <c r="BQ132" s="268"/>
      <c r="BR132" s="258" t="str">
        <f t="shared" si="62"/>
        <v/>
      </c>
      <c r="BS132" s="268"/>
      <c r="BT132" s="256" t="str">
        <f t="shared" si="63"/>
        <v/>
      </c>
      <c r="BU132" s="256" t="str">
        <f t="shared" si="64"/>
        <v/>
      </c>
      <c r="BV132" s="256" t="str">
        <f t="shared" si="65"/>
        <v/>
      </c>
      <c r="BW132" s="267"/>
      <c r="BX132" s="256" t="str">
        <f t="shared" si="66"/>
        <v/>
      </c>
      <c r="BY132" s="256" t="str">
        <f t="shared" si="67"/>
        <v/>
      </c>
      <c r="BZ132" s="281"/>
      <c r="CA132" s="282"/>
      <c r="CC132" s="112" t="str">
        <f t="shared" ca="1" si="68"/>
        <v/>
      </c>
      <c r="CF132" s="284"/>
      <c r="CG132" s="284"/>
      <c r="CH132" s="284"/>
      <c r="CI132" s="284"/>
      <c r="CL132" s="356" t="str">
        <f>IFERROR(VLOOKUP(C132,'Data Sheet'!$A$3:$B$26,2,FALSE),"")</f>
        <v/>
      </c>
    </row>
    <row r="133" spans="1:90" s="98" customFormat="1" ht="15.75" x14ac:dyDescent="0.2">
      <c r="A133" s="97"/>
      <c r="B133" s="105" t="str">
        <f t="shared" si="71"/>
        <v>--</v>
      </c>
      <c r="C133" s="276"/>
      <c r="D133" s="101" t="str">
        <f>IFERROR(IF(VLOOKUP(C133,'Data Sheet'!$A$3:$D$26,4,FALSE)=0,"",VLOOKUP(C133,'Data Sheet'!$A$3:$D$26,4,FALSE)),"")</f>
        <v/>
      </c>
      <c r="E133" s="279"/>
      <c r="F133" s="103" t="str">
        <f>IFERROR(IF(VLOOKUP(E133,'Data Sheet'!$C$29:$E$174,3,FALSE)=0,"",VLOOKUP(E133,'Data Sheet'!$C$29:$E$174,3,FALSE)),"")</f>
        <v/>
      </c>
      <c r="G133" s="106" t="str">
        <f t="shared" si="69"/>
        <v>-</v>
      </c>
      <c r="H133" s="273"/>
      <c r="I133" s="107"/>
      <c r="J133" s="249" t="e">
        <f t="shared" si="70"/>
        <v>#VALUE!</v>
      </c>
      <c r="K133" s="101" t="str">
        <f>IFERROR(INDEX('Data Sheet'!$C$198:$C$275,MATCH(I133,'Data Sheet'!$F$198:$F$275,0)),"")</f>
        <v/>
      </c>
      <c r="L133" s="250" t="str">
        <f>IFERROR(INDEX('Data Sheet'!$G$198:$G$275,MATCH(I133,'Data Sheet'!$F$198:$F$275,0)),"")</f>
        <v/>
      </c>
      <c r="M133" s="194"/>
      <c r="N133" s="248"/>
      <c r="O133" s="248"/>
      <c r="P133" s="108" t="str">
        <f>IFERROR(INDEX(Setup!$D$44:$D$70,MATCH(M133,Setup!$K$44:$K$70,0))&amp;"","")</f>
        <v/>
      </c>
      <c r="Q133" s="108" t="str">
        <f>IFERROR(INDEX(Setup!$E$44:$E$70,MATCH(M133,Setup!$K$44:$K$70,0))&amp;"","")</f>
        <v/>
      </c>
      <c r="R133" s="108" t="str">
        <f>IFERROR(INDEX(Setup!$L$44:$L$70,MATCH(M133,Setup!$K$44:$K$70,0))&amp;"","")</f>
        <v/>
      </c>
      <c r="S133" s="108" t="str">
        <f>Setup!$C$30</f>
        <v>USD</v>
      </c>
      <c r="T133" s="109" t="str">
        <f>IFERROR(INDEX('Data Sheet'!$B$198:$B$275,MATCH(I133,'Data Sheet'!$F$198:$F$275,0)),"")</f>
        <v/>
      </c>
      <c r="U133" s="110" t="str">
        <f>IFERROR(INDEX('Data Sheet'!$D$198:$D$275,MATCH(I133,'Data Sheet'!$F$198:$F$275,0)),"")</f>
        <v/>
      </c>
      <c r="V133" s="99"/>
      <c r="W133" s="195" t="str">
        <f>IF(V133=Setup!$C$30,"Grant",IF(V133=Setup!$C$31,"Local",IF(V133=Setup!$C$32,"Other",IF(ISBLANK(V133),"","Other"))))</f>
        <v/>
      </c>
      <c r="X133" s="255"/>
      <c r="Y133" s="259" t="str">
        <f>IF(X133&lt;&gt;"",X133/VLOOKUP($V133,Setup!$C$30:$D$41,2,0),"")</f>
        <v/>
      </c>
      <c r="Z133" s="262"/>
      <c r="AA133" s="256" t="str">
        <f t="shared" ref="AA133:AA196" si="72">IFERROR(IF(AND(NOT(Z133=""),NOT(Y133="")),Z133*Y133,""),"")</f>
        <v/>
      </c>
      <c r="AB133" s="262"/>
      <c r="AC133" s="258" t="str">
        <f t="shared" ref="AC133:AC196" si="73">IFERROR(IF(AND(NOT(AB133=""),NOT(Y133="")),AB133*Y133,""),"")</f>
        <v/>
      </c>
      <c r="AD133" s="262"/>
      <c r="AE133" s="258" t="str">
        <f t="shared" ref="AE133:AE196" si="74">IFERROR(IF(AND(NOT(AD133=""),NOT(Y133="")),AD133*Y133,""),"")</f>
        <v/>
      </c>
      <c r="AF133" s="262"/>
      <c r="AG133" s="256" t="str">
        <f t="shared" ref="AG133:AG196" si="75">IFERROR(IF(AND(NOT(AF133=""),NOT(Y133="")),AF133*Y133,""),"")</f>
        <v/>
      </c>
      <c r="AH133" s="256" t="str">
        <f t="shared" ref="AH133:AH196" si="76">IFERROR(IF(OR(NOT(Z133=""),NOT(AF133=""),NOT(AB133=""),NOT(AD133="")),Z133+AF133+AB133+AD133,""),"")</f>
        <v/>
      </c>
      <c r="AI133" s="256" t="str">
        <f t="shared" ref="AI133:AI196" si="77">IF(SUM(AA133,AC133,AE133,AG133)&gt;0,SUM(AA133,AC133,AE133,AG133),"")</f>
        <v/>
      </c>
      <c r="AJ133" s="111"/>
      <c r="AK133" s="255"/>
      <c r="AL133" s="259" t="str">
        <f>IF(AK133&lt;&gt;"",AK133/VLOOKUP($V133,Setup!$C$30:$D$41,2,0),"")</f>
        <v/>
      </c>
      <c r="AM133" s="266"/>
      <c r="AN133" s="258" t="str">
        <f t="shared" ref="AN133:AN196" si="78">IFERROR(IF(AND(NOT(AM133=""),NOT(AL133="")),AM133*$AL133,""),"")</f>
        <v/>
      </c>
      <c r="AO133" s="266"/>
      <c r="AP133" s="258" t="str">
        <f t="shared" ref="AP133:AP196" si="79">IFERROR(IF(AND(NOT(AO133=""),NOT(AL133="")),AO133*$AL133,""),"")</f>
        <v/>
      </c>
      <c r="AQ133" s="266"/>
      <c r="AR133" s="258" t="str">
        <f t="shared" ref="AR133:AR196" si="80">IFERROR(IF(AND(NOT(AQ133=""),NOT(AL133="")),AQ133*$AL133,""),"")</f>
        <v/>
      </c>
      <c r="AS133" s="266"/>
      <c r="AT133" s="256" t="str">
        <f t="shared" ref="AT133:AT196" si="81">IFERROR(IF(AND(NOT(AS133=""),NOT(AL133="")),AS133*$AL133,""),"")</f>
        <v/>
      </c>
      <c r="AU133" s="256" t="str">
        <f t="shared" ref="AU133:AU196" si="82">IFERROR(IF(OR(NOT(AM133=""),NOT(AS133=""),NOT(AO133=""),NOT(AQ133="")),AM133+AS133+AO133+AQ133,""),"")</f>
        <v/>
      </c>
      <c r="AV133" s="256" t="str">
        <f t="shared" ref="AV133:AV196" si="83">IF(SUM(AN133,AT133,AP133,AR133)&gt;0,SUM(AN133,AT133,AP133,AR133),"")</f>
        <v/>
      </c>
      <c r="AW133" s="267"/>
      <c r="AX133" s="255"/>
      <c r="AY133" s="259" t="str">
        <f>IF(AX133&lt;&gt;"",AX133/VLOOKUP($V133,Setup!$C$30:$D$41,2,0),"")</f>
        <v/>
      </c>
      <c r="AZ133" s="268"/>
      <c r="BA133" s="258" t="str">
        <f t="shared" ref="BA133:BA196" si="84">IFERROR(IF(AND(NOT(AZ133=""),NOT(AY133="")),AZ133*$AY133,""),"")</f>
        <v/>
      </c>
      <c r="BB133" s="268"/>
      <c r="BC133" s="258" t="str">
        <f t="shared" ref="BC133:BC196" si="85">IFERROR(IF(AND(NOT(BB133=""),NOT(AY133="")),BB133*$AY133,""),"")</f>
        <v/>
      </c>
      <c r="BD133" s="268"/>
      <c r="BE133" s="258" t="str">
        <f t="shared" ref="BE133:BE196" si="86">IFERROR(IF(AND(NOT(BD133=""),NOT(AY133="")),BD133*$AY133,""),"")</f>
        <v/>
      </c>
      <c r="BF133" s="268"/>
      <c r="BG133" s="256" t="str">
        <f t="shared" ref="BG133:BG196" si="87">IFERROR(IF(AND(NOT(BF133=""),NOT(AY133="")),BF133*$AY133,""),"")</f>
        <v/>
      </c>
      <c r="BH133" s="256" t="str">
        <f t="shared" ref="BH133:BH196" si="88">IFERROR(IF(OR(NOT(AZ133=""),NOT(BF133=""),NOT(BB133=""),NOT(BD133="")),AZ133+BF133+BB133+BD133,""),"")</f>
        <v/>
      </c>
      <c r="BI133" s="256" t="str">
        <f t="shared" ref="BI133:BI196" si="89">IF(SUM(BA133,BG133,BC133,BE133)&gt;0,SUM(BA133,BG133,BC133,BE133),"")</f>
        <v/>
      </c>
      <c r="BJ133" s="267"/>
      <c r="BK133" s="255"/>
      <c r="BL133" s="259" t="str">
        <f>IF(BK133&lt;&gt;"",BK133/VLOOKUP($V133,Setup!$C$30:$D$41,2,0),"")</f>
        <v/>
      </c>
      <c r="BM133" s="268"/>
      <c r="BN133" s="258" t="str">
        <f t="shared" ref="BN133:BN196" si="90">IFERROR(IF(AND(NOT(BM133=""),NOT(BL133="")),BM133*$BL133,""),"")</f>
        <v/>
      </c>
      <c r="BO133" s="268"/>
      <c r="BP133" s="258" t="str">
        <f t="shared" ref="BP133:BP196" si="91">IFERROR(IF(AND(NOT(BO133=""),NOT(BL133="")),BO133*$BL133,""),"")</f>
        <v/>
      </c>
      <c r="BQ133" s="268"/>
      <c r="BR133" s="258" t="str">
        <f t="shared" ref="BR133:BR196" si="92">IFERROR(IF(AND(NOT(BQ133=""),NOT(BL133="")),BQ133*$BL133,""),"")</f>
        <v/>
      </c>
      <c r="BS133" s="268"/>
      <c r="BT133" s="256" t="str">
        <f t="shared" ref="BT133:BT196" si="93">IFERROR(IF(AND(NOT(BS133=""),NOT(BL133="")),BS133*$BL133,""),"")</f>
        <v/>
      </c>
      <c r="BU133" s="256" t="str">
        <f t="shared" ref="BU133:BU196" si="94">IFERROR(IF(OR(NOT(BM133=""),NOT(BS133=""),NOT(BO133=""),NOT(BQ133="")),BM133+BS133+BO133+BQ133,""),"")</f>
        <v/>
      </c>
      <c r="BV133" s="256" t="str">
        <f t="shared" ref="BV133:BV196" si="95">IF(SUM(BN133,BT133,BP133,BR133)&gt;0,SUM(BN133,BT133,BP133,BR133),"")</f>
        <v/>
      </c>
      <c r="BW133" s="267"/>
      <c r="BX133" s="256" t="str">
        <f t="shared" ref="BX133:BX196" si="96">IF(SUM(AH133,AU133,BH133,BU133)&gt;0,SUM(AH133,AU133,BH133,BU133),"")</f>
        <v/>
      </c>
      <c r="BY133" s="256" t="str">
        <f t="shared" ref="BY133:BY196" si="97">IF(SUM(AI133,AV133,BI133,BV133)&gt;0,SUM(AI133,AV133,BI133,BV133),"")</f>
        <v/>
      </c>
      <c r="BZ133" s="281"/>
      <c r="CA133" s="282"/>
      <c r="CC133" s="112" t="str">
        <f t="shared" ref="CC133:CC196" ca="1" si="98">IF(OR(B133="--",IFERROR(MATCH(B133,OFFSET(B$4,0,0,ROW()-1,1),0),1)&lt;&gt;1),"",1)</f>
        <v/>
      </c>
      <c r="CF133" s="284"/>
      <c r="CG133" s="284"/>
      <c r="CH133" s="284"/>
      <c r="CI133" s="284"/>
      <c r="CL133" s="356" t="str">
        <f>IFERROR(VLOOKUP(C133,'Data Sheet'!$A$3:$B$26,2,FALSE),"")</f>
        <v/>
      </c>
    </row>
    <row r="134" spans="1:90" s="98" customFormat="1" ht="15.75" x14ac:dyDescent="0.2">
      <c r="A134" s="97"/>
      <c r="B134" s="105" t="str">
        <f t="shared" si="71"/>
        <v>--</v>
      </c>
      <c r="C134" s="276"/>
      <c r="D134" s="101" t="str">
        <f>IFERROR(IF(VLOOKUP(C134,'Data Sheet'!$A$3:$D$26,4,FALSE)=0,"",VLOOKUP(C134,'Data Sheet'!$A$3:$D$26,4,FALSE)),"")</f>
        <v/>
      </c>
      <c r="E134" s="279"/>
      <c r="F134" s="103" t="str">
        <f>IFERROR(IF(VLOOKUP(E134,'Data Sheet'!$C$29:$E$174,3,FALSE)=0,"",VLOOKUP(E134,'Data Sheet'!$C$29:$E$174,3,FALSE)),"")</f>
        <v/>
      </c>
      <c r="G134" s="106" t="str">
        <f t="shared" ref="G134:G197" si="99">CONCATENATE(D134,"-",F134)</f>
        <v>-</v>
      </c>
      <c r="H134" s="273"/>
      <c r="I134" s="107"/>
      <c r="J134" s="249" t="e">
        <f t="shared" ref="J134:J197" si="100">LEFT(I134,SEARCH(".",I134,1)+1)</f>
        <v>#VALUE!</v>
      </c>
      <c r="K134" s="101" t="str">
        <f>IFERROR(INDEX('Data Sheet'!$C$198:$C$275,MATCH(I134,'Data Sheet'!$F$198:$F$275,0)),"")</f>
        <v/>
      </c>
      <c r="L134" s="250" t="str">
        <f>IFERROR(INDEX('Data Sheet'!$G$198:$G$275,MATCH(I134,'Data Sheet'!$F$198:$F$275,0)),"")</f>
        <v/>
      </c>
      <c r="M134" s="194"/>
      <c r="N134" s="248"/>
      <c r="O134" s="248"/>
      <c r="P134" s="108" t="str">
        <f>IFERROR(INDEX(Setup!$D$44:$D$70,MATCH(M134,Setup!$K$44:$K$70,0))&amp;"","")</f>
        <v/>
      </c>
      <c r="Q134" s="108" t="str">
        <f>IFERROR(INDEX(Setup!$E$44:$E$70,MATCH(M134,Setup!$K$44:$K$70,0))&amp;"","")</f>
        <v/>
      </c>
      <c r="R134" s="108" t="str">
        <f>IFERROR(INDEX(Setup!$L$44:$L$70,MATCH(M134,Setup!$K$44:$K$70,0))&amp;"","")</f>
        <v/>
      </c>
      <c r="S134" s="108" t="str">
        <f>Setup!$C$30</f>
        <v>USD</v>
      </c>
      <c r="T134" s="109" t="str">
        <f>IFERROR(INDEX('Data Sheet'!$B$198:$B$275,MATCH(I134,'Data Sheet'!$F$198:$F$275,0)),"")</f>
        <v/>
      </c>
      <c r="U134" s="110" t="str">
        <f>IFERROR(INDEX('Data Sheet'!$D$198:$D$275,MATCH(I134,'Data Sheet'!$F$198:$F$275,0)),"")</f>
        <v/>
      </c>
      <c r="V134" s="99"/>
      <c r="W134" s="195" t="str">
        <f>IF(V134=Setup!$C$30,"Grant",IF(V134=Setup!$C$31,"Local",IF(V134=Setup!$C$32,"Other",IF(ISBLANK(V134),"","Other"))))</f>
        <v/>
      </c>
      <c r="X134" s="255"/>
      <c r="Y134" s="259" t="str">
        <f>IF(X134&lt;&gt;"",X134/VLOOKUP($V134,Setup!$C$30:$D$41,2,0),"")</f>
        <v/>
      </c>
      <c r="Z134" s="262"/>
      <c r="AA134" s="256" t="str">
        <f t="shared" si="72"/>
        <v/>
      </c>
      <c r="AB134" s="262"/>
      <c r="AC134" s="258" t="str">
        <f t="shared" si="73"/>
        <v/>
      </c>
      <c r="AD134" s="262"/>
      <c r="AE134" s="258" t="str">
        <f t="shared" si="74"/>
        <v/>
      </c>
      <c r="AF134" s="262"/>
      <c r="AG134" s="256" t="str">
        <f t="shared" si="75"/>
        <v/>
      </c>
      <c r="AH134" s="256" t="str">
        <f t="shared" si="76"/>
        <v/>
      </c>
      <c r="AI134" s="256" t="str">
        <f t="shared" si="77"/>
        <v/>
      </c>
      <c r="AJ134" s="111"/>
      <c r="AK134" s="255"/>
      <c r="AL134" s="259" t="str">
        <f>IF(AK134&lt;&gt;"",AK134/VLOOKUP($V134,Setup!$C$30:$D$41,2,0),"")</f>
        <v/>
      </c>
      <c r="AM134" s="266"/>
      <c r="AN134" s="258" t="str">
        <f t="shared" si="78"/>
        <v/>
      </c>
      <c r="AO134" s="266"/>
      <c r="AP134" s="258" t="str">
        <f t="shared" si="79"/>
        <v/>
      </c>
      <c r="AQ134" s="266"/>
      <c r="AR134" s="258" t="str">
        <f t="shared" si="80"/>
        <v/>
      </c>
      <c r="AS134" s="266"/>
      <c r="AT134" s="256" t="str">
        <f t="shared" si="81"/>
        <v/>
      </c>
      <c r="AU134" s="256" t="str">
        <f t="shared" si="82"/>
        <v/>
      </c>
      <c r="AV134" s="256" t="str">
        <f t="shared" si="83"/>
        <v/>
      </c>
      <c r="AW134" s="267"/>
      <c r="AX134" s="255"/>
      <c r="AY134" s="259" t="str">
        <f>IF(AX134&lt;&gt;"",AX134/VLOOKUP($V134,Setup!$C$30:$D$41,2,0),"")</f>
        <v/>
      </c>
      <c r="AZ134" s="268"/>
      <c r="BA134" s="258" t="str">
        <f t="shared" si="84"/>
        <v/>
      </c>
      <c r="BB134" s="268"/>
      <c r="BC134" s="258" t="str">
        <f t="shared" si="85"/>
        <v/>
      </c>
      <c r="BD134" s="268"/>
      <c r="BE134" s="258" t="str">
        <f t="shared" si="86"/>
        <v/>
      </c>
      <c r="BF134" s="268"/>
      <c r="BG134" s="256" t="str">
        <f t="shared" si="87"/>
        <v/>
      </c>
      <c r="BH134" s="256" t="str">
        <f t="shared" si="88"/>
        <v/>
      </c>
      <c r="BI134" s="256" t="str">
        <f t="shared" si="89"/>
        <v/>
      </c>
      <c r="BJ134" s="267"/>
      <c r="BK134" s="255"/>
      <c r="BL134" s="259" t="str">
        <f>IF(BK134&lt;&gt;"",BK134/VLOOKUP($V134,Setup!$C$30:$D$41,2,0),"")</f>
        <v/>
      </c>
      <c r="BM134" s="268"/>
      <c r="BN134" s="258" t="str">
        <f t="shared" si="90"/>
        <v/>
      </c>
      <c r="BO134" s="268"/>
      <c r="BP134" s="258" t="str">
        <f t="shared" si="91"/>
        <v/>
      </c>
      <c r="BQ134" s="268"/>
      <c r="BR134" s="258" t="str">
        <f t="shared" si="92"/>
        <v/>
      </c>
      <c r="BS134" s="268"/>
      <c r="BT134" s="256" t="str">
        <f t="shared" si="93"/>
        <v/>
      </c>
      <c r="BU134" s="256" t="str">
        <f t="shared" si="94"/>
        <v/>
      </c>
      <c r="BV134" s="256" t="str">
        <f t="shared" si="95"/>
        <v/>
      </c>
      <c r="BW134" s="267"/>
      <c r="BX134" s="256" t="str">
        <f t="shared" si="96"/>
        <v/>
      </c>
      <c r="BY134" s="256" t="str">
        <f t="shared" si="97"/>
        <v/>
      </c>
      <c r="BZ134" s="281"/>
      <c r="CA134" s="282"/>
      <c r="CC134" s="112" t="str">
        <f t="shared" ca="1" si="98"/>
        <v/>
      </c>
      <c r="CF134" s="284"/>
      <c r="CG134" s="284"/>
      <c r="CH134" s="284"/>
      <c r="CI134" s="284"/>
      <c r="CL134" s="356" t="str">
        <f>IFERROR(VLOOKUP(C134,'Data Sheet'!$A$3:$B$26,2,FALSE),"")</f>
        <v/>
      </c>
    </row>
    <row r="135" spans="1:90" s="98" customFormat="1" ht="15.75" x14ac:dyDescent="0.2">
      <c r="A135" s="97"/>
      <c r="B135" s="105" t="str">
        <f t="shared" si="71"/>
        <v>--</v>
      </c>
      <c r="C135" s="276"/>
      <c r="D135" s="101" t="str">
        <f>IFERROR(IF(VLOOKUP(C135,'Data Sheet'!$A$3:$D$26,4,FALSE)=0,"",VLOOKUP(C135,'Data Sheet'!$A$3:$D$26,4,FALSE)),"")</f>
        <v/>
      </c>
      <c r="E135" s="279"/>
      <c r="F135" s="103" t="str">
        <f>IFERROR(IF(VLOOKUP(E135,'Data Sheet'!$C$29:$E$174,3,FALSE)=0,"",VLOOKUP(E135,'Data Sheet'!$C$29:$E$174,3,FALSE)),"")</f>
        <v/>
      </c>
      <c r="G135" s="106" t="str">
        <f t="shared" si="99"/>
        <v>-</v>
      </c>
      <c r="H135" s="273"/>
      <c r="I135" s="107"/>
      <c r="J135" s="249" t="e">
        <f t="shared" si="100"/>
        <v>#VALUE!</v>
      </c>
      <c r="K135" s="101" t="str">
        <f>IFERROR(INDEX('Data Sheet'!$C$198:$C$275,MATCH(I135,'Data Sheet'!$F$198:$F$275,0)),"")</f>
        <v/>
      </c>
      <c r="L135" s="250" t="str">
        <f>IFERROR(INDEX('Data Sheet'!$G$198:$G$275,MATCH(I135,'Data Sheet'!$F$198:$F$275,0)),"")</f>
        <v/>
      </c>
      <c r="M135" s="194"/>
      <c r="N135" s="248"/>
      <c r="O135" s="248"/>
      <c r="P135" s="108" t="str">
        <f>IFERROR(INDEX(Setup!$D$44:$D$70,MATCH(M135,Setup!$K$44:$K$70,0))&amp;"","")</f>
        <v/>
      </c>
      <c r="Q135" s="108" t="str">
        <f>IFERROR(INDEX(Setup!$E$44:$E$70,MATCH(M135,Setup!$K$44:$K$70,0))&amp;"","")</f>
        <v/>
      </c>
      <c r="R135" s="108" t="str">
        <f>IFERROR(INDEX(Setup!$L$44:$L$70,MATCH(M135,Setup!$K$44:$K$70,0))&amp;"","")</f>
        <v/>
      </c>
      <c r="S135" s="108" t="str">
        <f>Setup!$C$30</f>
        <v>USD</v>
      </c>
      <c r="T135" s="109" t="str">
        <f>IFERROR(INDEX('Data Sheet'!$B$198:$B$275,MATCH(I135,'Data Sheet'!$F$198:$F$275,0)),"")</f>
        <v/>
      </c>
      <c r="U135" s="110" t="str">
        <f>IFERROR(INDEX('Data Sheet'!$D$198:$D$275,MATCH(I135,'Data Sheet'!$F$198:$F$275,0)),"")</f>
        <v/>
      </c>
      <c r="V135" s="99"/>
      <c r="W135" s="195" t="str">
        <f>IF(V135=Setup!$C$30,"Grant",IF(V135=Setup!$C$31,"Local",IF(V135=Setup!$C$32,"Other",IF(ISBLANK(V135),"","Other"))))</f>
        <v/>
      </c>
      <c r="X135" s="255"/>
      <c r="Y135" s="259" t="str">
        <f>IF(X135&lt;&gt;"",X135/VLOOKUP($V135,Setup!$C$30:$D$41,2,0),"")</f>
        <v/>
      </c>
      <c r="Z135" s="262"/>
      <c r="AA135" s="256" t="str">
        <f t="shared" si="72"/>
        <v/>
      </c>
      <c r="AB135" s="262"/>
      <c r="AC135" s="258" t="str">
        <f t="shared" si="73"/>
        <v/>
      </c>
      <c r="AD135" s="262"/>
      <c r="AE135" s="258" t="str">
        <f t="shared" si="74"/>
        <v/>
      </c>
      <c r="AF135" s="262"/>
      <c r="AG135" s="256" t="str">
        <f t="shared" si="75"/>
        <v/>
      </c>
      <c r="AH135" s="256" t="str">
        <f t="shared" si="76"/>
        <v/>
      </c>
      <c r="AI135" s="256" t="str">
        <f t="shared" si="77"/>
        <v/>
      </c>
      <c r="AJ135" s="111"/>
      <c r="AK135" s="255"/>
      <c r="AL135" s="259" t="str">
        <f>IF(AK135&lt;&gt;"",AK135/VLOOKUP($V135,Setup!$C$30:$D$41,2,0),"")</f>
        <v/>
      </c>
      <c r="AM135" s="266"/>
      <c r="AN135" s="258" t="str">
        <f t="shared" si="78"/>
        <v/>
      </c>
      <c r="AO135" s="266"/>
      <c r="AP135" s="258" t="str">
        <f t="shared" si="79"/>
        <v/>
      </c>
      <c r="AQ135" s="266"/>
      <c r="AR135" s="258" t="str">
        <f t="shared" si="80"/>
        <v/>
      </c>
      <c r="AS135" s="266"/>
      <c r="AT135" s="256" t="str">
        <f t="shared" si="81"/>
        <v/>
      </c>
      <c r="AU135" s="256" t="str">
        <f t="shared" si="82"/>
        <v/>
      </c>
      <c r="AV135" s="256" t="str">
        <f t="shared" si="83"/>
        <v/>
      </c>
      <c r="AW135" s="267"/>
      <c r="AX135" s="255"/>
      <c r="AY135" s="259" t="str">
        <f>IF(AX135&lt;&gt;"",AX135/VLOOKUP($V135,Setup!$C$30:$D$41,2,0),"")</f>
        <v/>
      </c>
      <c r="AZ135" s="268"/>
      <c r="BA135" s="258" t="str">
        <f t="shared" si="84"/>
        <v/>
      </c>
      <c r="BB135" s="268"/>
      <c r="BC135" s="258" t="str">
        <f t="shared" si="85"/>
        <v/>
      </c>
      <c r="BD135" s="268"/>
      <c r="BE135" s="258" t="str">
        <f t="shared" si="86"/>
        <v/>
      </c>
      <c r="BF135" s="268"/>
      <c r="BG135" s="256" t="str">
        <f t="shared" si="87"/>
        <v/>
      </c>
      <c r="BH135" s="256" t="str">
        <f t="shared" si="88"/>
        <v/>
      </c>
      <c r="BI135" s="256" t="str">
        <f t="shared" si="89"/>
        <v/>
      </c>
      <c r="BJ135" s="267"/>
      <c r="BK135" s="255"/>
      <c r="BL135" s="259" t="str">
        <f>IF(BK135&lt;&gt;"",BK135/VLOOKUP($V135,Setup!$C$30:$D$41,2,0),"")</f>
        <v/>
      </c>
      <c r="BM135" s="268"/>
      <c r="BN135" s="258" t="str">
        <f t="shared" si="90"/>
        <v/>
      </c>
      <c r="BO135" s="268"/>
      <c r="BP135" s="258" t="str">
        <f t="shared" si="91"/>
        <v/>
      </c>
      <c r="BQ135" s="268"/>
      <c r="BR135" s="258" t="str">
        <f t="shared" si="92"/>
        <v/>
      </c>
      <c r="BS135" s="268"/>
      <c r="BT135" s="256" t="str">
        <f t="shared" si="93"/>
        <v/>
      </c>
      <c r="BU135" s="256" t="str">
        <f t="shared" si="94"/>
        <v/>
      </c>
      <c r="BV135" s="256" t="str">
        <f t="shared" si="95"/>
        <v/>
      </c>
      <c r="BW135" s="267"/>
      <c r="BX135" s="256" t="str">
        <f t="shared" si="96"/>
        <v/>
      </c>
      <c r="BY135" s="256" t="str">
        <f t="shared" si="97"/>
        <v/>
      </c>
      <c r="BZ135" s="281"/>
      <c r="CA135" s="282"/>
      <c r="CC135" s="112" t="str">
        <f t="shared" ca="1" si="98"/>
        <v/>
      </c>
      <c r="CF135" s="284"/>
      <c r="CG135" s="284"/>
      <c r="CH135" s="284"/>
      <c r="CI135" s="284"/>
      <c r="CL135" s="356" t="str">
        <f>IFERROR(VLOOKUP(C135,'Data Sheet'!$A$3:$B$26,2,FALSE),"")</f>
        <v/>
      </c>
    </row>
    <row r="136" spans="1:90" s="98" customFormat="1" ht="15.75" x14ac:dyDescent="0.2">
      <c r="A136" s="97"/>
      <c r="B136" s="105" t="str">
        <f t="shared" si="71"/>
        <v>--</v>
      </c>
      <c r="C136" s="276"/>
      <c r="D136" s="101" t="str">
        <f>IFERROR(IF(VLOOKUP(C136,'Data Sheet'!$A$3:$D$26,4,FALSE)=0,"",VLOOKUP(C136,'Data Sheet'!$A$3:$D$26,4,FALSE)),"")</f>
        <v/>
      </c>
      <c r="E136" s="279"/>
      <c r="F136" s="103" t="str">
        <f>IFERROR(IF(VLOOKUP(E136,'Data Sheet'!$C$29:$E$174,3,FALSE)=0,"",VLOOKUP(E136,'Data Sheet'!$C$29:$E$174,3,FALSE)),"")</f>
        <v/>
      </c>
      <c r="G136" s="106" t="str">
        <f t="shared" si="99"/>
        <v>-</v>
      </c>
      <c r="H136" s="273"/>
      <c r="I136" s="107"/>
      <c r="J136" s="249" t="e">
        <f t="shared" si="100"/>
        <v>#VALUE!</v>
      </c>
      <c r="K136" s="101" t="str">
        <f>IFERROR(INDEX('Data Sheet'!$C$198:$C$275,MATCH(I136,'Data Sheet'!$F$198:$F$275,0)),"")</f>
        <v/>
      </c>
      <c r="L136" s="250" t="str">
        <f>IFERROR(INDEX('Data Sheet'!$G$198:$G$275,MATCH(I136,'Data Sheet'!$F$198:$F$275,0)),"")</f>
        <v/>
      </c>
      <c r="M136" s="194"/>
      <c r="N136" s="248"/>
      <c r="O136" s="248"/>
      <c r="P136" s="108" t="str">
        <f>IFERROR(INDEX(Setup!$D$44:$D$70,MATCH(M136,Setup!$K$44:$K$70,0))&amp;"","")</f>
        <v/>
      </c>
      <c r="Q136" s="108" t="str">
        <f>IFERROR(INDEX(Setup!$E$44:$E$70,MATCH(M136,Setup!$K$44:$K$70,0))&amp;"","")</f>
        <v/>
      </c>
      <c r="R136" s="108" t="str">
        <f>IFERROR(INDEX(Setup!$L$44:$L$70,MATCH(M136,Setup!$K$44:$K$70,0))&amp;"","")</f>
        <v/>
      </c>
      <c r="S136" s="108" t="str">
        <f>Setup!$C$30</f>
        <v>USD</v>
      </c>
      <c r="T136" s="109" t="str">
        <f>IFERROR(INDEX('Data Sheet'!$B$198:$B$275,MATCH(I136,'Data Sheet'!$F$198:$F$275,0)),"")</f>
        <v/>
      </c>
      <c r="U136" s="110" t="str">
        <f>IFERROR(INDEX('Data Sheet'!$D$198:$D$275,MATCH(I136,'Data Sheet'!$F$198:$F$275,0)),"")</f>
        <v/>
      </c>
      <c r="V136" s="99"/>
      <c r="W136" s="195" t="str">
        <f>IF(V136=Setup!$C$30,"Grant",IF(V136=Setup!$C$31,"Local",IF(V136=Setup!$C$32,"Other",IF(ISBLANK(V136),"","Other"))))</f>
        <v/>
      </c>
      <c r="X136" s="255"/>
      <c r="Y136" s="259" t="str">
        <f>IF(X136&lt;&gt;"",X136/VLOOKUP($V136,Setup!$C$30:$D$41,2,0),"")</f>
        <v/>
      </c>
      <c r="Z136" s="262"/>
      <c r="AA136" s="256" t="str">
        <f t="shared" si="72"/>
        <v/>
      </c>
      <c r="AB136" s="262"/>
      <c r="AC136" s="258" t="str">
        <f t="shared" si="73"/>
        <v/>
      </c>
      <c r="AD136" s="262"/>
      <c r="AE136" s="258" t="str">
        <f t="shared" si="74"/>
        <v/>
      </c>
      <c r="AF136" s="262"/>
      <c r="AG136" s="256" t="str">
        <f t="shared" si="75"/>
        <v/>
      </c>
      <c r="AH136" s="256" t="str">
        <f t="shared" si="76"/>
        <v/>
      </c>
      <c r="AI136" s="256" t="str">
        <f t="shared" si="77"/>
        <v/>
      </c>
      <c r="AJ136" s="111"/>
      <c r="AK136" s="255"/>
      <c r="AL136" s="259" t="str">
        <f>IF(AK136&lt;&gt;"",AK136/VLOOKUP($V136,Setup!$C$30:$D$41,2,0),"")</f>
        <v/>
      </c>
      <c r="AM136" s="266"/>
      <c r="AN136" s="258" t="str">
        <f t="shared" si="78"/>
        <v/>
      </c>
      <c r="AO136" s="266"/>
      <c r="AP136" s="258" t="str">
        <f t="shared" si="79"/>
        <v/>
      </c>
      <c r="AQ136" s="266"/>
      <c r="AR136" s="258" t="str">
        <f t="shared" si="80"/>
        <v/>
      </c>
      <c r="AS136" s="266"/>
      <c r="AT136" s="256" t="str">
        <f t="shared" si="81"/>
        <v/>
      </c>
      <c r="AU136" s="256" t="str">
        <f t="shared" si="82"/>
        <v/>
      </c>
      <c r="AV136" s="256" t="str">
        <f t="shared" si="83"/>
        <v/>
      </c>
      <c r="AW136" s="267"/>
      <c r="AX136" s="255"/>
      <c r="AY136" s="259" t="str">
        <f>IF(AX136&lt;&gt;"",AX136/VLOOKUP($V136,Setup!$C$30:$D$41,2,0),"")</f>
        <v/>
      </c>
      <c r="AZ136" s="268"/>
      <c r="BA136" s="258" t="str">
        <f t="shared" si="84"/>
        <v/>
      </c>
      <c r="BB136" s="268"/>
      <c r="BC136" s="258" t="str">
        <f t="shared" si="85"/>
        <v/>
      </c>
      <c r="BD136" s="268"/>
      <c r="BE136" s="258" t="str">
        <f t="shared" si="86"/>
        <v/>
      </c>
      <c r="BF136" s="268"/>
      <c r="BG136" s="256" t="str">
        <f t="shared" si="87"/>
        <v/>
      </c>
      <c r="BH136" s="256" t="str">
        <f t="shared" si="88"/>
        <v/>
      </c>
      <c r="BI136" s="256" t="str">
        <f t="shared" si="89"/>
        <v/>
      </c>
      <c r="BJ136" s="267"/>
      <c r="BK136" s="255"/>
      <c r="BL136" s="259" t="str">
        <f>IF(BK136&lt;&gt;"",BK136/VLOOKUP($V136,Setup!$C$30:$D$41,2,0),"")</f>
        <v/>
      </c>
      <c r="BM136" s="268"/>
      <c r="BN136" s="258" t="str">
        <f t="shared" si="90"/>
        <v/>
      </c>
      <c r="BO136" s="268"/>
      <c r="BP136" s="258" t="str">
        <f t="shared" si="91"/>
        <v/>
      </c>
      <c r="BQ136" s="268"/>
      <c r="BR136" s="258" t="str">
        <f t="shared" si="92"/>
        <v/>
      </c>
      <c r="BS136" s="268"/>
      <c r="BT136" s="256" t="str">
        <f t="shared" si="93"/>
        <v/>
      </c>
      <c r="BU136" s="256" t="str">
        <f t="shared" si="94"/>
        <v/>
      </c>
      <c r="BV136" s="256" t="str">
        <f t="shared" si="95"/>
        <v/>
      </c>
      <c r="BW136" s="267"/>
      <c r="BX136" s="256" t="str">
        <f t="shared" si="96"/>
        <v/>
      </c>
      <c r="BY136" s="256" t="str">
        <f t="shared" si="97"/>
        <v/>
      </c>
      <c r="BZ136" s="281"/>
      <c r="CA136" s="282"/>
      <c r="CC136" s="112" t="str">
        <f t="shared" ca="1" si="98"/>
        <v/>
      </c>
      <c r="CF136" s="284"/>
      <c r="CG136" s="284"/>
      <c r="CH136" s="284"/>
      <c r="CI136" s="284"/>
      <c r="CL136" s="356" t="str">
        <f>IFERROR(VLOOKUP(C136,'Data Sheet'!$A$3:$B$26,2,FALSE),"")</f>
        <v/>
      </c>
    </row>
    <row r="137" spans="1:90" s="98" customFormat="1" ht="15.75" x14ac:dyDescent="0.2">
      <c r="A137" s="97"/>
      <c r="B137" s="105" t="str">
        <f t="shared" si="71"/>
        <v>--</v>
      </c>
      <c r="C137" s="276"/>
      <c r="D137" s="101" t="str">
        <f>IFERROR(IF(VLOOKUP(C137,'Data Sheet'!$A$3:$D$26,4,FALSE)=0,"",VLOOKUP(C137,'Data Sheet'!$A$3:$D$26,4,FALSE)),"")</f>
        <v/>
      </c>
      <c r="E137" s="279"/>
      <c r="F137" s="103" t="str">
        <f>IFERROR(IF(VLOOKUP(E137,'Data Sheet'!$C$29:$E$174,3,FALSE)=0,"",VLOOKUP(E137,'Data Sheet'!$C$29:$E$174,3,FALSE)),"")</f>
        <v/>
      </c>
      <c r="G137" s="106" t="str">
        <f t="shared" si="99"/>
        <v>-</v>
      </c>
      <c r="H137" s="273"/>
      <c r="I137" s="107"/>
      <c r="J137" s="249" t="e">
        <f t="shared" si="100"/>
        <v>#VALUE!</v>
      </c>
      <c r="K137" s="101" t="str">
        <f>IFERROR(INDEX('Data Sheet'!$C$198:$C$275,MATCH(I137,'Data Sheet'!$F$198:$F$275,0)),"")</f>
        <v/>
      </c>
      <c r="L137" s="250" t="str">
        <f>IFERROR(INDEX('Data Sheet'!$G$198:$G$275,MATCH(I137,'Data Sheet'!$F$198:$F$275,0)),"")</f>
        <v/>
      </c>
      <c r="M137" s="194"/>
      <c r="N137" s="248"/>
      <c r="O137" s="248"/>
      <c r="P137" s="108" t="str">
        <f>IFERROR(INDEX(Setup!$D$44:$D$70,MATCH(M137,Setup!$K$44:$K$70,0))&amp;"","")</f>
        <v/>
      </c>
      <c r="Q137" s="108" t="str">
        <f>IFERROR(INDEX(Setup!$E$44:$E$70,MATCH(M137,Setup!$K$44:$K$70,0))&amp;"","")</f>
        <v/>
      </c>
      <c r="R137" s="108" t="str">
        <f>IFERROR(INDEX(Setup!$L$44:$L$70,MATCH(M137,Setup!$K$44:$K$70,0))&amp;"","")</f>
        <v/>
      </c>
      <c r="S137" s="108" t="str">
        <f>Setup!$C$30</f>
        <v>USD</v>
      </c>
      <c r="T137" s="109" t="str">
        <f>IFERROR(INDEX('Data Sheet'!$B$198:$B$275,MATCH(I137,'Data Sheet'!$F$198:$F$275,0)),"")</f>
        <v/>
      </c>
      <c r="U137" s="110" t="str">
        <f>IFERROR(INDEX('Data Sheet'!$D$198:$D$275,MATCH(I137,'Data Sheet'!$F$198:$F$275,0)),"")</f>
        <v/>
      </c>
      <c r="V137" s="99"/>
      <c r="W137" s="195" t="str">
        <f>IF(V137=Setup!$C$30,"Grant",IF(V137=Setup!$C$31,"Local",IF(V137=Setup!$C$32,"Other",IF(ISBLANK(V137),"","Other"))))</f>
        <v/>
      </c>
      <c r="X137" s="255"/>
      <c r="Y137" s="259" t="str">
        <f>IF(X137&lt;&gt;"",X137/VLOOKUP($V137,Setup!$C$30:$D$41,2,0),"")</f>
        <v/>
      </c>
      <c r="Z137" s="262"/>
      <c r="AA137" s="256" t="str">
        <f t="shared" si="72"/>
        <v/>
      </c>
      <c r="AB137" s="262"/>
      <c r="AC137" s="258" t="str">
        <f t="shared" si="73"/>
        <v/>
      </c>
      <c r="AD137" s="262"/>
      <c r="AE137" s="258" t="str">
        <f t="shared" si="74"/>
        <v/>
      </c>
      <c r="AF137" s="262"/>
      <c r="AG137" s="256" t="str">
        <f t="shared" si="75"/>
        <v/>
      </c>
      <c r="AH137" s="256" t="str">
        <f t="shared" si="76"/>
        <v/>
      </c>
      <c r="AI137" s="256" t="str">
        <f t="shared" si="77"/>
        <v/>
      </c>
      <c r="AJ137" s="111"/>
      <c r="AK137" s="255"/>
      <c r="AL137" s="259" t="str">
        <f>IF(AK137&lt;&gt;"",AK137/VLOOKUP($V137,Setup!$C$30:$D$41,2,0),"")</f>
        <v/>
      </c>
      <c r="AM137" s="266"/>
      <c r="AN137" s="258" t="str">
        <f t="shared" si="78"/>
        <v/>
      </c>
      <c r="AO137" s="266"/>
      <c r="AP137" s="258" t="str">
        <f t="shared" si="79"/>
        <v/>
      </c>
      <c r="AQ137" s="266"/>
      <c r="AR137" s="258" t="str">
        <f t="shared" si="80"/>
        <v/>
      </c>
      <c r="AS137" s="266"/>
      <c r="AT137" s="256" t="str">
        <f t="shared" si="81"/>
        <v/>
      </c>
      <c r="AU137" s="256" t="str">
        <f t="shared" si="82"/>
        <v/>
      </c>
      <c r="AV137" s="256" t="str">
        <f t="shared" si="83"/>
        <v/>
      </c>
      <c r="AW137" s="267"/>
      <c r="AX137" s="255"/>
      <c r="AY137" s="259" t="str">
        <f>IF(AX137&lt;&gt;"",AX137/VLOOKUP($V137,Setup!$C$30:$D$41,2,0),"")</f>
        <v/>
      </c>
      <c r="AZ137" s="268"/>
      <c r="BA137" s="258" t="str">
        <f t="shared" si="84"/>
        <v/>
      </c>
      <c r="BB137" s="268"/>
      <c r="BC137" s="258" t="str">
        <f t="shared" si="85"/>
        <v/>
      </c>
      <c r="BD137" s="268"/>
      <c r="BE137" s="258" t="str">
        <f t="shared" si="86"/>
        <v/>
      </c>
      <c r="BF137" s="268"/>
      <c r="BG137" s="256" t="str">
        <f t="shared" si="87"/>
        <v/>
      </c>
      <c r="BH137" s="256" t="str">
        <f t="shared" si="88"/>
        <v/>
      </c>
      <c r="BI137" s="256" t="str">
        <f t="shared" si="89"/>
        <v/>
      </c>
      <c r="BJ137" s="267"/>
      <c r="BK137" s="255"/>
      <c r="BL137" s="259" t="str">
        <f>IF(BK137&lt;&gt;"",BK137/VLOOKUP($V137,Setup!$C$30:$D$41,2,0),"")</f>
        <v/>
      </c>
      <c r="BM137" s="268"/>
      <c r="BN137" s="258" t="str">
        <f t="shared" si="90"/>
        <v/>
      </c>
      <c r="BO137" s="268"/>
      <c r="BP137" s="258" t="str">
        <f t="shared" si="91"/>
        <v/>
      </c>
      <c r="BQ137" s="268"/>
      <c r="BR137" s="258" t="str">
        <f t="shared" si="92"/>
        <v/>
      </c>
      <c r="BS137" s="268"/>
      <c r="BT137" s="256" t="str">
        <f t="shared" si="93"/>
        <v/>
      </c>
      <c r="BU137" s="256" t="str">
        <f t="shared" si="94"/>
        <v/>
      </c>
      <c r="BV137" s="256" t="str">
        <f t="shared" si="95"/>
        <v/>
      </c>
      <c r="BW137" s="267"/>
      <c r="BX137" s="256" t="str">
        <f t="shared" si="96"/>
        <v/>
      </c>
      <c r="BY137" s="256" t="str">
        <f t="shared" si="97"/>
        <v/>
      </c>
      <c r="BZ137" s="281"/>
      <c r="CA137" s="282"/>
      <c r="CC137" s="112" t="str">
        <f t="shared" ca="1" si="98"/>
        <v/>
      </c>
      <c r="CF137" s="284"/>
      <c r="CG137" s="284"/>
      <c r="CH137" s="284"/>
      <c r="CI137" s="284"/>
      <c r="CL137" s="356" t="str">
        <f>IFERROR(VLOOKUP(C137,'Data Sheet'!$A$3:$B$26,2,FALSE),"")</f>
        <v/>
      </c>
    </row>
    <row r="138" spans="1:90" s="98" customFormat="1" ht="15.75" x14ac:dyDescent="0.2">
      <c r="A138" s="97"/>
      <c r="B138" s="105" t="str">
        <f t="shared" si="71"/>
        <v>--</v>
      </c>
      <c r="C138" s="276"/>
      <c r="D138" s="101" t="str">
        <f>IFERROR(IF(VLOOKUP(C138,'Data Sheet'!$A$3:$D$26,4,FALSE)=0,"",VLOOKUP(C138,'Data Sheet'!$A$3:$D$26,4,FALSE)),"")</f>
        <v/>
      </c>
      <c r="E138" s="279"/>
      <c r="F138" s="103" t="str">
        <f>IFERROR(IF(VLOOKUP(E138,'Data Sheet'!$C$29:$E$174,3,FALSE)=0,"",VLOOKUP(E138,'Data Sheet'!$C$29:$E$174,3,FALSE)),"")</f>
        <v/>
      </c>
      <c r="G138" s="106" t="str">
        <f t="shared" si="99"/>
        <v>-</v>
      </c>
      <c r="H138" s="273"/>
      <c r="I138" s="107"/>
      <c r="J138" s="249" t="e">
        <f t="shared" si="100"/>
        <v>#VALUE!</v>
      </c>
      <c r="K138" s="101" t="str">
        <f>IFERROR(INDEX('Data Sheet'!$C$198:$C$275,MATCH(I138,'Data Sheet'!$F$198:$F$275,0)),"")</f>
        <v/>
      </c>
      <c r="L138" s="250" t="str">
        <f>IFERROR(INDEX('Data Sheet'!$G$198:$G$275,MATCH(I138,'Data Sheet'!$F$198:$F$275,0)),"")</f>
        <v/>
      </c>
      <c r="M138" s="194"/>
      <c r="N138" s="248"/>
      <c r="O138" s="248"/>
      <c r="P138" s="108" t="str">
        <f>IFERROR(INDEX(Setup!$D$44:$D$70,MATCH(M138,Setup!$K$44:$K$70,0))&amp;"","")</f>
        <v/>
      </c>
      <c r="Q138" s="108" t="str">
        <f>IFERROR(INDEX(Setup!$E$44:$E$70,MATCH(M138,Setup!$K$44:$K$70,0))&amp;"","")</f>
        <v/>
      </c>
      <c r="R138" s="108" t="str">
        <f>IFERROR(INDEX(Setup!$L$44:$L$70,MATCH(M138,Setup!$K$44:$K$70,0))&amp;"","")</f>
        <v/>
      </c>
      <c r="S138" s="108" t="str">
        <f>Setup!$C$30</f>
        <v>USD</v>
      </c>
      <c r="T138" s="109" t="str">
        <f>IFERROR(INDEX('Data Sheet'!$B$198:$B$275,MATCH(I138,'Data Sheet'!$F$198:$F$275,0)),"")</f>
        <v/>
      </c>
      <c r="U138" s="110" t="str">
        <f>IFERROR(INDEX('Data Sheet'!$D$198:$D$275,MATCH(I138,'Data Sheet'!$F$198:$F$275,0)),"")</f>
        <v/>
      </c>
      <c r="V138" s="99"/>
      <c r="W138" s="195" t="str">
        <f>IF(V138=Setup!$C$30,"Grant",IF(V138=Setup!$C$31,"Local",IF(V138=Setup!$C$32,"Other",IF(ISBLANK(V138),"","Other"))))</f>
        <v/>
      </c>
      <c r="X138" s="255"/>
      <c r="Y138" s="259" t="str">
        <f>IF(X138&lt;&gt;"",X138/VLOOKUP($V138,Setup!$C$30:$D$41,2,0),"")</f>
        <v/>
      </c>
      <c r="Z138" s="262"/>
      <c r="AA138" s="256" t="str">
        <f t="shared" si="72"/>
        <v/>
      </c>
      <c r="AB138" s="262"/>
      <c r="AC138" s="258" t="str">
        <f t="shared" si="73"/>
        <v/>
      </c>
      <c r="AD138" s="262"/>
      <c r="AE138" s="258" t="str">
        <f t="shared" si="74"/>
        <v/>
      </c>
      <c r="AF138" s="262"/>
      <c r="AG138" s="256" t="str">
        <f t="shared" si="75"/>
        <v/>
      </c>
      <c r="AH138" s="256" t="str">
        <f t="shared" si="76"/>
        <v/>
      </c>
      <c r="AI138" s="256" t="str">
        <f t="shared" si="77"/>
        <v/>
      </c>
      <c r="AJ138" s="111"/>
      <c r="AK138" s="255"/>
      <c r="AL138" s="259" t="str">
        <f>IF(AK138&lt;&gt;"",AK138/VLOOKUP($V138,Setup!$C$30:$D$41,2,0),"")</f>
        <v/>
      </c>
      <c r="AM138" s="266"/>
      <c r="AN138" s="258" t="str">
        <f t="shared" si="78"/>
        <v/>
      </c>
      <c r="AO138" s="266"/>
      <c r="AP138" s="258" t="str">
        <f t="shared" si="79"/>
        <v/>
      </c>
      <c r="AQ138" s="266"/>
      <c r="AR138" s="258" t="str">
        <f t="shared" si="80"/>
        <v/>
      </c>
      <c r="AS138" s="266"/>
      <c r="AT138" s="256" t="str">
        <f t="shared" si="81"/>
        <v/>
      </c>
      <c r="AU138" s="256" t="str">
        <f t="shared" si="82"/>
        <v/>
      </c>
      <c r="AV138" s="256" t="str">
        <f t="shared" si="83"/>
        <v/>
      </c>
      <c r="AW138" s="267"/>
      <c r="AX138" s="255"/>
      <c r="AY138" s="259" t="str">
        <f>IF(AX138&lt;&gt;"",AX138/VLOOKUP($V138,Setup!$C$30:$D$41,2,0),"")</f>
        <v/>
      </c>
      <c r="AZ138" s="268"/>
      <c r="BA138" s="258" t="str">
        <f t="shared" si="84"/>
        <v/>
      </c>
      <c r="BB138" s="268"/>
      <c r="BC138" s="258" t="str">
        <f t="shared" si="85"/>
        <v/>
      </c>
      <c r="BD138" s="268"/>
      <c r="BE138" s="258" t="str">
        <f t="shared" si="86"/>
        <v/>
      </c>
      <c r="BF138" s="268"/>
      <c r="BG138" s="256" t="str">
        <f t="shared" si="87"/>
        <v/>
      </c>
      <c r="BH138" s="256" t="str">
        <f t="shared" si="88"/>
        <v/>
      </c>
      <c r="BI138" s="256" t="str">
        <f t="shared" si="89"/>
        <v/>
      </c>
      <c r="BJ138" s="267"/>
      <c r="BK138" s="255"/>
      <c r="BL138" s="259" t="str">
        <f>IF(BK138&lt;&gt;"",BK138/VLOOKUP($V138,Setup!$C$30:$D$41,2,0),"")</f>
        <v/>
      </c>
      <c r="BM138" s="268"/>
      <c r="BN138" s="258" t="str">
        <f t="shared" si="90"/>
        <v/>
      </c>
      <c r="BO138" s="268"/>
      <c r="BP138" s="258" t="str">
        <f t="shared" si="91"/>
        <v/>
      </c>
      <c r="BQ138" s="268"/>
      <c r="BR138" s="258" t="str">
        <f t="shared" si="92"/>
        <v/>
      </c>
      <c r="BS138" s="268"/>
      <c r="BT138" s="256" t="str">
        <f t="shared" si="93"/>
        <v/>
      </c>
      <c r="BU138" s="256" t="str">
        <f t="shared" si="94"/>
        <v/>
      </c>
      <c r="BV138" s="256" t="str">
        <f t="shared" si="95"/>
        <v/>
      </c>
      <c r="BW138" s="267"/>
      <c r="BX138" s="256" t="str">
        <f t="shared" si="96"/>
        <v/>
      </c>
      <c r="BY138" s="256" t="str">
        <f t="shared" si="97"/>
        <v/>
      </c>
      <c r="BZ138" s="281"/>
      <c r="CA138" s="282"/>
      <c r="CC138" s="112" t="str">
        <f t="shared" ca="1" si="98"/>
        <v/>
      </c>
      <c r="CF138" s="284"/>
      <c r="CG138" s="284"/>
      <c r="CH138" s="284"/>
      <c r="CI138" s="284"/>
      <c r="CL138" s="356" t="str">
        <f>IFERROR(VLOOKUP(C138,'Data Sheet'!$A$3:$B$26,2,FALSE),"")</f>
        <v/>
      </c>
    </row>
    <row r="139" spans="1:90" s="98" customFormat="1" ht="15.75" x14ac:dyDescent="0.2">
      <c r="A139" s="97"/>
      <c r="B139" s="105" t="str">
        <f t="shared" si="71"/>
        <v>--</v>
      </c>
      <c r="C139" s="276"/>
      <c r="D139" s="101" t="str">
        <f>IFERROR(IF(VLOOKUP(C139,'Data Sheet'!$A$3:$D$26,4,FALSE)=0,"",VLOOKUP(C139,'Data Sheet'!$A$3:$D$26,4,FALSE)),"")</f>
        <v/>
      </c>
      <c r="E139" s="279"/>
      <c r="F139" s="103" t="str">
        <f>IFERROR(IF(VLOOKUP(E139,'Data Sheet'!$C$29:$E$174,3,FALSE)=0,"",VLOOKUP(E139,'Data Sheet'!$C$29:$E$174,3,FALSE)),"")</f>
        <v/>
      </c>
      <c r="G139" s="106" t="str">
        <f t="shared" si="99"/>
        <v>-</v>
      </c>
      <c r="H139" s="273"/>
      <c r="I139" s="107"/>
      <c r="J139" s="249" t="e">
        <f t="shared" si="100"/>
        <v>#VALUE!</v>
      </c>
      <c r="K139" s="101" t="str">
        <f>IFERROR(INDEX('Data Sheet'!$C$198:$C$275,MATCH(I139,'Data Sheet'!$F$198:$F$275,0)),"")</f>
        <v/>
      </c>
      <c r="L139" s="250" t="str">
        <f>IFERROR(INDEX('Data Sheet'!$G$198:$G$275,MATCH(I139,'Data Sheet'!$F$198:$F$275,0)),"")</f>
        <v/>
      </c>
      <c r="M139" s="194"/>
      <c r="N139" s="248"/>
      <c r="O139" s="248"/>
      <c r="P139" s="108" t="str">
        <f>IFERROR(INDEX(Setup!$D$44:$D$70,MATCH(M139,Setup!$K$44:$K$70,0))&amp;"","")</f>
        <v/>
      </c>
      <c r="Q139" s="108" t="str">
        <f>IFERROR(INDEX(Setup!$E$44:$E$70,MATCH(M139,Setup!$K$44:$K$70,0))&amp;"","")</f>
        <v/>
      </c>
      <c r="R139" s="108" t="str">
        <f>IFERROR(INDEX(Setup!$L$44:$L$70,MATCH(M139,Setup!$K$44:$K$70,0))&amp;"","")</f>
        <v/>
      </c>
      <c r="S139" s="108" t="str">
        <f>Setup!$C$30</f>
        <v>USD</v>
      </c>
      <c r="T139" s="109" t="str">
        <f>IFERROR(INDEX('Data Sheet'!$B$198:$B$275,MATCH(I139,'Data Sheet'!$F$198:$F$275,0)),"")</f>
        <v/>
      </c>
      <c r="U139" s="110" t="str">
        <f>IFERROR(INDEX('Data Sheet'!$D$198:$D$275,MATCH(I139,'Data Sheet'!$F$198:$F$275,0)),"")</f>
        <v/>
      </c>
      <c r="V139" s="99"/>
      <c r="W139" s="195" t="str">
        <f>IF(V139=Setup!$C$30,"Grant",IF(V139=Setup!$C$31,"Local",IF(V139=Setup!$C$32,"Other",IF(ISBLANK(V139),"","Other"))))</f>
        <v/>
      </c>
      <c r="X139" s="255"/>
      <c r="Y139" s="259" t="str">
        <f>IF(X139&lt;&gt;"",X139/VLOOKUP($V139,Setup!$C$30:$D$41,2,0),"")</f>
        <v/>
      </c>
      <c r="Z139" s="262"/>
      <c r="AA139" s="256" t="str">
        <f t="shared" si="72"/>
        <v/>
      </c>
      <c r="AB139" s="262"/>
      <c r="AC139" s="258" t="str">
        <f t="shared" si="73"/>
        <v/>
      </c>
      <c r="AD139" s="262"/>
      <c r="AE139" s="258" t="str">
        <f t="shared" si="74"/>
        <v/>
      </c>
      <c r="AF139" s="262"/>
      <c r="AG139" s="256" t="str">
        <f t="shared" si="75"/>
        <v/>
      </c>
      <c r="AH139" s="256" t="str">
        <f t="shared" si="76"/>
        <v/>
      </c>
      <c r="AI139" s="256" t="str">
        <f t="shared" si="77"/>
        <v/>
      </c>
      <c r="AJ139" s="111"/>
      <c r="AK139" s="255"/>
      <c r="AL139" s="259" t="str">
        <f>IF(AK139&lt;&gt;"",AK139/VLOOKUP($V139,Setup!$C$30:$D$41,2,0),"")</f>
        <v/>
      </c>
      <c r="AM139" s="266"/>
      <c r="AN139" s="258" t="str">
        <f t="shared" si="78"/>
        <v/>
      </c>
      <c r="AO139" s="266"/>
      <c r="AP139" s="258" t="str">
        <f t="shared" si="79"/>
        <v/>
      </c>
      <c r="AQ139" s="266"/>
      <c r="AR139" s="258" t="str">
        <f t="shared" si="80"/>
        <v/>
      </c>
      <c r="AS139" s="266"/>
      <c r="AT139" s="256" t="str">
        <f t="shared" si="81"/>
        <v/>
      </c>
      <c r="AU139" s="256" t="str">
        <f t="shared" si="82"/>
        <v/>
      </c>
      <c r="AV139" s="256" t="str">
        <f t="shared" si="83"/>
        <v/>
      </c>
      <c r="AW139" s="267"/>
      <c r="AX139" s="255"/>
      <c r="AY139" s="259" t="str">
        <f>IF(AX139&lt;&gt;"",AX139/VLOOKUP($V139,Setup!$C$30:$D$41,2,0),"")</f>
        <v/>
      </c>
      <c r="AZ139" s="268"/>
      <c r="BA139" s="258" t="str">
        <f t="shared" si="84"/>
        <v/>
      </c>
      <c r="BB139" s="268"/>
      <c r="BC139" s="258" t="str">
        <f t="shared" si="85"/>
        <v/>
      </c>
      <c r="BD139" s="268"/>
      <c r="BE139" s="258" t="str">
        <f t="shared" si="86"/>
        <v/>
      </c>
      <c r="BF139" s="268"/>
      <c r="BG139" s="256" t="str">
        <f t="shared" si="87"/>
        <v/>
      </c>
      <c r="BH139" s="256" t="str">
        <f t="shared" si="88"/>
        <v/>
      </c>
      <c r="BI139" s="256" t="str">
        <f t="shared" si="89"/>
        <v/>
      </c>
      <c r="BJ139" s="267"/>
      <c r="BK139" s="255"/>
      <c r="BL139" s="259" t="str">
        <f>IF(BK139&lt;&gt;"",BK139/VLOOKUP($V139,Setup!$C$30:$D$41,2,0),"")</f>
        <v/>
      </c>
      <c r="BM139" s="268"/>
      <c r="BN139" s="258" t="str">
        <f t="shared" si="90"/>
        <v/>
      </c>
      <c r="BO139" s="268"/>
      <c r="BP139" s="258" t="str">
        <f t="shared" si="91"/>
        <v/>
      </c>
      <c r="BQ139" s="268"/>
      <c r="BR139" s="258" t="str">
        <f t="shared" si="92"/>
        <v/>
      </c>
      <c r="BS139" s="268"/>
      <c r="BT139" s="256" t="str">
        <f t="shared" si="93"/>
        <v/>
      </c>
      <c r="BU139" s="256" t="str">
        <f t="shared" si="94"/>
        <v/>
      </c>
      <c r="BV139" s="256" t="str">
        <f t="shared" si="95"/>
        <v/>
      </c>
      <c r="BW139" s="267"/>
      <c r="BX139" s="256" t="str">
        <f t="shared" si="96"/>
        <v/>
      </c>
      <c r="BY139" s="256" t="str">
        <f t="shared" si="97"/>
        <v/>
      </c>
      <c r="BZ139" s="281"/>
      <c r="CA139" s="282"/>
      <c r="CC139" s="112" t="str">
        <f t="shared" ca="1" si="98"/>
        <v/>
      </c>
      <c r="CF139" s="284"/>
      <c r="CG139" s="284"/>
      <c r="CH139" s="284"/>
      <c r="CI139" s="284"/>
      <c r="CL139" s="356" t="str">
        <f>IFERROR(VLOOKUP(C139,'Data Sheet'!$A$3:$B$26,2,FALSE),"")</f>
        <v/>
      </c>
    </row>
    <row r="140" spans="1:90" s="98" customFormat="1" ht="15.75" x14ac:dyDescent="0.2">
      <c r="A140" s="97"/>
      <c r="B140" s="105" t="str">
        <f t="shared" si="71"/>
        <v>--</v>
      </c>
      <c r="C140" s="276"/>
      <c r="D140" s="101" t="str">
        <f>IFERROR(IF(VLOOKUP(C140,'Data Sheet'!$A$3:$D$26,4,FALSE)=0,"",VLOOKUP(C140,'Data Sheet'!$A$3:$D$26,4,FALSE)),"")</f>
        <v/>
      </c>
      <c r="E140" s="279"/>
      <c r="F140" s="103" t="str">
        <f>IFERROR(IF(VLOOKUP(E140,'Data Sheet'!$C$29:$E$174,3,FALSE)=0,"",VLOOKUP(E140,'Data Sheet'!$C$29:$E$174,3,FALSE)),"")</f>
        <v/>
      </c>
      <c r="G140" s="106" t="str">
        <f t="shared" si="99"/>
        <v>-</v>
      </c>
      <c r="H140" s="273"/>
      <c r="I140" s="107"/>
      <c r="J140" s="249" t="e">
        <f t="shared" si="100"/>
        <v>#VALUE!</v>
      </c>
      <c r="K140" s="101" t="str">
        <f>IFERROR(INDEX('Data Sheet'!$C$198:$C$275,MATCH(I140,'Data Sheet'!$F$198:$F$275,0)),"")</f>
        <v/>
      </c>
      <c r="L140" s="250" t="str">
        <f>IFERROR(INDEX('Data Sheet'!$G$198:$G$275,MATCH(I140,'Data Sheet'!$F$198:$F$275,0)),"")</f>
        <v/>
      </c>
      <c r="M140" s="194"/>
      <c r="N140" s="248"/>
      <c r="O140" s="248"/>
      <c r="P140" s="108" t="str">
        <f>IFERROR(INDEX(Setup!$D$44:$D$70,MATCH(M140,Setup!$K$44:$K$70,0))&amp;"","")</f>
        <v/>
      </c>
      <c r="Q140" s="108" t="str">
        <f>IFERROR(INDEX(Setup!$E$44:$E$70,MATCH(M140,Setup!$K$44:$K$70,0))&amp;"","")</f>
        <v/>
      </c>
      <c r="R140" s="108" t="str">
        <f>IFERROR(INDEX(Setup!$L$44:$L$70,MATCH(M140,Setup!$K$44:$K$70,0))&amp;"","")</f>
        <v/>
      </c>
      <c r="S140" s="108" t="str">
        <f>Setup!$C$30</f>
        <v>USD</v>
      </c>
      <c r="T140" s="109" t="str">
        <f>IFERROR(INDEX('Data Sheet'!$B$198:$B$275,MATCH(I140,'Data Sheet'!$F$198:$F$275,0)),"")</f>
        <v/>
      </c>
      <c r="U140" s="110" t="str">
        <f>IFERROR(INDEX('Data Sheet'!$D$198:$D$275,MATCH(I140,'Data Sheet'!$F$198:$F$275,0)),"")</f>
        <v/>
      </c>
      <c r="V140" s="99"/>
      <c r="W140" s="195" t="str">
        <f>IF(V140=Setup!$C$30,"Grant",IF(V140=Setup!$C$31,"Local",IF(V140=Setup!$C$32,"Other",IF(ISBLANK(V140),"","Other"))))</f>
        <v/>
      </c>
      <c r="X140" s="255"/>
      <c r="Y140" s="259" t="str">
        <f>IF(X140&lt;&gt;"",X140/VLOOKUP($V140,Setup!$C$30:$D$41,2,0),"")</f>
        <v/>
      </c>
      <c r="Z140" s="262"/>
      <c r="AA140" s="256" t="str">
        <f t="shared" si="72"/>
        <v/>
      </c>
      <c r="AB140" s="262"/>
      <c r="AC140" s="258" t="str">
        <f t="shared" si="73"/>
        <v/>
      </c>
      <c r="AD140" s="262"/>
      <c r="AE140" s="258" t="str">
        <f t="shared" si="74"/>
        <v/>
      </c>
      <c r="AF140" s="262"/>
      <c r="AG140" s="256" t="str">
        <f t="shared" si="75"/>
        <v/>
      </c>
      <c r="AH140" s="256" t="str">
        <f t="shared" si="76"/>
        <v/>
      </c>
      <c r="AI140" s="256" t="str">
        <f t="shared" si="77"/>
        <v/>
      </c>
      <c r="AJ140" s="111"/>
      <c r="AK140" s="255"/>
      <c r="AL140" s="259" t="str">
        <f>IF(AK140&lt;&gt;"",AK140/VLOOKUP($V140,Setup!$C$30:$D$41,2,0),"")</f>
        <v/>
      </c>
      <c r="AM140" s="266"/>
      <c r="AN140" s="258" t="str">
        <f t="shared" si="78"/>
        <v/>
      </c>
      <c r="AO140" s="266"/>
      <c r="AP140" s="258" t="str">
        <f t="shared" si="79"/>
        <v/>
      </c>
      <c r="AQ140" s="266"/>
      <c r="AR140" s="258" t="str">
        <f t="shared" si="80"/>
        <v/>
      </c>
      <c r="AS140" s="266"/>
      <c r="AT140" s="256" t="str">
        <f t="shared" si="81"/>
        <v/>
      </c>
      <c r="AU140" s="256" t="str">
        <f t="shared" si="82"/>
        <v/>
      </c>
      <c r="AV140" s="256" t="str">
        <f t="shared" si="83"/>
        <v/>
      </c>
      <c r="AW140" s="267"/>
      <c r="AX140" s="255"/>
      <c r="AY140" s="259" t="str">
        <f>IF(AX140&lt;&gt;"",AX140/VLOOKUP($V140,Setup!$C$30:$D$41,2,0),"")</f>
        <v/>
      </c>
      <c r="AZ140" s="268"/>
      <c r="BA140" s="258" t="str">
        <f t="shared" si="84"/>
        <v/>
      </c>
      <c r="BB140" s="268"/>
      <c r="BC140" s="258" t="str">
        <f t="shared" si="85"/>
        <v/>
      </c>
      <c r="BD140" s="268"/>
      <c r="BE140" s="258" t="str">
        <f t="shared" si="86"/>
        <v/>
      </c>
      <c r="BF140" s="268"/>
      <c r="BG140" s="256" t="str">
        <f t="shared" si="87"/>
        <v/>
      </c>
      <c r="BH140" s="256" t="str">
        <f t="shared" si="88"/>
        <v/>
      </c>
      <c r="BI140" s="256" t="str">
        <f t="shared" si="89"/>
        <v/>
      </c>
      <c r="BJ140" s="267"/>
      <c r="BK140" s="255"/>
      <c r="BL140" s="259" t="str">
        <f>IF(BK140&lt;&gt;"",BK140/VLOOKUP($V140,Setup!$C$30:$D$41,2,0),"")</f>
        <v/>
      </c>
      <c r="BM140" s="268"/>
      <c r="BN140" s="258" t="str">
        <f t="shared" si="90"/>
        <v/>
      </c>
      <c r="BO140" s="268"/>
      <c r="BP140" s="258" t="str">
        <f t="shared" si="91"/>
        <v/>
      </c>
      <c r="BQ140" s="268"/>
      <c r="BR140" s="258" t="str">
        <f t="shared" si="92"/>
        <v/>
      </c>
      <c r="BS140" s="268"/>
      <c r="BT140" s="256" t="str">
        <f t="shared" si="93"/>
        <v/>
      </c>
      <c r="BU140" s="256" t="str">
        <f t="shared" si="94"/>
        <v/>
      </c>
      <c r="BV140" s="256" t="str">
        <f t="shared" si="95"/>
        <v/>
      </c>
      <c r="BW140" s="267"/>
      <c r="BX140" s="256" t="str">
        <f t="shared" si="96"/>
        <v/>
      </c>
      <c r="BY140" s="256" t="str">
        <f t="shared" si="97"/>
        <v/>
      </c>
      <c r="BZ140" s="281"/>
      <c r="CA140" s="282"/>
      <c r="CC140" s="112" t="str">
        <f t="shared" ca="1" si="98"/>
        <v/>
      </c>
      <c r="CF140" s="284"/>
      <c r="CG140" s="284"/>
      <c r="CH140" s="284"/>
      <c r="CI140" s="284"/>
      <c r="CL140" s="356" t="str">
        <f>IFERROR(VLOOKUP(C140,'Data Sheet'!$A$3:$B$26,2,FALSE),"")</f>
        <v/>
      </c>
    </row>
    <row r="141" spans="1:90" s="98" customFormat="1" ht="15.75" x14ac:dyDescent="0.2">
      <c r="A141" s="97"/>
      <c r="B141" s="105" t="str">
        <f t="shared" si="71"/>
        <v>--</v>
      </c>
      <c r="C141" s="276"/>
      <c r="D141" s="101" t="str">
        <f>IFERROR(IF(VLOOKUP(C141,'Data Sheet'!$A$3:$D$26,4,FALSE)=0,"",VLOOKUP(C141,'Data Sheet'!$A$3:$D$26,4,FALSE)),"")</f>
        <v/>
      </c>
      <c r="E141" s="279"/>
      <c r="F141" s="103" t="str">
        <f>IFERROR(IF(VLOOKUP(E141,'Data Sheet'!$C$29:$E$174,3,FALSE)=0,"",VLOOKUP(E141,'Data Sheet'!$C$29:$E$174,3,FALSE)),"")</f>
        <v/>
      </c>
      <c r="G141" s="106" t="str">
        <f t="shared" si="99"/>
        <v>-</v>
      </c>
      <c r="H141" s="273"/>
      <c r="I141" s="107"/>
      <c r="J141" s="249" t="e">
        <f t="shared" si="100"/>
        <v>#VALUE!</v>
      </c>
      <c r="K141" s="101" t="str">
        <f>IFERROR(INDEX('Data Sheet'!$C$198:$C$275,MATCH(I141,'Data Sheet'!$F$198:$F$275,0)),"")</f>
        <v/>
      </c>
      <c r="L141" s="250" t="str">
        <f>IFERROR(INDEX('Data Sheet'!$G$198:$G$275,MATCH(I141,'Data Sheet'!$F$198:$F$275,0)),"")</f>
        <v/>
      </c>
      <c r="M141" s="194"/>
      <c r="N141" s="248"/>
      <c r="O141" s="248"/>
      <c r="P141" s="108" t="str">
        <f>IFERROR(INDEX(Setup!$D$44:$D$70,MATCH(M141,Setup!$K$44:$K$70,0))&amp;"","")</f>
        <v/>
      </c>
      <c r="Q141" s="108" t="str">
        <f>IFERROR(INDEX(Setup!$E$44:$E$70,MATCH(M141,Setup!$K$44:$K$70,0))&amp;"","")</f>
        <v/>
      </c>
      <c r="R141" s="108" t="str">
        <f>IFERROR(INDEX(Setup!$L$44:$L$70,MATCH(M141,Setup!$K$44:$K$70,0))&amp;"","")</f>
        <v/>
      </c>
      <c r="S141" s="108" t="str">
        <f>Setup!$C$30</f>
        <v>USD</v>
      </c>
      <c r="T141" s="109" t="str">
        <f>IFERROR(INDEX('Data Sheet'!$B$198:$B$275,MATCH(I141,'Data Sheet'!$F$198:$F$275,0)),"")</f>
        <v/>
      </c>
      <c r="U141" s="110" t="str">
        <f>IFERROR(INDEX('Data Sheet'!$D$198:$D$275,MATCH(I141,'Data Sheet'!$F$198:$F$275,0)),"")</f>
        <v/>
      </c>
      <c r="V141" s="99"/>
      <c r="W141" s="195" t="str">
        <f>IF(V141=Setup!$C$30,"Grant",IF(V141=Setup!$C$31,"Local",IF(V141=Setup!$C$32,"Other",IF(ISBLANK(V141),"","Other"))))</f>
        <v/>
      </c>
      <c r="X141" s="255"/>
      <c r="Y141" s="259" t="str">
        <f>IF(X141&lt;&gt;"",X141/VLOOKUP($V141,Setup!$C$30:$D$41,2,0),"")</f>
        <v/>
      </c>
      <c r="Z141" s="262"/>
      <c r="AA141" s="256" t="str">
        <f t="shared" si="72"/>
        <v/>
      </c>
      <c r="AB141" s="262"/>
      <c r="AC141" s="258" t="str">
        <f t="shared" si="73"/>
        <v/>
      </c>
      <c r="AD141" s="262"/>
      <c r="AE141" s="258" t="str">
        <f t="shared" si="74"/>
        <v/>
      </c>
      <c r="AF141" s="262"/>
      <c r="AG141" s="256" t="str">
        <f t="shared" si="75"/>
        <v/>
      </c>
      <c r="AH141" s="256" t="str">
        <f t="shared" si="76"/>
        <v/>
      </c>
      <c r="AI141" s="256" t="str">
        <f t="shared" si="77"/>
        <v/>
      </c>
      <c r="AJ141" s="111"/>
      <c r="AK141" s="255"/>
      <c r="AL141" s="259" t="str">
        <f>IF(AK141&lt;&gt;"",AK141/VLOOKUP($V141,Setup!$C$30:$D$41,2,0),"")</f>
        <v/>
      </c>
      <c r="AM141" s="266"/>
      <c r="AN141" s="258" t="str">
        <f t="shared" si="78"/>
        <v/>
      </c>
      <c r="AO141" s="266"/>
      <c r="AP141" s="258" t="str">
        <f t="shared" si="79"/>
        <v/>
      </c>
      <c r="AQ141" s="266"/>
      <c r="AR141" s="258" t="str">
        <f t="shared" si="80"/>
        <v/>
      </c>
      <c r="AS141" s="266"/>
      <c r="AT141" s="256" t="str">
        <f t="shared" si="81"/>
        <v/>
      </c>
      <c r="AU141" s="256" t="str">
        <f t="shared" si="82"/>
        <v/>
      </c>
      <c r="AV141" s="256" t="str">
        <f t="shared" si="83"/>
        <v/>
      </c>
      <c r="AW141" s="267"/>
      <c r="AX141" s="255"/>
      <c r="AY141" s="259" t="str">
        <f>IF(AX141&lt;&gt;"",AX141/VLOOKUP($V141,Setup!$C$30:$D$41,2,0),"")</f>
        <v/>
      </c>
      <c r="AZ141" s="268"/>
      <c r="BA141" s="258" t="str">
        <f t="shared" si="84"/>
        <v/>
      </c>
      <c r="BB141" s="268"/>
      <c r="BC141" s="258" t="str">
        <f t="shared" si="85"/>
        <v/>
      </c>
      <c r="BD141" s="268"/>
      <c r="BE141" s="258" t="str">
        <f t="shared" si="86"/>
        <v/>
      </c>
      <c r="BF141" s="268"/>
      <c r="BG141" s="256" t="str">
        <f t="shared" si="87"/>
        <v/>
      </c>
      <c r="BH141" s="256" t="str">
        <f t="shared" si="88"/>
        <v/>
      </c>
      <c r="BI141" s="256" t="str">
        <f t="shared" si="89"/>
        <v/>
      </c>
      <c r="BJ141" s="267"/>
      <c r="BK141" s="255"/>
      <c r="BL141" s="259" t="str">
        <f>IF(BK141&lt;&gt;"",BK141/VLOOKUP($V141,Setup!$C$30:$D$41,2,0),"")</f>
        <v/>
      </c>
      <c r="BM141" s="268"/>
      <c r="BN141" s="258" t="str">
        <f t="shared" si="90"/>
        <v/>
      </c>
      <c r="BO141" s="268"/>
      <c r="BP141" s="258" t="str">
        <f t="shared" si="91"/>
        <v/>
      </c>
      <c r="BQ141" s="268"/>
      <c r="BR141" s="258" t="str">
        <f t="shared" si="92"/>
        <v/>
      </c>
      <c r="BS141" s="268"/>
      <c r="BT141" s="256" t="str">
        <f t="shared" si="93"/>
        <v/>
      </c>
      <c r="BU141" s="256" t="str">
        <f t="shared" si="94"/>
        <v/>
      </c>
      <c r="BV141" s="256" t="str">
        <f t="shared" si="95"/>
        <v/>
      </c>
      <c r="BW141" s="267"/>
      <c r="BX141" s="256" t="str">
        <f t="shared" si="96"/>
        <v/>
      </c>
      <c r="BY141" s="256" t="str">
        <f t="shared" si="97"/>
        <v/>
      </c>
      <c r="BZ141" s="281"/>
      <c r="CA141" s="282"/>
      <c r="CC141" s="112" t="str">
        <f t="shared" ca="1" si="98"/>
        <v/>
      </c>
      <c r="CF141" s="284"/>
      <c r="CG141" s="284"/>
      <c r="CH141" s="284"/>
      <c r="CI141" s="284"/>
      <c r="CL141" s="356" t="str">
        <f>IFERROR(VLOOKUP(C141,'Data Sheet'!$A$3:$B$26,2,FALSE),"")</f>
        <v/>
      </c>
    </row>
    <row r="142" spans="1:90" s="98" customFormat="1" ht="15.75" x14ac:dyDescent="0.2">
      <c r="A142" s="97"/>
      <c r="B142" s="105" t="str">
        <f t="shared" ref="B142:B205" si="101">CONCATENATE(D142,"-",F142,"-",N142)</f>
        <v>--</v>
      </c>
      <c r="C142" s="276"/>
      <c r="D142" s="101" t="str">
        <f>IFERROR(IF(VLOOKUP(C142,'Data Sheet'!$A$3:$D$26,4,FALSE)=0,"",VLOOKUP(C142,'Data Sheet'!$A$3:$D$26,4,FALSE)),"")</f>
        <v/>
      </c>
      <c r="E142" s="279"/>
      <c r="F142" s="103" t="str">
        <f>IFERROR(IF(VLOOKUP(E142,'Data Sheet'!$C$29:$E$174,3,FALSE)=0,"",VLOOKUP(E142,'Data Sheet'!$C$29:$E$174,3,FALSE)),"")</f>
        <v/>
      </c>
      <c r="G142" s="106" t="str">
        <f t="shared" si="99"/>
        <v>-</v>
      </c>
      <c r="H142" s="273"/>
      <c r="I142" s="107"/>
      <c r="J142" s="249" t="e">
        <f t="shared" si="100"/>
        <v>#VALUE!</v>
      </c>
      <c r="K142" s="101" t="str">
        <f>IFERROR(INDEX('Data Sheet'!$C$198:$C$275,MATCH(I142,'Data Sheet'!$F$198:$F$275,0)),"")</f>
        <v/>
      </c>
      <c r="L142" s="250" t="str">
        <f>IFERROR(INDEX('Data Sheet'!$G$198:$G$275,MATCH(I142,'Data Sheet'!$F$198:$F$275,0)),"")</f>
        <v/>
      </c>
      <c r="M142" s="194"/>
      <c r="N142" s="248"/>
      <c r="O142" s="248"/>
      <c r="P142" s="108" t="str">
        <f>IFERROR(INDEX(Setup!$D$44:$D$70,MATCH(M142,Setup!$K$44:$K$70,0))&amp;"","")</f>
        <v/>
      </c>
      <c r="Q142" s="108" t="str">
        <f>IFERROR(INDEX(Setup!$E$44:$E$70,MATCH(M142,Setup!$K$44:$K$70,0))&amp;"","")</f>
        <v/>
      </c>
      <c r="R142" s="108" t="str">
        <f>IFERROR(INDEX(Setup!$L$44:$L$70,MATCH(M142,Setup!$K$44:$K$70,0))&amp;"","")</f>
        <v/>
      </c>
      <c r="S142" s="108" t="str">
        <f>Setup!$C$30</f>
        <v>USD</v>
      </c>
      <c r="T142" s="109" t="str">
        <f>IFERROR(INDEX('Data Sheet'!$B$198:$B$275,MATCH(I142,'Data Sheet'!$F$198:$F$275,0)),"")</f>
        <v/>
      </c>
      <c r="U142" s="110" t="str">
        <f>IFERROR(INDEX('Data Sheet'!$D$198:$D$275,MATCH(I142,'Data Sheet'!$F$198:$F$275,0)),"")</f>
        <v/>
      </c>
      <c r="V142" s="99"/>
      <c r="W142" s="195" t="str">
        <f>IF(V142=Setup!$C$30,"Grant",IF(V142=Setup!$C$31,"Local",IF(V142=Setup!$C$32,"Other",IF(ISBLANK(V142),"","Other"))))</f>
        <v/>
      </c>
      <c r="X142" s="255"/>
      <c r="Y142" s="259" t="str">
        <f>IF(X142&lt;&gt;"",X142/VLOOKUP($V142,Setup!$C$30:$D$41,2,0),"")</f>
        <v/>
      </c>
      <c r="Z142" s="262"/>
      <c r="AA142" s="256" t="str">
        <f t="shared" si="72"/>
        <v/>
      </c>
      <c r="AB142" s="262"/>
      <c r="AC142" s="258" t="str">
        <f t="shared" si="73"/>
        <v/>
      </c>
      <c r="AD142" s="262"/>
      <c r="AE142" s="258" t="str">
        <f t="shared" si="74"/>
        <v/>
      </c>
      <c r="AF142" s="262"/>
      <c r="AG142" s="256" t="str">
        <f t="shared" si="75"/>
        <v/>
      </c>
      <c r="AH142" s="256" t="str">
        <f t="shared" si="76"/>
        <v/>
      </c>
      <c r="AI142" s="256" t="str">
        <f t="shared" si="77"/>
        <v/>
      </c>
      <c r="AJ142" s="111"/>
      <c r="AK142" s="255"/>
      <c r="AL142" s="259" t="str">
        <f>IF(AK142&lt;&gt;"",AK142/VLOOKUP($V142,Setup!$C$30:$D$41,2,0),"")</f>
        <v/>
      </c>
      <c r="AM142" s="266"/>
      <c r="AN142" s="258" t="str">
        <f t="shared" si="78"/>
        <v/>
      </c>
      <c r="AO142" s="266"/>
      <c r="AP142" s="258" t="str">
        <f t="shared" si="79"/>
        <v/>
      </c>
      <c r="AQ142" s="266"/>
      <c r="AR142" s="258" t="str">
        <f t="shared" si="80"/>
        <v/>
      </c>
      <c r="AS142" s="266"/>
      <c r="AT142" s="256" t="str">
        <f t="shared" si="81"/>
        <v/>
      </c>
      <c r="AU142" s="256" t="str">
        <f t="shared" si="82"/>
        <v/>
      </c>
      <c r="AV142" s="256" t="str">
        <f t="shared" si="83"/>
        <v/>
      </c>
      <c r="AW142" s="267"/>
      <c r="AX142" s="255"/>
      <c r="AY142" s="259" t="str">
        <f>IF(AX142&lt;&gt;"",AX142/VLOOKUP($V142,Setup!$C$30:$D$41,2,0),"")</f>
        <v/>
      </c>
      <c r="AZ142" s="268"/>
      <c r="BA142" s="258" t="str">
        <f t="shared" si="84"/>
        <v/>
      </c>
      <c r="BB142" s="268"/>
      <c r="BC142" s="258" t="str">
        <f t="shared" si="85"/>
        <v/>
      </c>
      <c r="BD142" s="268"/>
      <c r="BE142" s="258" t="str">
        <f t="shared" si="86"/>
        <v/>
      </c>
      <c r="BF142" s="268"/>
      <c r="BG142" s="256" t="str">
        <f t="shared" si="87"/>
        <v/>
      </c>
      <c r="BH142" s="256" t="str">
        <f t="shared" si="88"/>
        <v/>
      </c>
      <c r="BI142" s="256" t="str">
        <f t="shared" si="89"/>
        <v/>
      </c>
      <c r="BJ142" s="267"/>
      <c r="BK142" s="255"/>
      <c r="BL142" s="259" t="str">
        <f>IF(BK142&lt;&gt;"",BK142/VLOOKUP($V142,Setup!$C$30:$D$41,2,0),"")</f>
        <v/>
      </c>
      <c r="BM142" s="268"/>
      <c r="BN142" s="258" t="str">
        <f t="shared" si="90"/>
        <v/>
      </c>
      <c r="BO142" s="268"/>
      <c r="BP142" s="258" t="str">
        <f t="shared" si="91"/>
        <v/>
      </c>
      <c r="BQ142" s="268"/>
      <c r="BR142" s="258" t="str">
        <f t="shared" si="92"/>
        <v/>
      </c>
      <c r="BS142" s="268"/>
      <c r="BT142" s="256" t="str">
        <f t="shared" si="93"/>
        <v/>
      </c>
      <c r="BU142" s="256" t="str">
        <f t="shared" si="94"/>
        <v/>
      </c>
      <c r="BV142" s="256" t="str">
        <f t="shared" si="95"/>
        <v/>
      </c>
      <c r="BW142" s="267"/>
      <c r="BX142" s="256" t="str">
        <f t="shared" si="96"/>
        <v/>
      </c>
      <c r="BY142" s="256" t="str">
        <f t="shared" si="97"/>
        <v/>
      </c>
      <c r="BZ142" s="281"/>
      <c r="CA142" s="282"/>
      <c r="CC142" s="112" t="str">
        <f t="shared" ca="1" si="98"/>
        <v/>
      </c>
      <c r="CF142" s="284"/>
      <c r="CG142" s="284"/>
      <c r="CH142" s="284"/>
      <c r="CI142" s="284"/>
      <c r="CL142" s="356" t="str">
        <f>IFERROR(VLOOKUP(C142,'Data Sheet'!$A$3:$B$26,2,FALSE),"")</f>
        <v/>
      </c>
    </row>
    <row r="143" spans="1:90" s="98" customFormat="1" ht="15.75" x14ac:dyDescent="0.2">
      <c r="A143" s="97"/>
      <c r="B143" s="105" t="str">
        <f t="shared" si="101"/>
        <v>--</v>
      </c>
      <c r="C143" s="276"/>
      <c r="D143" s="101" t="str">
        <f>IFERROR(IF(VLOOKUP(C143,'Data Sheet'!$A$3:$D$26,4,FALSE)=0,"",VLOOKUP(C143,'Data Sheet'!$A$3:$D$26,4,FALSE)),"")</f>
        <v/>
      </c>
      <c r="E143" s="279"/>
      <c r="F143" s="103" t="str">
        <f>IFERROR(IF(VLOOKUP(E143,'Data Sheet'!$C$29:$E$174,3,FALSE)=0,"",VLOOKUP(E143,'Data Sheet'!$C$29:$E$174,3,FALSE)),"")</f>
        <v/>
      </c>
      <c r="G143" s="106" t="str">
        <f t="shared" si="99"/>
        <v>-</v>
      </c>
      <c r="H143" s="273"/>
      <c r="I143" s="107"/>
      <c r="J143" s="249" t="e">
        <f t="shared" si="100"/>
        <v>#VALUE!</v>
      </c>
      <c r="K143" s="101" t="str">
        <f>IFERROR(INDEX('Data Sheet'!$C$198:$C$275,MATCH(I143,'Data Sheet'!$F$198:$F$275,0)),"")</f>
        <v/>
      </c>
      <c r="L143" s="250" t="str">
        <f>IFERROR(INDEX('Data Sheet'!$G$198:$G$275,MATCH(I143,'Data Sheet'!$F$198:$F$275,0)),"")</f>
        <v/>
      </c>
      <c r="M143" s="194"/>
      <c r="N143" s="248"/>
      <c r="O143" s="248"/>
      <c r="P143" s="108" t="str">
        <f>IFERROR(INDEX(Setup!$D$44:$D$70,MATCH(M143,Setup!$K$44:$K$70,0))&amp;"","")</f>
        <v/>
      </c>
      <c r="Q143" s="108" t="str">
        <f>IFERROR(INDEX(Setup!$E$44:$E$70,MATCH(M143,Setup!$K$44:$K$70,0))&amp;"","")</f>
        <v/>
      </c>
      <c r="R143" s="108" t="str">
        <f>IFERROR(INDEX(Setup!$L$44:$L$70,MATCH(M143,Setup!$K$44:$K$70,0))&amp;"","")</f>
        <v/>
      </c>
      <c r="S143" s="108" t="str">
        <f>Setup!$C$30</f>
        <v>USD</v>
      </c>
      <c r="T143" s="109" t="str">
        <f>IFERROR(INDEX('Data Sheet'!$B$198:$B$275,MATCH(I143,'Data Sheet'!$F$198:$F$275,0)),"")</f>
        <v/>
      </c>
      <c r="U143" s="110" t="str">
        <f>IFERROR(INDEX('Data Sheet'!$D$198:$D$275,MATCH(I143,'Data Sheet'!$F$198:$F$275,0)),"")</f>
        <v/>
      </c>
      <c r="V143" s="99"/>
      <c r="W143" s="195" t="str">
        <f>IF(V143=Setup!$C$30,"Grant",IF(V143=Setup!$C$31,"Local",IF(V143=Setup!$C$32,"Other",IF(ISBLANK(V143),"","Other"))))</f>
        <v/>
      </c>
      <c r="X143" s="255"/>
      <c r="Y143" s="259" t="str">
        <f>IF(X143&lt;&gt;"",X143/VLOOKUP($V143,Setup!$C$30:$D$41,2,0),"")</f>
        <v/>
      </c>
      <c r="Z143" s="262"/>
      <c r="AA143" s="256" t="str">
        <f t="shared" si="72"/>
        <v/>
      </c>
      <c r="AB143" s="262"/>
      <c r="AC143" s="258" t="str">
        <f t="shared" si="73"/>
        <v/>
      </c>
      <c r="AD143" s="262"/>
      <c r="AE143" s="258" t="str">
        <f t="shared" si="74"/>
        <v/>
      </c>
      <c r="AF143" s="262"/>
      <c r="AG143" s="256" t="str">
        <f t="shared" si="75"/>
        <v/>
      </c>
      <c r="AH143" s="256" t="str">
        <f t="shared" si="76"/>
        <v/>
      </c>
      <c r="AI143" s="256" t="str">
        <f t="shared" si="77"/>
        <v/>
      </c>
      <c r="AJ143" s="111"/>
      <c r="AK143" s="255"/>
      <c r="AL143" s="259" t="str">
        <f>IF(AK143&lt;&gt;"",AK143/VLOOKUP($V143,Setup!$C$30:$D$41,2,0),"")</f>
        <v/>
      </c>
      <c r="AM143" s="266"/>
      <c r="AN143" s="258" t="str">
        <f t="shared" si="78"/>
        <v/>
      </c>
      <c r="AO143" s="266"/>
      <c r="AP143" s="258" t="str">
        <f t="shared" si="79"/>
        <v/>
      </c>
      <c r="AQ143" s="266"/>
      <c r="AR143" s="258" t="str">
        <f t="shared" si="80"/>
        <v/>
      </c>
      <c r="AS143" s="266"/>
      <c r="AT143" s="256" t="str">
        <f t="shared" si="81"/>
        <v/>
      </c>
      <c r="AU143" s="256" t="str">
        <f t="shared" si="82"/>
        <v/>
      </c>
      <c r="AV143" s="256" t="str">
        <f t="shared" si="83"/>
        <v/>
      </c>
      <c r="AW143" s="267"/>
      <c r="AX143" s="255"/>
      <c r="AY143" s="259" t="str">
        <f>IF(AX143&lt;&gt;"",AX143/VLOOKUP($V143,Setup!$C$30:$D$41,2,0),"")</f>
        <v/>
      </c>
      <c r="AZ143" s="268"/>
      <c r="BA143" s="258" t="str">
        <f t="shared" si="84"/>
        <v/>
      </c>
      <c r="BB143" s="268"/>
      <c r="BC143" s="258" t="str">
        <f t="shared" si="85"/>
        <v/>
      </c>
      <c r="BD143" s="268"/>
      <c r="BE143" s="258" t="str">
        <f t="shared" si="86"/>
        <v/>
      </c>
      <c r="BF143" s="268"/>
      <c r="BG143" s="256" t="str">
        <f t="shared" si="87"/>
        <v/>
      </c>
      <c r="BH143" s="256" t="str">
        <f t="shared" si="88"/>
        <v/>
      </c>
      <c r="BI143" s="256" t="str">
        <f t="shared" si="89"/>
        <v/>
      </c>
      <c r="BJ143" s="267"/>
      <c r="BK143" s="255"/>
      <c r="BL143" s="259" t="str">
        <f>IF(BK143&lt;&gt;"",BK143/VLOOKUP($V143,Setup!$C$30:$D$41,2,0),"")</f>
        <v/>
      </c>
      <c r="BM143" s="268"/>
      <c r="BN143" s="258" t="str">
        <f t="shared" si="90"/>
        <v/>
      </c>
      <c r="BO143" s="268"/>
      <c r="BP143" s="258" t="str">
        <f t="shared" si="91"/>
        <v/>
      </c>
      <c r="BQ143" s="268"/>
      <c r="BR143" s="258" t="str">
        <f t="shared" si="92"/>
        <v/>
      </c>
      <c r="BS143" s="268"/>
      <c r="BT143" s="256" t="str">
        <f t="shared" si="93"/>
        <v/>
      </c>
      <c r="BU143" s="256" t="str">
        <f t="shared" si="94"/>
        <v/>
      </c>
      <c r="BV143" s="256" t="str">
        <f t="shared" si="95"/>
        <v/>
      </c>
      <c r="BW143" s="267"/>
      <c r="BX143" s="256" t="str">
        <f t="shared" si="96"/>
        <v/>
      </c>
      <c r="BY143" s="256" t="str">
        <f t="shared" si="97"/>
        <v/>
      </c>
      <c r="BZ143" s="281"/>
      <c r="CA143" s="282"/>
      <c r="CC143" s="112" t="str">
        <f t="shared" ca="1" si="98"/>
        <v/>
      </c>
      <c r="CF143" s="284"/>
      <c r="CG143" s="284"/>
      <c r="CH143" s="284"/>
      <c r="CI143" s="284"/>
      <c r="CL143" s="356" t="str">
        <f>IFERROR(VLOOKUP(C143,'Data Sheet'!$A$3:$B$26,2,FALSE),"")</f>
        <v/>
      </c>
    </row>
    <row r="144" spans="1:90" s="98" customFormat="1" ht="15.75" x14ac:dyDescent="0.2">
      <c r="A144" s="97"/>
      <c r="B144" s="105" t="str">
        <f t="shared" si="101"/>
        <v>--</v>
      </c>
      <c r="C144" s="276"/>
      <c r="D144" s="101" t="str">
        <f>IFERROR(IF(VLOOKUP(C144,'Data Sheet'!$A$3:$D$26,4,FALSE)=0,"",VLOOKUP(C144,'Data Sheet'!$A$3:$D$26,4,FALSE)),"")</f>
        <v/>
      </c>
      <c r="E144" s="279"/>
      <c r="F144" s="103" t="str">
        <f>IFERROR(IF(VLOOKUP(E144,'Data Sheet'!$C$29:$E$174,3,FALSE)=0,"",VLOOKUP(E144,'Data Sheet'!$C$29:$E$174,3,FALSE)),"")</f>
        <v/>
      </c>
      <c r="G144" s="106" t="str">
        <f t="shared" si="99"/>
        <v>-</v>
      </c>
      <c r="H144" s="273"/>
      <c r="I144" s="107"/>
      <c r="J144" s="249" t="e">
        <f t="shared" si="100"/>
        <v>#VALUE!</v>
      </c>
      <c r="K144" s="101" t="str">
        <f>IFERROR(INDEX('Data Sheet'!$C$198:$C$275,MATCH(I144,'Data Sheet'!$F$198:$F$275,0)),"")</f>
        <v/>
      </c>
      <c r="L144" s="250" t="str">
        <f>IFERROR(INDEX('Data Sheet'!$G$198:$G$275,MATCH(I144,'Data Sheet'!$F$198:$F$275,0)),"")</f>
        <v/>
      </c>
      <c r="M144" s="194"/>
      <c r="N144" s="248"/>
      <c r="O144" s="248"/>
      <c r="P144" s="108" t="str">
        <f>IFERROR(INDEX(Setup!$D$44:$D$70,MATCH(M144,Setup!$K$44:$K$70,0))&amp;"","")</f>
        <v/>
      </c>
      <c r="Q144" s="108" t="str">
        <f>IFERROR(INDEX(Setup!$E$44:$E$70,MATCH(M144,Setup!$K$44:$K$70,0))&amp;"","")</f>
        <v/>
      </c>
      <c r="R144" s="108" t="str">
        <f>IFERROR(INDEX(Setup!$L$44:$L$70,MATCH(M144,Setup!$K$44:$K$70,0))&amp;"","")</f>
        <v/>
      </c>
      <c r="S144" s="108" t="str">
        <f>Setup!$C$30</f>
        <v>USD</v>
      </c>
      <c r="T144" s="109" t="str">
        <f>IFERROR(INDEX('Data Sheet'!$B$198:$B$275,MATCH(I144,'Data Sheet'!$F$198:$F$275,0)),"")</f>
        <v/>
      </c>
      <c r="U144" s="110" t="str">
        <f>IFERROR(INDEX('Data Sheet'!$D$198:$D$275,MATCH(I144,'Data Sheet'!$F$198:$F$275,0)),"")</f>
        <v/>
      </c>
      <c r="V144" s="99"/>
      <c r="W144" s="195" t="str">
        <f>IF(V144=Setup!$C$30,"Grant",IF(V144=Setup!$C$31,"Local",IF(V144=Setup!$C$32,"Other",IF(ISBLANK(V144),"","Other"))))</f>
        <v/>
      </c>
      <c r="X144" s="255"/>
      <c r="Y144" s="259" t="str">
        <f>IF(X144&lt;&gt;"",X144/VLOOKUP($V144,Setup!$C$30:$D$41,2,0),"")</f>
        <v/>
      </c>
      <c r="Z144" s="262"/>
      <c r="AA144" s="256" t="str">
        <f t="shared" si="72"/>
        <v/>
      </c>
      <c r="AB144" s="262"/>
      <c r="AC144" s="258" t="str">
        <f t="shared" si="73"/>
        <v/>
      </c>
      <c r="AD144" s="262"/>
      <c r="AE144" s="258" t="str">
        <f t="shared" si="74"/>
        <v/>
      </c>
      <c r="AF144" s="262"/>
      <c r="AG144" s="256" t="str">
        <f t="shared" si="75"/>
        <v/>
      </c>
      <c r="AH144" s="256" t="str">
        <f t="shared" si="76"/>
        <v/>
      </c>
      <c r="AI144" s="256" t="str">
        <f t="shared" si="77"/>
        <v/>
      </c>
      <c r="AJ144" s="111"/>
      <c r="AK144" s="255"/>
      <c r="AL144" s="259" t="str">
        <f>IF(AK144&lt;&gt;"",AK144/VLOOKUP($V144,Setup!$C$30:$D$41,2,0),"")</f>
        <v/>
      </c>
      <c r="AM144" s="266"/>
      <c r="AN144" s="258" t="str">
        <f t="shared" si="78"/>
        <v/>
      </c>
      <c r="AO144" s="266"/>
      <c r="AP144" s="258" t="str">
        <f t="shared" si="79"/>
        <v/>
      </c>
      <c r="AQ144" s="266"/>
      <c r="AR144" s="258" t="str">
        <f t="shared" si="80"/>
        <v/>
      </c>
      <c r="AS144" s="266"/>
      <c r="AT144" s="256" t="str">
        <f t="shared" si="81"/>
        <v/>
      </c>
      <c r="AU144" s="256" t="str">
        <f t="shared" si="82"/>
        <v/>
      </c>
      <c r="AV144" s="256" t="str">
        <f t="shared" si="83"/>
        <v/>
      </c>
      <c r="AW144" s="267"/>
      <c r="AX144" s="255"/>
      <c r="AY144" s="259" t="str">
        <f>IF(AX144&lt;&gt;"",AX144/VLOOKUP($V144,Setup!$C$30:$D$41,2,0),"")</f>
        <v/>
      </c>
      <c r="AZ144" s="268"/>
      <c r="BA144" s="258" t="str">
        <f t="shared" si="84"/>
        <v/>
      </c>
      <c r="BB144" s="268"/>
      <c r="BC144" s="258" t="str">
        <f t="shared" si="85"/>
        <v/>
      </c>
      <c r="BD144" s="268"/>
      <c r="BE144" s="258" t="str">
        <f t="shared" si="86"/>
        <v/>
      </c>
      <c r="BF144" s="268"/>
      <c r="BG144" s="256" t="str">
        <f t="shared" si="87"/>
        <v/>
      </c>
      <c r="BH144" s="256" t="str">
        <f t="shared" si="88"/>
        <v/>
      </c>
      <c r="BI144" s="256" t="str">
        <f t="shared" si="89"/>
        <v/>
      </c>
      <c r="BJ144" s="267"/>
      <c r="BK144" s="255"/>
      <c r="BL144" s="259" t="str">
        <f>IF(BK144&lt;&gt;"",BK144/VLOOKUP($V144,Setup!$C$30:$D$41,2,0),"")</f>
        <v/>
      </c>
      <c r="BM144" s="268"/>
      <c r="BN144" s="258" t="str">
        <f t="shared" si="90"/>
        <v/>
      </c>
      <c r="BO144" s="268"/>
      <c r="BP144" s="258" t="str">
        <f t="shared" si="91"/>
        <v/>
      </c>
      <c r="BQ144" s="268"/>
      <c r="BR144" s="258" t="str">
        <f t="shared" si="92"/>
        <v/>
      </c>
      <c r="BS144" s="268"/>
      <c r="BT144" s="256" t="str">
        <f t="shared" si="93"/>
        <v/>
      </c>
      <c r="BU144" s="256" t="str">
        <f t="shared" si="94"/>
        <v/>
      </c>
      <c r="BV144" s="256" t="str">
        <f t="shared" si="95"/>
        <v/>
      </c>
      <c r="BW144" s="267"/>
      <c r="BX144" s="256" t="str">
        <f t="shared" si="96"/>
        <v/>
      </c>
      <c r="BY144" s="256" t="str">
        <f t="shared" si="97"/>
        <v/>
      </c>
      <c r="BZ144" s="281"/>
      <c r="CA144" s="282"/>
      <c r="CC144" s="112" t="str">
        <f t="shared" ca="1" si="98"/>
        <v/>
      </c>
      <c r="CF144" s="284"/>
      <c r="CG144" s="284"/>
      <c r="CH144" s="284"/>
      <c r="CI144" s="284"/>
      <c r="CL144" s="356" t="str">
        <f>IFERROR(VLOOKUP(C144,'Data Sheet'!$A$3:$B$26,2,FALSE),"")</f>
        <v/>
      </c>
    </row>
    <row r="145" spans="1:90" s="98" customFormat="1" ht="15.75" x14ac:dyDescent="0.2">
      <c r="A145" s="97"/>
      <c r="B145" s="105" t="str">
        <f t="shared" si="101"/>
        <v>--</v>
      </c>
      <c r="C145" s="276"/>
      <c r="D145" s="101" t="str">
        <f>IFERROR(IF(VLOOKUP(C145,'Data Sheet'!$A$3:$D$26,4,FALSE)=0,"",VLOOKUP(C145,'Data Sheet'!$A$3:$D$26,4,FALSE)),"")</f>
        <v/>
      </c>
      <c r="E145" s="279"/>
      <c r="F145" s="103" t="str">
        <f>IFERROR(IF(VLOOKUP(E145,'Data Sheet'!$C$29:$E$174,3,FALSE)=0,"",VLOOKUP(E145,'Data Sheet'!$C$29:$E$174,3,FALSE)),"")</f>
        <v/>
      </c>
      <c r="G145" s="106" t="str">
        <f t="shared" si="99"/>
        <v>-</v>
      </c>
      <c r="H145" s="273"/>
      <c r="I145" s="107"/>
      <c r="J145" s="249" t="e">
        <f t="shared" si="100"/>
        <v>#VALUE!</v>
      </c>
      <c r="K145" s="101" t="str">
        <f>IFERROR(INDEX('Data Sheet'!$C$198:$C$275,MATCH(I145,'Data Sheet'!$F$198:$F$275,0)),"")</f>
        <v/>
      </c>
      <c r="L145" s="250" t="str">
        <f>IFERROR(INDEX('Data Sheet'!$G$198:$G$275,MATCH(I145,'Data Sheet'!$F$198:$F$275,0)),"")</f>
        <v/>
      </c>
      <c r="M145" s="194"/>
      <c r="N145" s="248"/>
      <c r="O145" s="248"/>
      <c r="P145" s="108" t="str">
        <f>IFERROR(INDEX(Setup!$D$44:$D$70,MATCH(M145,Setup!$K$44:$K$70,0))&amp;"","")</f>
        <v/>
      </c>
      <c r="Q145" s="108" t="str">
        <f>IFERROR(INDEX(Setup!$E$44:$E$70,MATCH(M145,Setup!$K$44:$K$70,0))&amp;"","")</f>
        <v/>
      </c>
      <c r="R145" s="108" t="str">
        <f>IFERROR(INDEX(Setup!$L$44:$L$70,MATCH(M145,Setup!$K$44:$K$70,0))&amp;"","")</f>
        <v/>
      </c>
      <c r="S145" s="108" t="str">
        <f>Setup!$C$30</f>
        <v>USD</v>
      </c>
      <c r="T145" s="109" t="str">
        <f>IFERROR(INDEX('Data Sheet'!$B$198:$B$275,MATCH(I145,'Data Sheet'!$F$198:$F$275,0)),"")</f>
        <v/>
      </c>
      <c r="U145" s="110" t="str">
        <f>IFERROR(INDEX('Data Sheet'!$D$198:$D$275,MATCH(I145,'Data Sheet'!$F$198:$F$275,0)),"")</f>
        <v/>
      </c>
      <c r="V145" s="99"/>
      <c r="W145" s="195" t="str">
        <f>IF(V145=Setup!$C$30,"Grant",IF(V145=Setup!$C$31,"Local",IF(V145=Setup!$C$32,"Other",IF(ISBLANK(V145),"","Other"))))</f>
        <v/>
      </c>
      <c r="X145" s="255"/>
      <c r="Y145" s="259" t="str">
        <f>IF(X145&lt;&gt;"",X145/VLOOKUP($V145,Setup!$C$30:$D$41,2,0),"")</f>
        <v/>
      </c>
      <c r="Z145" s="262"/>
      <c r="AA145" s="256" t="str">
        <f t="shared" si="72"/>
        <v/>
      </c>
      <c r="AB145" s="262"/>
      <c r="AC145" s="258" t="str">
        <f t="shared" si="73"/>
        <v/>
      </c>
      <c r="AD145" s="262"/>
      <c r="AE145" s="258" t="str">
        <f t="shared" si="74"/>
        <v/>
      </c>
      <c r="AF145" s="262"/>
      <c r="AG145" s="256" t="str">
        <f t="shared" si="75"/>
        <v/>
      </c>
      <c r="AH145" s="256" t="str">
        <f t="shared" si="76"/>
        <v/>
      </c>
      <c r="AI145" s="256" t="str">
        <f t="shared" si="77"/>
        <v/>
      </c>
      <c r="AJ145" s="111"/>
      <c r="AK145" s="255"/>
      <c r="AL145" s="259" t="str">
        <f>IF(AK145&lt;&gt;"",AK145/VLOOKUP($V145,Setup!$C$30:$D$41,2,0),"")</f>
        <v/>
      </c>
      <c r="AM145" s="266"/>
      <c r="AN145" s="258" t="str">
        <f t="shared" si="78"/>
        <v/>
      </c>
      <c r="AO145" s="266"/>
      <c r="AP145" s="258" t="str">
        <f t="shared" si="79"/>
        <v/>
      </c>
      <c r="AQ145" s="266"/>
      <c r="AR145" s="258" t="str">
        <f t="shared" si="80"/>
        <v/>
      </c>
      <c r="AS145" s="266"/>
      <c r="AT145" s="256" t="str">
        <f t="shared" si="81"/>
        <v/>
      </c>
      <c r="AU145" s="256" t="str">
        <f t="shared" si="82"/>
        <v/>
      </c>
      <c r="AV145" s="256" t="str">
        <f t="shared" si="83"/>
        <v/>
      </c>
      <c r="AW145" s="267"/>
      <c r="AX145" s="255"/>
      <c r="AY145" s="259" t="str">
        <f>IF(AX145&lt;&gt;"",AX145/VLOOKUP($V145,Setup!$C$30:$D$41,2,0),"")</f>
        <v/>
      </c>
      <c r="AZ145" s="268"/>
      <c r="BA145" s="258" t="str">
        <f t="shared" si="84"/>
        <v/>
      </c>
      <c r="BB145" s="268"/>
      <c r="BC145" s="258" t="str">
        <f t="shared" si="85"/>
        <v/>
      </c>
      <c r="BD145" s="268"/>
      <c r="BE145" s="258" t="str">
        <f t="shared" si="86"/>
        <v/>
      </c>
      <c r="BF145" s="268"/>
      <c r="BG145" s="256" t="str">
        <f t="shared" si="87"/>
        <v/>
      </c>
      <c r="BH145" s="256" t="str">
        <f t="shared" si="88"/>
        <v/>
      </c>
      <c r="BI145" s="256" t="str">
        <f t="shared" si="89"/>
        <v/>
      </c>
      <c r="BJ145" s="267"/>
      <c r="BK145" s="255"/>
      <c r="BL145" s="259" t="str">
        <f>IF(BK145&lt;&gt;"",BK145/VLOOKUP($V145,Setup!$C$30:$D$41,2,0),"")</f>
        <v/>
      </c>
      <c r="BM145" s="268"/>
      <c r="BN145" s="258" t="str">
        <f t="shared" si="90"/>
        <v/>
      </c>
      <c r="BO145" s="268"/>
      <c r="BP145" s="258" t="str">
        <f t="shared" si="91"/>
        <v/>
      </c>
      <c r="BQ145" s="268"/>
      <c r="BR145" s="258" t="str">
        <f t="shared" si="92"/>
        <v/>
      </c>
      <c r="BS145" s="268"/>
      <c r="BT145" s="256" t="str">
        <f t="shared" si="93"/>
        <v/>
      </c>
      <c r="BU145" s="256" t="str">
        <f t="shared" si="94"/>
        <v/>
      </c>
      <c r="BV145" s="256" t="str">
        <f t="shared" si="95"/>
        <v/>
      </c>
      <c r="BW145" s="267"/>
      <c r="BX145" s="256" t="str">
        <f t="shared" si="96"/>
        <v/>
      </c>
      <c r="BY145" s="256" t="str">
        <f t="shared" si="97"/>
        <v/>
      </c>
      <c r="BZ145" s="281"/>
      <c r="CA145" s="282"/>
      <c r="CC145" s="112" t="str">
        <f t="shared" ca="1" si="98"/>
        <v/>
      </c>
      <c r="CF145" s="284"/>
      <c r="CG145" s="284"/>
      <c r="CH145" s="284"/>
      <c r="CI145" s="284"/>
      <c r="CL145" s="356" t="str">
        <f>IFERROR(VLOOKUP(C145,'Data Sheet'!$A$3:$B$26,2,FALSE),"")</f>
        <v/>
      </c>
    </row>
    <row r="146" spans="1:90" s="98" customFormat="1" ht="15.75" x14ac:dyDescent="0.2">
      <c r="A146" s="97"/>
      <c r="B146" s="105" t="str">
        <f t="shared" si="101"/>
        <v>--</v>
      </c>
      <c r="C146" s="276"/>
      <c r="D146" s="101" t="str">
        <f>IFERROR(IF(VLOOKUP(C146,'Data Sheet'!$A$3:$D$26,4,FALSE)=0,"",VLOOKUP(C146,'Data Sheet'!$A$3:$D$26,4,FALSE)),"")</f>
        <v/>
      </c>
      <c r="E146" s="279"/>
      <c r="F146" s="103" t="str">
        <f>IFERROR(IF(VLOOKUP(E146,'Data Sheet'!$C$29:$E$174,3,FALSE)=0,"",VLOOKUP(E146,'Data Sheet'!$C$29:$E$174,3,FALSE)),"")</f>
        <v/>
      </c>
      <c r="G146" s="106" t="str">
        <f t="shared" si="99"/>
        <v>-</v>
      </c>
      <c r="H146" s="273"/>
      <c r="I146" s="107"/>
      <c r="J146" s="249" t="e">
        <f t="shared" si="100"/>
        <v>#VALUE!</v>
      </c>
      <c r="K146" s="101" t="str">
        <f>IFERROR(INDEX('Data Sheet'!$C$198:$C$275,MATCH(I146,'Data Sheet'!$F$198:$F$275,0)),"")</f>
        <v/>
      </c>
      <c r="L146" s="250" t="str">
        <f>IFERROR(INDEX('Data Sheet'!$G$198:$G$275,MATCH(I146,'Data Sheet'!$F$198:$F$275,0)),"")</f>
        <v/>
      </c>
      <c r="M146" s="194"/>
      <c r="N146" s="248"/>
      <c r="O146" s="248"/>
      <c r="P146" s="108" t="str">
        <f>IFERROR(INDEX(Setup!$D$44:$D$70,MATCH(M146,Setup!$K$44:$K$70,0))&amp;"","")</f>
        <v/>
      </c>
      <c r="Q146" s="108" t="str">
        <f>IFERROR(INDEX(Setup!$E$44:$E$70,MATCH(M146,Setup!$K$44:$K$70,0))&amp;"","")</f>
        <v/>
      </c>
      <c r="R146" s="108" t="str">
        <f>IFERROR(INDEX(Setup!$L$44:$L$70,MATCH(M146,Setup!$K$44:$K$70,0))&amp;"","")</f>
        <v/>
      </c>
      <c r="S146" s="108" t="str">
        <f>Setup!$C$30</f>
        <v>USD</v>
      </c>
      <c r="T146" s="109" t="str">
        <f>IFERROR(INDEX('Data Sheet'!$B$198:$B$275,MATCH(I146,'Data Sheet'!$F$198:$F$275,0)),"")</f>
        <v/>
      </c>
      <c r="U146" s="110" t="str">
        <f>IFERROR(INDEX('Data Sheet'!$D$198:$D$275,MATCH(I146,'Data Sheet'!$F$198:$F$275,0)),"")</f>
        <v/>
      </c>
      <c r="V146" s="99"/>
      <c r="W146" s="195" t="str">
        <f>IF(V146=Setup!$C$30,"Grant",IF(V146=Setup!$C$31,"Local",IF(V146=Setup!$C$32,"Other",IF(ISBLANK(V146),"","Other"))))</f>
        <v/>
      </c>
      <c r="X146" s="255"/>
      <c r="Y146" s="259" t="str">
        <f>IF(X146&lt;&gt;"",X146/VLOOKUP($V146,Setup!$C$30:$D$41,2,0),"")</f>
        <v/>
      </c>
      <c r="Z146" s="262"/>
      <c r="AA146" s="256" t="str">
        <f t="shared" si="72"/>
        <v/>
      </c>
      <c r="AB146" s="262"/>
      <c r="AC146" s="258" t="str">
        <f t="shared" si="73"/>
        <v/>
      </c>
      <c r="AD146" s="262"/>
      <c r="AE146" s="258" t="str">
        <f t="shared" si="74"/>
        <v/>
      </c>
      <c r="AF146" s="262"/>
      <c r="AG146" s="256" t="str">
        <f t="shared" si="75"/>
        <v/>
      </c>
      <c r="AH146" s="256" t="str">
        <f t="shared" si="76"/>
        <v/>
      </c>
      <c r="AI146" s="256" t="str">
        <f t="shared" si="77"/>
        <v/>
      </c>
      <c r="AJ146" s="111"/>
      <c r="AK146" s="255"/>
      <c r="AL146" s="259" t="str">
        <f>IF(AK146&lt;&gt;"",AK146/VLOOKUP($V146,Setup!$C$30:$D$41,2,0),"")</f>
        <v/>
      </c>
      <c r="AM146" s="266"/>
      <c r="AN146" s="258" t="str">
        <f t="shared" si="78"/>
        <v/>
      </c>
      <c r="AO146" s="266"/>
      <c r="AP146" s="258" t="str">
        <f t="shared" si="79"/>
        <v/>
      </c>
      <c r="AQ146" s="266"/>
      <c r="AR146" s="258" t="str">
        <f t="shared" si="80"/>
        <v/>
      </c>
      <c r="AS146" s="266"/>
      <c r="AT146" s="256" t="str">
        <f t="shared" si="81"/>
        <v/>
      </c>
      <c r="AU146" s="256" t="str">
        <f t="shared" si="82"/>
        <v/>
      </c>
      <c r="AV146" s="256" t="str">
        <f t="shared" si="83"/>
        <v/>
      </c>
      <c r="AW146" s="267"/>
      <c r="AX146" s="255"/>
      <c r="AY146" s="259" t="str">
        <f>IF(AX146&lt;&gt;"",AX146/VLOOKUP($V146,Setup!$C$30:$D$41,2,0),"")</f>
        <v/>
      </c>
      <c r="AZ146" s="268"/>
      <c r="BA146" s="258" t="str">
        <f t="shared" si="84"/>
        <v/>
      </c>
      <c r="BB146" s="268"/>
      <c r="BC146" s="258" t="str">
        <f t="shared" si="85"/>
        <v/>
      </c>
      <c r="BD146" s="268"/>
      <c r="BE146" s="258" t="str">
        <f t="shared" si="86"/>
        <v/>
      </c>
      <c r="BF146" s="268"/>
      <c r="BG146" s="256" t="str">
        <f t="shared" si="87"/>
        <v/>
      </c>
      <c r="BH146" s="256" t="str">
        <f t="shared" si="88"/>
        <v/>
      </c>
      <c r="BI146" s="256" t="str">
        <f t="shared" si="89"/>
        <v/>
      </c>
      <c r="BJ146" s="267"/>
      <c r="BK146" s="255"/>
      <c r="BL146" s="259" t="str">
        <f>IF(BK146&lt;&gt;"",BK146/VLOOKUP($V146,Setup!$C$30:$D$41,2,0),"")</f>
        <v/>
      </c>
      <c r="BM146" s="268"/>
      <c r="BN146" s="258" t="str">
        <f t="shared" si="90"/>
        <v/>
      </c>
      <c r="BO146" s="268"/>
      <c r="BP146" s="258" t="str">
        <f t="shared" si="91"/>
        <v/>
      </c>
      <c r="BQ146" s="268"/>
      <c r="BR146" s="258" t="str">
        <f t="shared" si="92"/>
        <v/>
      </c>
      <c r="BS146" s="268"/>
      <c r="BT146" s="256" t="str">
        <f t="shared" si="93"/>
        <v/>
      </c>
      <c r="BU146" s="256" t="str">
        <f t="shared" si="94"/>
        <v/>
      </c>
      <c r="BV146" s="256" t="str">
        <f t="shared" si="95"/>
        <v/>
      </c>
      <c r="BW146" s="267"/>
      <c r="BX146" s="256" t="str">
        <f t="shared" si="96"/>
        <v/>
      </c>
      <c r="BY146" s="256" t="str">
        <f t="shared" si="97"/>
        <v/>
      </c>
      <c r="BZ146" s="281"/>
      <c r="CA146" s="282"/>
      <c r="CC146" s="112" t="str">
        <f t="shared" ca="1" si="98"/>
        <v/>
      </c>
      <c r="CF146" s="284"/>
      <c r="CG146" s="284"/>
      <c r="CH146" s="284"/>
      <c r="CI146" s="284"/>
      <c r="CL146" s="356" t="str">
        <f>IFERROR(VLOOKUP(C146,'Data Sheet'!$A$3:$B$26,2,FALSE),"")</f>
        <v/>
      </c>
    </row>
    <row r="147" spans="1:90" s="98" customFormat="1" ht="15.75" x14ac:dyDescent="0.2">
      <c r="A147" s="97"/>
      <c r="B147" s="105" t="str">
        <f t="shared" si="101"/>
        <v>--</v>
      </c>
      <c r="C147" s="276"/>
      <c r="D147" s="101" t="str">
        <f>IFERROR(IF(VLOOKUP(C147,'Data Sheet'!$A$3:$D$26,4,FALSE)=0,"",VLOOKUP(C147,'Data Sheet'!$A$3:$D$26,4,FALSE)),"")</f>
        <v/>
      </c>
      <c r="E147" s="279"/>
      <c r="F147" s="103" t="str">
        <f>IFERROR(IF(VLOOKUP(E147,'Data Sheet'!$C$29:$E$174,3,FALSE)=0,"",VLOOKUP(E147,'Data Sheet'!$C$29:$E$174,3,FALSE)),"")</f>
        <v/>
      </c>
      <c r="G147" s="106" t="str">
        <f t="shared" si="99"/>
        <v>-</v>
      </c>
      <c r="H147" s="273"/>
      <c r="I147" s="107"/>
      <c r="J147" s="249" t="e">
        <f t="shared" si="100"/>
        <v>#VALUE!</v>
      </c>
      <c r="K147" s="101" t="str">
        <f>IFERROR(INDEX('Data Sheet'!$C$198:$C$275,MATCH(I147,'Data Sheet'!$F$198:$F$275,0)),"")</f>
        <v/>
      </c>
      <c r="L147" s="250" t="str">
        <f>IFERROR(INDEX('Data Sheet'!$G$198:$G$275,MATCH(I147,'Data Sheet'!$F$198:$F$275,0)),"")</f>
        <v/>
      </c>
      <c r="M147" s="194"/>
      <c r="N147" s="248"/>
      <c r="O147" s="248"/>
      <c r="P147" s="108" t="str">
        <f>IFERROR(INDEX(Setup!$D$44:$D$70,MATCH(M147,Setup!$K$44:$K$70,0))&amp;"","")</f>
        <v/>
      </c>
      <c r="Q147" s="108" t="str">
        <f>IFERROR(INDEX(Setup!$E$44:$E$70,MATCH(M147,Setup!$K$44:$K$70,0))&amp;"","")</f>
        <v/>
      </c>
      <c r="R147" s="108" t="str">
        <f>IFERROR(INDEX(Setup!$L$44:$L$70,MATCH(M147,Setup!$K$44:$K$70,0))&amp;"","")</f>
        <v/>
      </c>
      <c r="S147" s="108" t="str">
        <f>Setup!$C$30</f>
        <v>USD</v>
      </c>
      <c r="T147" s="109" t="str">
        <f>IFERROR(INDEX('Data Sheet'!$B$198:$B$275,MATCH(I147,'Data Sheet'!$F$198:$F$275,0)),"")</f>
        <v/>
      </c>
      <c r="U147" s="110" t="str">
        <f>IFERROR(INDEX('Data Sheet'!$D$198:$D$275,MATCH(I147,'Data Sheet'!$F$198:$F$275,0)),"")</f>
        <v/>
      </c>
      <c r="V147" s="99"/>
      <c r="W147" s="195" t="str">
        <f>IF(V147=Setup!$C$30,"Grant",IF(V147=Setup!$C$31,"Local",IF(V147=Setup!$C$32,"Other",IF(ISBLANK(V147),"","Other"))))</f>
        <v/>
      </c>
      <c r="X147" s="255"/>
      <c r="Y147" s="259" t="str">
        <f>IF(X147&lt;&gt;"",X147/VLOOKUP($V147,Setup!$C$30:$D$41,2,0),"")</f>
        <v/>
      </c>
      <c r="Z147" s="262"/>
      <c r="AA147" s="256" t="str">
        <f t="shared" si="72"/>
        <v/>
      </c>
      <c r="AB147" s="262"/>
      <c r="AC147" s="258" t="str">
        <f t="shared" si="73"/>
        <v/>
      </c>
      <c r="AD147" s="262"/>
      <c r="AE147" s="258" t="str">
        <f t="shared" si="74"/>
        <v/>
      </c>
      <c r="AF147" s="262"/>
      <c r="AG147" s="256" t="str">
        <f t="shared" si="75"/>
        <v/>
      </c>
      <c r="AH147" s="256" t="str">
        <f t="shared" si="76"/>
        <v/>
      </c>
      <c r="AI147" s="256" t="str">
        <f t="shared" si="77"/>
        <v/>
      </c>
      <c r="AJ147" s="111"/>
      <c r="AK147" s="255"/>
      <c r="AL147" s="259" t="str">
        <f>IF(AK147&lt;&gt;"",AK147/VLOOKUP($V147,Setup!$C$30:$D$41,2,0),"")</f>
        <v/>
      </c>
      <c r="AM147" s="266"/>
      <c r="AN147" s="258" t="str">
        <f t="shared" si="78"/>
        <v/>
      </c>
      <c r="AO147" s="266"/>
      <c r="AP147" s="258" t="str">
        <f t="shared" si="79"/>
        <v/>
      </c>
      <c r="AQ147" s="266"/>
      <c r="AR147" s="258" t="str">
        <f t="shared" si="80"/>
        <v/>
      </c>
      <c r="AS147" s="266"/>
      <c r="AT147" s="256" t="str">
        <f t="shared" si="81"/>
        <v/>
      </c>
      <c r="AU147" s="256" t="str">
        <f t="shared" si="82"/>
        <v/>
      </c>
      <c r="AV147" s="256" t="str">
        <f t="shared" si="83"/>
        <v/>
      </c>
      <c r="AW147" s="267"/>
      <c r="AX147" s="255"/>
      <c r="AY147" s="259" t="str">
        <f>IF(AX147&lt;&gt;"",AX147/VLOOKUP($V147,Setup!$C$30:$D$41,2,0),"")</f>
        <v/>
      </c>
      <c r="AZ147" s="268"/>
      <c r="BA147" s="258" t="str">
        <f t="shared" si="84"/>
        <v/>
      </c>
      <c r="BB147" s="268"/>
      <c r="BC147" s="258" t="str">
        <f t="shared" si="85"/>
        <v/>
      </c>
      <c r="BD147" s="268"/>
      <c r="BE147" s="258" t="str">
        <f t="shared" si="86"/>
        <v/>
      </c>
      <c r="BF147" s="268"/>
      <c r="BG147" s="256" t="str">
        <f t="shared" si="87"/>
        <v/>
      </c>
      <c r="BH147" s="256" t="str">
        <f t="shared" si="88"/>
        <v/>
      </c>
      <c r="BI147" s="256" t="str">
        <f t="shared" si="89"/>
        <v/>
      </c>
      <c r="BJ147" s="267"/>
      <c r="BK147" s="255"/>
      <c r="BL147" s="259" t="str">
        <f>IF(BK147&lt;&gt;"",BK147/VLOOKUP($V147,Setup!$C$30:$D$41,2,0),"")</f>
        <v/>
      </c>
      <c r="BM147" s="268"/>
      <c r="BN147" s="258" t="str">
        <f t="shared" si="90"/>
        <v/>
      </c>
      <c r="BO147" s="268"/>
      <c r="BP147" s="258" t="str">
        <f t="shared" si="91"/>
        <v/>
      </c>
      <c r="BQ147" s="268"/>
      <c r="BR147" s="258" t="str">
        <f t="shared" si="92"/>
        <v/>
      </c>
      <c r="BS147" s="268"/>
      <c r="BT147" s="256" t="str">
        <f t="shared" si="93"/>
        <v/>
      </c>
      <c r="BU147" s="256" t="str">
        <f t="shared" si="94"/>
        <v/>
      </c>
      <c r="BV147" s="256" t="str">
        <f t="shared" si="95"/>
        <v/>
      </c>
      <c r="BW147" s="267"/>
      <c r="BX147" s="256" t="str">
        <f t="shared" si="96"/>
        <v/>
      </c>
      <c r="BY147" s="256" t="str">
        <f t="shared" si="97"/>
        <v/>
      </c>
      <c r="BZ147" s="281"/>
      <c r="CA147" s="282"/>
      <c r="CC147" s="112" t="str">
        <f t="shared" ca="1" si="98"/>
        <v/>
      </c>
      <c r="CF147" s="284"/>
      <c r="CG147" s="284"/>
      <c r="CH147" s="284"/>
      <c r="CI147" s="284"/>
      <c r="CL147" s="356" t="str">
        <f>IFERROR(VLOOKUP(C147,'Data Sheet'!$A$3:$B$26,2,FALSE),"")</f>
        <v/>
      </c>
    </row>
    <row r="148" spans="1:90" s="98" customFormat="1" ht="15.75" x14ac:dyDescent="0.2">
      <c r="A148" s="97"/>
      <c r="B148" s="105" t="str">
        <f t="shared" si="101"/>
        <v>--</v>
      </c>
      <c r="C148" s="276"/>
      <c r="D148" s="101" t="str">
        <f>IFERROR(IF(VLOOKUP(C148,'Data Sheet'!$A$3:$D$26,4,FALSE)=0,"",VLOOKUP(C148,'Data Sheet'!$A$3:$D$26,4,FALSE)),"")</f>
        <v/>
      </c>
      <c r="E148" s="279"/>
      <c r="F148" s="103" t="str">
        <f>IFERROR(IF(VLOOKUP(E148,'Data Sheet'!$C$29:$E$174,3,FALSE)=0,"",VLOOKUP(E148,'Data Sheet'!$C$29:$E$174,3,FALSE)),"")</f>
        <v/>
      </c>
      <c r="G148" s="106" t="str">
        <f t="shared" si="99"/>
        <v>-</v>
      </c>
      <c r="H148" s="273"/>
      <c r="I148" s="107"/>
      <c r="J148" s="249" t="e">
        <f t="shared" si="100"/>
        <v>#VALUE!</v>
      </c>
      <c r="K148" s="101" t="str">
        <f>IFERROR(INDEX('Data Sheet'!$C$198:$C$275,MATCH(I148,'Data Sheet'!$F$198:$F$275,0)),"")</f>
        <v/>
      </c>
      <c r="L148" s="250" t="str">
        <f>IFERROR(INDEX('Data Sheet'!$G$198:$G$275,MATCH(I148,'Data Sheet'!$F$198:$F$275,0)),"")</f>
        <v/>
      </c>
      <c r="M148" s="194"/>
      <c r="N148" s="248"/>
      <c r="O148" s="248"/>
      <c r="P148" s="108" t="str">
        <f>IFERROR(INDEX(Setup!$D$44:$D$70,MATCH(M148,Setup!$K$44:$K$70,0))&amp;"","")</f>
        <v/>
      </c>
      <c r="Q148" s="108" t="str">
        <f>IFERROR(INDEX(Setup!$E$44:$E$70,MATCH(M148,Setup!$K$44:$K$70,0))&amp;"","")</f>
        <v/>
      </c>
      <c r="R148" s="108" t="str">
        <f>IFERROR(INDEX(Setup!$L$44:$L$70,MATCH(M148,Setup!$K$44:$K$70,0))&amp;"","")</f>
        <v/>
      </c>
      <c r="S148" s="108" t="str">
        <f>Setup!$C$30</f>
        <v>USD</v>
      </c>
      <c r="T148" s="109" t="str">
        <f>IFERROR(INDEX('Data Sheet'!$B$198:$B$275,MATCH(I148,'Data Sheet'!$F$198:$F$275,0)),"")</f>
        <v/>
      </c>
      <c r="U148" s="110" t="str">
        <f>IFERROR(INDEX('Data Sheet'!$D$198:$D$275,MATCH(I148,'Data Sheet'!$F$198:$F$275,0)),"")</f>
        <v/>
      </c>
      <c r="V148" s="99"/>
      <c r="W148" s="195" t="str">
        <f>IF(V148=Setup!$C$30,"Grant",IF(V148=Setup!$C$31,"Local",IF(V148=Setup!$C$32,"Other",IF(ISBLANK(V148),"","Other"))))</f>
        <v/>
      </c>
      <c r="X148" s="255"/>
      <c r="Y148" s="259" t="str">
        <f>IF(X148&lt;&gt;"",X148/VLOOKUP($V148,Setup!$C$30:$D$41,2,0),"")</f>
        <v/>
      </c>
      <c r="Z148" s="262"/>
      <c r="AA148" s="256" t="str">
        <f t="shared" si="72"/>
        <v/>
      </c>
      <c r="AB148" s="262"/>
      <c r="AC148" s="258" t="str">
        <f t="shared" si="73"/>
        <v/>
      </c>
      <c r="AD148" s="262"/>
      <c r="AE148" s="258" t="str">
        <f t="shared" si="74"/>
        <v/>
      </c>
      <c r="AF148" s="262"/>
      <c r="AG148" s="256" t="str">
        <f t="shared" si="75"/>
        <v/>
      </c>
      <c r="AH148" s="256" t="str">
        <f t="shared" si="76"/>
        <v/>
      </c>
      <c r="AI148" s="256" t="str">
        <f t="shared" si="77"/>
        <v/>
      </c>
      <c r="AJ148" s="111"/>
      <c r="AK148" s="255"/>
      <c r="AL148" s="259" t="str">
        <f>IF(AK148&lt;&gt;"",AK148/VLOOKUP($V148,Setup!$C$30:$D$41,2,0),"")</f>
        <v/>
      </c>
      <c r="AM148" s="266"/>
      <c r="AN148" s="258" t="str">
        <f t="shared" si="78"/>
        <v/>
      </c>
      <c r="AO148" s="266"/>
      <c r="AP148" s="258" t="str">
        <f t="shared" si="79"/>
        <v/>
      </c>
      <c r="AQ148" s="266"/>
      <c r="AR148" s="258" t="str">
        <f t="shared" si="80"/>
        <v/>
      </c>
      <c r="AS148" s="266"/>
      <c r="AT148" s="256" t="str">
        <f t="shared" si="81"/>
        <v/>
      </c>
      <c r="AU148" s="256" t="str">
        <f t="shared" si="82"/>
        <v/>
      </c>
      <c r="AV148" s="256" t="str">
        <f t="shared" si="83"/>
        <v/>
      </c>
      <c r="AW148" s="267"/>
      <c r="AX148" s="255"/>
      <c r="AY148" s="259" t="str">
        <f>IF(AX148&lt;&gt;"",AX148/VLOOKUP($V148,Setup!$C$30:$D$41,2,0),"")</f>
        <v/>
      </c>
      <c r="AZ148" s="268"/>
      <c r="BA148" s="258" t="str">
        <f t="shared" si="84"/>
        <v/>
      </c>
      <c r="BB148" s="268"/>
      <c r="BC148" s="258" t="str">
        <f t="shared" si="85"/>
        <v/>
      </c>
      <c r="BD148" s="268"/>
      <c r="BE148" s="258" t="str">
        <f t="shared" si="86"/>
        <v/>
      </c>
      <c r="BF148" s="268"/>
      <c r="BG148" s="256" t="str">
        <f t="shared" si="87"/>
        <v/>
      </c>
      <c r="BH148" s="256" t="str">
        <f t="shared" si="88"/>
        <v/>
      </c>
      <c r="BI148" s="256" t="str">
        <f t="shared" si="89"/>
        <v/>
      </c>
      <c r="BJ148" s="267"/>
      <c r="BK148" s="255"/>
      <c r="BL148" s="259" t="str">
        <f>IF(BK148&lt;&gt;"",BK148/VLOOKUP($V148,Setup!$C$30:$D$41,2,0),"")</f>
        <v/>
      </c>
      <c r="BM148" s="268"/>
      <c r="BN148" s="258" t="str">
        <f t="shared" si="90"/>
        <v/>
      </c>
      <c r="BO148" s="268"/>
      <c r="BP148" s="258" t="str">
        <f t="shared" si="91"/>
        <v/>
      </c>
      <c r="BQ148" s="268"/>
      <c r="BR148" s="258" t="str">
        <f t="shared" si="92"/>
        <v/>
      </c>
      <c r="BS148" s="268"/>
      <c r="BT148" s="256" t="str">
        <f t="shared" si="93"/>
        <v/>
      </c>
      <c r="BU148" s="256" t="str">
        <f t="shared" si="94"/>
        <v/>
      </c>
      <c r="BV148" s="256" t="str">
        <f t="shared" si="95"/>
        <v/>
      </c>
      <c r="BW148" s="267"/>
      <c r="BX148" s="256" t="str">
        <f t="shared" si="96"/>
        <v/>
      </c>
      <c r="BY148" s="256" t="str">
        <f t="shared" si="97"/>
        <v/>
      </c>
      <c r="BZ148" s="281"/>
      <c r="CA148" s="282"/>
      <c r="CC148" s="112" t="str">
        <f t="shared" ca="1" si="98"/>
        <v/>
      </c>
      <c r="CF148" s="284"/>
      <c r="CG148" s="284"/>
      <c r="CH148" s="284"/>
      <c r="CI148" s="284"/>
      <c r="CL148" s="356" t="str">
        <f>IFERROR(VLOOKUP(C148,'Data Sheet'!$A$3:$B$26,2,FALSE),"")</f>
        <v/>
      </c>
    </row>
    <row r="149" spans="1:90" s="98" customFormat="1" ht="15.75" x14ac:dyDescent="0.2">
      <c r="A149" s="97"/>
      <c r="B149" s="105" t="str">
        <f t="shared" si="101"/>
        <v>--</v>
      </c>
      <c r="C149" s="276"/>
      <c r="D149" s="101" t="str">
        <f>IFERROR(IF(VLOOKUP(C149,'Data Sheet'!$A$3:$D$26,4,FALSE)=0,"",VLOOKUP(C149,'Data Sheet'!$A$3:$D$26,4,FALSE)),"")</f>
        <v/>
      </c>
      <c r="E149" s="279"/>
      <c r="F149" s="103" t="str">
        <f>IFERROR(IF(VLOOKUP(E149,'Data Sheet'!$C$29:$E$174,3,FALSE)=0,"",VLOOKUP(E149,'Data Sheet'!$C$29:$E$174,3,FALSE)),"")</f>
        <v/>
      </c>
      <c r="G149" s="106" t="str">
        <f t="shared" si="99"/>
        <v>-</v>
      </c>
      <c r="H149" s="273"/>
      <c r="I149" s="107"/>
      <c r="J149" s="249" t="e">
        <f t="shared" si="100"/>
        <v>#VALUE!</v>
      </c>
      <c r="K149" s="101" t="str">
        <f>IFERROR(INDEX('Data Sheet'!$C$198:$C$275,MATCH(I149,'Data Sheet'!$F$198:$F$275,0)),"")</f>
        <v/>
      </c>
      <c r="L149" s="250" t="str">
        <f>IFERROR(INDEX('Data Sheet'!$G$198:$G$275,MATCH(I149,'Data Sheet'!$F$198:$F$275,0)),"")</f>
        <v/>
      </c>
      <c r="M149" s="194"/>
      <c r="N149" s="248"/>
      <c r="O149" s="248"/>
      <c r="P149" s="108" t="str">
        <f>IFERROR(INDEX(Setup!$D$44:$D$70,MATCH(M149,Setup!$K$44:$K$70,0))&amp;"","")</f>
        <v/>
      </c>
      <c r="Q149" s="108" t="str">
        <f>IFERROR(INDEX(Setup!$E$44:$E$70,MATCH(M149,Setup!$K$44:$K$70,0))&amp;"","")</f>
        <v/>
      </c>
      <c r="R149" s="108" t="str">
        <f>IFERROR(INDEX(Setup!$L$44:$L$70,MATCH(M149,Setup!$K$44:$K$70,0))&amp;"","")</f>
        <v/>
      </c>
      <c r="S149" s="108" t="str">
        <f>Setup!$C$30</f>
        <v>USD</v>
      </c>
      <c r="T149" s="109" t="str">
        <f>IFERROR(INDEX('Data Sheet'!$B$198:$B$275,MATCH(I149,'Data Sheet'!$F$198:$F$275,0)),"")</f>
        <v/>
      </c>
      <c r="U149" s="110" t="str">
        <f>IFERROR(INDEX('Data Sheet'!$D$198:$D$275,MATCH(I149,'Data Sheet'!$F$198:$F$275,0)),"")</f>
        <v/>
      </c>
      <c r="V149" s="99"/>
      <c r="W149" s="195" t="str">
        <f>IF(V149=Setup!$C$30,"Grant",IF(V149=Setup!$C$31,"Local",IF(V149=Setup!$C$32,"Other",IF(ISBLANK(V149),"","Other"))))</f>
        <v/>
      </c>
      <c r="X149" s="255"/>
      <c r="Y149" s="259" t="str">
        <f>IF(X149&lt;&gt;"",X149/VLOOKUP($V149,Setup!$C$30:$D$41,2,0),"")</f>
        <v/>
      </c>
      <c r="Z149" s="262"/>
      <c r="AA149" s="256" t="str">
        <f t="shared" si="72"/>
        <v/>
      </c>
      <c r="AB149" s="262"/>
      <c r="AC149" s="258" t="str">
        <f t="shared" si="73"/>
        <v/>
      </c>
      <c r="AD149" s="262"/>
      <c r="AE149" s="258" t="str">
        <f t="shared" si="74"/>
        <v/>
      </c>
      <c r="AF149" s="262"/>
      <c r="AG149" s="256" t="str">
        <f t="shared" si="75"/>
        <v/>
      </c>
      <c r="AH149" s="256" t="str">
        <f t="shared" si="76"/>
        <v/>
      </c>
      <c r="AI149" s="256" t="str">
        <f t="shared" si="77"/>
        <v/>
      </c>
      <c r="AJ149" s="111"/>
      <c r="AK149" s="255"/>
      <c r="AL149" s="259" t="str">
        <f>IF(AK149&lt;&gt;"",AK149/VLOOKUP($V149,Setup!$C$30:$D$41,2,0),"")</f>
        <v/>
      </c>
      <c r="AM149" s="266"/>
      <c r="AN149" s="258" t="str">
        <f t="shared" si="78"/>
        <v/>
      </c>
      <c r="AO149" s="266"/>
      <c r="AP149" s="258" t="str">
        <f t="shared" si="79"/>
        <v/>
      </c>
      <c r="AQ149" s="266"/>
      <c r="AR149" s="258" t="str">
        <f t="shared" si="80"/>
        <v/>
      </c>
      <c r="AS149" s="266"/>
      <c r="AT149" s="256" t="str">
        <f t="shared" si="81"/>
        <v/>
      </c>
      <c r="AU149" s="256" t="str">
        <f t="shared" si="82"/>
        <v/>
      </c>
      <c r="AV149" s="256" t="str">
        <f t="shared" si="83"/>
        <v/>
      </c>
      <c r="AW149" s="267"/>
      <c r="AX149" s="255"/>
      <c r="AY149" s="259" t="str">
        <f>IF(AX149&lt;&gt;"",AX149/VLOOKUP($V149,Setup!$C$30:$D$41,2,0),"")</f>
        <v/>
      </c>
      <c r="AZ149" s="268"/>
      <c r="BA149" s="258" t="str">
        <f t="shared" si="84"/>
        <v/>
      </c>
      <c r="BB149" s="268"/>
      <c r="BC149" s="258" t="str">
        <f t="shared" si="85"/>
        <v/>
      </c>
      <c r="BD149" s="268"/>
      <c r="BE149" s="258" t="str">
        <f t="shared" si="86"/>
        <v/>
      </c>
      <c r="BF149" s="268"/>
      <c r="BG149" s="256" t="str">
        <f t="shared" si="87"/>
        <v/>
      </c>
      <c r="BH149" s="256" t="str">
        <f t="shared" si="88"/>
        <v/>
      </c>
      <c r="BI149" s="256" t="str">
        <f t="shared" si="89"/>
        <v/>
      </c>
      <c r="BJ149" s="267"/>
      <c r="BK149" s="255"/>
      <c r="BL149" s="259" t="str">
        <f>IF(BK149&lt;&gt;"",BK149/VLOOKUP($V149,Setup!$C$30:$D$41,2,0),"")</f>
        <v/>
      </c>
      <c r="BM149" s="268"/>
      <c r="BN149" s="258" t="str">
        <f t="shared" si="90"/>
        <v/>
      </c>
      <c r="BO149" s="268"/>
      <c r="BP149" s="258" t="str">
        <f t="shared" si="91"/>
        <v/>
      </c>
      <c r="BQ149" s="268"/>
      <c r="BR149" s="258" t="str">
        <f t="shared" si="92"/>
        <v/>
      </c>
      <c r="BS149" s="268"/>
      <c r="BT149" s="256" t="str">
        <f t="shared" si="93"/>
        <v/>
      </c>
      <c r="BU149" s="256" t="str">
        <f t="shared" si="94"/>
        <v/>
      </c>
      <c r="BV149" s="256" t="str">
        <f t="shared" si="95"/>
        <v/>
      </c>
      <c r="BW149" s="267"/>
      <c r="BX149" s="256" t="str">
        <f t="shared" si="96"/>
        <v/>
      </c>
      <c r="BY149" s="256" t="str">
        <f t="shared" si="97"/>
        <v/>
      </c>
      <c r="BZ149" s="281"/>
      <c r="CA149" s="282"/>
      <c r="CC149" s="112" t="str">
        <f t="shared" ca="1" si="98"/>
        <v/>
      </c>
      <c r="CF149" s="284"/>
      <c r="CG149" s="284"/>
      <c r="CH149" s="284"/>
      <c r="CI149" s="284"/>
      <c r="CL149" s="356" t="str">
        <f>IFERROR(VLOOKUP(C149,'Data Sheet'!$A$3:$B$26,2,FALSE),"")</f>
        <v/>
      </c>
    </row>
    <row r="150" spans="1:90" s="98" customFormat="1" ht="15.75" x14ac:dyDescent="0.2">
      <c r="A150" s="97"/>
      <c r="B150" s="105" t="str">
        <f t="shared" si="101"/>
        <v>--</v>
      </c>
      <c r="C150" s="276"/>
      <c r="D150" s="101" t="str">
        <f>IFERROR(IF(VLOOKUP(C150,'Data Sheet'!$A$3:$D$26,4,FALSE)=0,"",VLOOKUP(C150,'Data Sheet'!$A$3:$D$26,4,FALSE)),"")</f>
        <v/>
      </c>
      <c r="E150" s="279"/>
      <c r="F150" s="103" t="str">
        <f>IFERROR(IF(VLOOKUP(E150,'Data Sheet'!$C$29:$E$174,3,FALSE)=0,"",VLOOKUP(E150,'Data Sheet'!$C$29:$E$174,3,FALSE)),"")</f>
        <v/>
      </c>
      <c r="G150" s="106" t="str">
        <f t="shared" si="99"/>
        <v>-</v>
      </c>
      <c r="H150" s="273"/>
      <c r="I150" s="107"/>
      <c r="J150" s="249" t="e">
        <f t="shared" si="100"/>
        <v>#VALUE!</v>
      </c>
      <c r="K150" s="101" t="str">
        <f>IFERROR(INDEX('Data Sheet'!$C$198:$C$275,MATCH(I150,'Data Sheet'!$F$198:$F$275,0)),"")</f>
        <v/>
      </c>
      <c r="L150" s="250" t="str">
        <f>IFERROR(INDEX('Data Sheet'!$G$198:$G$275,MATCH(I150,'Data Sheet'!$F$198:$F$275,0)),"")</f>
        <v/>
      </c>
      <c r="M150" s="194"/>
      <c r="N150" s="248"/>
      <c r="O150" s="248"/>
      <c r="P150" s="108" t="str">
        <f>IFERROR(INDEX(Setup!$D$44:$D$70,MATCH(M150,Setup!$K$44:$K$70,0))&amp;"","")</f>
        <v/>
      </c>
      <c r="Q150" s="108" t="str">
        <f>IFERROR(INDEX(Setup!$E$44:$E$70,MATCH(M150,Setup!$K$44:$K$70,0))&amp;"","")</f>
        <v/>
      </c>
      <c r="R150" s="108" t="str">
        <f>IFERROR(INDEX(Setup!$L$44:$L$70,MATCH(M150,Setup!$K$44:$K$70,0))&amp;"","")</f>
        <v/>
      </c>
      <c r="S150" s="108" t="str">
        <f>Setup!$C$30</f>
        <v>USD</v>
      </c>
      <c r="T150" s="109" t="str">
        <f>IFERROR(INDEX('Data Sheet'!$B$198:$B$275,MATCH(I150,'Data Sheet'!$F$198:$F$275,0)),"")</f>
        <v/>
      </c>
      <c r="U150" s="110" t="str">
        <f>IFERROR(INDEX('Data Sheet'!$D$198:$D$275,MATCH(I150,'Data Sheet'!$F$198:$F$275,0)),"")</f>
        <v/>
      </c>
      <c r="V150" s="99"/>
      <c r="W150" s="195" t="str">
        <f>IF(V150=Setup!$C$30,"Grant",IF(V150=Setup!$C$31,"Local",IF(V150=Setup!$C$32,"Other",IF(ISBLANK(V150),"","Other"))))</f>
        <v/>
      </c>
      <c r="X150" s="255"/>
      <c r="Y150" s="259" t="str">
        <f>IF(X150&lt;&gt;"",X150/VLOOKUP($V150,Setup!$C$30:$D$41,2,0),"")</f>
        <v/>
      </c>
      <c r="Z150" s="262"/>
      <c r="AA150" s="256" t="str">
        <f t="shared" si="72"/>
        <v/>
      </c>
      <c r="AB150" s="262"/>
      <c r="AC150" s="258" t="str">
        <f t="shared" si="73"/>
        <v/>
      </c>
      <c r="AD150" s="262"/>
      <c r="AE150" s="258" t="str">
        <f t="shared" si="74"/>
        <v/>
      </c>
      <c r="AF150" s="262"/>
      <c r="AG150" s="256" t="str">
        <f t="shared" si="75"/>
        <v/>
      </c>
      <c r="AH150" s="256" t="str">
        <f t="shared" si="76"/>
        <v/>
      </c>
      <c r="AI150" s="256" t="str">
        <f t="shared" si="77"/>
        <v/>
      </c>
      <c r="AJ150" s="111"/>
      <c r="AK150" s="255"/>
      <c r="AL150" s="259" t="str">
        <f>IF(AK150&lt;&gt;"",AK150/VLOOKUP($V150,Setup!$C$30:$D$41,2,0),"")</f>
        <v/>
      </c>
      <c r="AM150" s="266"/>
      <c r="AN150" s="258" t="str">
        <f t="shared" si="78"/>
        <v/>
      </c>
      <c r="AO150" s="266"/>
      <c r="AP150" s="258" t="str">
        <f t="shared" si="79"/>
        <v/>
      </c>
      <c r="AQ150" s="266"/>
      <c r="AR150" s="258" t="str">
        <f t="shared" si="80"/>
        <v/>
      </c>
      <c r="AS150" s="266"/>
      <c r="AT150" s="256" t="str">
        <f t="shared" si="81"/>
        <v/>
      </c>
      <c r="AU150" s="256" t="str">
        <f t="shared" si="82"/>
        <v/>
      </c>
      <c r="AV150" s="256" t="str">
        <f t="shared" si="83"/>
        <v/>
      </c>
      <c r="AW150" s="267"/>
      <c r="AX150" s="255"/>
      <c r="AY150" s="259" t="str">
        <f>IF(AX150&lt;&gt;"",AX150/VLOOKUP($V150,Setup!$C$30:$D$41,2,0),"")</f>
        <v/>
      </c>
      <c r="AZ150" s="268"/>
      <c r="BA150" s="258" t="str">
        <f t="shared" si="84"/>
        <v/>
      </c>
      <c r="BB150" s="268"/>
      <c r="BC150" s="258" t="str">
        <f t="shared" si="85"/>
        <v/>
      </c>
      <c r="BD150" s="268"/>
      <c r="BE150" s="258" t="str">
        <f t="shared" si="86"/>
        <v/>
      </c>
      <c r="BF150" s="268"/>
      <c r="BG150" s="256" t="str">
        <f t="shared" si="87"/>
        <v/>
      </c>
      <c r="BH150" s="256" t="str">
        <f t="shared" si="88"/>
        <v/>
      </c>
      <c r="BI150" s="256" t="str">
        <f t="shared" si="89"/>
        <v/>
      </c>
      <c r="BJ150" s="267"/>
      <c r="BK150" s="255"/>
      <c r="BL150" s="259" t="str">
        <f>IF(BK150&lt;&gt;"",BK150/VLOOKUP($V150,Setup!$C$30:$D$41,2,0),"")</f>
        <v/>
      </c>
      <c r="BM150" s="268"/>
      <c r="BN150" s="258" t="str">
        <f t="shared" si="90"/>
        <v/>
      </c>
      <c r="BO150" s="268"/>
      <c r="BP150" s="258" t="str">
        <f t="shared" si="91"/>
        <v/>
      </c>
      <c r="BQ150" s="268"/>
      <c r="BR150" s="258" t="str">
        <f t="shared" si="92"/>
        <v/>
      </c>
      <c r="BS150" s="268"/>
      <c r="BT150" s="256" t="str">
        <f t="shared" si="93"/>
        <v/>
      </c>
      <c r="BU150" s="256" t="str">
        <f t="shared" si="94"/>
        <v/>
      </c>
      <c r="BV150" s="256" t="str">
        <f t="shared" si="95"/>
        <v/>
      </c>
      <c r="BW150" s="267"/>
      <c r="BX150" s="256" t="str">
        <f t="shared" si="96"/>
        <v/>
      </c>
      <c r="BY150" s="256" t="str">
        <f t="shared" si="97"/>
        <v/>
      </c>
      <c r="BZ150" s="281"/>
      <c r="CA150" s="282"/>
      <c r="CC150" s="112" t="str">
        <f t="shared" ca="1" si="98"/>
        <v/>
      </c>
      <c r="CF150" s="284"/>
      <c r="CG150" s="284"/>
      <c r="CH150" s="284"/>
      <c r="CI150" s="284"/>
      <c r="CL150" s="356" t="str">
        <f>IFERROR(VLOOKUP(C150,'Data Sheet'!$A$3:$B$26,2,FALSE),"")</f>
        <v/>
      </c>
    </row>
    <row r="151" spans="1:90" s="98" customFormat="1" ht="15.75" x14ac:dyDescent="0.2">
      <c r="A151" s="97"/>
      <c r="B151" s="105" t="str">
        <f t="shared" si="101"/>
        <v>--</v>
      </c>
      <c r="C151" s="276"/>
      <c r="D151" s="101" t="str">
        <f>IFERROR(IF(VLOOKUP(C151,'Data Sheet'!$A$3:$D$26,4,FALSE)=0,"",VLOOKUP(C151,'Data Sheet'!$A$3:$D$26,4,FALSE)),"")</f>
        <v/>
      </c>
      <c r="E151" s="279"/>
      <c r="F151" s="103" t="str">
        <f>IFERROR(IF(VLOOKUP(E151,'Data Sheet'!$C$29:$E$174,3,FALSE)=0,"",VLOOKUP(E151,'Data Sheet'!$C$29:$E$174,3,FALSE)),"")</f>
        <v/>
      </c>
      <c r="G151" s="106" t="str">
        <f t="shared" si="99"/>
        <v>-</v>
      </c>
      <c r="H151" s="273"/>
      <c r="I151" s="107"/>
      <c r="J151" s="249" t="e">
        <f t="shared" si="100"/>
        <v>#VALUE!</v>
      </c>
      <c r="K151" s="101" t="str">
        <f>IFERROR(INDEX('Data Sheet'!$C$198:$C$275,MATCH(I151,'Data Sheet'!$F$198:$F$275,0)),"")</f>
        <v/>
      </c>
      <c r="L151" s="250" t="str">
        <f>IFERROR(INDEX('Data Sheet'!$G$198:$G$275,MATCH(I151,'Data Sheet'!$F$198:$F$275,0)),"")</f>
        <v/>
      </c>
      <c r="M151" s="194"/>
      <c r="N151" s="248"/>
      <c r="O151" s="248"/>
      <c r="P151" s="108" t="str">
        <f>IFERROR(INDEX(Setup!$D$44:$D$70,MATCH(M151,Setup!$K$44:$K$70,0))&amp;"","")</f>
        <v/>
      </c>
      <c r="Q151" s="108" t="str">
        <f>IFERROR(INDEX(Setup!$E$44:$E$70,MATCH(M151,Setup!$K$44:$K$70,0))&amp;"","")</f>
        <v/>
      </c>
      <c r="R151" s="108" t="str">
        <f>IFERROR(INDEX(Setup!$L$44:$L$70,MATCH(M151,Setup!$K$44:$K$70,0))&amp;"","")</f>
        <v/>
      </c>
      <c r="S151" s="108" t="str">
        <f>Setup!$C$30</f>
        <v>USD</v>
      </c>
      <c r="T151" s="109" t="str">
        <f>IFERROR(INDEX('Data Sheet'!$B$198:$B$275,MATCH(I151,'Data Sheet'!$F$198:$F$275,0)),"")</f>
        <v/>
      </c>
      <c r="U151" s="110" t="str">
        <f>IFERROR(INDEX('Data Sheet'!$D$198:$D$275,MATCH(I151,'Data Sheet'!$F$198:$F$275,0)),"")</f>
        <v/>
      </c>
      <c r="V151" s="99"/>
      <c r="W151" s="195" t="str">
        <f>IF(V151=Setup!$C$30,"Grant",IF(V151=Setup!$C$31,"Local",IF(V151=Setup!$C$32,"Other",IF(ISBLANK(V151),"","Other"))))</f>
        <v/>
      </c>
      <c r="X151" s="255"/>
      <c r="Y151" s="259" t="str">
        <f>IF(X151&lt;&gt;"",X151/VLOOKUP($V151,Setup!$C$30:$D$41,2,0),"")</f>
        <v/>
      </c>
      <c r="Z151" s="262"/>
      <c r="AA151" s="256" t="str">
        <f t="shared" si="72"/>
        <v/>
      </c>
      <c r="AB151" s="262"/>
      <c r="AC151" s="258" t="str">
        <f t="shared" si="73"/>
        <v/>
      </c>
      <c r="AD151" s="262"/>
      <c r="AE151" s="258" t="str">
        <f t="shared" si="74"/>
        <v/>
      </c>
      <c r="AF151" s="262"/>
      <c r="AG151" s="256" t="str">
        <f t="shared" si="75"/>
        <v/>
      </c>
      <c r="AH151" s="256" t="str">
        <f t="shared" si="76"/>
        <v/>
      </c>
      <c r="AI151" s="256" t="str">
        <f t="shared" si="77"/>
        <v/>
      </c>
      <c r="AJ151" s="111"/>
      <c r="AK151" s="255"/>
      <c r="AL151" s="259" t="str">
        <f>IF(AK151&lt;&gt;"",AK151/VLOOKUP($V151,Setup!$C$30:$D$41,2,0),"")</f>
        <v/>
      </c>
      <c r="AM151" s="266"/>
      <c r="AN151" s="258" t="str">
        <f t="shared" si="78"/>
        <v/>
      </c>
      <c r="AO151" s="266"/>
      <c r="AP151" s="258" t="str">
        <f t="shared" si="79"/>
        <v/>
      </c>
      <c r="AQ151" s="266"/>
      <c r="AR151" s="258" t="str">
        <f t="shared" si="80"/>
        <v/>
      </c>
      <c r="AS151" s="266"/>
      <c r="AT151" s="256" t="str">
        <f t="shared" si="81"/>
        <v/>
      </c>
      <c r="AU151" s="256" t="str">
        <f t="shared" si="82"/>
        <v/>
      </c>
      <c r="AV151" s="256" t="str">
        <f t="shared" si="83"/>
        <v/>
      </c>
      <c r="AW151" s="267"/>
      <c r="AX151" s="255"/>
      <c r="AY151" s="259" t="str">
        <f>IF(AX151&lt;&gt;"",AX151/VLOOKUP($V151,Setup!$C$30:$D$41,2,0),"")</f>
        <v/>
      </c>
      <c r="AZ151" s="268"/>
      <c r="BA151" s="258" t="str">
        <f t="shared" si="84"/>
        <v/>
      </c>
      <c r="BB151" s="268"/>
      <c r="BC151" s="258" t="str">
        <f t="shared" si="85"/>
        <v/>
      </c>
      <c r="BD151" s="268"/>
      <c r="BE151" s="258" t="str">
        <f t="shared" si="86"/>
        <v/>
      </c>
      <c r="BF151" s="268"/>
      <c r="BG151" s="256" t="str">
        <f t="shared" si="87"/>
        <v/>
      </c>
      <c r="BH151" s="256" t="str">
        <f t="shared" si="88"/>
        <v/>
      </c>
      <c r="BI151" s="256" t="str">
        <f t="shared" si="89"/>
        <v/>
      </c>
      <c r="BJ151" s="267"/>
      <c r="BK151" s="255"/>
      <c r="BL151" s="259" t="str">
        <f>IF(BK151&lt;&gt;"",BK151/VLOOKUP($V151,Setup!$C$30:$D$41,2,0),"")</f>
        <v/>
      </c>
      <c r="BM151" s="268"/>
      <c r="BN151" s="258" t="str">
        <f t="shared" si="90"/>
        <v/>
      </c>
      <c r="BO151" s="268"/>
      <c r="BP151" s="258" t="str">
        <f t="shared" si="91"/>
        <v/>
      </c>
      <c r="BQ151" s="268"/>
      <c r="BR151" s="258" t="str">
        <f t="shared" si="92"/>
        <v/>
      </c>
      <c r="BS151" s="268"/>
      <c r="BT151" s="256" t="str">
        <f t="shared" si="93"/>
        <v/>
      </c>
      <c r="BU151" s="256" t="str">
        <f t="shared" si="94"/>
        <v/>
      </c>
      <c r="BV151" s="256" t="str">
        <f t="shared" si="95"/>
        <v/>
      </c>
      <c r="BW151" s="267"/>
      <c r="BX151" s="256" t="str">
        <f t="shared" si="96"/>
        <v/>
      </c>
      <c r="BY151" s="256" t="str">
        <f t="shared" si="97"/>
        <v/>
      </c>
      <c r="BZ151" s="281"/>
      <c r="CA151" s="282"/>
      <c r="CC151" s="112" t="str">
        <f t="shared" ca="1" si="98"/>
        <v/>
      </c>
      <c r="CF151" s="284"/>
      <c r="CG151" s="284"/>
      <c r="CH151" s="284"/>
      <c r="CI151" s="284"/>
      <c r="CL151" s="356" t="str">
        <f>IFERROR(VLOOKUP(C151,'Data Sheet'!$A$3:$B$26,2,FALSE),"")</f>
        <v/>
      </c>
    </row>
    <row r="152" spans="1:90" s="98" customFormat="1" ht="15.75" x14ac:dyDescent="0.2">
      <c r="A152" s="97"/>
      <c r="B152" s="105" t="str">
        <f t="shared" si="101"/>
        <v>--</v>
      </c>
      <c r="C152" s="276"/>
      <c r="D152" s="101" t="str">
        <f>IFERROR(IF(VLOOKUP(C152,'Data Sheet'!$A$3:$D$26,4,FALSE)=0,"",VLOOKUP(C152,'Data Sheet'!$A$3:$D$26,4,FALSE)),"")</f>
        <v/>
      </c>
      <c r="E152" s="279"/>
      <c r="F152" s="103" t="str">
        <f>IFERROR(IF(VLOOKUP(E152,'Data Sheet'!$C$29:$E$174,3,FALSE)=0,"",VLOOKUP(E152,'Data Sheet'!$C$29:$E$174,3,FALSE)),"")</f>
        <v/>
      </c>
      <c r="G152" s="106" t="str">
        <f t="shared" si="99"/>
        <v>-</v>
      </c>
      <c r="H152" s="273"/>
      <c r="I152" s="107"/>
      <c r="J152" s="249" t="e">
        <f t="shared" si="100"/>
        <v>#VALUE!</v>
      </c>
      <c r="K152" s="101" t="str">
        <f>IFERROR(INDEX('Data Sheet'!$C$198:$C$275,MATCH(I152,'Data Sheet'!$F$198:$F$275,0)),"")</f>
        <v/>
      </c>
      <c r="L152" s="250" t="str">
        <f>IFERROR(INDEX('Data Sheet'!$G$198:$G$275,MATCH(I152,'Data Sheet'!$F$198:$F$275,0)),"")</f>
        <v/>
      </c>
      <c r="M152" s="194"/>
      <c r="N152" s="248"/>
      <c r="O152" s="248"/>
      <c r="P152" s="108" t="str">
        <f>IFERROR(INDEX(Setup!$D$44:$D$70,MATCH(M152,Setup!$K$44:$K$70,0))&amp;"","")</f>
        <v/>
      </c>
      <c r="Q152" s="108" t="str">
        <f>IFERROR(INDEX(Setup!$E$44:$E$70,MATCH(M152,Setup!$K$44:$K$70,0))&amp;"","")</f>
        <v/>
      </c>
      <c r="R152" s="108" t="str">
        <f>IFERROR(INDEX(Setup!$L$44:$L$70,MATCH(M152,Setup!$K$44:$K$70,0))&amp;"","")</f>
        <v/>
      </c>
      <c r="S152" s="108" t="str">
        <f>Setup!$C$30</f>
        <v>USD</v>
      </c>
      <c r="T152" s="109" t="str">
        <f>IFERROR(INDEX('Data Sheet'!$B$198:$B$275,MATCH(I152,'Data Sheet'!$F$198:$F$275,0)),"")</f>
        <v/>
      </c>
      <c r="U152" s="110" t="str">
        <f>IFERROR(INDEX('Data Sheet'!$D$198:$D$275,MATCH(I152,'Data Sheet'!$F$198:$F$275,0)),"")</f>
        <v/>
      </c>
      <c r="V152" s="99"/>
      <c r="W152" s="195" t="str">
        <f>IF(V152=Setup!$C$30,"Grant",IF(V152=Setup!$C$31,"Local",IF(V152=Setup!$C$32,"Other",IF(ISBLANK(V152),"","Other"))))</f>
        <v/>
      </c>
      <c r="X152" s="255"/>
      <c r="Y152" s="259" t="str">
        <f>IF(X152&lt;&gt;"",X152/VLOOKUP($V152,Setup!$C$30:$D$41,2,0),"")</f>
        <v/>
      </c>
      <c r="Z152" s="262"/>
      <c r="AA152" s="256" t="str">
        <f t="shared" si="72"/>
        <v/>
      </c>
      <c r="AB152" s="262"/>
      <c r="AC152" s="258" t="str">
        <f t="shared" si="73"/>
        <v/>
      </c>
      <c r="AD152" s="262"/>
      <c r="AE152" s="258" t="str">
        <f t="shared" si="74"/>
        <v/>
      </c>
      <c r="AF152" s="262"/>
      <c r="AG152" s="256" t="str">
        <f t="shared" si="75"/>
        <v/>
      </c>
      <c r="AH152" s="256" t="str">
        <f t="shared" si="76"/>
        <v/>
      </c>
      <c r="AI152" s="256" t="str">
        <f t="shared" si="77"/>
        <v/>
      </c>
      <c r="AJ152" s="111"/>
      <c r="AK152" s="255"/>
      <c r="AL152" s="259" t="str">
        <f>IF(AK152&lt;&gt;"",AK152/VLOOKUP($V152,Setup!$C$30:$D$41,2,0),"")</f>
        <v/>
      </c>
      <c r="AM152" s="266"/>
      <c r="AN152" s="258" t="str">
        <f t="shared" si="78"/>
        <v/>
      </c>
      <c r="AO152" s="266"/>
      <c r="AP152" s="258" t="str">
        <f t="shared" si="79"/>
        <v/>
      </c>
      <c r="AQ152" s="266"/>
      <c r="AR152" s="258" t="str">
        <f t="shared" si="80"/>
        <v/>
      </c>
      <c r="AS152" s="266"/>
      <c r="AT152" s="256" t="str">
        <f t="shared" si="81"/>
        <v/>
      </c>
      <c r="AU152" s="256" t="str">
        <f t="shared" si="82"/>
        <v/>
      </c>
      <c r="AV152" s="256" t="str">
        <f t="shared" si="83"/>
        <v/>
      </c>
      <c r="AW152" s="267"/>
      <c r="AX152" s="255"/>
      <c r="AY152" s="259" t="str">
        <f>IF(AX152&lt;&gt;"",AX152/VLOOKUP($V152,Setup!$C$30:$D$41,2,0),"")</f>
        <v/>
      </c>
      <c r="AZ152" s="268"/>
      <c r="BA152" s="258" t="str">
        <f t="shared" si="84"/>
        <v/>
      </c>
      <c r="BB152" s="268"/>
      <c r="BC152" s="258" t="str">
        <f t="shared" si="85"/>
        <v/>
      </c>
      <c r="BD152" s="268"/>
      <c r="BE152" s="258" t="str">
        <f t="shared" si="86"/>
        <v/>
      </c>
      <c r="BF152" s="268"/>
      <c r="BG152" s="256" t="str">
        <f t="shared" si="87"/>
        <v/>
      </c>
      <c r="BH152" s="256" t="str">
        <f t="shared" si="88"/>
        <v/>
      </c>
      <c r="BI152" s="256" t="str">
        <f t="shared" si="89"/>
        <v/>
      </c>
      <c r="BJ152" s="267"/>
      <c r="BK152" s="255"/>
      <c r="BL152" s="259" t="str">
        <f>IF(BK152&lt;&gt;"",BK152/VLOOKUP($V152,Setup!$C$30:$D$41,2,0),"")</f>
        <v/>
      </c>
      <c r="BM152" s="268"/>
      <c r="BN152" s="258" t="str">
        <f t="shared" si="90"/>
        <v/>
      </c>
      <c r="BO152" s="268"/>
      <c r="BP152" s="258" t="str">
        <f t="shared" si="91"/>
        <v/>
      </c>
      <c r="BQ152" s="268"/>
      <c r="BR152" s="258" t="str">
        <f t="shared" si="92"/>
        <v/>
      </c>
      <c r="BS152" s="268"/>
      <c r="BT152" s="256" t="str">
        <f t="shared" si="93"/>
        <v/>
      </c>
      <c r="BU152" s="256" t="str">
        <f t="shared" si="94"/>
        <v/>
      </c>
      <c r="BV152" s="256" t="str">
        <f t="shared" si="95"/>
        <v/>
      </c>
      <c r="BW152" s="267"/>
      <c r="BX152" s="256" t="str">
        <f t="shared" si="96"/>
        <v/>
      </c>
      <c r="BY152" s="256" t="str">
        <f t="shared" si="97"/>
        <v/>
      </c>
      <c r="BZ152" s="281"/>
      <c r="CA152" s="282"/>
      <c r="CC152" s="112" t="str">
        <f t="shared" ca="1" si="98"/>
        <v/>
      </c>
      <c r="CF152" s="284"/>
      <c r="CG152" s="284"/>
      <c r="CH152" s="284"/>
      <c r="CI152" s="284"/>
      <c r="CL152" s="356" t="str">
        <f>IFERROR(VLOOKUP(C152,'Data Sheet'!$A$3:$B$26,2,FALSE),"")</f>
        <v/>
      </c>
    </row>
    <row r="153" spans="1:90" s="98" customFormat="1" ht="15.75" x14ac:dyDescent="0.2">
      <c r="A153" s="97"/>
      <c r="B153" s="105" t="str">
        <f t="shared" si="101"/>
        <v>--</v>
      </c>
      <c r="C153" s="276"/>
      <c r="D153" s="101" t="str">
        <f>IFERROR(IF(VLOOKUP(C153,'Data Sheet'!$A$3:$D$26,4,FALSE)=0,"",VLOOKUP(C153,'Data Sheet'!$A$3:$D$26,4,FALSE)),"")</f>
        <v/>
      </c>
      <c r="E153" s="279"/>
      <c r="F153" s="103" t="str">
        <f>IFERROR(IF(VLOOKUP(E153,'Data Sheet'!$C$29:$E$174,3,FALSE)=0,"",VLOOKUP(E153,'Data Sheet'!$C$29:$E$174,3,FALSE)),"")</f>
        <v/>
      </c>
      <c r="G153" s="106" t="str">
        <f t="shared" si="99"/>
        <v>-</v>
      </c>
      <c r="H153" s="273"/>
      <c r="I153" s="107"/>
      <c r="J153" s="249" t="e">
        <f t="shared" si="100"/>
        <v>#VALUE!</v>
      </c>
      <c r="K153" s="101" t="str">
        <f>IFERROR(INDEX('Data Sheet'!$C$198:$C$275,MATCH(I153,'Data Sheet'!$F$198:$F$275,0)),"")</f>
        <v/>
      </c>
      <c r="L153" s="250" t="str">
        <f>IFERROR(INDEX('Data Sheet'!$G$198:$G$275,MATCH(I153,'Data Sheet'!$F$198:$F$275,0)),"")</f>
        <v/>
      </c>
      <c r="M153" s="194"/>
      <c r="N153" s="248"/>
      <c r="O153" s="248"/>
      <c r="P153" s="108" t="str">
        <f>IFERROR(INDEX(Setup!$D$44:$D$70,MATCH(M153,Setup!$K$44:$K$70,0))&amp;"","")</f>
        <v/>
      </c>
      <c r="Q153" s="108" t="str">
        <f>IFERROR(INDEX(Setup!$E$44:$E$70,MATCH(M153,Setup!$K$44:$K$70,0))&amp;"","")</f>
        <v/>
      </c>
      <c r="R153" s="108" t="str">
        <f>IFERROR(INDEX(Setup!$L$44:$L$70,MATCH(M153,Setup!$K$44:$K$70,0))&amp;"","")</f>
        <v/>
      </c>
      <c r="S153" s="108" t="str">
        <f>Setup!$C$30</f>
        <v>USD</v>
      </c>
      <c r="T153" s="109" t="str">
        <f>IFERROR(INDEX('Data Sheet'!$B$198:$B$275,MATCH(I153,'Data Sheet'!$F$198:$F$275,0)),"")</f>
        <v/>
      </c>
      <c r="U153" s="110" t="str">
        <f>IFERROR(INDEX('Data Sheet'!$D$198:$D$275,MATCH(I153,'Data Sheet'!$F$198:$F$275,0)),"")</f>
        <v/>
      </c>
      <c r="V153" s="99"/>
      <c r="W153" s="195" t="str">
        <f>IF(V153=Setup!$C$30,"Grant",IF(V153=Setup!$C$31,"Local",IF(V153=Setup!$C$32,"Other",IF(ISBLANK(V153),"","Other"))))</f>
        <v/>
      </c>
      <c r="X153" s="255"/>
      <c r="Y153" s="259" t="str">
        <f>IF(X153&lt;&gt;"",X153/VLOOKUP($V153,Setup!$C$30:$D$41,2,0),"")</f>
        <v/>
      </c>
      <c r="Z153" s="262"/>
      <c r="AA153" s="256" t="str">
        <f t="shared" si="72"/>
        <v/>
      </c>
      <c r="AB153" s="262"/>
      <c r="AC153" s="258" t="str">
        <f t="shared" si="73"/>
        <v/>
      </c>
      <c r="AD153" s="262"/>
      <c r="AE153" s="258" t="str">
        <f t="shared" si="74"/>
        <v/>
      </c>
      <c r="AF153" s="262"/>
      <c r="AG153" s="256" t="str">
        <f t="shared" si="75"/>
        <v/>
      </c>
      <c r="AH153" s="256" t="str">
        <f t="shared" si="76"/>
        <v/>
      </c>
      <c r="AI153" s="256" t="str">
        <f t="shared" si="77"/>
        <v/>
      </c>
      <c r="AJ153" s="111"/>
      <c r="AK153" s="255"/>
      <c r="AL153" s="259" t="str">
        <f>IF(AK153&lt;&gt;"",AK153/VLOOKUP($V153,Setup!$C$30:$D$41,2,0),"")</f>
        <v/>
      </c>
      <c r="AM153" s="266"/>
      <c r="AN153" s="258" t="str">
        <f t="shared" si="78"/>
        <v/>
      </c>
      <c r="AO153" s="266"/>
      <c r="AP153" s="258" t="str">
        <f t="shared" si="79"/>
        <v/>
      </c>
      <c r="AQ153" s="266"/>
      <c r="AR153" s="258" t="str">
        <f t="shared" si="80"/>
        <v/>
      </c>
      <c r="AS153" s="266"/>
      <c r="AT153" s="256" t="str">
        <f t="shared" si="81"/>
        <v/>
      </c>
      <c r="AU153" s="256" t="str">
        <f t="shared" si="82"/>
        <v/>
      </c>
      <c r="AV153" s="256" t="str">
        <f t="shared" si="83"/>
        <v/>
      </c>
      <c r="AW153" s="267"/>
      <c r="AX153" s="255"/>
      <c r="AY153" s="259" t="str">
        <f>IF(AX153&lt;&gt;"",AX153/VLOOKUP($V153,Setup!$C$30:$D$41,2,0),"")</f>
        <v/>
      </c>
      <c r="AZ153" s="268"/>
      <c r="BA153" s="258" t="str">
        <f t="shared" si="84"/>
        <v/>
      </c>
      <c r="BB153" s="268"/>
      <c r="BC153" s="258" t="str">
        <f t="shared" si="85"/>
        <v/>
      </c>
      <c r="BD153" s="268"/>
      <c r="BE153" s="258" t="str">
        <f t="shared" si="86"/>
        <v/>
      </c>
      <c r="BF153" s="268"/>
      <c r="BG153" s="256" t="str">
        <f t="shared" si="87"/>
        <v/>
      </c>
      <c r="BH153" s="256" t="str">
        <f t="shared" si="88"/>
        <v/>
      </c>
      <c r="BI153" s="256" t="str">
        <f t="shared" si="89"/>
        <v/>
      </c>
      <c r="BJ153" s="267"/>
      <c r="BK153" s="255"/>
      <c r="BL153" s="259" t="str">
        <f>IF(BK153&lt;&gt;"",BK153/VLOOKUP($V153,Setup!$C$30:$D$41,2,0),"")</f>
        <v/>
      </c>
      <c r="BM153" s="268"/>
      <c r="BN153" s="258" t="str">
        <f t="shared" si="90"/>
        <v/>
      </c>
      <c r="BO153" s="268"/>
      <c r="BP153" s="258" t="str">
        <f t="shared" si="91"/>
        <v/>
      </c>
      <c r="BQ153" s="268"/>
      <c r="BR153" s="258" t="str">
        <f t="shared" si="92"/>
        <v/>
      </c>
      <c r="BS153" s="268"/>
      <c r="BT153" s="256" t="str">
        <f t="shared" si="93"/>
        <v/>
      </c>
      <c r="BU153" s="256" t="str">
        <f t="shared" si="94"/>
        <v/>
      </c>
      <c r="BV153" s="256" t="str">
        <f t="shared" si="95"/>
        <v/>
      </c>
      <c r="BW153" s="267"/>
      <c r="BX153" s="256" t="str">
        <f t="shared" si="96"/>
        <v/>
      </c>
      <c r="BY153" s="256" t="str">
        <f t="shared" si="97"/>
        <v/>
      </c>
      <c r="BZ153" s="281"/>
      <c r="CA153" s="282"/>
      <c r="CC153" s="112" t="str">
        <f t="shared" ca="1" si="98"/>
        <v/>
      </c>
      <c r="CF153" s="284"/>
      <c r="CG153" s="284"/>
      <c r="CH153" s="284"/>
      <c r="CI153" s="284"/>
      <c r="CL153" s="356" t="str">
        <f>IFERROR(VLOOKUP(C153,'Data Sheet'!$A$3:$B$26,2,FALSE),"")</f>
        <v/>
      </c>
    </row>
    <row r="154" spans="1:90" s="98" customFormat="1" ht="15.75" x14ac:dyDescent="0.2">
      <c r="A154" s="97"/>
      <c r="B154" s="105" t="str">
        <f t="shared" si="101"/>
        <v>--</v>
      </c>
      <c r="C154" s="276"/>
      <c r="D154" s="101" t="str">
        <f>IFERROR(IF(VLOOKUP(C154,'Data Sheet'!$A$3:$D$26,4,FALSE)=0,"",VLOOKUP(C154,'Data Sheet'!$A$3:$D$26,4,FALSE)),"")</f>
        <v/>
      </c>
      <c r="E154" s="279"/>
      <c r="F154" s="103" t="str">
        <f>IFERROR(IF(VLOOKUP(E154,'Data Sheet'!$C$29:$E$174,3,FALSE)=0,"",VLOOKUP(E154,'Data Sheet'!$C$29:$E$174,3,FALSE)),"")</f>
        <v/>
      </c>
      <c r="G154" s="106" t="str">
        <f t="shared" si="99"/>
        <v>-</v>
      </c>
      <c r="H154" s="273"/>
      <c r="I154" s="107"/>
      <c r="J154" s="249" t="e">
        <f t="shared" si="100"/>
        <v>#VALUE!</v>
      </c>
      <c r="K154" s="101" t="str">
        <f>IFERROR(INDEX('Data Sheet'!$C$198:$C$275,MATCH(I154,'Data Sheet'!$F$198:$F$275,0)),"")</f>
        <v/>
      </c>
      <c r="L154" s="250" t="str">
        <f>IFERROR(INDEX('Data Sheet'!$G$198:$G$275,MATCH(I154,'Data Sheet'!$F$198:$F$275,0)),"")</f>
        <v/>
      </c>
      <c r="M154" s="194"/>
      <c r="N154" s="248"/>
      <c r="O154" s="248"/>
      <c r="P154" s="108" t="str">
        <f>IFERROR(INDEX(Setup!$D$44:$D$70,MATCH(M154,Setup!$K$44:$K$70,0))&amp;"","")</f>
        <v/>
      </c>
      <c r="Q154" s="108" t="str">
        <f>IFERROR(INDEX(Setup!$E$44:$E$70,MATCH(M154,Setup!$K$44:$K$70,0))&amp;"","")</f>
        <v/>
      </c>
      <c r="R154" s="108" t="str">
        <f>IFERROR(INDEX(Setup!$L$44:$L$70,MATCH(M154,Setup!$K$44:$K$70,0))&amp;"","")</f>
        <v/>
      </c>
      <c r="S154" s="108" t="str">
        <f>Setup!$C$30</f>
        <v>USD</v>
      </c>
      <c r="T154" s="109" t="str">
        <f>IFERROR(INDEX('Data Sheet'!$B$198:$B$275,MATCH(I154,'Data Sheet'!$F$198:$F$275,0)),"")</f>
        <v/>
      </c>
      <c r="U154" s="110" t="str">
        <f>IFERROR(INDEX('Data Sheet'!$D$198:$D$275,MATCH(I154,'Data Sheet'!$F$198:$F$275,0)),"")</f>
        <v/>
      </c>
      <c r="V154" s="99"/>
      <c r="W154" s="195" t="str">
        <f>IF(V154=Setup!$C$30,"Grant",IF(V154=Setup!$C$31,"Local",IF(V154=Setup!$C$32,"Other",IF(ISBLANK(V154),"","Other"))))</f>
        <v/>
      </c>
      <c r="X154" s="255"/>
      <c r="Y154" s="259" t="str">
        <f>IF(X154&lt;&gt;"",X154/VLOOKUP($V154,Setup!$C$30:$D$41,2,0),"")</f>
        <v/>
      </c>
      <c r="Z154" s="262"/>
      <c r="AA154" s="256" t="str">
        <f t="shared" si="72"/>
        <v/>
      </c>
      <c r="AB154" s="262"/>
      <c r="AC154" s="258" t="str">
        <f t="shared" si="73"/>
        <v/>
      </c>
      <c r="AD154" s="262"/>
      <c r="AE154" s="258" t="str">
        <f t="shared" si="74"/>
        <v/>
      </c>
      <c r="AF154" s="262"/>
      <c r="AG154" s="256" t="str">
        <f t="shared" si="75"/>
        <v/>
      </c>
      <c r="AH154" s="256" t="str">
        <f t="shared" si="76"/>
        <v/>
      </c>
      <c r="AI154" s="256" t="str">
        <f t="shared" si="77"/>
        <v/>
      </c>
      <c r="AJ154" s="111"/>
      <c r="AK154" s="255"/>
      <c r="AL154" s="259" t="str">
        <f>IF(AK154&lt;&gt;"",AK154/VLOOKUP($V154,Setup!$C$30:$D$41,2,0),"")</f>
        <v/>
      </c>
      <c r="AM154" s="266"/>
      <c r="AN154" s="258" t="str">
        <f t="shared" si="78"/>
        <v/>
      </c>
      <c r="AO154" s="266"/>
      <c r="AP154" s="258" t="str">
        <f t="shared" si="79"/>
        <v/>
      </c>
      <c r="AQ154" s="266"/>
      <c r="AR154" s="258" t="str">
        <f t="shared" si="80"/>
        <v/>
      </c>
      <c r="AS154" s="266"/>
      <c r="AT154" s="256" t="str">
        <f t="shared" si="81"/>
        <v/>
      </c>
      <c r="AU154" s="256" t="str">
        <f t="shared" si="82"/>
        <v/>
      </c>
      <c r="AV154" s="256" t="str">
        <f t="shared" si="83"/>
        <v/>
      </c>
      <c r="AW154" s="267"/>
      <c r="AX154" s="255"/>
      <c r="AY154" s="259" t="str">
        <f>IF(AX154&lt;&gt;"",AX154/VLOOKUP($V154,Setup!$C$30:$D$41,2,0),"")</f>
        <v/>
      </c>
      <c r="AZ154" s="268"/>
      <c r="BA154" s="258" t="str">
        <f t="shared" si="84"/>
        <v/>
      </c>
      <c r="BB154" s="268"/>
      <c r="BC154" s="258" t="str">
        <f t="shared" si="85"/>
        <v/>
      </c>
      <c r="BD154" s="268"/>
      <c r="BE154" s="258" t="str">
        <f t="shared" si="86"/>
        <v/>
      </c>
      <c r="BF154" s="268"/>
      <c r="BG154" s="256" t="str">
        <f t="shared" si="87"/>
        <v/>
      </c>
      <c r="BH154" s="256" t="str">
        <f t="shared" si="88"/>
        <v/>
      </c>
      <c r="BI154" s="256" t="str">
        <f t="shared" si="89"/>
        <v/>
      </c>
      <c r="BJ154" s="267"/>
      <c r="BK154" s="255"/>
      <c r="BL154" s="259" t="str">
        <f>IF(BK154&lt;&gt;"",BK154/VLOOKUP($V154,Setup!$C$30:$D$41,2,0),"")</f>
        <v/>
      </c>
      <c r="BM154" s="268"/>
      <c r="BN154" s="258" t="str">
        <f t="shared" si="90"/>
        <v/>
      </c>
      <c r="BO154" s="268"/>
      <c r="BP154" s="258" t="str">
        <f t="shared" si="91"/>
        <v/>
      </c>
      <c r="BQ154" s="268"/>
      <c r="BR154" s="258" t="str">
        <f t="shared" si="92"/>
        <v/>
      </c>
      <c r="BS154" s="268"/>
      <c r="BT154" s="256" t="str">
        <f t="shared" si="93"/>
        <v/>
      </c>
      <c r="BU154" s="256" t="str">
        <f t="shared" si="94"/>
        <v/>
      </c>
      <c r="BV154" s="256" t="str">
        <f t="shared" si="95"/>
        <v/>
      </c>
      <c r="BW154" s="267"/>
      <c r="BX154" s="256" t="str">
        <f t="shared" si="96"/>
        <v/>
      </c>
      <c r="BY154" s="256" t="str">
        <f t="shared" si="97"/>
        <v/>
      </c>
      <c r="BZ154" s="281"/>
      <c r="CA154" s="282"/>
      <c r="CC154" s="112" t="str">
        <f t="shared" ca="1" si="98"/>
        <v/>
      </c>
      <c r="CF154" s="284"/>
      <c r="CG154" s="284"/>
      <c r="CH154" s="284"/>
      <c r="CI154" s="284"/>
      <c r="CL154" s="356" t="str">
        <f>IFERROR(VLOOKUP(C154,'Data Sheet'!$A$3:$B$26,2,FALSE),"")</f>
        <v/>
      </c>
    </row>
    <row r="155" spans="1:90" s="98" customFormat="1" ht="15.75" x14ac:dyDescent="0.2">
      <c r="A155" s="97"/>
      <c r="B155" s="105" t="str">
        <f t="shared" si="101"/>
        <v>--</v>
      </c>
      <c r="C155" s="276"/>
      <c r="D155" s="101" t="str">
        <f>IFERROR(IF(VLOOKUP(C155,'Data Sheet'!$A$3:$D$26,4,FALSE)=0,"",VLOOKUP(C155,'Data Sheet'!$A$3:$D$26,4,FALSE)),"")</f>
        <v/>
      </c>
      <c r="E155" s="279"/>
      <c r="F155" s="103" t="str">
        <f>IFERROR(IF(VLOOKUP(E155,'Data Sheet'!$C$29:$E$174,3,FALSE)=0,"",VLOOKUP(E155,'Data Sheet'!$C$29:$E$174,3,FALSE)),"")</f>
        <v/>
      </c>
      <c r="G155" s="106" t="str">
        <f t="shared" si="99"/>
        <v>-</v>
      </c>
      <c r="H155" s="273"/>
      <c r="I155" s="107"/>
      <c r="J155" s="249" t="e">
        <f t="shared" si="100"/>
        <v>#VALUE!</v>
      </c>
      <c r="K155" s="101" t="str">
        <f>IFERROR(INDEX('Data Sheet'!$C$198:$C$275,MATCH(I155,'Data Sheet'!$F$198:$F$275,0)),"")</f>
        <v/>
      </c>
      <c r="L155" s="250" t="str">
        <f>IFERROR(INDEX('Data Sheet'!$G$198:$G$275,MATCH(I155,'Data Sheet'!$F$198:$F$275,0)),"")</f>
        <v/>
      </c>
      <c r="M155" s="194"/>
      <c r="N155" s="248"/>
      <c r="O155" s="248"/>
      <c r="P155" s="108" t="str">
        <f>IFERROR(INDEX(Setup!$D$44:$D$70,MATCH(M155,Setup!$K$44:$K$70,0))&amp;"","")</f>
        <v/>
      </c>
      <c r="Q155" s="108" t="str">
        <f>IFERROR(INDEX(Setup!$E$44:$E$70,MATCH(M155,Setup!$K$44:$K$70,0))&amp;"","")</f>
        <v/>
      </c>
      <c r="R155" s="108" t="str">
        <f>IFERROR(INDEX(Setup!$L$44:$L$70,MATCH(M155,Setup!$K$44:$K$70,0))&amp;"","")</f>
        <v/>
      </c>
      <c r="S155" s="108" t="str">
        <f>Setup!$C$30</f>
        <v>USD</v>
      </c>
      <c r="T155" s="109" t="str">
        <f>IFERROR(INDEX('Data Sheet'!$B$198:$B$275,MATCH(I155,'Data Sheet'!$F$198:$F$275,0)),"")</f>
        <v/>
      </c>
      <c r="U155" s="110" t="str">
        <f>IFERROR(INDEX('Data Sheet'!$D$198:$D$275,MATCH(I155,'Data Sheet'!$F$198:$F$275,0)),"")</f>
        <v/>
      </c>
      <c r="V155" s="99"/>
      <c r="W155" s="195" t="str">
        <f>IF(V155=Setup!$C$30,"Grant",IF(V155=Setup!$C$31,"Local",IF(V155=Setup!$C$32,"Other",IF(ISBLANK(V155),"","Other"))))</f>
        <v/>
      </c>
      <c r="X155" s="255"/>
      <c r="Y155" s="259" t="str">
        <f>IF(X155&lt;&gt;"",X155/VLOOKUP($V155,Setup!$C$30:$D$41,2,0),"")</f>
        <v/>
      </c>
      <c r="Z155" s="262"/>
      <c r="AA155" s="256" t="str">
        <f t="shared" si="72"/>
        <v/>
      </c>
      <c r="AB155" s="262"/>
      <c r="AC155" s="258" t="str">
        <f t="shared" si="73"/>
        <v/>
      </c>
      <c r="AD155" s="262"/>
      <c r="AE155" s="258" t="str">
        <f t="shared" si="74"/>
        <v/>
      </c>
      <c r="AF155" s="262"/>
      <c r="AG155" s="256" t="str">
        <f t="shared" si="75"/>
        <v/>
      </c>
      <c r="AH155" s="256" t="str">
        <f t="shared" si="76"/>
        <v/>
      </c>
      <c r="AI155" s="256" t="str">
        <f t="shared" si="77"/>
        <v/>
      </c>
      <c r="AJ155" s="111"/>
      <c r="AK155" s="255"/>
      <c r="AL155" s="259" t="str">
        <f>IF(AK155&lt;&gt;"",AK155/VLOOKUP($V155,Setup!$C$30:$D$41,2,0),"")</f>
        <v/>
      </c>
      <c r="AM155" s="266"/>
      <c r="AN155" s="258" t="str">
        <f t="shared" si="78"/>
        <v/>
      </c>
      <c r="AO155" s="266"/>
      <c r="AP155" s="258" t="str">
        <f t="shared" si="79"/>
        <v/>
      </c>
      <c r="AQ155" s="266"/>
      <c r="AR155" s="258" t="str">
        <f t="shared" si="80"/>
        <v/>
      </c>
      <c r="AS155" s="266"/>
      <c r="AT155" s="256" t="str">
        <f t="shared" si="81"/>
        <v/>
      </c>
      <c r="AU155" s="256" t="str">
        <f t="shared" si="82"/>
        <v/>
      </c>
      <c r="AV155" s="256" t="str">
        <f t="shared" si="83"/>
        <v/>
      </c>
      <c r="AW155" s="267"/>
      <c r="AX155" s="255"/>
      <c r="AY155" s="259" t="str">
        <f>IF(AX155&lt;&gt;"",AX155/VLOOKUP($V155,Setup!$C$30:$D$41,2,0),"")</f>
        <v/>
      </c>
      <c r="AZ155" s="268"/>
      <c r="BA155" s="258" t="str">
        <f t="shared" si="84"/>
        <v/>
      </c>
      <c r="BB155" s="268"/>
      <c r="BC155" s="258" t="str">
        <f t="shared" si="85"/>
        <v/>
      </c>
      <c r="BD155" s="268"/>
      <c r="BE155" s="258" t="str">
        <f t="shared" si="86"/>
        <v/>
      </c>
      <c r="BF155" s="268"/>
      <c r="BG155" s="256" t="str">
        <f t="shared" si="87"/>
        <v/>
      </c>
      <c r="BH155" s="256" t="str">
        <f t="shared" si="88"/>
        <v/>
      </c>
      <c r="BI155" s="256" t="str">
        <f t="shared" si="89"/>
        <v/>
      </c>
      <c r="BJ155" s="267"/>
      <c r="BK155" s="255"/>
      <c r="BL155" s="259" t="str">
        <f>IF(BK155&lt;&gt;"",BK155/VLOOKUP($V155,Setup!$C$30:$D$41,2,0),"")</f>
        <v/>
      </c>
      <c r="BM155" s="268"/>
      <c r="BN155" s="258" t="str">
        <f t="shared" si="90"/>
        <v/>
      </c>
      <c r="BO155" s="268"/>
      <c r="BP155" s="258" t="str">
        <f t="shared" si="91"/>
        <v/>
      </c>
      <c r="BQ155" s="268"/>
      <c r="BR155" s="258" t="str">
        <f t="shared" si="92"/>
        <v/>
      </c>
      <c r="BS155" s="268"/>
      <c r="BT155" s="256" t="str">
        <f t="shared" si="93"/>
        <v/>
      </c>
      <c r="BU155" s="256" t="str">
        <f t="shared" si="94"/>
        <v/>
      </c>
      <c r="BV155" s="256" t="str">
        <f t="shared" si="95"/>
        <v/>
      </c>
      <c r="BW155" s="267"/>
      <c r="BX155" s="256" t="str">
        <f t="shared" si="96"/>
        <v/>
      </c>
      <c r="BY155" s="256" t="str">
        <f t="shared" si="97"/>
        <v/>
      </c>
      <c r="BZ155" s="281"/>
      <c r="CA155" s="282"/>
      <c r="CC155" s="112" t="str">
        <f t="shared" ca="1" si="98"/>
        <v/>
      </c>
      <c r="CF155" s="284"/>
      <c r="CG155" s="284"/>
      <c r="CH155" s="284"/>
      <c r="CI155" s="284"/>
      <c r="CL155" s="356" t="str">
        <f>IFERROR(VLOOKUP(C155,'Data Sheet'!$A$3:$B$26,2,FALSE),"")</f>
        <v/>
      </c>
    </row>
    <row r="156" spans="1:90" s="98" customFormat="1" ht="15.75" x14ac:dyDescent="0.2">
      <c r="A156" s="97"/>
      <c r="B156" s="105" t="str">
        <f t="shared" si="101"/>
        <v>--</v>
      </c>
      <c r="C156" s="276"/>
      <c r="D156" s="101" t="str">
        <f>IFERROR(IF(VLOOKUP(C156,'Data Sheet'!$A$3:$D$26,4,FALSE)=0,"",VLOOKUP(C156,'Data Sheet'!$A$3:$D$26,4,FALSE)),"")</f>
        <v/>
      </c>
      <c r="E156" s="279"/>
      <c r="F156" s="103" t="str">
        <f>IFERROR(IF(VLOOKUP(E156,'Data Sheet'!$C$29:$E$174,3,FALSE)=0,"",VLOOKUP(E156,'Data Sheet'!$C$29:$E$174,3,FALSE)),"")</f>
        <v/>
      </c>
      <c r="G156" s="106" t="str">
        <f t="shared" si="99"/>
        <v>-</v>
      </c>
      <c r="H156" s="273"/>
      <c r="I156" s="107"/>
      <c r="J156" s="249" t="e">
        <f t="shared" si="100"/>
        <v>#VALUE!</v>
      </c>
      <c r="K156" s="101" t="str">
        <f>IFERROR(INDEX('Data Sheet'!$C$198:$C$275,MATCH(I156,'Data Sheet'!$F$198:$F$275,0)),"")</f>
        <v/>
      </c>
      <c r="L156" s="250" t="str">
        <f>IFERROR(INDEX('Data Sheet'!$G$198:$G$275,MATCH(I156,'Data Sheet'!$F$198:$F$275,0)),"")</f>
        <v/>
      </c>
      <c r="M156" s="194"/>
      <c r="N156" s="248"/>
      <c r="O156" s="248"/>
      <c r="P156" s="108" t="str">
        <f>IFERROR(INDEX(Setup!$D$44:$D$70,MATCH(M156,Setup!$K$44:$K$70,0))&amp;"","")</f>
        <v/>
      </c>
      <c r="Q156" s="108" t="str">
        <f>IFERROR(INDEX(Setup!$E$44:$E$70,MATCH(M156,Setup!$K$44:$K$70,0))&amp;"","")</f>
        <v/>
      </c>
      <c r="R156" s="108" t="str">
        <f>IFERROR(INDEX(Setup!$L$44:$L$70,MATCH(M156,Setup!$K$44:$K$70,0))&amp;"","")</f>
        <v/>
      </c>
      <c r="S156" s="108" t="str">
        <f>Setup!$C$30</f>
        <v>USD</v>
      </c>
      <c r="T156" s="109" t="str">
        <f>IFERROR(INDEX('Data Sheet'!$B$198:$B$275,MATCH(I156,'Data Sheet'!$F$198:$F$275,0)),"")</f>
        <v/>
      </c>
      <c r="U156" s="110" t="str">
        <f>IFERROR(INDEX('Data Sheet'!$D$198:$D$275,MATCH(I156,'Data Sheet'!$F$198:$F$275,0)),"")</f>
        <v/>
      </c>
      <c r="V156" s="99"/>
      <c r="W156" s="195" t="str">
        <f>IF(V156=Setup!$C$30,"Grant",IF(V156=Setup!$C$31,"Local",IF(V156=Setup!$C$32,"Other",IF(ISBLANK(V156),"","Other"))))</f>
        <v/>
      </c>
      <c r="X156" s="255"/>
      <c r="Y156" s="259" t="str">
        <f>IF(X156&lt;&gt;"",X156/VLOOKUP($V156,Setup!$C$30:$D$41,2,0),"")</f>
        <v/>
      </c>
      <c r="Z156" s="262"/>
      <c r="AA156" s="256" t="str">
        <f t="shared" si="72"/>
        <v/>
      </c>
      <c r="AB156" s="262"/>
      <c r="AC156" s="258" t="str">
        <f t="shared" si="73"/>
        <v/>
      </c>
      <c r="AD156" s="262"/>
      <c r="AE156" s="258" t="str">
        <f t="shared" si="74"/>
        <v/>
      </c>
      <c r="AF156" s="262"/>
      <c r="AG156" s="256" t="str">
        <f t="shared" si="75"/>
        <v/>
      </c>
      <c r="AH156" s="256" t="str">
        <f t="shared" si="76"/>
        <v/>
      </c>
      <c r="AI156" s="256" t="str">
        <f t="shared" si="77"/>
        <v/>
      </c>
      <c r="AJ156" s="111"/>
      <c r="AK156" s="255"/>
      <c r="AL156" s="259" t="str">
        <f>IF(AK156&lt;&gt;"",AK156/VLOOKUP($V156,Setup!$C$30:$D$41,2,0),"")</f>
        <v/>
      </c>
      <c r="AM156" s="266"/>
      <c r="AN156" s="258" t="str">
        <f t="shared" si="78"/>
        <v/>
      </c>
      <c r="AO156" s="266"/>
      <c r="AP156" s="258" t="str">
        <f t="shared" si="79"/>
        <v/>
      </c>
      <c r="AQ156" s="266"/>
      <c r="AR156" s="258" t="str">
        <f t="shared" si="80"/>
        <v/>
      </c>
      <c r="AS156" s="266"/>
      <c r="AT156" s="256" t="str">
        <f t="shared" si="81"/>
        <v/>
      </c>
      <c r="AU156" s="256" t="str">
        <f t="shared" si="82"/>
        <v/>
      </c>
      <c r="AV156" s="256" t="str">
        <f t="shared" si="83"/>
        <v/>
      </c>
      <c r="AW156" s="267"/>
      <c r="AX156" s="255"/>
      <c r="AY156" s="259" t="str">
        <f>IF(AX156&lt;&gt;"",AX156/VLOOKUP($V156,Setup!$C$30:$D$41,2,0),"")</f>
        <v/>
      </c>
      <c r="AZ156" s="268"/>
      <c r="BA156" s="258" t="str">
        <f t="shared" si="84"/>
        <v/>
      </c>
      <c r="BB156" s="268"/>
      <c r="BC156" s="258" t="str">
        <f t="shared" si="85"/>
        <v/>
      </c>
      <c r="BD156" s="268"/>
      <c r="BE156" s="258" t="str">
        <f t="shared" si="86"/>
        <v/>
      </c>
      <c r="BF156" s="268"/>
      <c r="BG156" s="256" t="str">
        <f t="shared" si="87"/>
        <v/>
      </c>
      <c r="BH156" s="256" t="str">
        <f t="shared" si="88"/>
        <v/>
      </c>
      <c r="BI156" s="256" t="str">
        <f t="shared" si="89"/>
        <v/>
      </c>
      <c r="BJ156" s="267"/>
      <c r="BK156" s="255"/>
      <c r="BL156" s="259" t="str">
        <f>IF(BK156&lt;&gt;"",BK156/VLOOKUP($V156,Setup!$C$30:$D$41,2,0),"")</f>
        <v/>
      </c>
      <c r="BM156" s="268"/>
      <c r="BN156" s="258" t="str">
        <f t="shared" si="90"/>
        <v/>
      </c>
      <c r="BO156" s="268"/>
      <c r="BP156" s="258" t="str">
        <f t="shared" si="91"/>
        <v/>
      </c>
      <c r="BQ156" s="268"/>
      <c r="BR156" s="258" t="str">
        <f t="shared" si="92"/>
        <v/>
      </c>
      <c r="BS156" s="268"/>
      <c r="BT156" s="256" t="str">
        <f t="shared" si="93"/>
        <v/>
      </c>
      <c r="BU156" s="256" t="str">
        <f t="shared" si="94"/>
        <v/>
      </c>
      <c r="BV156" s="256" t="str">
        <f t="shared" si="95"/>
        <v/>
      </c>
      <c r="BW156" s="267"/>
      <c r="BX156" s="256" t="str">
        <f t="shared" si="96"/>
        <v/>
      </c>
      <c r="BY156" s="256" t="str">
        <f t="shared" si="97"/>
        <v/>
      </c>
      <c r="BZ156" s="281"/>
      <c r="CA156" s="282"/>
      <c r="CC156" s="112" t="str">
        <f t="shared" ca="1" si="98"/>
        <v/>
      </c>
      <c r="CF156" s="284"/>
      <c r="CG156" s="284"/>
      <c r="CH156" s="284"/>
      <c r="CI156" s="284"/>
      <c r="CL156" s="356" t="str">
        <f>IFERROR(VLOOKUP(C156,'Data Sheet'!$A$3:$B$26,2,FALSE),"")</f>
        <v/>
      </c>
    </row>
    <row r="157" spans="1:90" s="98" customFormat="1" ht="15.75" x14ac:dyDescent="0.2">
      <c r="A157" s="97"/>
      <c r="B157" s="105" t="str">
        <f t="shared" si="101"/>
        <v>--</v>
      </c>
      <c r="C157" s="276"/>
      <c r="D157" s="101" t="str">
        <f>IFERROR(IF(VLOOKUP(C157,'Data Sheet'!$A$3:$D$26,4,FALSE)=0,"",VLOOKUP(C157,'Data Sheet'!$A$3:$D$26,4,FALSE)),"")</f>
        <v/>
      </c>
      <c r="E157" s="279"/>
      <c r="F157" s="103" t="str">
        <f>IFERROR(IF(VLOOKUP(E157,'Data Sheet'!$C$29:$E$174,3,FALSE)=0,"",VLOOKUP(E157,'Data Sheet'!$C$29:$E$174,3,FALSE)),"")</f>
        <v/>
      </c>
      <c r="G157" s="106" t="str">
        <f t="shared" si="99"/>
        <v>-</v>
      </c>
      <c r="H157" s="273"/>
      <c r="I157" s="107"/>
      <c r="J157" s="249" t="e">
        <f t="shared" si="100"/>
        <v>#VALUE!</v>
      </c>
      <c r="K157" s="101" t="str">
        <f>IFERROR(INDEX('Data Sheet'!$C$198:$C$275,MATCH(I157,'Data Sheet'!$F$198:$F$275,0)),"")</f>
        <v/>
      </c>
      <c r="L157" s="250" t="str">
        <f>IFERROR(INDEX('Data Sheet'!$G$198:$G$275,MATCH(I157,'Data Sheet'!$F$198:$F$275,0)),"")</f>
        <v/>
      </c>
      <c r="M157" s="194"/>
      <c r="N157" s="248"/>
      <c r="O157" s="248"/>
      <c r="P157" s="108" t="str">
        <f>IFERROR(INDEX(Setup!$D$44:$D$70,MATCH(M157,Setup!$K$44:$K$70,0))&amp;"","")</f>
        <v/>
      </c>
      <c r="Q157" s="108" t="str">
        <f>IFERROR(INDEX(Setup!$E$44:$E$70,MATCH(M157,Setup!$K$44:$K$70,0))&amp;"","")</f>
        <v/>
      </c>
      <c r="R157" s="108" t="str">
        <f>IFERROR(INDEX(Setup!$L$44:$L$70,MATCH(M157,Setup!$K$44:$K$70,0))&amp;"","")</f>
        <v/>
      </c>
      <c r="S157" s="108" t="str">
        <f>Setup!$C$30</f>
        <v>USD</v>
      </c>
      <c r="T157" s="109" t="str">
        <f>IFERROR(INDEX('Data Sheet'!$B$198:$B$275,MATCH(I157,'Data Sheet'!$F$198:$F$275,0)),"")</f>
        <v/>
      </c>
      <c r="U157" s="110" t="str">
        <f>IFERROR(INDEX('Data Sheet'!$D$198:$D$275,MATCH(I157,'Data Sheet'!$F$198:$F$275,0)),"")</f>
        <v/>
      </c>
      <c r="V157" s="99"/>
      <c r="W157" s="195" t="str">
        <f>IF(V157=Setup!$C$30,"Grant",IF(V157=Setup!$C$31,"Local",IF(V157=Setup!$C$32,"Other",IF(ISBLANK(V157),"","Other"))))</f>
        <v/>
      </c>
      <c r="X157" s="255"/>
      <c r="Y157" s="259" t="str">
        <f>IF(X157&lt;&gt;"",X157/VLOOKUP($V157,Setup!$C$30:$D$41,2,0),"")</f>
        <v/>
      </c>
      <c r="Z157" s="262"/>
      <c r="AA157" s="256" t="str">
        <f t="shared" si="72"/>
        <v/>
      </c>
      <c r="AB157" s="262"/>
      <c r="AC157" s="258" t="str">
        <f t="shared" si="73"/>
        <v/>
      </c>
      <c r="AD157" s="262"/>
      <c r="AE157" s="258" t="str">
        <f t="shared" si="74"/>
        <v/>
      </c>
      <c r="AF157" s="262"/>
      <c r="AG157" s="256" t="str">
        <f t="shared" si="75"/>
        <v/>
      </c>
      <c r="AH157" s="256" t="str">
        <f t="shared" si="76"/>
        <v/>
      </c>
      <c r="AI157" s="256" t="str">
        <f t="shared" si="77"/>
        <v/>
      </c>
      <c r="AJ157" s="111"/>
      <c r="AK157" s="255"/>
      <c r="AL157" s="259" t="str">
        <f>IF(AK157&lt;&gt;"",AK157/VLOOKUP($V157,Setup!$C$30:$D$41,2,0),"")</f>
        <v/>
      </c>
      <c r="AM157" s="266"/>
      <c r="AN157" s="258" t="str">
        <f t="shared" si="78"/>
        <v/>
      </c>
      <c r="AO157" s="266"/>
      <c r="AP157" s="258" t="str">
        <f t="shared" si="79"/>
        <v/>
      </c>
      <c r="AQ157" s="266"/>
      <c r="AR157" s="258" t="str">
        <f t="shared" si="80"/>
        <v/>
      </c>
      <c r="AS157" s="266"/>
      <c r="AT157" s="256" t="str">
        <f t="shared" si="81"/>
        <v/>
      </c>
      <c r="AU157" s="256" t="str">
        <f t="shared" si="82"/>
        <v/>
      </c>
      <c r="AV157" s="256" t="str">
        <f t="shared" si="83"/>
        <v/>
      </c>
      <c r="AW157" s="267"/>
      <c r="AX157" s="255"/>
      <c r="AY157" s="259" t="str">
        <f>IF(AX157&lt;&gt;"",AX157/VLOOKUP($V157,Setup!$C$30:$D$41,2,0),"")</f>
        <v/>
      </c>
      <c r="AZ157" s="268"/>
      <c r="BA157" s="258" t="str">
        <f t="shared" si="84"/>
        <v/>
      </c>
      <c r="BB157" s="268"/>
      <c r="BC157" s="258" t="str">
        <f t="shared" si="85"/>
        <v/>
      </c>
      <c r="BD157" s="268"/>
      <c r="BE157" s="258" t="str">
        <f t="shared" si="86"/>
        <v/>
      </c>
      <c r="BF157" s="268"/>
      <c r="BG157" s="256" t="str">
        <f t="shared" si="87"/>
        <v/>
      </c>
      <c r="BH157" s="256" t="str">
        <f t="shared" si="88"/>
        <v/>
      </c>
      <c r="BI157" s="256" t="str">
        <f t="shared" si="89"/>
        <v/>
      </c>
      <c r="BJ157" s="267"/>
      <c r="BK157" s="255"/>
      <c r="BL157" s="259" t="str">
        <f>IF(BK157&lt;&gt;"",BK157/VLOOKUP($V157,Setup!$C$30:$D$41,2,0),"")</f>
        <v/>
      </c>
      <c r="BM157" s="268"/>
      <c r="BN157" s="258" t="str">
        <f t="shared" si="90"/>
        <v/>
      </c>
      <c r="BO157" s="268"/>
      <c r="BP157" s="258" t="str">
        <f t="shared" si="91"/>
        <v/>
      </c>
      <c r="BQ157" s="268"/>
      <c r="BR157" s="258" t="str">
        <f t="shared" si="92"/>
        <v/>
      </c>
      <c r="BS157" s="268"/>
      <c r="BT157" s="256" t="str">
        <f t="shared" si="93"/>
        <v/>
      </c>
      <c r="BU157" s="256" t="str">
        <f t="shared" si="94"/>
        <v/>
      </c>
      <c r="BV157" s="256" t="str">
        <f t="shared" si="95"/>
        <v/>
      </c>
      <c r="BW157" s="267"/>
      <c r="BX157" s="256" t="str">
        <f t="shared" si="96"/>
        <v/>
      </c>
      <c r="BY157" s="256" t="str">
        <f t="shared" si="97"/>
        <v/>
      </c>
      <c r="BZ157" s="281"/>
      <c r="CA157" s="282"/>
      <c r="CC157" s="112" t="str">
        <f t="shared" ca="1" si="98"/>
        <v/>
      </c>
      <c r="CF157" s="284"/>
      <c r="CG157" s="284"/>
      <c r="CH157" s="284"/>
      <c r="CI157" s="284"/>
      <c r="CL157" s="356" t="str">
        <f>IFERROR(VLOOKUP(C157,'Data Sheet'!$A$3:$B$26,2,FALSE),"")</f>
        <v/>
      </c>
    </row>
    <row r="158" spans="1:90" s="98" customFormat="1" ht="15.75" x14ac:dyDescent="0.2">
      <c r="A158" s="97"/>
      <c r="B158" s="105" t="str">
        <f t="shared" si="101"/>
        <v>--</v>
      </c>
      <c r="C158" s="276"/>
      <c r="D158" s="101" t="str">
        <f>IFERROR(IF(VLOOKUP(C158,'Data Sheet'!$A$3:$D$26,4,FALSE)=0,"",VLOOKUP(C158,'Data Sheet'!$A$3:$D$26,4,FALSE)),"")</f>
        <v/>
      </c>
      <c r="E158" s="279"/>
      <c r="F158" s="103" t="str">
        <f>IFERROR(IF(VLOOKUP(E158,'Data Sheet'!$C$29:$E$174,3,FALSE)=0,"",VLOOKUP(E158,'Data Sheet'!$C$29:$E$174,3,FALSE)),"")</f>
        <v/>
      </c>
      <c r="G158" s="106" t="str">
        <f t="shared" si="99"/>
        <v>-</v>
      </c>
      <c r="H158" s="273"/>
      <c r="I158" s="107"/>
      <c r="J158" s="249" t="e">
        <f t="shared" si="100"/>
        <v>#VALUE!</v>
      </c>
      <c r="K158" s="101" t="str">
        <f>IFERROR(INDEX('Data Sheet'!$C$198:$C$275,MATCH(I158,'Data Sheet'!$F$198:$F$275,0)),"")</f>
        <v/>
      </c>
      <c r="L158" s="250" t="str">
        <f>IFERROR(INDEX('Data Sheet'!$G$198:$G$275,MATCH(I158,'Data Sheet'!$F$198:$F$275,0)),"")</f>
        <v/>
      </c>
      <c r="M158" s="194"/>
      <c r="N158" s="248"/>
      <c r="O158" s="248"/>
      <c r="P158" s="108" t="str">
        <f>IFERROR(INDEX(Setup!$D$44:$D$70,MATCH(M158,Setup!$K$44:$K$70,0))&amp;"","")</f>
        <v/>
      </c>
      <c r="Q158" s="108" t="str">
        <f>IFERROR(INDEX(Setup!$E$44:$E$70,MATCH(M158,Setup!$K$44:$K$70,0))&amp;"","")</f>
        <v/>
      </c>
      <c r="R158" s="108" t="str">
        <f>IFERROR(INDEX(Setup!$L$44:$L$70,MATCH(M158,Setup!$K$44:$K$70,0))&amp;"","")</f>
        <v/>
      </c>
      <c r="S158" s="108" t="str">
        <f>Setup!$C$30</f>
        <v>USD</v>
      </c>
      <c r="T158" s="109" t="str">
        <f>IFERROR(INDEX('Data Sheet'!$B$198:$B$275,MATCH(I158,'Data Sheet'!$F$198:$F$275,0)),"")</f>
        <v/>
      </c>
      <c r="U158" s="110" t="str">
        <f>IFERROR(INDEX('Data Sheet'!$D$198:$D$275,MATCH(I158,'Data Sheet'!$F$198:$F$275,0)),"")</f>
        <v/>
      </c>
      <c r="V158" s="99"/>
      <c r="W158" s="195" t="str">
        <f>IF(V158=Setup!$C$30,"Grant",IF(V158=Setup!$C$31,"Local",IF(V158=Setup!$C$32,"Other",IF(ISBLANK(V158),"","Other"))))</f>
        <v/>
      </c>
      <c r="X158" s="255"/>
      <c r="Y158" s="259" t="str">
        <f>IF(X158&lt;&gt;"",X158/VLOOKUP($V158,Setup!$C$30:$D$41,2,0),"")</f>
        <v/>
      </c>
      <c r="Z158" s="262"/>
      <c r="AA158" s="256" t="str">
        <f t="shared" si="72"/>
        <v/>
      </c>
      <c r="AB158" s="262"/>
      <c r="AC158" s="258" t="str">
        <f t="shared" si="73"/>
        <v/>
      </c>
      <c r="AD158" s="262"/>
      <c r="AE158" s="258" t="str">
        <f t="shared" si="74"/>
        <v/>
      </c>
      <c r="AF158" s="262"/>
      <c r="AG158" s="256" t="str">
        <f t="shared" si="75"/>
        <v/>
      </c>
      <c r="AH158" s="256" t="str">
        <f t="shared" si="76"/>
        <v/>
      </c>
      <c r="AI158" s="256" t="str">
        <f t="shared" si="77"/>
        <v/>
      </c>
      <c r="AJ158" s="111"/>
      <c r="AK158" s="255"/>
      <c r="AL158" s="259" t="str">
        <f>IF(AK158&lt;&gt;"",AK158/VLOOKUP($V158,Setup!$C$30:$D$41,2,0),"")</f>
        <v/>
      </c>
      <c r="AM158" s="266"/>
      <c r="AN158" s="258" t="str">
        <f t="shared" si="78"/>
        <v/>
      </c>
      <c r="AO158" s="266"/>
      <c r="AP158" s="258" t="str">
        <f t="shared" si="79"/>
        <v/>
      </c>
      <c r="AQ158" s="266"/>
      <c r="AR158" s="258" t="str">
        <f t="shared" si="80"/>
        <v/>
      </c>
      <c r="AS158" s="266"/>
      <c r="AT158" s="256" t="str">
        <f t="shared" si="81"/>
        <v/>
      </c>
      <c r="AU158" s="256" t="str">
        <f t="shared" si="82"/>
        <v/>
      </c>
      <c r="AV158" s="256" t="str">
        <f t="shared" si="83"/>
        <v/>
      </c>
      <c r="AW158" s="267"/>
      <c r="AX158" s="255"/>
      <c r="AY158" s="259" t="str">
        <f>IF(AX158&lt;&gt;"",AX158/VLOOKUP($V158,Setup!$C$30:$D$41,2,0),"")</f>
        <v/>
      </c>
      <c r="AZ158" s="268"/>
      <c r="BA158" s="258" t="str">
        <f t="shared" si="84"/>
        <v/>
      </c>
      <c r="BB158" s="268"/>
      <c r="BC158" s="258" t="str">
        <f t="shared" si="85"/>
        <v/>
      </c>
      <c r="BD158" s="268"/>
      <c r="BE158" s="258" t="str">
        <f t="shared" si="86"/>
        <v/>
      </c>
      <c r="BF158" s="268"/>
      <c r="BG158" s="256" t="str">
        <f t="shared" si="87"/>
        <v/>
      </c>
      <c r="BH158" s="256" t="str">
        <f t="shared" si="88"/>
        <v/>
      </c>
      <c r="BI158" s="256" t="str">
        <f t="shared" si="89"/>
        <v/>
      </c>
      <c r="BJ158" s="267"/>
      <c r="BK158" s="255"/>
      <c r="BL158" s="259" t="str">
        <f>IF(BK158&lt;&gt;"",BK158/VLOOKUP($V158,Setup!$C$30:$D$41,2,0),"")</f>
        <v/>
      </c>
      <c r="BM158" s="268"/>
      <c r="BN158" s="258" t="str">
        <f t="shared" si="90"/>
        <v/>
      </c>
      <c r="BO158" s="268"/>
      <c r="BP158" s="258" t="str">
        <f t="shared" si="91"/>
        <v/>
      </c>
      <c r="BQ158" s="268"/>
      <c r="BR158" s="258" t="str">
        <f t="shared" si="92"/>
        <v/>
      </c>
      <c r="BS158" s="268"/>
      <c r="BT158" s="256" t="str">
        <f t="shared" si="93"/>
        <v/>
      </c>
      <c r="BU158" s="256" t="str">
        <f t="shared" si="94"/>
        <v/>
      </c>
      <c r="BV158" s="256" t="str">
        <f t="shared" si="95"/>
        <v/>
      </c>
      <c r="BW158" s="267"/>
      <c r="BX158" s="256" t="str">
        <f t="shared" si="96"/>
        <v/>
      </c>
      <c r="BY158" s="256" t="str">
        <f t="shared" si="97"/>
        <v/>
      </c>
      <c r="BZ158" s="281"/>
      <c r="CA158" s="282"/>
      <c r="CC158" s="112" t="str">
        <f t="shared" ca="1" si="98"/>
        <v/>
      </c>
      <c r="CF158" s="284"/>
      <c r="CG158" s="284"/>
      <c r="CH158" s="284"/>
      <c r="CI158" s="284"/>
      <c r="CL158" s="356" t="str">
        <f>IFERROR(VLOOKUP(C158,'Data Sheet'!$A$3:$B$26,2,FALSE),"")</f>
        <v/>
      </c>
    </row>
    <row r="159" spans="1:90" s="98" customFormat="1" ht="15.75" x14ac:dyDescent="0.2">
      <c r="A159" s="97"/>
      <c r="B159" s="105" t="str">
        <f t="shared" si="101"/>
        <v>--</v>
      </c>
      <c r="C159" s="276"/>
      <c r="D159" s="101" t="str">
        <f>IFERROR(IF(VLOOKUP(C159,'Data Sheet'!$A$3:$D$26,4,FALSE)=0,"",VLOOKUP(C159,'Data Sheet'!$A$3:$D$26,4,FALSE)),"")</f>
        <v/>
      </c>
      <c r="E159" s="279"/>
      <c r="F159" s="103" t="str">
        <f>IFERROR(IF(VLOOKUP(E159,'Data Sheet'!$C$29:$E$174,3,FALSE)=0,"",VLOOKUP(E159,'Data Sheet'!$C$29:$E$174,3,FALSE)),"")</f>
        <v/>
      </c>
      <c r="G159" s="106" t="str">
        <f t="shared" si="99"/>
        <v>-</v>
      </c>
      <c r="H159" s="273"/>
      <c r="I159" s="107"/>
      <c r="J159" s="249" t="e">
        <f t="shared" si="100"/>
        <v>#VALUE!</v>
      </c>
      <c r="K159" s="101" t="str">
        <f>IFERROR(INDEX('Data Sheet'!$C$198:$C$275,MATCH(I159,'Data Sheet'!$F$198:$F$275,0)),"")</f>
        <v/>
      </c>
      <c r="L159" s="250" t="str">
        <f>IFERROR(INDEX('Data Sheet'!$G$198:$G$275,MATCH(I159,'Data Sheet'!$F$198:$F$275,0)),"")</f>
        <v/>
      </c>
      <c r="M159" s="194"/>
      <c r="N159" s="248"/>
      <c r="O159" s="248"/>
      <c r="P159" s="108" t="str">
        <f>IFERROR(INDEX(Setup!$D$44:$D$70,MATCH(M159,Setup!$K$44:$K$70,0))&amp;"","")</f>
        <v/>
      </c>
      <c r="Q159" s="108" t="str">
        <f>IFERROR(INDEX(Setup!$E$44:$E$70,MATCH(M159,Setup!$K$44:$K$70,0))&amp;"","")</f>
        <v/>
      </c>
      <c r="R159" s="108" t="str">
        <f>IFERROR(INDEX(Setup!$L$44:$L$70,MATCH(M159,Setup!$K$44:$K$70,0))&amp;"","")</f>
        <v/>
      </c>
      <c r="S159" s="108" t="str">
        <f>Setup!$C$30</f>
        <v>USD</v>
      </c>
      <c r="T159" s="109" t="str">
        <f>IFERROR(INDEX('Data Sheet'!$B$198:$B$275,MATCH(I159,'Data Sheet'!$F$198:$F$275,0)),"")</f>
        <v/>
      </c>
      <c r="U159" s="110" t="str">
        <f>IFERROR(INDEX('Data Sheet'!$D$198:$D$275,MATCH(I159,'Data Sheet'!$F$198:$F$275,0)),"")</f>
        <v/>
      </c>
      <c r="V159" s="99"/>
      <c r="W159" s="195" t="str">
        <f>IF(V159=Setup!$C$30,"Grant",IF(V159=Setup!$C$31,"Local",IF(V159=Setup!$C$32,"Other",IF(ISBLANK(V159),"","Other"))))</f>
        <v/>
      </c>
      <c r="X159" s="255"/>
      <c r="Y159" s="259" t="str">
        <f>IF(X159&lt;&gt;"",X159/VLOOKUP($V159,Setup!$C$30:$D$41,2,0),"")</f>
        <v/>
      </c>
      <c r="Z159" s="262"/>
      <c r="AA159" s="256" t="str">
        <f t="shared" si="72"/>
        <v/>
      </c>
      <c r="AB159" s="262"/>
      <c r="AC159" s="258" t="str">
        <f t="shared" si="73"/>
        <v/>
      </c>
      <c r="AD159" s="262"/>
      <c r="AE159" s="258" t="str">
        <f t="shared" si="74"/>
        <v/>
      </c>
      <c r="AF159" s="262"/>
      <c r="AG159" s="256" t="str">
        <f t="shared" si="75"/>
        <v/>
      </c>
      <c r="AH159" s="256" t="str">
        <f t="shared" si="76"/>
        <v/>
      </c>
      <c r="AI159" s="256" t="str">
        <f t="shared" si="77"/>
        <v/>
      </c>
      <c r="AJ159" s="111"/>
      <c r="AK159" s="255"/>
      <c r="AL159" s="259" t="str">
        <f>IF(AK159&lt;&gt;"",AK159/VLOOKUP($V159,Setup!$C$30:$D$41,2,0),"")</f>
        <v/>
      </c>
      <c r="AM159" s="266"/>
      <c r="AN159" s="258" t="str">
        <f t="shared" si="78"/>
        <v/>
      </c>
      <c r="AO159" s="266"/>
      <c r="AP159" s="258" t="str">
        <f t="shared" si="79"/>
        <v/>
      </c>
      <c r="AQ159" s="266"/>
      <c r="AR159" s="258" t="str">
        <f t="shared" si="80"/>
        <v/>
      </c>
      <c r="AS159" s="266"/>
      <c r="AT159" s="256" t="str">
        <f t="shared" si="81"/>
        <v/>
      </c>
      <c r="AU159" s="256" t="str">
        <f t="shared" si="82"/>
        <v/>
      </c>
      <c r="AV159" s="256" t="str">
        <f t="shared" si="83"/>
        <v/>
      </c>
      <c r="AW159" s="267"/>
      <c r="AX159" s="255"/>
      <c r="AY159" s="259" t="str">
        <f>IF(AX159&lt;&gt;"",AX159/VLOOKUP($V159,Setup!$C$30:$D$41,2,0),"")</f>
        <v/>
      </c>
      <c r="AZ159" s="268"/>
      <c r="BA159" s="258" t="str">
        <f t="shared" si="84"/>
        <v/>
      </c>
      <c r="BB159" s="268"/>
      <c r="BC159" s="258" t="str">
        <f t="shared" si="85"/>
        <v/>
      </c>
      <c r="BD159" s="268"/>
      <c r="BE159" s="258" t="str">
        <f t="shared" si="86"/>
        <v/>
      </c>
      <c r="BF159" s="268"/>
      <c r="BG159" s="256" t="str">
        <f t="shared" si="87"/>
        <v/>
      </c>
      <c r="BH159" s="256" t="str">
        <f t="shared" si="88"/>
        <v/>
      </c>
      <c r="BI159" s="256" t="str">
        <f t="shared" si="89"/>
        <v/>
      </c>
      <c r="BJ159" s="267"/>
      <c r="BK159" s="255"/>
      <c r="BL159" s="259" t="str">
        <f>IF(BK159&lt;&gt;"",BK159/VLOOKUP($V159,Setup!$C$30:$D$41,2,0),"")</f>
        <v/>
      </c>
      <c r="BM159" s="268"/>
      <c r="BN159" s="258" t="str">
        <f t="shared" si="90"/>
        <v/>
      </c>
      <c r="BO159" s="268"/>
      <c r="BP159" s="258" t="str">
        <f t="shared" si="91"/>
        <v/>
      </c>
      <c r="BQ159" s="268"/>
      <c r="BR159" s="258" t="str">
        <f t="shared" si="92"/>
        <v/>
      </c>
      <c r="BS159" s="268"/>
      <c r="BT159" s="256" t="str">
        <f t="shared" si="93"/>
        <v/>
      </c>
      <c r="BU159" s="256" t="str">
        <f t="shared" si="94"/>
        <v/>
      </c>
      <c r="BV159" s="256" t="str">
        <f t="shared" si="95"/>
        <v/>
      </c>
      <c r="BW159" s="267"/>
      <c r="BX159" s="256" t="str">
        <f t="shared" si="96"/>
        <v/>
      </c>
      <c r="BY159" s="256" t="str">
        <f t="shared" si="97"/>
        <v/>
      </c>
      <c r="BZ159" s="281"/>
      <c r="CA159" s="282"/>
      <c r="CC159" s="112" t="str">
        <f t="shared" ca="1" si="98"/>
        <v/>
      </c>
      <c r="CF159" s="284"/>
      <c r="CG159" s="284"/>
      <c r="CH159" s="284"/>
      <c r="CI159" s="284"/>
      <c r="CL159" s="356" t="str">
        <f>IFERROR(VLOOKUP(C159,'Data Sheet'!$A$3:$B$26,2,FALSE),"")</f>
        <v/>
      </c>
    </row>
    <row r="160" spans="1:90" s="98" customFormat="1" ht="15.75" x14ac:dyDescent="0.2">
      <c r="A160" s="97"/>
      <c r="B160" s="105" t="str">
        <f t="shared" si="101"/>
        <v>--</v>
      </c>
      <c r="C160" s="276"/>
      <c r="D160" s="101" t="str">
        <f>IFERROR(IF(VLOOKUP(C160,'Data Sheet'!$A$3:$D$26,4,FALSE)=0,"",VLOOKUP(C160,'Data Sheet'!$A$3:$D$26,4,FALSE)),"")</f>
        <v/>
      </c>
      <c r="E160" s="279"/>
      <c r="F160" s="103" t="str">
        <f>IFERROR(IF(VLOOKUP(E160,'Data Sheet'!$C$29:$E$174,3,FALSE)=0,"",VLOOKUP(E160,'Data Sheet'!$C$29:$E$174,3,FALSE)),"")</f>
        <v/>
      </c>
      <c r="G160" s="106" t="str">
        <f t="shared" si="99"/>
        <v>-</v>
      </c>
      <c r="H160" s="273"/>
      <c r="I160" s="107"/>
      <c r="J160" s="249" t="e">
        <f t="shared" si="100"/>
        <v>#VALUE!</v>
      </c>
      <c r="K160" s="101" t="str">
        <f>IFERROR(INDEX('Data Sheet'!$C$198:$C$275,MATCH(I160,'Data Sheet'!$F$198:$F$275,0)),"")</f>
        <v/>
      </c>
      <c r="L160" s="250" t="str">
        <f>IFERROR(INDEX('Data Sheet'!$G$198:$G$275,MATCH(I160,'Data Sheet'!$F$198:$F$275,0)),"")</f>
        <v/>
      </c>
      <c r="M160" s="194"/>
      <c r="N160" s="248"/>
      <c r="O160" s="248"/>
      <c r="P160" s="108" t="str">
        <f>IFERROR(INDEX(Setup!$D$44:$D$70,MATCH(M160,Setup!$K$44:$K$70,0))&amp;"","")</f>
        <v/>
      </c>
      <c r="Q160" s="108" t="str">
        <f>IFERROR(INDEX(Setup!$E$44:$E$70,MATCH(M160,Setup!$K$44:$K$70,0))&amp;"","")</f>
        <v/>
      </c>
      <c r="R160" s="108" t="str">
        <f>IFERROR(INDEX(Setup!$L$44:$L$70,MATCH(M160,Setup!$K$44:$K$70,0))&amp;"","")</f>
        <v/>
      </c>
      <c r="S160" s="108" t="str">
        <f>Setup!$C$30</f>
        <v>USD</v>
      </c>
      <c r="T160" s="109" t="str">
        <f>IFERROR(INDEX('Data Sheet'!$B$198:$B$275,MATCH(I160,'Data Sheet'!$F$198:$F$275,0)),"")</f>
        <v/>
      </c>
      <c r="U160" s="110" t="str">
        <f>IFERROR(INDEX('Data Sheet'!$D$198:$D$275,MATCH(I160,'Data Sheet'!$F$198:$F$275,0)),"")</f>
        <v/>
      </c>
      <c r="V160" s="99"/>
      <c r="W160" s="195" t="str">
        <f>IF(V160=Setup!$C$30,"Grant",IF(V160=Setup!$C$31,"Local",IF(V160=Setup!$C$32,"Other",IF(ISBLANK(V160),"","Other"))))</f>
        <v/>
      </c>
      <c r="X160" s="255"/>
      <c r="Y160" s="259" t="str">
        <f>IF(X160&lt;&gt;"",X160/VLOOKUP($V160,Setup!$C$30:$D$41,2,0),"")</f>
        <v/>
      </c>
      <c r="Z160" s="262"/>
      <c r="AA160" s="256" t="str">
        <f t="shared" si="72"/>
        <v/>
      </c>
      <c r="AB160" s="262"/>
      <c r="AC160" s="258" t="str">
        <f t="shared" si="73"/>
        <v/>
      </c>
      <c r="AD160" s="262"/>
      <c r="AE160" s="258" t="str">
        <f t="shared" si="74"/>
        <v/>
      </c>
      <c r="AF160" s="262"/>
      <c r="AG160" s="256" t="str">
        <f t="shared" si="75"/>
        <v/>
      </c>
      <c r="AH160" s="256" t="str">
        <f t="shared" si="76"/>
        <v/>
      </c>
      <c r="AI160" s="256" t="str">
        <f t="shared" si="77"/>
        <v/>
      </c>
      <c r="AJ160" s="111"/>
      <c r="AK160" s="255"/>
      <c r="AL160" s="259" t="str">
        <f>IF(AK160&lt;&gt;"",AK160/VLOOKUP($V160,Setup!$C$30:$D$41,2,0),"")</f>
        <v/>
      </c>
      <c r="AM160" s="266"/>
      <c r="AN160" s="258" t="str">
        <f t="shared" si="78"/>
        <v/>
      </c>
      <c r="AO160" s="266"/>
      <c r="AP160" s="258" t="str">
        <f t="shared" si="79"/>
        <v/>
      </c>
      <c r="AQ160" s="266"/>
      <c r="AR160" s="258" t="str">
        <f t="shared" si="80"/>
        <v/>
      </c>
      <c r="AS160" s="266"/>
      <c r="AT160" s="256" t="str">
        <f t="shared" si="81"/>
        <v/>
      </c>
      <c r="AU160" s="256" t="str">
        <f t="shared" si="82"/>
        <v/>
      </c>
      <c r="AV160" s="256" t="str">
        <f t="shared" si="83"/>
        <v/>
      </c>
      <c r="AW160" s="267"/>
      <c r="AX160" s="255"/>
      <c r="AY160" s="259" t="str">
        <f>IF(AX160&lt;&gt;"",AX160/VLOOKUP($V160,Setup!$C$30:$D$41,2,0),"")</f>
        <v/>
      </c>
      <c r="AZ160" s="268"/>
      <c r="BA160" s="258" t="str">
        <f t="shared" si="84"/>
        <v/>
      </c>
      <c r="BB160" s="268"/>
      <c r="BC160" s="258" t="str">
        <f t="shared" si="85"/>
        <v/>
      </c>
      <c r="BD160" s="268"/>
      <c r="BE160" s="258" t="str">
        <f t="shared" si="86"/>
        <v/>
      </c>
      <c r="BF160" s="268"/>
      <c r="BG160" s="256" t="str">
        <f t="shared" si="87"/>
        <v/>
      </c>
      <c r="BH160" s="256" t="str">
        <f t="shared" si="88"/>
        <v/>
      </c>
      <c r="BI160" s="256" t="str">
        <f t="shared" si="89"/>
        <v/>
      </c>
      <c r="BJ160" s="267"/>
      <c r="BK160" s="255"/>
      <c r="BL160" s="259" t="str">
        <f>IF(BK160&lt;&gt;"",BK160/VLOOKUP($V160,Setup!$C$30:$D$41,2,0),"")</f>
        <v/>
      </c>
      <c r="BM160" s="268"/>
      <c r="BN160" s="258" t="str">
        <f t="shared" si="90"/>
        <v/>
      </c>
      <c r="BO160" s="268"/>
      <c r="BP160" s="258" t="str">
        <f t="shared" si="91"/>
        <v/>
      </c>
      <c r="BQ160" s="268"/>
      <c r="BR160" s="258" t="str">
        <f t="shared" si="92"/>
        <v/>
      </c>
      <c r="BS160" s="268"/>
      <c r="BT160" s="256" t="str">
        <f t="shared" si="93"/>
        <v/>
      </c>
      <c r="BU160" s="256" t="str">
        <f t="shared" si="94"/>
        <v/>
      </c>
      <c r="BV160" s="256" t="str">
        <f t="shared" si="95"/>
        <v/>
      </c>
      <c r="BW160" s="267"/>
      <c r="BX160" s="256" t="str">
        <f t="shared" si="96"/>
        <v/>
      </c>
      <c r="BY160" s="256" t="str">
        <f t="shared" si="97"/>
        <v/>
      </c>
      <c r="BZ160" s="281"/>
      <c r="CA160" s="282"/>
      <c r="CC160" s="112" t="str">
        <f t="shared" ca="1" si="98"/>
        <v/>
      </c>
      <c r="CF160" s="284"/>
      <c r="CG160" s="284"/>
      <c r="CH160" s="284"/>
      <c r="CI160" s="284"/>
      <c r="CL160" s="356" t="str">
        <f>IFERROR(VLOOKUP(C160,'Data Sheet'!$A$3:$B$26,2,FALSE),"")</f>
        <v/>
      </c>
    </row>
    <row r="161" spans="1:90" s="98" customFormat="1" ht="15.75" x14ac:dyDescent="0.2">
      <c r="A161" s="97"/>
      <c r="B161" s="105" t="str">
        <f t="shared" si="101"/>
        <v>--</v>
      </c>
      <c r="C161" s="276"/>
      <c r="D161" s="101" t="str">
        <f>IFERROR(IF(VLOOKUP(C161,'Data Sheet'!$A$3:$D$26,4,FALSE)=0,"",VLOOKUP(C161,'Data Sheet'!$A$3:$D$26,4,FALSE)),"")</f>
        <v/>
      </c>
      <c r="E161" s="279"/>
      <c r="F161" s="103" t="str">
        <f>IFERROR(IF(VLOOKUP(E161,'Data Sheet'!$C$29:$E$174,3,FALSE)=0,"",VLOOKUP(E161,'Data Sheet'!$C$29:$E$174,3,FALSE)),"")</f>
        <v/>
      </c>
      <c r="G161" s="106" t="str">
        <f t="shared" si="99"/>
        <v>-</v>
      </c>
      <c r="H161" s="273"/>
      <c r="I161" s="107"/>
      <c r="J161" s="249" t="e">
        <f t="shared" si="100"/>
        <v>#VALUE!</v>
      </c>
      <c r="K161" s="101" t="str">
        <f>IFERROR(INDEX('Data Sheet'!$C$198:$C$275,MATCH(I161,'Data Sheet'!$F$198:$F$275,0)),"")</f>
        <v/>
      </c>
      <c r="L161" s="250" t="str">
        <f>IFERROR(INDEX('Data Sheet'!$G$198:$G$275,MATCH(I161,'Data Sheet'!$F$198:$F$275,0)),"")</f>
        <v/>
      </c>
      <c r="M161" s="194"/>
      <c r="N161" s="248"/>
      <c r="O161" s="248"/>
      <c r="P161" s="108" t="str">
        <f>IFERROR(INDEX(Setup!$D$44:$D$70,MATCH(M161,Setup!$K$44:$K$70,0))&amp;"","")</f>
        <v/>
      </c>
      <c r="Q161" s="108" t="str">
        <f>IFERROR(INDEX(Setup!$E$44:$E$70,MATCH(M161,Setup!$K$44:$K$70,0))&amp;"","")</f>
        <v/>
      </c>
      <c r="R161" s="108" t="str">
        <f>IFERROR(INDEX(Setup!$L$44:$L$70,MATCH(M161,Setup!$K$44:$K$70,0))&amp;"","")</f>
        <v/>
      </c>
      <c r="S161" s="108" t="str">
        <f>Setup!$C$30</f>
        <v>USD</v>
      </c>
      <c r="T161" s="109" t="str">
        <f>IFERROR(INDEX('Data Sheet'!$B$198:$B$275,MATCH(I161,'Data Sheet'!$F$198:$F$275,0)),"")</f>
        <v/>
      </c>
      <c r="U161" s="110" t="str">
        <f>IFERROR(INDEX('Data Sheet'!$D$198:$D$275,MATCH(I161,'Data Sheet'!$F$198:$F$275,0)),"")</f>
        <v/>
      </c>
      <c r="V161" s="99"/>
      <c r="W161" s="195" t="str">
        <f>IF(V161=Setup!$C$30,"Grant",IF(V161=Setup!$C$31,"Local",IF(V161=Setup!$C$32,"Other",IF(ISBLANK(V161),"","Other"))))</f>
        <v/>
      </c>
      <c r="X161" s="255"/>
      <c r="Y161" s="259" t="str">
        <f>IF(X161&lt;&gt;"",X161/VLOOKUP($V161,Setup!$C$30:$D$41,2,0),"")</f>
        <v/>
      </c>
      <c r="Z161" s="262"/>
      <c r="AA161" s="256" t="str">
        <f t="shared" si="72"/>
        <v/>
      </c>
      <c r="AB161" s="262"/>
      <c r="AC161" s="258" t="str">
        <f t="shared" si="73"/>
        <v/>
      </c>
      <c r="AD161" s="262"/>
      <c r="AE161" s="258" t="str">
        <f t="shared" si="74"/>
        <v/>
      </c>
      <c r="AF161" s="262"/>
      <c r="AG161" s="256" t="str">
        <f t="shared" si="75"/>
        <v/>
      </c>
      <c r="AH161" s="256" t="str">
        <f t="shared" si="76"/>
        <v/>
      </c>
      <c r="AI161" s="256" t="str">
        <f t="shared" si="77"/>
        <v/>
      </c>
      <c r="AJ161" s="111"/>
      <c r="AK161" s="255"/>
      <c r="AL161" s="259" t="str">
        <f>IF(AK161&lt;&gt;"",AK161/VLOOKUP($V161,Setup!$C$30:$D$41,2,0),"")</f>
        <v/>
      </c>
      <c r="AM161" s="266"/>
      <c r="AN161" s="258" t="str">
        <f t="shared" si="78"/>
        <v/>
      </c>
      <c r="AO161" s="266"/>
      <c r="AP161" s="258" t="str">
        <f t="shared" si="79"/>
        <v/>
      </c>
      <c r="AQ161" s="266"/>
      <c r="AR161" s="258" t="str">
        <f t="shared" si="80"/>
        <v/>
      </c>
      <c r="AS161" s="266"/>
      <c r="AT161" s="256" t="str">
        <f t="shared" si="81"/>
        <v/>
      </c>
      <c r="AU161" s="256" t="str">
        <f t="shared" si="82"/>
        <v/>
      </c>
      <c r="AV161" s="256" t="str">
        <f t="shared" si="83"/>
        <v/>
      </c>
      <c r="AW161" s="267"/>
      <c r="AX161" s="255"/>
      <c r="AY161" s="259" t="str">
        <f>IF(AX161&lt;&gt;"",AX161/VLOOKUP($V161,Setup!$C$30:$D$41,2,0),"")</f>
        <v/>
      </c>
      <c r="AZ161" s="268"/>
      <c r="BA161" s="258" t="str">
        <f t="shared" si="84"/>
        <v/>
      </c>
      <c r="BB161" s="268"/>
      <c r="BC161" s="258" t="str">
        <f t="shared" si="85"/>
        <v/>
      </c>
      <c r="BD161" s="268"/>
      <c r="BE161" s="258" t="str">
        <f t="shared" si="86"/>
        <v/>
      </c>
      <c r="BF161" s="268"/>
      <c r="BG161" s="256" t="str">
        <f t="shared" si="87"/>
        <v/>
      </c>
      <c r="BH161" s="256" t="str">
        <f t="shared" si="88"/>
        <v/>
      </c>
      <c r="BI161" s="256" t="str">
        <f t="shared" si="89"/>
        <v/>
      </c>
      <c r="BJ161" s="267"/>
      <c r="BK161" s="255"/>
      <c r="BL161" s="259" t="str">
        <f>IF(BK161&lt;&gt;"",BK161/VLOOKUP($V161,Setup!$C$30:$D$41,2,0),"")</f>
        <v/>
      </c>
      <c r="BM161" s="268"/>
      <c r="BN161" s="258" t="str">
        <f t="shared" si="90"/>
        <v/>
      </c>
      <c r="BO161" s="268"/>
      <c r="BP161" s="258" t="str">
        <f t="shared" si="91"/>
        <v/>
      </c>
      <c r="BQ161" s="268"/>
      <c r="BR161" s="258" t="str">
        <f t="shared" si="92"/>
        <v/>
      </c>
      <c r="BS161" s="268"/>
      <c r="BT161" s="256" t="str">
        <f t="shared" si="93"/>
        <v/>
      </c>
      <c r="BU161" s="256" t="str">
        <f t="shared" si="94"/>
        <v/>
      </c>
      <c r="BV161" s="256" t="str">
        <f t="shared" si="95"/>
        <v/>
      </c>
      <c r="BW161" s="267"/>
      <c r="BX161" s="256" t="str">
        <f t="shared" si="96"/>
        <v/>
      </c>
      <c r="BY161" s="256" t="str">
        <f t="shared" si="97"/>
        <v/>
      </c>
      <c r="BZ161" s="281"/>
      <c r="CA161" s="282"/>
      <c r="CC161" s="112" t="str">
        <f t="shared" ca="1" si="98"/>
        <v/>
      </c>
      <c r="CF161" s="284"/>
      <c r="CG161" s="284"/>
      <c r="CH161" s="284"/>
      <c r="CI161" s="284"/>
      <c r="CL161" s="356" t="str">
        <f>IFERROR(VLOOKUP(C161,'Data Sheet'!$A$3:$B$26,2,FALSE),"")</f>
        <v/>
      </c>
    </row>
    <row r="162" spans="1:90" s="98" customFormat="1" ht="15.75" x14ac:dyDescent="0.2">
      <c r="A162" s="97"/>
      <c r="B162" s="105" t="str">
        <f t="shared" si="101"/>
        <v>--</v>
      </c>
      <c r="C162" s="276"/>
      <c r="D162" s="101" t="str">
        <f>IFERROR(IF(VLOOKUP(C162,'Data Sheet'!$A$3:$D$26,4,FALSE)=0,"",VLOOKUP(C162,'Data Sheet'!$A$3:$D$26,4,FALSE)),"")</f>
        <v/>
      </c>
      <c r="E162" s="279"/>
      <c r="F162" s="103" t="str">
        <f>IFERROR(IF(VLOOKUP(E162,'Data Sheet'!$C$29:$E$174,3,FALSE)=0,"",VLOOKUP(E162,'Data Sheet'!$C$29:$E$174,3,FALSE)),"")</f>
        <v/>
      </c>
      <c r="G162" s="106" t="str">
        <f t="shared" si="99"/>
        <v>-</v>
      </c>
      <c r="H162" s="273"/>
      <c r="I162" s="107"/>
      <c r="J162" s="249" t="e">
        <f t="shared" si="100"/>
        <v>#VALUE!</v>
      </c>
      <c r="K162" s="101" t="str">
        <f>IFERROR(INDEX('Data Sheet'!$C$198:$C$275,MATCH(I162,'Data Sheet'!$F$198:$F$275,0)),"")</f>
        <v/>
      </c>
      <c r="L162" s="250" t="str">
        <f>IFERROR(INDEX('Data Sheet'!$G$198:$G$275,MATCH(I162,'Data Sheet'!$F$198:$F$275,0)),"")</f>
        <v/>
      </c>
      <c r="M162" s="194"/>
      <c r="N162" s="248"/>
      <c r="O162" s="248"/>
      <c r="P162" s="108" t="str">
        <f>IFERROR(INDEX(Setup!$D$44:$D$70,MATCH(M162,Setup!$K$44:$K$70,0))&amp;"","")</f>
        <v/>
      </c>
      <c r="Q162" s="108" t="str">
        <f>IFERROR(INDEX(Setup!$E$44:$E$70,MATCH(M162,Setup!$K$44:$K$70,0))&amp;"","")</f>
        <v/>
      </c>
      <c r="R162" s="108" t="str">
        <f>IFERROR(INDEX(Setup!$L$44:$L$70,MATCH(M162,Setup!$K$44:$K$70,0))&amp;"","")</f>
        <v/>
      </c>
      <c r="S162" s="108" t="str">
        <f>Setup!$C$30</f>
        <v>USD</v>
      </c>
      <c r="T162" s="109" t="str">
        <f>IFERROR(INDEX('Data Sheet'!$B$198:$B$275,MATCH(I162,'Data Sheet'!$F$198:$F$275,0)),"")</f>
        <v/>
      </c>
      <c r="U162" s="110" t="str">
        <f>IFERROR(INDEX('Data Sheet'!$D$198:$D$275,MATCH(I162,'Data Sheet'!$F$198:$F$275,0)),"")</f>
        <v/>
      </c>
      <c r="V162" s="99"/>
      <c r="W162" s="195" t="str">
        <f>IF(V162=Setup!$C$30,"Grant",IF(V162=Setup!$C$31,"Local",IF(V162=Setup!$C$32,"Other",IF(ISBLANK(V162),"","Other"))))</f>
        <v/>
      </c>
      <c r="X162" s="255"/>
      <c r="Y162" s="259" t="str">
        <f>IF(X162&lt;&gt;"",X162/VLOOKUP($V162,Setup!$C$30:$D$41,2,0),"")</f>
        <v/>
      </c>
      <c r="Z162" s="262"/>
      <c r="AA162" s="256" t="str">
        <f t="shared" si="72"/>
        <v/>
      </c>
      <c r="AB162" s="262"/>
      <c r="AC162" s="258" t="str">
        <f t="shared" si="73"/>
        <v/>
      </c>
      <c r="AD162" s="262"/>
      <c r="AE162" s="258" t="str">
        <f t="shared" si="74"/>
        <v/>
      </c>
      <c r="AF162" s="262"/>
      <c r="AG162" s="256" t="str">
        <f t="shared" si="75"/>
        <v/>
      </c>
      <c r="AH162" s="256" t="str">
        <f t="shared" si="76"/>
        <v/>
      </c>
      <c r="AI162" s="256" t="str">
        <f t="shared" si="77"/>
        <v/>
      </c>
      <c r="AJ162" s="111"/>
      <c r="AK162" s="255"/>
      <c r="AL162" s="259" t="str">
        <f>IF(AK162&lt;&gt;"",AK162/VLOOKUP($V162,Setup!$C$30:$D$41,2,0),"")</f>
        <v/>
      </c>
      <c r="AM162" s="266"/>
      <c r="AN162" s="258" t="str">
        <f t="shared" si="78"/>
        <v/>
      </c>
      <c r="AO162" s="266"/>
      <c r="AP162" s="258" t="str">
        <f t="shared" si="79"/>
        <v/>
      </c>
      <c r="AQ162" s="266"/>
      <c r="AR162" s="258" t="str">
        <f t="shared" si="80"/>
        <v/>
      </c>
      <c r="AS162" s="266"/>
      <c r="AT162" s="256" t="str">
        <f t="shared" si="81"/>
        <v/>
      </c>
      <c r="AU162" s="256" t="str">
        <f t="shared" si="82"/>
        <v/>
      </c>
      <c r="AV162" s="256" t="str">
        <f t="shared" si="83"/>
        <v/>
      </c>
      <c r="AW162" s="267"/>
      <c r="AX162" s="255"/>
      <c r="AY162" s="259" t="str">
        <f>IF(AX162&lt;&gt;"",AX162/VLOOKUP($V162,Setup!$C$30:$D$41,2,0),"")</f>
        <v/>
      </c>
      <c r="AZ162" s="268"/>
      <c r="BA162" s="258" t="str">
        <f t="shared" si="84"/>
        <v/>
      </c>
      <c r="BB162" s="268"/>
      <c r="BC162" s="258" t="str">
        <f t="shared" si="85"/>
        <v/>
      </c>
      <c r="BD162" s="268"/>
      <c r="BE162" s="258" t="str">
        <f t="shared" si="86"/>
        <v/>
      </c>
      <c r="BF162" s="268"/>
      <c r="BG162" s="256" t="str">
        <f t="shared" si="87"/>
        <v/>
      </c>
      <c r="BH162" s="256" t="str">
        <f t="shared" si="88"/>
        <v/>
      </c>
      <c r="BI162" s="256" t="str">
        <f t="shared" si="89"/>
        <v/>
      </c>
      <c r="BJ162" s="267"/>
      <c r="BK162" s="255"/>
      <c r="BL162" s="259" t="str">
        <f>IF(BK162&lt;&gt;"",BK162/VLOOKUP($V162,Setup!$C$30:$D$41,2,0),"")</f>
        <v/>
      </c>
      <c r="BM162" s="268"/>
      <c r="BN162" s="258" t="str">
        <f t="shared" si="90"/>
        <v/>
      </c>
      <c r="BO162" s="268"/>
      <c r="BP162" s="258" t="str">
        <f t="shared" si="91"/>
        <v/>
      </c>
      <c r="BQ162" s="268"/>
      <c r="BR162" s="258" t="str">
        <f t="shared" si="92"/>
        <v/>
      </c>
      <c r="BS162" s="268"/>
      <c r="BT162" s="256" t="str">
        <f t="shared" si="93"/>
        <v/>
      </c>
      <c r="BU162" s="256" t="str">
        <f t="shared" si="94"/>
        <v/>
      </c>
      <c r="BV162" s="256" t="str">
        <f t="shared" si="95"/>
        <v/>
      </c>
      <c r="BW162" s="267"/>
      <c r="BX162" s="256" t="str">
        <f t="shared" si="96"/>
        <v/>
      </c>
      <c r="BY162" s="256" t="str">
        <f t="shared" si="97"/>
        <v/>
      </c>
      <c r="BZ162" s="281"/>
      <c r="CA162" s="282"/>
      <c r="CC162" s="112" t="str">
        <f t="shared" ca="1" si="98"/>
        <v/>
      </c>
      <c r="CF162" s="284"/>
      <c r="CG162" s="284"/>
      <c r="CH162" s="284"/>
      <c r="CI162" s="284"/>
      <c r="CL162" s="356" t="str">
        <f>IFERROR(VLOOKUP(C162,'Data Sheet'!$A$3:$B$26,2,FALSE),"")</f>
        <v/>
      </c>
    </row>
    <row r="163" spans="1:90" s="98" customFormat="1" ht="15.75" x14ac:dyDescent="0.2">
      <c r="A163" s="97"/>
      <c r="B163" s="105" t="str">
        <f t="shared" si="101"/>
        <v>--</v>
      </c>
      <c r="C163" s="276"/>
      <c r="D163" s="101" t="str">
        <f>IFERROR(IF(VLOOKUP(C163,'Data Sheet'!$A$3:$D$26,4,FALSE)=0,"",VLOOKUP(C163,'Data Sheet'!$A$3:$D$26,4,FALSE)),"")</f>
        <v/>
      </c>
      <c r="E163" s="279"/>
      <c r="F163" s="103" t="str">
        <f>IFERROR(IF(VLOOKUP(E163,'Data Sheet'!$C$29:$E$174,3,FALSE)=0,"",VLOOKUP(E163,'Data Sheet'!$C$29:$E$174,3,FALSE)),"")</f>
        <v/>
      </c>
      <c r="G163" s="106" t="str">
        <f t="shared" si="99"/>
        <v>-</v>
      </c>
      <c r="H163" s="273"/>
      <c r="I163" s="107"/>
      <c r="J163" s="249" t="e">
        <f t="shared" si="100"/>
        <v>#VALUE!</v>
      </c>
      <c r="K163" s="101" t="str">
        <f>IFERROR(INDEX('Data Sheet'!$C$198:$C$275,MATCH(I163,'Data Sheet'!$F$198:$F$275,0)),"")</f>
        <v/>
      </c>
      <c r="L163" s="250" t="str">
        <f>IFERROR(INDEX('Data Sheet'!$G$198:$G$275,MATCH(I163,'Data Sheet'!$F$198:$F$275,0)),"")</f>
        <v/>
      </c>
      <c r="M163" s="194"/>
      <c r="N163" s="248"/>
      <c r="O163" s="248"/>
      <c r="P163" s="108" t="str">
        <f>IFERROR(INDEX(Setup!$D$44:$D$70,MATCH(M163,Setup!$K$44:$K$70,0))&amp;"","")</f>
        <v/>
      </c>
      <c r="Q163" s="108" t="str">
        <f>IFERROR(INDEX(Setup!$E$44:$E$70,MATCH(M163,Setup!$K$44:$K$70,0))&amp;"","")</f>
        <v/>
      </c>
      <c r="R163" s="108" t="str">
        <f>IFERROR(INDEX(Setup!$L$44:$L$70,MATCH(M163,Setup!$K$44:$K$70,0))&amp;"","")</f>
        <v/>
      </c>
      <c r="S163" s="108" t="str">
        <f>Setup!$C$30</f>
        <v>USD</v>
      </c>
      <c r="T163" s="109" t="str">
        <f>IFERROR(INDEX('Data Sheet'!$B$198:$B$275,MATCH(I163,'Data Sheet'!$F$198:$F$275,0)),"")</f>
        <v/>
      </c>
      <c r="U163" s="110" t="str">
        <f>IFERROR(INDEX('Data Sheet'!$D$198:$D$275,MATCH(I163,'Data Sheet'!$F$198:$F$275,0)),"")</f>
        <v/>
      </c>
      <c r="V163" s="99"/>
      <c r="W163" s="195" t="str">
        <f>IF(V163=Setup!$C$30,"Grant",IF(V163=Setup!$C$31,"Local",IF(V163=Setup!$C$32,"Other",IF(ISBLANK(V163),"","Other"))))</f>
        <v/>
      </c>
      <c r="X163" s="255"/>
      <c r="Y163" s="259" t="str">
        <f>IF(X163&lt;&gt;"",X163/VLOOKUP($V163,Setup!$C$30:$D$41,2,0),"")</f>
        <v/>
      </c>
      <c r="Z163" s="262"/>
      <c r="AA163" s="256" t="str">
        <f t="shared" si="72"/>
        <v/>
      </c>
      <c r="AB163" s="262"/>
      <c r="AC163" s="258" t="str">
        <f t="shared" si="73"/>
        <v/>
      </c>
      <c r="AD163" s="262"/>
      <c r="AE163" s="258" t="str">
        <f t="shared" si="74"/>
        <v/>
      </c>
      <c r="AF163" s="262"/>
      <c r="AG163" s="256" t="str">
        <f t="shared" si="75"/>
        <v/>
      </c>
      <c r="AH163" s="256" t="str">
        <f t="shared" si="76"/>
        <v/>
      </c>
      <c r="AI163" s="256" t="str">
        <f t="shared" si="77"/>
        <v/>
      </c>
      <c r="AJ163" s="111"/>
      <c r="AK163" s="255"/>
      <c r="AL163" s="259" t="str">
        <f>IF(AK163&lt;&gt;"",AK163/VLOOKUP($V163,Setup!$C$30:$D$41,2,0),"")</f>
        <v/>
      </c>
      <c r="AM163" s="266"/>
      <c r="AN163" s="258" t="str">
        <f t="shared" si="78"/>
        <v/>
      </c>
      <c r="AO163" s="266"/>
      <c r="AP163" s="258" t="str">
        <f t="shared" si="79"/>
        <v/>
      </c>
      <c r="AQ163" s="266"/>
      <c r="AR163" s="258" t="str">
        <f t="shared" si="80"/>
        <v/>
      </c>
      <c r="AS163" s="266"/>
      <c r="AT163" s="256" t="str">
        <f t="shared" si="81"/>
        <v/>
      </c>
      <c r="AU163" s="256" t="str">
        <f t="shared" si="82"/>
        <v/>
      </c>
      <c r="AV163" s="256" t="str">
        <f t="shared" si="83"/>
        <v/>
      </c>
      <c r="AW163" s="267"/>
      <c r="AX163" s="255"/>
      <c r="AY163" s="259" t="str">
        <f>IF(AX163&lt;&gt;"",AX163/VLOOKUP($V163,Setup!$C$30:$D$41,2,0),"")</f>
        <v/>
      </c>
      <c r="AZ163" s="268"/>
      <c r="BA163" s="258" t="str">
        <f t="shared" si="84"/>
        <v/>
      </c>
      <c r="BB163" s="268"/>
      <c r="BC163" s="258" t="str">
        <f t="shared" si="85"/>
        <v/>
      </c>
      <c r="BD163" s="268"/>
      <c r="BE163" s="258" t="str">
        <f t="shared" si="86"/>
        <v/>
      </c>
      <c r="BF163" s="268"/>
      <c r="BG163" s="256" t="str">
        <f t="shared" si="87"/>
        <v/>
      </c>
      <c r="BH163" s="256" t="str">
        <f t="shared" si="88"/>
        <v/>
      </c>
      <c r="BI163" s="256" t="str">
        <f t="shared" si="89"/>
        <v/>
      </c>
      <c r="BJ163" s="267"/>
      <c r="BK163" s="255"/>
      <c r="BL163" s="259" t="str">
        <f>IF(BK163&lt;&gt;"",BK163/VLOOKUP($V163,Setup!$C$30:$D$41,2,0),"")</f>
        <v/>
      </c>
      <c r="BM163" s="268"/>
      <c r="BN163" s="258" t="str">
        <f t="shared" si="90"/>
        <v/>
      </c>
      <c r="BO163" s="268"/>
      <c r="BP163" s="258" t="str">
        <f t="shared" si="91"/>
        <v/>
      </c>
      <c r="BQ163" s="268"/>
      <c r="BR163" s="258" t="str">
        <f t="shared" si="92"/>
        <v/>
      </c>
      <c r="BS163" s="268"/>
      <c r="BT163" s="256" t="str">
        <f t="shared" si="93"/>
        <v/>
      </c>
      <c r="BU163" s="256" t="str">
        <f t="shared" si="94"/>
        <v/>
      </c>
      <c r="BV163" s="256" t="str">
        <f t="shared" si="95"/>
        <v/>
      </c>
      <c r="BW163" s="267"/>
      <c r="BX163" s="256" t="str">
        <f t="shared" si="96"/>
        <v/>
      </c>
      <c r="BY163" s="256" t="str">
        <f t="shared" si="97"/>
        <v/>
      </c>
      <c r="BZ163" s="281"/>
      <c r="CA163" s="282"/>
      <c r="CC163" s="112" t="str">
        <f t="shared" ca="1" si="98"/>
        <v/>
      </c>
      <c r="CF163" s="284"/>
      <c r="CG163" s="284"/>
      <c r="CH163" s="284"/>
      <c r="CI163" s="284"/>
      <c r="CL163" s="356" t="str">
        <f>IFERROR(VLOOKUP(C163,'Data Sheet'!$A$3:$B$26,2,FALSE),"")</f>
        <v/>
      </c>
    </row>
    <row r="164" spans="1:90" s="98" customFormat="1" ht="15.75" x14ac:dyDescent="0.2">
      <c r="A164" s="97"/>
      <c r="B164" s="105" t="str">
        <f t="shared" si="101"/>
        <v>--</v>
      </c>
      <c r="C164" s="276"/>
      <c r="D164" s="101" t="str">
        <f>IFERROR(IF(VLOOKUP(C164,'Data Sheet'!$A$3:$D$26,4,FALSE)=0,"",VLOOKUP(C164,'Data Sheet'!$A$3:$D$26,4,FALSE)),"")</f>
        <v/>
      </c>
      <c r="E164" s="279"/>
      <c r="F164" s="103" t="str">
        <f>IFERROR(IF(VLOOKUP(E164,'Data Sheet'!$C$29:$E$174,3,FALSE)=0,"",VLOOKUP(E164,'Data Sheet'!$C$29:$E$174,3,FALSE)),"")</f>
        <v/>
      </c>
      <c r="G164" s="106" t="str">
        <f t="shared" si="99"/>
        <v>-</v>
      </c>
      <c r="H164" s="273"/>
      <c r="I164" s="107"/>
      <c r="J164" s="249" t="e">
        <f t="shared" si="100"/>
        <v>#VALUE!</v>
      </c>
      <c r="K164" s="101" t="str">
        <f>IFERROR(INDEX('Data Sheet'!$C$198:$C$275,MATCH(I164,'Data Sheet'!$F$198:$F$275,0)),"")</f>
        <v/>
      </c>
      <c r="L164" s="250" t="str">
        <f>IFERROR(INDEX('Data Sheet'!$G$198:$G$275,MATCH(I164,'Data Sheet'!$F$198:$F$275,0)),"")</f>
        <v/>
      </c>
      <c r="M164" s="194"/>
      <c r="N164" s="248"/>
      <c r="O164" s="248"/>
      <c r="P164" s="108" t="str">
        <f>IFERROR(INDEX(Setup!$D$44:$D$70,MATCH(M164,Setup!$K$44:$K$70,0))&amp;"","")</f>
        <v/>
      </c>
      <c r="Q164" s="108" t="str">
        <f>IFERROR(INDEX(Setup!$E$44:$E$70,MATCH(M164,Setup!$K$44:$K$70,0))&amp;"","")</f>
        <v/>
      </c>
      <c r="R164" s="108" t="str">
        <f>IFERROR(INDEX(Setup!$L$44:$L$70,MATCH(M164,Setup!$K$44:$K$70,0))&amp;"","")</f>
        <v/>
      </c>
      <c r="S164" s="108" t="str">
        <f>Setup!$C$30</f>
        <v>USD</v>
      </c>
      <c r="T164" s="109" t="str">
        <f>IFERROR(INDEX('Data Sheet'!$B$198:$B$275,MATCH(I164,'Data Sheet'!$F$198:$F$275,0)),"")</f>
        <v/>
      </c>
      <c r="U164" s="110" t="str">
        <f>IFERROR(INDEX('Data Sheet'!$D$198:$D$275,MATCH(I164,'Data Sheet'!$F$198:$F$275,0)),"")</f>
        <v/>
      </c>
      <c r="V164" s="99"/>
      <c r="W164" s="195" t="str">
        <f>IF(V164=Setup!$C$30,"Grant",IF(V164=Setup!$C$31,"Local",IF(V164=Setup!$C$32,"Other",IF(ISBLANK(V164),"","Other"))))</f>
        <v/>
      </c>
      <c r="X164" s="255"/>
      <c r="Y164" s="259" t="str">
        <f>IF(X164&lt;&gt;"",X164/VLOOKUP($V164,Setup!$C$30:$D$41,2,0),"")</f>
        <v/>
      </c>
      <c r="Z164" s="262"/>
      <c r="AA164" s="256" t="str">
        <f t="shared" si="72"/>
        <v/>
      </c>
      <c r="AB164" s="262"/>
      <c r="AC164" s="258" t="str">
        <f t="shared" si="73"/>
        <v/>
      </c>
      <c r="AD164" s="262"/>
      <c r="AE164" s="258" t="str">
        <f t="shared" si="74"/>
        <v/>
      </c>
      <c r="AF164" s="262"/>
      <c r="AG164" s="256" t="str">
        <f t="shared" si="75"/>
        <v/>
      </c>
      <c r="AH164" s="256" t="str">
        <f t="shared" si="76"/>
        <v/>
      </c>
      <c r="AI164" s="256" t="str">
        <f t="shared" si="77"/>
        <v/>
      </c>
      <c r="AJ164" s="111"/>
      <c r="AK164" s="255"/>
      <c r="AL164" s="259" t="str">
        <f>IF(AK164&lt;&gt;"",AK164/VLOOKUP($V164,Setup!$C$30:$D$41,2,0),"")</f>
        <v/>
      </c>
      <c r="AM164" s="266"/>
      <c r="AN164" s="258" t="str">
        <f t="shared" si="78"/>
        <v/>
      </c>
      <c r="AO164" s="266"/>
      <c r="AP164" s="258" t="str">
        <f t="shared" si="79"/>
        <v/>
      </c>
      <c r="AQ164" s="266"/>
      <c r="AR164" s="258" t="str">
        <f t="shared" si="80"/>
        <v/>
      </c>
      <c r="AS164" s="266"/>
      <c r="AT164" s="256" t="str">
        <f t="shared" si="81"/>
        <v/>
      </c>
      <c r="AU164" s="256" t="str">
        <f t="shared" si="82"/>
        <v/>
      </c>
      <c r="AV164" s="256" t="str">
        <f t="shared" si="83"/>
        <v/>
      </c>
      <c r="AW164" s="267"/>
      <c r="AX164" s="255"/>
      <c r="AY164" s="259" t="str">
        <f>IF(AX164&lt;&gt;"",AX164/VLOOKUP($V164,Setup!$C$30:$D$41,2,0),"")</f>
        <v/>
      </c>
      <c r="AZ164" s="268"/>
      <c r="BA164" s="258" t="str">
        <f t="shared" si="84"/>
        <v/>
      </c>
      <c r="BB164" s="268"/>
      <c r="BC164" s="258" t="str">
        <f t="shared" si="85"/>
        <v/>
      </c>
      <c r="BD164" s="268"/>
      <c r="BE164" s="258" t="str">
        <f t="shared" si="86"/>
        <v/>
      </c>
      <c r="BF164" s="268"/>
      <c r="BG164" s="256" t="str">
        <f t="shared" si="87"/>
        <v/>
      </c>
      <c r="BH164" s="256" t="str">
        <f t="shared" si="88"/>
        <v/>
      </c>
      <c r="BI164" s="256" t="str">
        <f t="shared" si="89"/>
        <v/>
      </c>
      <c r="BJ164" s="267"/>
      <c r="BK164" s="255"/>
      <c r="BL164" s="259" t="str">
        <f>IF(BK164&lt;&gt;"",BK164/VLOOKUP($V164,Setup!$C$30:$D$41,2,0),"")</f>
        <v/>
      </c>
      <c r="BM164" s="268"/>
      <c r="BN164" s="258" t="str">
        <f t="shared" si="90"/>
        <v/>
      </c>
      <c r="BO164" s="268"/>
      <c r="BP164" s="258" t="str">
        <f t="shared" si="91"/>
        <v/>
      </c>
      <c r="BQ164" s="268"/>
      <c r="BR164" s="258" t="str">
        <f t="shared" si="92"/>
        <v/>
      </c>
      <c r="BS164" s="268"/>
      <c r="BT164" s="256" t="str">
        <f t="shared" si="93"/>
        <v/>
      </c>
      <c r="BU164" s="256" t="str">
        <f t="shared" si="94"/>
        <v/>
      </c>
      <c r="BV164" s="256" t="str">
        <f t="shared" si="95"/>
        <v/>
      </c>
      <c r="BW164" s="267"/>
      <c r="BX164" s="256" t="str">
        <f t="shared" si="96"/>
        <v/>
      </c>
      <c r="BY164" s="256" t="str">
        <f t="shared" si="97"/>
        <v/>
      </c>
      <c r="BZ164" s="281"/>
      <c r="CA164" s="282"/>
      <c r="CC164" s="112" t="str">
        <f t="shared" ca="1" si="98"/>
        <v/>
      </c>
      <c r="CF164" s="284"/>
      <c r="CG164" s="284"/>
      <c r="CH164" s="284"/>
      <c r="CI164" s="284"/>
      <c r="CL164" s="356" t="str">
        <f>IFERROR(VLOOKUP(C164,'Data Sheet'!$A$3:$B$26,2,FALSE),"")</f>
        <v/>
      </c>
    </row>
    <row r="165" spans="1:90" s="98" customFormat="1" ht="15.75" x14ac:dyDescent="0.2">
      <c r="A165" s="97"/>
      <c r="B165" s="105" t="str">
        <f t="shared" si="101"/>
        <v>--</v>
      </c>
      <c r="C165" s="276"/>
      <c r="D165" s="101" t="str">
        <f>IFERROR(IF(VLOOKUP(C165,'Data Sheet'!$A$3:$D$26,4,FALSE)=0,"",VLOOKUP(C165,'Data Sheet'!$A$3:$D$26,4,FALSE)),"")</f>
        <v/>
      </c>
      <c r="E165" s="279"/>
      <c r="F165" s="103" t="str">
        <f>IFERROR(IF(VLOOKUP(E165,'Data Sheet'!$C$29:$E$174,3,FALSE)=0,"",VLOOKUP(E165,'Data Sheet'!$C$29:$E$174,3,FALSE)),"")</f>
        <v/>
      </c>
      <c r="G165" s="106" t="str">
        <f t="shared" si="99"/>
        <v>-</v>
      </c>
      <c r="H165" s="273"/>
      <c r="I165" s="107"/>
      <c r="J165" s="249" t="e">
        <f t="shared" si="100"/>
        <v>#VALUE!</v>
      </c>
      <c r="K165" s="101" t="str">
        <f>IFERROR(INDEX('Data Sheet'!$C$198:$C$275,MATCH(I165,'Data Sheet'!$F$198:$F$275,0)),"")</f>
        <v/>
      </c>
      <c r="L165" s="250" t="str">
        <f>IFERROR(INDEX('Data Sheet'!$G$198:$G$275,MATCH(I165,'Data Sheet'!$F$198:$F$275,0)),"")</f>
        <v/>
      </c>
      <c r="M165" s="194"/>
      <c r="N165" s="248"/>
      <c r="O165" s="248"/>
      <c r="P165" s="108" t="str">
        <f>IFERROR(INDEX(Setup!$D$44:$D$70,MATCH(M165,Setup!$K$44:$K$70,0))&amp;"","")</f>
        <v/>
      </c>
      <c r="Q165" s="108" t="str">
        <f>IFERROR(INDEX(Setup!$E$44:$E$70,MATCH(M165,Setup!$K$44:$K$70,0))&amp;"","")</f>
        <v/>
      </c>
      <c r="R165" s="108" t="str">
        <f>IFERROR(INDEX(Setup!$L$44:$L$70,MATCH(M165,Setup!$K$44:$K$70,0))&amp;"","")</f>
        <v/>
      </c>
      <c r="S165" s="108" t="str">
        <f>Setup!$C$30</f>
        <v>USD</v>
      </c>
      <c r="T165" s="109" t="str">
        <f>IFERROR(INDEX('Data Sheet'!$B$198:$B$275,MATCH(I165,'Data Sheet'!$F$198:$F$275,0)),"")</f>
        <v/>
      </c>
      <c r="U165" s="110" t="str">
        <f>IFERROR(INDEX('Data Sheet'!$D$198:$D$275,MATCH(I165,'Data Sheet'!$F$198:$F$275,0)),"")</f>
        <v/>
      </c>
      <c r="V165" s="99"/>
      <c r="W165" s="195" t="str">
        <f>IF(V165=Setup!$C$30,"Grant",IF(V165=Setup!$C$31,"Local",IF(V165=Setup!$C$32,"Other",IF(ISBLANK(V165),"","Other"))))</f>
        <v/>
      </c>
      <c r="X165" s="255"/>
      <c r="Y165" s="259" t="str">
        <f>IF(X165&lt;&gt;"",X165/VLOOKUP($V165,Setup!$C$30:$D$41,2,0),"")</f>
        <v/>
      </c>
      <c r="Z165" s="262"/>
      <c r="AA165" s="256" t="str">
        <f t="shared" si="72"/>
        <v/>
      </c>
      <c r="AB165" s="262"/>
      <c r="AC165" s="258" t="str">
        <f t="shared" si="73"/>
        <v/>
      </c>
      <c r="AD165" s="262"/>
      <c r="AE165" s="258" t="str">
        <f t="shared" si="74"/>
        <v/>
      </c>
      <c r="AF165" s="262"/>
      <c r="AG165" s="256" t="str">
        <f t="shared" si="75"/>
        <v/>
      </c>
      <c r="AH165" s="256" t="str">
        <f t="shared" si="76"/>
        <v/>
      </c>
      <c r="AI165" s="256" t="str">
        <f t="shared" si="77"/>
        <v/>
      </c>
      <c r="AJ165" s="111"/>
      <c r="AK165" s="255"/>
      <c r="AL165" s="259" t="str">
        <f>IF(AK165&lt;&gt;"",AK165/VLOOKUP($V165,Setup!$C$30:$D$41,2,0),"")</f>
        <v/>
      </c>
      <c r="AM165" s="266"/>
      <c r="AN165" s="258" t="str">
        <f t="shared" si="78"/>
        <v/>
      </c>
      <c r="AO165" s="266"/>
      <c r="AP165" s="258" t="str">
        <f t="shared" si="79"/>
        <v/>
      </c>
      <c r="AQ165" s="266"/>
      <c r="AR165" s="258" t="str">
        <f t="shared" si="80"/>
        <v/>
      </c>
      <c r="AS165" s="266"/>
      <c r="AT165" s="256" t="str">
        <f t="shared" si="81"/>
        <v/>
      </c>
      <c r="AU165" s="256" t="str">
        <f t="shared" si="82"/>
        <v/>
      </c>
      <c r="AV165" s="256" t="str">
        <f t="shared" si="83"/>
        <v/>
      </c>
      <c r="AW165" s="267"/>
      <c r="AX165" s="255"/>
      <c r="AY165" s="259" t="str">
        <f>IF(AX165&lt;&gt;"",AX165/VLOOKUP($V165,Setup!$C$30:$D$41,2,0),"")</f>
        <v/>
      </c>
      <c r="AZ165" s="268"/>
      <c r="BA165" s="258" t="str">
        <f t="shared" si="84"/>
        <v/>
      </c>
      <c r="BB165" s="268"/>
      <c r="BC165" s="258" t="str">
        <f t="shared" si="85"/>
        <v/>
      </c>
      <c r="BD165" s="268"/>
      <c r="BE165" s="258" t="str">
        <f t="shared" si="86"/>
        <v/>
      </c>
      <c r="BF165" s="268"/>
      <c r="BG165" s="256" t="str">
        <f t="shared" si="87"/>
        <v/>
      </c>
      <c r="BH165" s="256" t="str">
        <f t="shared" si="88"/>
        <v/>
      </c>
      <c r="BI165" s="256" t="str">
        <f t="shared" si="89"/>
        <v/>
      </c>
      <c r="BJ165" s="267"/>
      <c r="BK165" s="255"/>
      <c r="BL165" s="259" t="str">
        <f>IF(BK165&lt;&gt;"",BK165/VLOOKUP($V165,Setup!$C$30:$D$41,2,0),"")</f>
        <v/>
      </c>
      <c r="BM165" s="268"/>
      <c r="BN165" s="258" t="str">
        <f t="shared" si="90"/>
        <v/>
      </c>
      <c r="BO165" s="268"/>
      <c r="BP165" s="258" t="str">
        <f t="shared" si="91"/>
        <v/>
      </c>
      <c r="BQ165" s="268"/>
      <c r="BR165" s="258" t="str">
        <f t="shared" si="92"/>
        <v/>
      </c>
      <c r="BS165" s="268"/>
      <c r="BT165" s="256" t="str">
        <f t="shared" si="93"/>
        <v/>
      </c>
      <c r="BU165" s="256" t="str">
        <f t="shared" si="94"/>
        <v/>
      </c>
      <c r="BV165" s="256" t="str">
        <f t="shared" si="95"/>
        <v/>
      </c>
      <c r="BW165" s="267"/>
      <c r="BX165" s="256" t="str">
        <f t="shared" si="96"/>
        <v/>
      </c>
      <c r="BY165" s="256" t="str">
        <f t="shared" si="97"/>
        <v/>
      </c>
      <c r="BZ165" s="281"/>
      <c r="CA165" s="282"/>
      <c r="CC165" s="112" t="str">
        <f t="shared" ca="1" si="98"/>
        <v/>
      </c>
      <c r="CF165" s="284"/>
      <c r="CG165" s="284"/>
      <c r="CH165" s="284"/>
      <c r="CI165" s="284"/>
      <c r="CL165" s="356" t="str">
        <f>IFERROR(VLOOKUP(C165,'Data Sheet'!$A$3:$B$26,2,FALSE),"")</f>
        <v/>
      </c>
    </row>
    <row r="166" spans="1:90" s="98" customFormat="1" ht="15.75" x14ac:dyDescent="0.2">
      <c r="A166" s="97"/>
      <c r="B166" s="105" t="str">
        <f t="shared" si="101"/>
        <v>--</v>
      </c>
      <c r="C166" s="276"/>
      <c r="D166" s="101" t="str">
        <f>IFERROR(IF(VLOOKUP(C166,'Data Sheet'!$A$3:$D$26,4,FALSE)=0,"",VLOOKUP(C166,'Data Sheet'!$A$3:$D$26,4,FALSE)),"")</f>
        <v/>
      </c>
      <c r="E166" s="279"/>
      <c r="F166" s="103" t="str">
        <f>IFERROR(IF(VLOOKUP(E166,'Data Sheet'!$C$29:$E$174,3,FALSE)=0,"",VLOOKUP(E166,'Data Sheet'!$C$29:$E$174,3,FALSE)),"")</f>
        <v/>
      </c>
      <c r="G166" s="106" t="str">
        <f t="shared" si="99"/>
        <v>-</v>
      </c>
      <c r="H166" s="273"/>
      <c r="I166" s="107"/>
      <c r="J166" s="249" t="e">
        <f t="shared" si="100"/>
        <v>#VALUE!</v>
      </c>
      <c r="K166" s="101" t="str">
        <f>IFERROR(INDEX('Data Sheet'!$C$198:$C$275,MATCH(I166,'Data Sheet'!$F$198:$F$275,0)),"")</f>
        <v/>
      </c>
      <c r="L166" s="250" t="str">
        <f>IFERROR(INDEX('Data Sheet'!$G$198:$G$275,MATCH(I166,'Data Sheet'!$F$198:$F$275,0)),"")</f>
        <v/>
      </c>
      <c r="M166" s="194"/>
      <c r="N166" s="248"/>
      <c r="O166" s="248"/>
      <c r="P166" s="108" t="str">
        <f>IFERROR(INDEX(Setup!$D$44:$D$70,MATCH(M166,Setup!$K$44:$K$70,0))&amp;"","")</f>
        <v/>
      </c>
      <c r="Q166" s="108" t="str">
        <f>IFERROR(INDEX(Setup!$E$44:$E$70,MATCH(M166,Setup!$K$44:$K$70,0))&amp;"","")</f>
        <v/>
      </c>
      <c r="R166" s="108" t="str">
        <f>IFERROR(INDEX(Setup!$L$44:$L$70,MATCH(M166,Setup!$K$44:$K$70,0))&amp;"","")</f>
        <v/>
      </c>
      <c r="S166" s="108" t="str">
        <f>Setup!$C$30</f>
        <v>USD</v>
      </c>
      <c r="T166" s="109" t="str">
        <f>IFERROR(INDEX('Data Sheet'!$B$198:$B$275,MATCH(I166,'Data Sheet'!$F$198:$F$275,0)),"")</f>
        <v/>
      </c>
      <c r="U166" s="110" t="str">
        <f>IFERROR(INDEX('Data Sheet'!$D$198:$D$275,MATCH(I166,'Data Sheet'!$F$198:$F$275,0)),"")</f>
        <v/>
      </c>
      <c r="V166" s="99"/>
      <c r="W166" s="195" t="str">
        <f>IF(V166=Setup!$C$30,"Grant",IF(V166=Setup!$C$31,"Local",IF(V166=Setup!$C$32,"Other",IF(ISBLANK(V166),"","Other"))))</f>
        <v/>
      </c>
      <c r="X166" s="255"/>
      <c r="Y166" s="259" t="str">
        <f>IF(X166&lt;&gt;"",X166/VLOOKUP($V166,Setup!$C$30:$D$41,2,0),"")</f>
        <v/>
      </c>
      <c r="Z166" s="262"/>
      <c r="AA166" s="256" t="str">
        <f t="shared" si="72"/>
        <v/>
      </c>
      <c r="AB166" s="262"/>
      <c r="AC166" s="258" t="str">
        <f t="shared" si="73"/>
        <v/>
      </c>
      <c r="AD166" s="262"/>
      <c r="AE166" s="258" t="str">
        <f t="shared" si="74"/>
        <v/>
      </c>
      <c r="AF166" s="262"/>
      <c r="AG166" s="256" t="str">
        <f t="shared" si="75"/>
        <v/>
      </c>
      <c r="AH166" s="256" t="str">
        <f t="shared" si="76"/>
        <v/>
      </c>
      <c r="AI166" s="256" t="str">
        <f t="shared" si="77"/>
        <v/>
      </c>
      <c r="AJ166" s="111"/>
      <c r="AK166" s="255"/>
      <c r="AL166" s="259" t="str">
        <f>IF(AK166&lt;&gt;"",AK166/VLOOKUP($V166,Setup!$C$30:$D$41,2,0),"")</f>
        <v/>
      </c>
      <c r="AM166" s="266"/>
      <c r="AN166" s="258" t="str">
        <f t="shared" si="78"/>
        <v/>
      </c>
      <c r="AO166" s="266"/>
      <c r="AP166" s="258" t="str">
        <f t="shared" si="79"/>
        <v/>
      </c>
      <c r="AQ166" s="266"/>
      <c r="AR166" s="258" t="str">
        <f t="shared" si="80"/>
        <v/>
      </c>
      <c r="AS166" s="266"/>
      <c r="AT166" s="256" t="str">
        <f t="shared" si="81"/>
        <v/>
      </c>
      <c r="AU166" s="256" t="str">
        <f t="shared" si="82"/>
        <v/>
      </c>
      <c r="AV166" s="256" t="str">
        <f t="shared" si="83"/>
        <v/>
      </c>
      <c r="AW166" s="267"/>
      <c r="AX166" s="255"/>
      <c r="AY166" s="259" t="str">
        <f>IF(AX166&lt;&gt;"",AX166/VLOOKUP($V166,Setup!$C$30:$D$41,2,0),"")</f>
        <v/>
      </c>
      <c r="AZ166" s="268"/>
      <c r="BA166" s="258" t="str">
        <f t="shared" si="84"/>
        <v/>
      </c>
      <c r="BB166" s="268"/>
      <c r="BC166" s="258" t="str">
        <f t="shared" si="85"/>
        <v/>
      </c>
      <c r="BD166" s="268"/>
      <c r="BE166" s="258" t="str">
        <f t="shared" si="86"/>
        <v/>
      </c>
      <c r="BF166" s="268"/>
      <c r="BG166" s="256" t="str">
        <f t="shared" si="87"/>
        <v/>
      </c>
      <c r="BH166" s="256" t="str">
        <f t="shared" si="88"/>
        <v/>
      </c>
      <c r="BI166" s="256" t="str">
        <f t="shared" si="89"/>
        <v/>
      </c>
      <c r="BJ166" s="267"/>
      <c r="BK166" s="255"/>
      <c r="BL166" s="259" t="str">
        <f>IF(BK166&lt;&gt;"",BK166/VLOOKUP($V166,Setup!$C$30:$D$41,2,0),"")</f>
        <v/>
      </c>
      <c r="BM166" s="268"/>
      <c r="BN166" s="258" t="str">
        <f t="shared" si="90"/>
        <v/>
      </c>
      <c r="BO166" s="268"/>
      <c r="BP166" s="258" t="str">
        <f t="shared" si="91"/>
        <v/>
      </c>
      <c r="BQ166" s="268"/>
      <c r="BR166" s="258" t="str">
        <f t="shared" si="92"/>
        <v/>
      </c>
      <c r="BS166" s="268"/>
      <c r="BT166" s="256" t="str">
        <f t="shared" si="93"/>
        <v/>
      </c>
      <c r="BU166" s="256" t="str">
        <f t="shared" si="94"/>
        <v/>
      </c>
      <c r="BV166" s="256" t="str">
        <f t="shared" si="95"/>
        <v/>
      </c>
      <c r="BW166" s="267"/>
      <c r="BX166" s="256" t="str">
        <f t="shared" si="96"/>
        <v/>
      </c>
      <c r="BY166" s="256" t="str">
        <f t="shared" si="97"/>
        <v/>
      </c>
      <c r="BZ166" s="281"/>
      <c r="CA166" s="282"/>
      <c r="CC166" s="112" t="str">
        <f t="shared" ca="1" si="98"/>
        <v/>
      </c>
      <c r="CF166" s="284"/>
      <c r="CG166" s="284"/>
      <c r="CH166" s="284"/>
      <c r="CI166" s="284"/>
      <c r="CL166" s="356" t="str">
        <f>IFERROR(VLOOKUP(C166,'Data Sheet'!$A$3:$B$26,2,FALSE),"")</f>
        <v/>
      </c>
    </row>
    <row r="167" spans="1:90" s="98" customFormat="1" ht="15.75" x14ac:dyDescent="0.2">
      <c r="A167" s="97"/>
      <c r="B167" s="105" t="str">
        <f t="shared" si="101"/>
        <v>--</v>
      </c>
      <c r="C167" s="276"/>
      <c r="D167" s="101" t="str">
        <f>IFERROR(IF(VLOOKUP(C167,'Data Sheet'!$A$3:$D$26,4,FALSE)=0,"",VLOOKUP(C167,'Data Sheet'!$A$3:$D$26,4,FALSE)),"")</f>
        <v/>
      </c>
      <c r="E167" s="279"/>
      <c r="F167" s="103" t="str">
        <f>IFERROR(IF(VLOOKUP(E167,'Data Sheet'!$C$29:$E$174,3,FALSE)=0,"",VLOOKUP(E167,'Data Sheet'!$C$29:$E$174,3,FALSE)),"")</f>
        <v/>
      </c>
      <c r="G167" s="106" t="str">
        <f t="shared" si="99"/>
        <v>-</v>
      </c>
      <c r="H167" s="273"/>
      <c r="I167" s="107"/>
      <c r="J167" s="249" t="e">
        <f t="shared" si="100"/>
        <v>#VALUE!</v>
      </c>
      <c r="K167" s="101" t="str">
        <f>IFERROR(INDEX('Data Sheet'!$C$198:$C$275,MATCH(I167,'Data Sheet'!$F$198:$F$275,0)),"")</f>
        <v/>
      </c>
      <c r="L167" s="250" t="str">
        <f>IFERROR(INDEX('Data Sheet'!$G$198:$G$275,MATCH(I167,'Data Sheet'!$F$198:$F$275,0)),"")</f>
        <v/>
      </c>
      <c r="M167" s="194"/>
      <c r="N167" s="248"/>
      <c r="O167" s="248"/>
      <c r="P167" s="108" t="str">
        <f>IFERROR(INDEX(Setup!$D$44:$D$70,MATCH(M167,Setup!$K$44:$K$70,0))&amp;"","")</f>
        <v/>
      </c>
      <c r="Q167" s="108" t="str">
        <f>IFERROR(INDEX(Setup!$E$44:$E$70,MATCH(M167,Setup!$K$44:$K$70,0))&amp;"","")</f>
        <v/>
      </c>
      <c r="R167" s="108" t="str">
        <f>IFERROR(INDEX(Setup!$L$44:$L$70,MATCH(M167,Setup!$K$44:$K$70,0))&amp;"","")</f>
        <v/>
      </c>
      <c r="S167" s="108" t="str">
        <f>Setup!$C$30</f>
        <v>USD</v>
      </c>
      <c r="T167" s="109" t="str">
        <f>IFERROR(INDEX('Data Sheet'!$B$198:$B$275,MATCH(I167,'Data Sheet'!$F$198:$F$275,0)),"")</f>
        <v/>
      </c>
      <c r="U167" s="110" t="str">
        <f>IFERROR(INDEX('Data Sheet'!$D$198:$D$275,MATCH(I167,'Data Sheet'!$F$198:$F$275,0)),"")</f>
        <v/>
      </c>
      <c r="V167" s="99"/>
      <c r="W167" s="195" t="str">
        <f>IF(V167=Setup!$C$30,"Grant",IF(V167=Setup!$C$31,"Local",IF(V167=Setup!$C$32,"Other",IF(ISBLANK(V167),"","Other"))))</f>
        <v/>
      </c>
      <c r="X167" s="255"/>
      <c r="Y167" s="259" t="str">
        <f>IF(X167&lt;&gt;"",X167/VLOOKUP($V167,Setup!$C$30:$D$41,2,0),"")</f>
        <v/>
      </c>
      <c r="Z167" s="262"/>
      <c r="AA167" s="256" t="str">
        <f t="shared" si="72"/>
        <v/>
      </c>
      <c r="AB167" s="262"/>
      <c r="AC167" s="258" t="str">
        <f t="shared" si="73"/>
        <v/>
      </c>
      <c r="AD167" s="262"/>
      <c r="AE167" s="258" t="str">
        <f t="shared" si="74"/>
        <v/>
      </c>
      <c r="AF167" s="262"/>
      <c r="AG167" s="256" t="str">
        <f t="shared" si="75"/>
        <v/>
      </c>
      <c r="AH167" s="256" t="str">
        <f t="shared" si="76"/>
        <v/>
      </c>
      <c r="AI167" s="256" t="str">
        <f t="shared" si="77"/>
        <v/>
      </c>
      <c r="AJ167" s="111"/>
      <c r="AK167" s="255"/>
      <c r="AL167" s="259" t="str">
        <f>IF(AK167&lt;&gt;"",AK167/VLOOKUP($V167,Setup!$C$30:$D$41,2,0),"")</f>
        <v/>
      </c>
      <c r="AM167" s="266"/>
      <c r="AN167" s="258" t="str">
        <f t="shared" si="78"/>
        <v/>
      </c>
      <c r="AO167" s="266"/>
      <c r="AP167" s="258" t="str">
        <f t="shared" si="79"/>
        <v/>
      </c>
      <c r="AQ167" s="266"/>
      <c r="AR167" s="258" t="str">
        <f t="shared" si="80"/>
        <v/>
      </c>
      <c r="AS167" s="266"/>
      <c r="AT167" s="256" t="str">
        <f t="shared" si="81"/>
        <v/>
      </c>
      <c r="AU167" s="256" t="str">
        <f t="shared" si="82"/>
        <v/>
      </c>
      <c r="AV167" s="256" t="str">
        <f t="shared" si="83"/>
        <v/>
      </c>
      <c r="AW167" s="267"/>
      <c r="AX167" s="255"/>
      <c r="AY167" s="259" t="str">
        <f>IF(AX167&lt;&gt;"",AX167/VLOOKUP($V167,Setup!$C$30:$D$41,2,0),"")</f>
        <v/>
      </c>
      <c r="AZ167" s="268"/>
      <c r="BA167" s="258" t="str">
        <f t="shared" si="84"/>
        <v/>
      </c>
      <c r="BB167" s="268"/>
      <c r="BC167" s="258" t="str">
        <f t="shared" si="85"/>
        <v/>
      </c>
      <c r="BD167" s="268"/>
      <c r="BE167" s="258" t="str">
        <f t="shared" si="86"/>
        <v/>
      </c>
      <c r="BF167" s="268"/>
      <c r="BG167" s="256" t="str">
        <f t="shared" si="87"/>
        <v/>
      </c>
      <c r="BH167" s="256" t="str">
        <f t="shared" si="88"/>
        <v/>
      </c>
      <c r="BI167" s="256" t="str">
        <f t="shared" si="89"/>
        <v/>
      </c>
      <c r="BJ167" s="267"/>
      <c r="BK167" s="255"/>
      <c r="BL167" s="259" t="str">
        <f>IF(BK167&lt;&gt;"",BK167/VLOOKUP($V167,Setup!$C$30:$D$41,2,0),"")</f>
        <v/>
      </c>
      <c r="BM167" s="268"/>
      <c r="BN167" s="258" t="str">
        <f t="shared" si="90"/>
        <v/>
      </c>
      <c r="BO167" s="268"/>
      <c r="BP167" s="258" t="str">
        <f t="shared" si="91"/>
        <v/>
      </c>
      <c r="BQ167" s="268"/>
      <c r="BR167" s="258" t="str">
        <f t="shared" si="92"/>
        <v/>
      </c>
      <c r="BS167" s="268"/>
      <c r="BT167" s="256" t="str">
        <f t="shared" si="93"/>
        <v/>
      </c>
      <c r="BU167" s="256" t="str">
        <f t="shared" si="94"/>
        <v/>
      </c>
      <c r="BV167" s="256" t="str">
        <f t="shared" si="95"/>
        <v/>
      </c>
      <c r="BW167" s="267"/>
      <c r="BX167" s="256" t="str">
        <f t="shared" si="96"/>
        <v/>
      </c>
      <c r="BY167" s="256" t="str">
        <f t="shared" si="97"/>
        <v/>
      </c>
      <c r="BZ167" s="281"/>
      <c r="CA167" s="282"/>
      <c r="CC167" s="112" t="str">
        <f t="shared" ca="1" si="98"/>
        <v/>
      </c>
      <c r="CF167" s="284"/>
      <c r="CG167" s="284"/>
      <c r="CH167" s="284"/>
      <c r="CI167" s="284"/>
      <c r="CL167" s="356" t="str">
        <f>IFERROR(VLOOKUP(C167,'Data Sheet'!$A$3:$B$26,2,FALSE),"")</f>
        <v/>
      </c>
    </row>
    <row r="168" spans="1:90" s="98" customFormat="1" ht="15.75" x14ac:dyDescent="0.2">
      <c r="A168" s="97"/>
      <c r="B168" s="105" t="str">
        <f t="shared" si="101"/>
        <v>--</v>
      </c>
      <c r="C168" s="276"/>
      <c r="D168" s="101" t="str">
        <f>IFERROR(IF(VLOOKUP(C168,'Data Sheet'!$A$3:$D$26,4,FALSE)=0,"",VLOOKUP(C168,'Data Sheet'!$A$3:$D$26,4,FALSE)),"")</f>
        <v/>
      </c>
      <c r="E168" s="279"/>
      <c r="F168" s="103" t="str">
        <f>IFERROR(IF(VLOOKUP(E168,'Data Sheet'!$C$29:$E$174,3,FALSE)=0,"",VLOOKUP(E168,'Data Sheet'!$C$29:$E$174,3,FALSE)),"")</f>
        <v/>
      </c>
      <c r="G168" s="106" t="str">
        <f t="shared" si="99"/>
        <v>-</v>
      </c>
      <c r="H168" s="273"/>
      <c r="I168" s="107"/>
      <c r="J168" s="249" t="e">
        <f t="shared" si="100"/>
        <v>#VALUE!</v>
      </c>
      <c r="K168" s="101" t="str">
        <f>IFERROR(INDEX('Data Sheet'!$C$198:$C$275,MATCH(I168,'Data Sheet'!$F$198:$F$275,0)),"")</f>
        <v/>
      </c>
      <c r="L168" s="250" t="str">
        <f>IFERROR(INDEX('Data Sheet'!$G$198:$G$275,MATCH(I168,'Data Sheet'!$F$198:$F$275,0)),"")</f>
        <v/>
      </c>
      <c r="M168" s="194"/>
      <c r="N168" s="248"/>
      <c r="O168" s="248"/>
      <c r="P168" s="108" t="str">
        <f>IFERROR(INDEX(Setup!$D$44:$D$70,MATCH(M168,Setup!$K$44:$K$70,0))&amp;"","")</f>
        <v/>
      </c>
      <c r="Q168" s="108" t="str">
        <f>IFERROR(INDEX(Setup!$E$44:$E$70,MATCH(M168,Setup!$K$44:$K$70,0))&amp;"","")</f>
        <v/>
      </c>
      <c r="R168" s="108" t="str">
        <f>IFERROR(INDEX(Setup!$L$44:$L$70,MATCH(M168,Setup!$K$44:$K$70,0))&amp;"","")</f>
        <v/>
      </c>
      <c r="S168" s="108" t="str">
        <f>Setup!$C$30</f>
        <v>USD</v>
      </c>
      <c r="T168" s="109" t="str">
        <f>IFERROR(INDEX('Data Sheet'!$B$198:$B$275,MATCH(I168,'Data Sheet'!$F$198:$F$275,0)),"")</f>
        <v/>
      </c>
      <c r="U168" s="110" t="str">
        <f>IFERROR(INDEX('Data Sheet'!$D$198:$D$275,MATCH(I168,'Data Sheet'!$F$198:$F$275,0)),"")</f>
        <v/>
      </c>
      <c r="V168" s="99"/>
      <c r="W168" s="195" t="str">
        <f>IF(V168=Setup!$C$30,"Grant",IF(V168=Setup!$C$31,"Local",IF(V168=Setup!$C$32,"Other",IF(ISBLANK(V168),"","Other"))))</f>
        <v/>
      </c>
      <c r="X168" s="255"/>
      <c r="Y168" s="259" t="str">
        <f>IF(X168&lt;&gt;"",X168/VLOOKUP($V168,Setup!$C$30:$D$41,2,0),"")</f>
        <v/>
      </c>
      <c r="Z168" s="262"/>
      <c r="AA168" s="256" t="str">
        <f t="shared" si="72"/>
        <v/>
      </c>
      <c r="AB168" s="262"/>
      <c r="AC168" s="258" t="str">
        <f t="shared" si="73"/>
        <v/>
      </c>
      <c r="AD168" s="262"/>
      <c r="AE168" s="258" t="str">
        <f t="shared" si="74"/>
        <v/>
      </c>
      <c r="AF168" s="262"/>
      <c r="AG168" s="256" t="str">
        <f t="shared" si="75"/>
        <v/>
      </c>
      <c r="AH168" s="256" t="str">
        <f t="shared" si="76"/>
        <v/>
      </c>
      <c r="AI168" s="256" t="str">
        <f t="shared" si="77"/>
        <v/>
      </c>
      <c r="AJ168" s="111"/>
      <c r="AK168" s="255"/>
      <c r="AL168" s="259" t="str">
        <f>IF(AK168&lt;&gt;"",AK168/VLOOKUP($V168,Setup!$C$30:$D$41,2,0),"")</f>
        <v/>
      </c>
      <c r="AM168" s="266"/>
      <c r="AN168" s="258" t="str">
        <f t="shared" si="78"/>
        <v/>
      </c>
      <c r="AO168" s="266"/>
      <c r="AP168" s="258" t="str">
        <f t="shared" si="79"/>
        <v/>
      </c>
      <c r="AQ168" s="266"/>
      <c r="AR168" s="258" t="str">
        <f t="shared" si="80"/>
        <v/>
      </c>
      <c r="AS168" s="266"/>
      <c r="AT168" s="256" t="str">
        <f t="shared" si="81"/>
        <v/>
      </c>
      <c r="AU168" s="256" t="str">
        <f t="shared" si="82"/>
        <v/>
      </c>
      <c r="AV168" s="256" t="str">
        <f t="shared" si="83"/>
        <v/>
      </c>
      <c r="AW168" s="267"/>
      <c r="AX168" s="255"/>
      <c r="AY168" s="259" t="str">
        <f>IF(AX168&lt;&gt;"",AX168/VLOOKUP($V168,Setup!$C$30:$D$41,2,0),"")</f>
        <v/>
      </c>
      <c r="AZ168" s="268"/>
      <c r="BA168" s="258" t="str">
        <f t="shared" si="84"/>
        <v/>
      </c>
      <c r="BB168" s="268"/>
      <c r="BC168" s="258" t="str">
        <f t="shared" si="85"/>
        <v/>
      </c>
      <c r="BD168" s="268"/>
      <c r="BE168" s="258" t="str">
        <f t="shared" si="86"/>
        <v/>
      </c>
      <c r="BF168" s="268"/>
      <c r="BG168" s="256" t="str">
        <f t="shared" si="87"/>
        <v/>
      </c>
      <c r="BH168" s="256" t="str">
        <f t="shared" si="88"/>
        <v/>
      </c>
      <c r="BI168" s="256" t="str">
        <f t="shared" si="89"/>
        <v/>
      </c>
      <c r="BJ168" s="267"/>
      <c r="BK168" s="255"/>
      <c r="BL168" s="259" t="str">
        <f>IF(BK168&lt;&gt;"",BK168/VLOOKUP($V168,Setup!$C$30:$D$41,2,0),"")</f>
        <v/>
      </c>
      <c r="BM168" s="268"/>
      <c r="BN168" s="258" t="str">
        <f t="shared" si="90"/>
        <v/>
      </c>
      <c r="BO168" s="268"/>
      <c r="BP168" s="258" t="str">
        <f t="shared" si="91"/>
        <v/>
      </c>
      <c r="BQ168" s="268"/>
      <c r="BR168" s="258" t="str">
        <f t="shared" si="92"/>
        <v/>
      </c>
      <c r="BS168" s="268"/>
      <c r="BT168" s="256" t="str">
        <f t="shared" si="93"/>
        <v/>
      </c>
      <c r="BU168" s="256" t="str">
        <f t="shared" si="94"/>
        <v/>
      </c>
      <c r="BV168" s="256" t="str">
        <f t="shared" si="95"/>
        <v/>
      </c>
      <c r="BW168" s="267"/>
      <c r="BX168" s="256" t="str">
        <f t="shared" si="96"/>
        <v/>
      </c>
      <c r="BY168" s="256" t="str">
        <f t="shared" si="97"/>
        <v/>
      </c>
      <c r="BZ168" s="281"/>
      <c r="CA168" s="282"/>
      <c r="CC168" s="112" t="str">
        <f t="shared" ca="1" si="98"/>
        <v/>
      </c>
      <c r="CF168" s="284"/>
      <c r="CG168" s="284"/>
      <c r="CH168" s="284"/>
      <c r="CI168" s="284"/>
      <c r="CL168" s="356" t="str">
        <f>IFERROR(VLOOKUP(C168,'Data Sheet'!$A$3:$B$26,2,FALSE),"")</f>
        <v/>
      </c>
    </row>
    <row r="169" spans="1:90" s="98" customFormat="1" ht="15.75" x14ac:dyDescent="0.2">
      <c r="A169" s="97"/>
      <c r="B169" s="105" t="str">
        <f t="shared" si="101"/>
        <v>--</v>
      </c>
      <c r="C169" s="276"/>
      <c r="D169" s="101" t="str">
        <f>IFERROR(IF(VLOOKUP(C169,'Data Sheet'!$A$3:$D$26,4,FALSE)=0,"",VLOOKUP(C169,'Data Sheet'!$A$3:$D$26,4,FALSE)),"")</f>
        <v/>
      </c>
      <c r="E169" s="279"/>
      <c r="F169" s="103" t="str">
        <f>IFERROR(IF(VLOOKUP(E169,'Data Sheet'!$C$29:$E$174,3,FALSE)=0,"",VLOOKUP(E169,'Data Sheet'!$C$29:$E$174,3,FALSE)),"")</f>
        <v/>
      </c>
      <c r="G169" s="106" t="str">
        <f t="shared" si="99"/>
        <v>-</v>
      </c>
      <c r="H169" s="273"/>
      <c r="I169" s="107"/>
      <c r="J169" s="249" t="e">
        <f t="shared" si="100"/>
        <v>#VALUE!</v>
      </c>
      <c r="K169" s="101" t="str">
        <f>IFERROR(INDEX('Data Sheet'!$C$198:$C$275,MATCH(I169,'Data Sheet'!$F$198:$F$275,0)),"")</f>
        <v/>
      </c>
      <c r="L169" s="250" t="str">
        <f>IFERROR(INDEX('Data Sheet'!$G$198:$G$275,MATCH(I169,'Data Sheet'!$F$198:$F$275,0)),"")</f>
        <v/>
      </c>
      <c r="M169" s="194"/>
      <c r="N169" s="248"/>
      <c r="O169" s="248"/>
      <c r="P169" s="108" t="str">
        <f>IFERROR(INDEX(Setup!$D$44:$D$70,MATCH(M169,Setup!$K$44:$K$70,0))&amp;"","")</f>
        <v/>
      </c>
      <c r="Q169" s="108" t="str">
        <f>IFERROR(INDEX(Setup!$E$44:$E$70,MATCH(M169,Setup!$K$44:$K$70,0))&amp;"","")</f>
        <v/>
      </c>
      <c r="R169" s="108" t="str">
        <f>IFERROR(INDEX(Setup!$L$44:$L$70,MATCH(M169,Setup!$K$44:$K$70,0))&amp;"","")</f>
        <v/>
      </c>
      <c r="S169" s="108" t="str">
        <f>Setup!$C$30</f>
        <v>USD</v>
      </c>
      <c r="T169" s="109" t="str">
        <f>IFERROR(INDEX('Data Sheet'!$B$198:$B$275,MATCH(I169,'Data Sheet'!$F$198:$F$275,0)),"")</f>
        <v/>
      </c>
      <c r="U169" s="110" t="str">
        <f>IFERROR(INDEX('Data Sheet'!$D$198:$D$275,MATCH(I169,'Data Sheet'!$F$198:$F$275,0)),"")</f>
        <v/>
      </c>
      <c r="V169" s="99"/>
      <c r="W169" s="195" t="str">
        <f>IF(V169=Setup!$C$30,"Grant",IF(V169=Setup!$C$31,"Local",IF(V169=Setup!$C$32,"Other",IF(ISBLANK(V169),"","Other"))))</f>
        <v/>
      </c>
      <c r="X169" s="255"/>
      <c r="Y169" s="259" t="str">
        <f>IF(X169&lt;&gt;"",X169/VLOOKUP($V169,Setup!$C$30:$D$41,2,0),"")</f>
        <v/>
      </c>
      <c r="Z169" s="262"/>
      <c r="AA169" s="256" t="str">
        <f t="shared" si="72"/>
        <v/>
      </c>
      <c r="AB169" s="262"/>
      <c r="AC169" s="258" t="str">
        <f t="shared" si="73"/>
        <v/>
      </c>
      <c r="AD169" s="262"/>
      <c r="AE169" s="258" t="str">
        <f t="shared" si="74"/>
        <v/>
      </c>
      <c r="AF169" s="262"/>
      <c r="AG169" s="256" t="str">
        <f t="shared" si="75"/>
        <v/>
      </c>
      <c r="AH169" s="256" t="str">
        <f t="shared" si="76"/>
        <v/>
      </c>
      <c r="AI169" s="256" t="str">
        <f t="shared" si="77"/>
        <v/>
      </c>
      <c r="AJ169" s="111"/>
      <c r="AK169" s="255"/>
      <c r="AL169" s="259" t="str">
        <f>IF(AK169&lt;&gt;"",AK169/VLOOKUP($V169,Setup!$C$30:$D$41,2,0),"")</f>
        <v/>
      </c>
      <c r="AM169" s="266"/>
      <c r="AN169" s="258" t="str">
        <f t="shared" si="78"/>
        <v/>
      </c>
      <c r="AO169" s="266"/>
      <c r="AP169" s="258" t="str">
        <f t="shared" si="79"/>
        <v/>
      </c>
      <c r="AQ169" s="266"/>
      <c r="AR169" s="258" t="str">
        <f t="shared" si="80"/>
        <v/>
      </c>
      <c r="AS169" s="266"/>
      <c r="AT169" s="256" t="str">
        <f t="shared" si="81"/>
        <v/>
      </c>
      <c r="AU169" s="256" t="str">
        <f t="shared" si="82"/>
        <v/>
      </c>
      <c r="AV169" s="256" t="str">
        <f t="shared" si="83"/>
        <v/>
      </c>
      <c r="AW169" s="267"/>
      <c r="AX169" s="255"/>
      <c r="AY169" s="259" t="str">
        <f>IF(AX169&lt;&gt;"",AX169/VLOOKUP($V169,Setup!$C$30:$D$41,2,0),"")</f>
        <v/>
      </c>
      <c r="AZ169" s="268"/>
      <c r="BA169" s="258" t="str">
        <f t="shared" si="84"/>
        <v/>
      </c>
      <c r="BB169" s="268"/>
      <c r="BC169" s="258" t="str">
        <f t="shared" si="85"/>
        <v/>
      </c>
      <c r="BD169" s="268"/>
      <c r="BE169" s="258" t="str">
        <f t="shared" si="86"/>
        <v/>
      </c>
      <c r="BF169" s="268"/>
      <c r="BG169" s="256" t="str">
        <f t="shared" si="87"/>
        <v/>
      </c>
      <c r="BH169" s="256" t="str">
        <f t="shared" si="88"/>
        <v/>
      </c>
      <c r="BI169" s="256" t="str">
        <f t="shared" si="89"/>
        <v/>
      </c>
      <c r="BJ169" s="267"/>
      <c r="BK169" s="255"/>
      <c r="BL169" s="259" t="str">
        <f>IF(BK169&lt;&gt;"",BK169/VLOOKUP($V169,Setup!$C$30:$D$41,2,0),"")</f>
        <v/>
      </c>
      <c r="BM169" s="268"/>
      <c r="BN169" s="258" t="str">
        <f t="shared" si="90"/>
        <v/>
      </c>
      <c r="BO169" s="268"/>
      <c r="BP169" s="258" t="str">
        <f t="shared" si="91"/>
        <v/>
      </c>
      <c r="BQ169" s="268"/>
      <c r="BR169" s="258" t="str">
        <f t="shared" si="92"/>
        <v/>
      </c>
      <c r="BS169" s="268"/>
      <c r="BT169" s="256" t="str">
        <f t="shared" si="93"/>
        <v/>
      </c>
      <c r="BU169" s="256" t="str">
        <f t="shared" si="94"/>
        <v/>
      </c>
      <c r="BV169" s="256" t="str">
        <f t="shared" si="95"/>
        <v/>
      </c>
      <c r="BW169" s="267"/>
      <c r="BX169" s="256" t="str">
        <f t="shared" si="96"/>
        <v/>
      </c>
      <c r="BY169" s="256" t="str">
        <f t="shared" si="97"/>
        <v/>
      </c>
      <c r="BZ169" s="281"/>
      <c r="CA169" s="282"/>
      <c r="CC169" s="112" t="str">
        <f t="shared" ca="1" si="98"/>
        <v/>
      </c>
      <c r="CF169" s="284"/>
      <c r="CG169" s="284"/>
      <c r="CH169" s="284"/>
      <c r="CI169" s="284"/>
      <c r="CL169" s="356" t="str">
        <f>IFERROR(VLOOKUP(C169,'Data Sheet'!$A$3:$B$26,2,FALSE),"")</f>
        <v/>
      </c>
    </row>
    <row r="170" spans="1:90" s="98" customFormat="1" ht="15.75" x14ac:dyDescent="0.2">
      <c r="A170" s="97"/>
      <c r="B170" s="105" t="str">
        <f t="shared" si="101"/>
        <v>--</v>
      </c>
      <c r="C170" s="276"/>
      <c r="D170" s="101" t="str">
        <f>IFERROR(IF(VLOOKUP(C170,'Data Sheet'!$A$3:$D$26,4,FALSE)=0,"",VLOOKUP(C170,'Data Sheet'!$A$3:$D$26,4,FALSE)),"")</f>
        <v/>
      </c>
      <c r="E170" s="279"/>
      <c r="F170" s="103" t="str">
        <f>IFERROR(IF(VLOOKUP(E170,'Data Sheet'!$C$29:$E$174,3,FALSE)=0,"",VLOOKUP(E170,'Data Sheet'!$C$29:$E$174,3,FALSE)),"")</f>
        <v/>
      </c>
      <c r="G170" s="106" t="str">
        <f t="shared" si="99"/>
        <v>-</v>
      </c>
      <c r="H170" s="273"/>
      <c r="I170" s="107"/>
      <c r="J170" s="249" t="e">
        <f t="shared" si="100"/>
        <v>#VALUE!</v>
      </c>
      <c r="K170" s="101" t="str">
        <f>IFERROR(INDEX('Data Sheet'!$C$198:$C$275,MATCH(I170,'Data Sheet'!$F$198:$F$275,0)),"")</f>
        <v/>
      </c>
      <c r="L170" s="250" t="str">
        <f>IFERROR(INDEX('Data Sheet'!$G$198:$G$275,MATCH(I170,'Data Sheet'!$F$198:$F$275,0)),"")</f>
        <v/>
      </c>
      <c r="M170" s="194"/>
      <c r="N170" s="248"/>
      <c r="O170" s="248"/>
      <c r="P170" s="108" t="str">
        <f>IFERROR(INDEX(Setup!$D$44:$D$70,MATCH(M170,Setup!$K$44:$K$70,0))&amp;"","")</f>
        <v/>
      </c>
      <c r="Q170" s="108" t="str">
        <f>IFERROR(INDEX(Setup!$E$44:$E$70,MATCH(M170,Setup!$K$44:$K$70,0))&amp;"","")</f>
        <v/>
      </c>
      <c r="R170" s="108" t="str">
        <f>IFERROR(INDEX(Setup!$L$44:$L$70,MATCH(M170,Setup!$K$44:$K$70,0))&amp;"","")</f>
        <v/>
      </c>
      <c r="S170" s="108" t="str">
        <f>Setup!$C$30</f>
        <v>USD</v>
      </c>
      <c r="T170" s="109" t="str">
        <f>IFERROR(INDEX('Data Sheet'!$B$198:$B$275,MATCH(I170,'Data Sheet'!$F$198:$F$275,0)),"")</f>
        <v/>
      </c>
      <c r="U170" s="110" t="str">
        <f>IFERROR(INDEX('Data Sheet'!$D$198:$D$275,MATCH(I170,'Data Sheet'!$F$198:$F$275,0)),"")</f>
        <v/>
      </c>
      <c r="V170" s="99"/>
      <c r="W170" s="195" t="str">
        <f>IF(V170=Setup!$C$30,"Grant",IF(V170=Setup!$C$31,"Local",IF(V170=Setup!$C$32,"Other",IF(ISBLANK(V170),"","Other"))))</f>
        <v/>
      </c>
      <c r="X170" s="255"/>
      <c r="Y170" s="259" t="str">
        <f>IF(X170&lt;&gt;"",X170/VLOOKUP($V170,Setup!$C$30:$D$41,2,0),"")</f>
        <v/>
      </c>
      <c r="Z170" s="262"/>
      <c r="AA170" s="256" t="str">
        <f t="shared" si="72"/>
        <v/>
      </c>
      <c r="AB170" s="262"/>
      <c r="AC170" s="258" t="str">
        <f t="shared" si="73"/>
        <v/>
      </c>
      <c r="AD170" s="262"/>
      <c r="AE170" s="258" t="str">
        <f t="shared" si="74"/>
        <v/>
      </c>
      <c r="AF170" s="262"/>
      <c r="AG170" s="256" t="str">
        <f t="shared" si="75"/>
        <v/>
      </c>
      <c r="AH170" s="256" t="str">
        <f t="shared" si="76"/>
        <v/>
      </c>
      <c r="AI170" s="256" t="str">
        <f t="shared" si="77"/>
        <v/>
      </c>
      <c r="AJ170" s="111"/>
      <c r="AK170" s="255"/>
      <c r="AL170" s="259" t="str">
        <f>IF(AK170&lt;&gt;"",AK170/VLOOKUP($V170,Setup!$C$30:$D$41,2,0),"")</f>
        <v/>
      </c>
      <c r="AM170" s="266"/>
      <c r="AN170" s="258" t="str">
        <f t="shared" si="78"/>
        <v/>
      </c>
      <c r="AO170" s="266"/>
      <c r="AP170" s="258" t="str">
        <f t="shared" si="79"/>
        <v/>
      </c>
      <c r="AQ170" s="266"/>
      <c r="AR170" s="258" t="str">
        <f t="shared" si="80"/>
        <v/>
      </c>
      <c r="AS170" s="266"/>
      <c r="AT170" s="256" t="str">
        <f t="shared" si="81"/>
        <v/>
      </c>
      <c r="AU170" s="256" t="str">
        <f t="shared" si="82"/>
        <v/>
      </c>
      <c r="AV170" s="256" t="str">
        <f t="shared" si="83"/>
        <v/>
      </c>
      <c r="AW170" s="267"/>
      <c r="AX170" s="255"/>
      <c r="AY170" s="259" t="str">
        <f>IF(AX170&lt;&gt;"",AX170/VLOOKUP($V170,Setup!$C$30:$D$41,2,0),"")</f>
        <v/>
      </c>
      <c r="AZ170" s="268"/>
      <c r="BA170" s="258" t="str">
        <f t="shared" si="84"/>
        <v/>
      </c>
      <c r="BB170" s="268"/>
      <c r="BC170" s="258" t="str">
        <f t="shared" si="85"/>
        <v/>
      </c>
      <c r="BD170" s="268"/>
      <c r="BE170" s="258" t="str">
        <f t="shared" si="86"/>
        <v/>
      </c>
      <c r="BF170" s="268"/>
      <c r="BG170" s="256" t="str">
        <f t="shared" si="87"/>
        <v/>
      </c>
      <c r="BH170" s="256" t="str">
        <f t="shared" si="88"/>
        <v/>
      </c>
      <c r="BI170" s="256" t="str">
        <f t="shared" si="89"/>
        <v/>
      </c>
      <c r="BJ170" s="267"/>
      <c r="BK170" s="255"/>
      <c r="BL170" s="259" t="str">
        <f>IF(BK170&lt;&gt;"",BK170/VLOOKUP($V170,Setup!$C$30:$D$41,2,0),"")</f>
        <v/>
      </c>
      <c r="BM170" s="268"/>
      <c r="BN170" s="258" t="str">
        <f t="shared" si="90"/>
        <v/>
      </c>
      <c r="BO170" s="268"/>
      <c r="BP170" s="258" t="str">
        <f t="shared" si="91"/>
        <v/>
      </c>
      <c r="BQ170" s="268"/>
      <c r="BR170" s="258" t="str">
        <f t="shared" si="92"/>
        <v/>
      </c>
      <c r="BS170" s="268"/>
      <c r="BT170" s="256" t="str">
        <f t="shared" si="93"/>
        <v/>
      </c>
      <c r="BU170" s="256" t="str">
        <f t="shared" si="94"/>
        <v/>
      </c>
      <c r="BV170" s="256" t="str">
        <f t="shared" si="95"/>
        <v/>
      </c>
      <c r="BW170" s="267"/>
      <c r="BX170" s="256" t="str">
        <f t="shared" si="96"/>
        <v/>
      </c>
      <c r="BY170" s="256" t="str">
        <f t="shared" si="97"/>
        <v/>
      </c>
      <c r="BZ170" s="281"/>
      <c r="CA170" s="282"/>
      <c r="CC170" s="112" t="str">
        <f t="shared" ca="1" si="98"/>
        <v/>
      </c>
      <c r="CF170" s="284"/>
      <c r="CG170" s="284"/>
      <c r="CH170" s="284"/>
      <c r="CI170" s="284"/>
      <c r="CL170" s="356" t="str">
        <f>IFERROR(VLOOKUP(C170,'Data Sheet'!$A$3:$B$26,2,FALSE),"")</f>
        <v/>
      </c>
    </row>
    <row r="171" spans="1:90" s="98" customFormat="1" ht="15.75" x14ac:dyDescent="0.2">
      <c r="A171" s="97"/>
      <c r="B171" s="105" t="str">
        <f t="shared" si="101"/>
        <v>--</v>
      </c>
      <c r="C171" s="276"/>
      <c r="D171" s="101" t="str">
        <f>IFERROR(IF(VLOOKUP(C171,'Data Sheet'!$A$3:$D$26,4,FALSE)=0,"",VLOOKUP(C171,'Data Sheet'!$A$3:$D$26,4,FALSE)),"")</f>
        <v/>
      </c>
      <c r="E171" s="279"/>
      <c r="F171" s="103" t="str">
        <f>IFERROR(IF(VLOOKUP(E171,'Data Sheet'!$C$29:$E$174,3,FALSE)=0,"",VLOOKUP(E171,'Data Sheet'!$C$29:$E$174,3,FALSE)),"")</f>
        <v/>
      </c>
      <c r="G171" s="106" t="str">
        <f t="shared" si="99"/>
        <v>-</v>
      </c>
      <c r="H171" s="273"/>
      <c r="I171" s="107"/>
      <c r="J171" s="249" t="e">
        <f t="shared" si="100"/>
        <v>#VALUE!</v>
      </c>
      <c r="K171" s="101" t="str">
        <f>IFERROR(INDEX('Data Sheet'!$C$198:$C$275,MATCH(I171,'Data Sheet'!$F$198:$F$275,0)),"")</f>
        <v/>
      </c>
      <c r="L171" s="250" t="str">
        <f>IFERROR(INDEX('Data Sheet'!$G$198:$G$275,MATCH(I171,'Data Sheet'!$F$198:$F$275,0)),"")</f>
        <v/>
      </c>
      <c r="M171" s="194"/>
      <c r="N171" s="248"/>
      <c r="O171" s="248"/>
      <c r="P171" s="108" t="str">
        <f>IFERROR(INDEX(Setup!$D$44:$D$70,MATCH(M171,Setup!$K$44:$K$70,0))&amp;"","")</f>
        <v/>
      </c>
      <c r="Q171" s="108" t="str">
        <f>IFERROR(INDEX(Setup!$E$44:$E$70,MATCH(M171,Setup!$K$44:$K$70,0))&amp;"","")</f>
        <v/>
      </c>
      <c r="R171" s="108" t="str">
        <f>IFERROR(INDEX(Setup!$L$44:$L$70,MATCH(M171,Setup!$K$44:$K$70,0))&amp;"","")</f>
        <v/>
      </c>
      <c r="S171" s="108" t="str">
        <f>Setup!$C$30</f>
        <v>USD</v>
      </c>
      <c r="T171" s="109" t="str">
        <f>IFERROR(INDEX('Data Sheet'!$B$198:$B$275,MATCH(I171,'Data Sheet'!$F$198:$F$275,0)),"")</f>
        <v/>
      </c>
      <c r="U171" s="110" t="str">
        <f>IFERROR(INDEX('Data Sheet'!$D$198:$D$275,MATCH(I171,'Data Sheet'!$F$198:$F$275,0)),"")</f>
        <v/>
      </c>
      <c r="V171" s="99"/>
      <c r="W171" s="195" t="str">
        <f>IF(V171=Setup!$C$30,"Grant",IF(V171=Setup!$C$31,"Local",IF(V171=Setup!$C$32,"Other",IF(ISBLANK(V171),"","Other"))))</f>
        <v/>
      </c>
      <c r="X171" s="255"/>
      <c r="Y171" s="259" t="str">
        <f>IF(X171&lt;&gt;"",X171/VLOOKUP($V171,Setup!$C$30:$D$41,2,0),"")</f>
        <v/>
      </c>
      <c r="Z171" s="262"/>
      <c r="AA171" s="256" t="str">
        <f t="shared" si="72"/>
        <v/>
      </c>
      <c r="AB171" s="262"/>
      <c r="AC171" s="258" t="str">
        <f t="shared" si="73"/>
        <v/>
      </c>
      <c r="AD171" s="262"/>
      <c r="AE171" s="258" t="str">
        <f t="shared" si="74"/>
        <v/>
      </c>
      <c r="AF171" s="262"/>
      <c r="AG171" s="256" t="str">
        <f t="shared" si="75"/>
        <v/>
      </c>
      <c r="AH171" s="256" t="str">
        <f t="shared" si="76"/>
        <v/>
      </c>
      <c r="AI171" s="256" t="str">
        <f t="shared" si="77"/>
        <v/>
      </c>
      <c r="AJ171" s="111"/>
      <c r="AK171" s="255"/>
      <c r="AL171" s="259" t="str">
        <f>IF(AK171&lt;&gt;"",AK171/VLOOKUP($V171,Setup!$C$30:$D$41,2,0),"")</f>
        <v/>
      </c>
      <c r="AM171" s="266"/>
      <c r="AN171" s="258" t="str">
        <f t="shared" si="78"/>
        <v/>
      </c>
      <c r="AO171" s="266"/>
      <c r="AP171" s="258" t="str">
        <f t="shared" si="79"/>
        <v/>
      </c>
      <c r="AQ171" s="266"/>
      <c r="AR171" s="258" t="str">
        <f t="shared" si="80"/>
        <v/>
      </c>
      <c r="AS171" s="266"/>
      <c r="AT171" s="256" t="str">
        <f t="shared" si="81"/>
        <v/>
      </c>
      <c r="AU171" s="256" t="str">
        <f t="shared" si="82"/>
        <v/>
      </c>
      <c r="AV171" s="256" t="str">
        <f t="shared" si="83"/>
        <v/>
      </c>
      <c r="AW171" s="267"/>
      <c r="AX171" s="255"/>
      <c r="AY171" s="259" t="str">
        <f>IF(AX171&lt;&gt;"",AX171/VLOOKUP($V171,Setup!$C$30:$D$41,2,0),"")</f>
        <v/>
      </c>
      <c r="AZ171" s="268"/>
      <c r="BA171" s="258" t="str">
        <f t="shared" si="84"/>
        <v/>
      </c>
      <c r="BB171" s="268"/>
      <c r="BC171" s="258" t="str">
        <f t="shared" si="85"/>
        <v/>
      </c>
      <c r="BD171" s="268"/>
      <c r="BE171" s="258" t="str">
        <f t="shared" si="86"/>
        <v/>
      </c>
      <c r="BF171" s="268"/>
      <c r="BG171" s="256" t="str">
        <f t="shared" si="87"/>
        <v/>
      </c>
      <c r="BH171" s="256" t="str">
        <f t="shared" si="88"/>
        <v/>
      </c>
      <c r="BI171" s="256" t="str">
        <f t="shared" si="89"/>
        <v/>
      </c>
      <c r="BJ171" s="267"/>
      <c r="BK171" s="255"/>
      <c r="BL171" s="259" t="str">
        <f>IF(BK171&lt;&gt;"",BK171/VLOOKUP($V171,Setup!$C$30:$D$41,2,0),"")</f>
        <v/>
      </c>
      <c r="BM171" s="268"/>
      <c r="BN171" s="258" t="str">
        <f t="shared" si="90"/>
        <v/>
      </c>
      <c r="BO171" s="268"/>
      <c r="BP171" s="258" t="str">
        <f t="shared" si="91"/>
        <v/>
      </c>
      <c r="BQ171" s="268"/>
      <c r="BR171" s="258" t="str">
        <f t="shared" si="92"/>
        <v/>
      </c>
      <c r="BS171" s="268"/>
      <c r="BT171" s="256" t="str">
        <f t="shared" si="93"/>
        <v/>
      </c>
      <c r="BU171" s="256" t="str">
        <f t="shared" si="94"/>
        <v/>
      </c>
      <c r="BV171" s="256" t="str">
        <f t="shared" si="95"/>
        <v/>
      </c>
      <c r="BW171" s="267"/>
      <c r="BX171" s="256" t="str">
        <f t="shared" si="96"/>
        <v/>
      </c>
      <c r="BY171" s="256" t="str">
        <f t="shared" si="97"/>
        <v/>
      </c>
      <c r="BZ171" s="281"/>
      <c r="CA171" s="282"/>
      <c r="CC171" s="112" t="str">
        <f t="shared" ca="1" si="98"/>
        <v/>
      </c>
      <c r="CF171" s="284"/>
      <c r="CG171" s="284"/>
      <c r="CH171" s="284"/>
      <c r="CI171" s="284"/>
      <c r="CL171" s="356" t="str">
        <f>IFERROR(VLOOKUP(C171,'Data Sheet'!$A$3:$B$26,2,FALSE),"")</f>
        <v/>
      </c>
    </row>
    <row r="172" spans="1:90" s="98" customFormat="1" ht="15.75" x14ac:dyDescent="0.2">
      <c r="A172" s="97"/>
      <c r="B172" s="105" t="str">
        <f t="shared" si="101"/>
        <v>--</v>
      </c>
      <c r="C172" s="276"/>
      <c r="D172" s="101" t="str">
        <f>IFERROR(IF(VLOOKUP(C172,'Data Sheet'!$A$3:$D$26,4,FALSE)=0,"",VLOOKUP(C172,'Data Sheet'!$A$3:$D$26,4,FALSE)),"")</f>
        <v/>
      </c>
      <c r="E172" s="279"/>
      <c r="F172" s="103" t="str">
        <f>IFERROR(IF(VLOOKUP(E172,'Data Sheet'!$C$29:$E$174,3,FALSE)=0,"",VLOOKUP(E172,'Data Sheet'!$C$29:$E$174,3,FALSE)),"")</f>
        <v/>
      </c>
      <c r="G172" s="106" t="str">
        <f t="shared" si="99"/>
        <v>-</v>
      </c>
      <c r="H172" s="273"/>
      <c r="I172" s="107"/>
      <c r="J172" s="249" t="e">
        <f t="shared" si="100"/>
        <v>#VALUE!</v>
      </c>
      <c r="K172" s="101" t="str">
        <f>IFERROR(INDEX('Data Sheet'!$C$198:$C$275,MATCH(I172,'Data Sheet'!$F$198:$F$275,0)),"")</f>
        <v/>
      </c>
      <c r="L172" s="250" t="str">
        <f>IFERROR(INDEX('Data Sheet'!$G$198:$G$275,MATCH(I172,'Data Sheet'!$F$198:$F$275,0)),"")</f>
        <v/>
      </c>
      <c r="M172" s="194"/>
      <c r="N172" s="248"/>
      <c r="O172" s="248"/>
      <c r="P172" s="108" t="str">
        <f>IFERROR(INDEX(Setup!$D$44:$D$70,MATCH(M172,Setup!$K$44:$K$70,0))&amp;"","")</f>
        <v/>
      </c>
      <c r="Q172" s="108" t="str">
        <f>IFERROR(INDEX(Setup!$E$44:$E$70,MATCH(M172,Setup!$K$44:$K$70,0))&amp;"","")</f>
        <v/>
      </c>
      <c r="R172" s="108" t="str">
        <f>IFERROR(INDEX(Setup!$L$44:$L$70,MATCH(M172,Setup!$K$44:$K$70,0))&amp;"","")</f>
        <v/>
      </c>
      <c r="S172" s="108" t="str">
        <f>Setup!$C$30</f>
        <v>USD</v>
      </c>
      <c r="T172" s="109" t="str">
        <f>IFERROR(INDEX('Data Sheet'!$B$198:$B$275,MATCH(I172,'Data Sheet'!$F$198:$F$275,0)),"")</f>
        <v/>
      </c>
      <c r="U172" s="110" t="str">
        <f>IFERROR(INDEX('Data Sheet'!$D$198:$D$275,MATCH(I172,'Data Sheet'!$F$198:$F$275,0)),"")</f>
        <v/>
      </c>
      <c r="V172" s="99"/>
      <c r="W172" s="195" t="str">
        <f>IF(V172=Setup!$C$30,"Grant",IF(V172=Setup!$C$31,"Local",IF(V172=Setup!$C$32,"Other",IF(ISBLANK(V172),"","Other"))))</f>
        <v/>
      </c>
      <c r="X172" s="255"/>
      <c r="Y172" s="259" t="str">
        <f>IF(X172&lt;&gt;"",X172/VLOOKUP($V172,Setup!$C$30:$D$41,2,0),"")</f>
        <v/>
      </c>
      <c r="Z172" s="262"/>
      <c r="AA172" s="256" t="str">
        <f t="shared" si="72"/>
        <v/>
      </c>
      <c r="AB172" s="262"/>
      <c r="AC172" s="258" t="str">
        <f t="shared" si="73"/>
        <v/>
      </c>
      <c r="AD172" s="262"/>
      <c r="AE172" s="258" t="str">
        <f t="shared" si="74"/>
        <v/>
      </c>
      <c r="AF172" s="262"/>
      <c r="AG172" s="256" t="str">
        <f t="shared" si="75"/>
        <v/>
      </c>
      <c r="AH172" s="256" t="str">
        <f t="shared" si="76"/>
        <v/>
      </c>
      <c r="AI172" s="256" t="str">
        <f t="shared" si="77"/>
        <v/>
      </c>
      <c r="AJ172" s="111"/>
      <c r="AK172" s="255"/>
      <c r="AL172" s="259" t="str">
        <f>IF(AK172&lt;&gt;"",AK172/VLOOKUP($V172,Setup!$C$30:$D$41,2,0),"")</f>
        <v/>
      </c>
      <c r="AM172" s="266"/>
      <c r="AN172" s="258" t="str">
        <f t="shared" si="78"/>
        <v/>
      </c>
      <c r="AO172" s="266"/>
      <c r="AP172" s="258" t="str">
        <f t="shared" si="79"/>
        <v/>
      </c>
      <c r="AQ172" s="266"/>
      <c r="AR172" s="258" t="str">
        <f t="shared" si="80"/>
        <v/>
      </c>
      <c r="AS172" s="266"/>
      <c r="AT172" s="256" t="str">
        <f t="shared" si="81"/>
        <v/>
      </c>
      <c r="AU172" s="256" t="str">
        <f t="shared" si="82"/>
        <v/>
      </c>
      <c r="AV172" s="256" t="str">
        <f t="shared" si="83"/>
        <v/>
      </c>
      <c r="AW172" s="267"/>
      <c r="AX172" s="255"/>
      <c r="AY172" s="259" t="str">
        <f>IF(AX172&lt;&gt;"",AX172/VLOOKUP($V172,Setup!$C$30:$D$41,2,0),"")</f>
        <v/>
      </c>
      <c r="AZ172" s="268"/>
      <c r="BA172" s="258" t="str">
        <f t="shared" si="84"/>
        <v/>
      </c>
      <c r="BB172" s="268"/>
      <c r="BC172" s="258" t="str">
        <f t="shared" si="85"/>
        <v/>
      </c>
      <c r="BD172" s="268"/>
      <c r="BE172" s="258" t="str">
        <f t="shared" si="86"/>
        <v/>
      </c>
      <c r="BF172" s="268"/>
      <c r="BG172" s="256" t="str">
        <f t="shared" si="87"/>
        <v/>
      </c>
      <c r="BH172" s="256" t="str">
        <f t="shared" si="88"/>
        <v/>
      </c>
      <c r="BI172" s="256" t="str">
        <f t="shared" si="89"/>
        <v/>
      </c>
      <c r="BJ172" s="267"/>
      <c r="BK172" s="255"/>
      <c r="BL172" s="259" t="str">
        <f>IF(BK172&lt;&gt;"",BK172/VLOOKUP($V172,Setup!$C$30:$D$41,2,0),"")</f>
        <v/>
      </c>
      <c r="BM172" s="268"/>
      <c r="BN172" s="258" t="str">
        <f t="shared" si="90"/>
        <v/>
      </c>
      <c r="BO172" s="268"/>
      <c r="BP172" s="258" t="str">
        <f t="shared" si="91"/>
        <v/>
      </c>
      <c r="BQ172" s="268"/>
      <c r="BR172" s="258" t="str">
        <f t="shared" si="92"/>
        <v/>
      </c>
      <c r="BS172" s="268"/>
      <c r="BT172" s="256" t="str">
        <f t="shared" si="93"/>
        <v/>
      </c>
      <c r="BU172" s="256" t="str">
        <f t="shared" si="94"/>
        <v/>
      </c>
      <c r="BV172" s="256" t="str">
        <f t="shared" si="95"/>
        <v/>
      </c>
      <c r="BW172" s="267"/>
      <c r="BX172" s="256" t="str">
        <f t="shared" si="96"/>
        <v/>
      </c>
      <c r="BY172" s="256" t="str">
        <f t="shared" si="97"/>
        <v/>
      </c>
      <c r="BZ172" s="281"/>
      <c r="CA172" s="282"/>
      <c r="CC172" s="112" t="str">
        <f t="shared" ca="1" si="98"/>
        <v/>
      </c>
      <c r="CF172" s="284"/>
      <c r="CG172" s="284"/>
      <c r="CH172" s="284"/>
      <c r="CI172" s="284"/>
      <c r="CL172" s="356" t="str">
        <f>IFERROR(VLOOKUP(C172,'Data Sheet'!$A$3:$B$26,2,FALSE),"")</f>
        <v/>
      </c>
    </row>
    <row r="173" spans="1:90" s="98" customFormat="1" ht="15.75" x14ac:dyDescent="0.2">
      <c r="A173" s="97"/>
      <c r="B173" s="105" t="str">
        <f t="shared" si="101"/>
        <v>--</v>
      </c>
      <c r="C173" s="276"/>
      <c r="D173" s="101" t="str">
        <f>IFERROR(IF(VLOOKUP(C173,'Data Sheet'!$A$3:$D$26,4,FALSE)=0,"",VLOOKUP(C173,'Data Sheet'!$A$3:$D$26,4,FALSE)),"")</f>
        <v/>
      </c>
      <c r="E173" s="279"/>
      <c r="F173" s="103" t="str">
        <f>IFERROR(IF(VLOOKUP(E173,'Data Sheet'!$C$29:$E$174,3,FALSE)=0,"",VLOOKUP(E173,'Data Sheet'!$C$29:$E$174,3,FALSE)),"")</f>
        <v/>
      </c>
      <c r="G173" s="106" t="str">
        <f t="shared" si="99"/>
        <v>-</v>
      </c>
      <c r="H173" s="273"/>
      <c r="I173" s="107"/>
      <c r="J173" s="249" t="e">
        <f t="shared" si="100"/>
        <v>#VALUE!</v>
      </c>
      <c r="K173" s="101" t="str">
        <f>IFERROR(INDEX('Data Sheet'!$C$198:$C$275,MATCH(I173,'Data Sheet'!$F$198:$F$275,0)),"")</f>
        <v/>
      </c>
      <c r="L173" s="250" t="str">
        <f>IFERROR(INDEX('Data Sheet'!$G$198:$G$275,MATCH(I173,'Data Sheet'!$F$198:$F$275,0)),"")</f>
        <v/>
      </c>
      <c r="M173" s="194"/>
      <c r="N173" s="248"/>
      <c r="O173" s="248"/>
      <c r="P173" s="108" t="str">
        <f>IFERROR(INDEX(Setup!$D$44:$D$70,MATCH(M173,Setup!$K$44:$K$70,0))&amp;"","")</f>
        <v/>
      </c>
      <c r="Q173" s="108" t="str">
        <f>IFERROR(INDEX(Setup!$E$44:$E$70,MATCH(M173,Setup!$K$44:$K$70,0))&amp;"","")</f>
        <v/>
      </c>
      <c r="R173" s="108" t="str">
        <f>IFERROR(INDEX(Setup!$L$44:$L$70,MATCH(M173,Setup!$K$44:$K$70,0))&amp;"","")</f>
        <v/>
      </c>
      <c r="S173" s="108" t="str">
        <f>Setup!$C$30</f>
        <v>USD</v>
      </c>
      <c r="T173" s="109" t="str">
        <f>IFERROR(INDEX('Data Sheet'!$B$198:$B$275,MATCH(I173,'Data Sheet'!$F$198:$F$275,0)),"")</f>
        <v/>
      </c>
      <c r="U173" s="110" t="str">
        <f>IFERROR(INDEX('Data Sheet'!$D$198:$D$275,MATCH(I173,'Data Sheet'!$F$198:$F$275,0)),"")</f>
        <v/>
      </c>
      <c r="V173" s="99"/>
      <c r="W173" s="195" t="str">
        <f>IF(V173=Setup!$C$30,"Grant",IF(V173=Setup!$C$31,"Local",IF(V173=Setup!$C$32,"Other",IF(ISBLANK(V173),"","Other"))))</f>
        <v/>
      </c>
      <c r="X173" s="255"/>
      <c r="Y173" s="259" t="str">
        <f>IF(X173&lt;&gt;"",X173/VLOOKUP($V173,Setup!$C$30:$D$41,2,0),"")</f>
        <v/>
      </c>
      <c r="Z173" s="262"/>
      <c r="AA173" s="256" t="str">
        <f t="shared" si="72"/>
        <v/>
      </c>
      <c r="AB173" s="262"/>
      <c r="AC173" s="258" t="str">
        <f t="shared" si="73"/>
        <v/>
      </c>
      <c r="AD173" s="262"/>
      <c r="AE173" s="258" t="str">
        <f t="shared" si="74"/>
        <v/>
      </c>
      <c r="AF173" s="262"/>
      <c r="AG173" s="256" t="str">
        <f t="shared" si="75"/>
        <v/>
      </c>
      <c r="AH173" s="256" t="str">
        <f t="shared" si="76"/>
        <v/>
      </c>
      <c r="AI173" s="256" t="str">
        <f t="shared" si="77"/>
        <v/>
      </c>
      <c r="AJ173" s="111"/>
      <c r="AK173" s="255"/>
      <c r="AL173" s="259" t="str">
        <f>IF(AK173&lt;&gt;"",AK173/VLOOKUP($V173,Setup!$C$30:$D$41,2,0),"")</f>
        <v/>
      </c>
      <c r="AM173" s="266"/>
      <c r="AN173" s="258" t="str">
        <f t="shared" si="78"/>
        <v/>
      </c>
      <c r="AO173" s="266"/>
      <c r="AP173" s="258" t="str">
        <f t="shared" si="79"/>
        <v/>
      </c>
      <c r="AQ173" s="266"/>
      <c r="AR173" s="258" t="str">
        <f t="shared" si="80"/>
        <v/>
      </c>
      <c r="AS173" s="266"/>
      <c r="AT173" s="256" t="str">
        <f t="shared" si="81"/>
        <v/>
      </c>
      <c r="AU173" s="256" t="str">
        <f t="shared" si="82"/>
        <v/>
      </c>
      <c r="AV173" s="256" t="str">
        <f t="shared" si="83"/>
        <v/>
      </c>
      <c r="AW173" s="267"/>
      <c r="AX173" s="255"/>
      <c r="AY173" s="259" t="str">
        <f>IF(AX173&lt;&gt;"",AX173/VLOOKUP($V173,Setup!$C$30:$D$41,2,0),"")</f>
        <v/>
      </c>
      <c r="AZ173" s="268"/>
      <c r="BA173" s="258" t="str">
        <f t="shared" si="84"/>
        <v/>
      </c>
      <c r="BB173" s="268"/>
      <c r="BC173" s="258" t="str">
        <f t="shared" si="85"/>
        <v/>
      </c>
      <c r="BD173" s="268"/>
      <c r="BE173" s="258" t="str">
        <f t="shared" si="86"/>
        <v/>
      </c>
      <c r="BF173" s="268"/>
      <c r="BG173" s="256" t="str">
        <f t="shared" si="87"/>
        <v/>
      </c>
      <c r="BH173" s="256" t="str">
        <f t="shared" si="88"/>
        <v/>
      </c>
      <c r="BI173" s="256" t="str">
        <f t="shared" si="89"/>
        <v/>
      </c>
      <c r="BJ173" s="267"/>
      <c r="BK173" s="255"/>
      <c r="BL173" s="259" t="str">
        <f>IF(BK173&lt;&gt;"",BK173/VLOOKUP($V173,Setup!$C$30:$D$41,2,0),"")</f>
        <v/>
      </c>
      <c r="BM173" s="268"/>
      <c r="BN173" s="258" t="str">
        <f t="shared" si="90"/>
        <v/>
      </c>
      <c r="BO173" s="268"/>
      <c r="BP173" s="258" t="str">
        <f t="shared" si="91"/>
        <v/>
      </c>
      <c r="BQ173" s="268"/>
      <c r="BR173" s="258" t="str">
        <f t="shared" si="92"/>
        <v/>
      </c>
      <c r="BS173" s="268"/>
      <c r="BT173" s="256" t="str">
        <f t="shared" si="93"/>
        <v/>
      </c>
      <c r="BU173" s="256" t="str">
        <f t="shared" si="94"/>
        <v/>
      </c>
      <c r="BV173" s="256" t="str">
        <f t="shared" si="95"/>
        <v/>
      </c>
      <c r="BW173" s="267"/>
      <c r="BX173" s="256" t="str">
        <f t="shared" si="96"/>
        <v/>
      </c>
      <c r="BY173" s="256" t="str">
        <f t="shared" si="97"/>
        <v/>
      </c>
      <c r="BZ173" s="281"/>
      <c r="CA173" s="282"/>
      <c r="CC173" s="112" t="str">
        <f t="shared" ca="1" si="98"/>
        <v/>
      </c>
      <c r="CF173" s="284"/>
      <c r="CG173" s="284"/>
      <c r="CH173" s="284"/>
      <c r="CI173" s="284"/>
      <c r="CL173" s="356" t="str">
        <f>IFERROR(VLOOKUP(C173,'Data Sheet'!$A$3:$B$26,2,FALSE),"")</f>
        <v/>
      </c>
    </row>
    <row r="174" spans="1:90" s="98" customFormat="1" ht="15.75" x14ac:dyDescent="0.2">
      <c r="A174" s="97"/>
      <c r="B174" s="105" t="str">
        <f t="shared" si="101"/>
        <v>--</v>
      </c>
      <c r="C174" s="276"/>
      <c r="D174" s="101" t="str">
        <f>IFERROR(IF(VLOOKUP(C174,'Data Sheet'!$A$3:$D$26,4,FALSE)=0,"",VLOOKUP(C174,'Data Sheet'!$A$3:$D$26,4,FALSE)),"")</f>
        <v/>
      </c>
      <c r="E174" s="279"/>
      <c r="F174" s="103" t="str">
        <f>IFERROR(IF(VLOOKUP(E174,'Data Sheet'!$C$29:$E$174,3,FALSE)=0,"",VLOOKUP(E174,'Data Sheet'!$C$29:$E$174,3,FALSE)),"")</f>
        <v/>
      </c>
      <c r="G174" s="106" t="str">
        <f t="shared" si="99"/>
        <v>-</v>
      </c>
      <c r="H174" s="273"/>
      <c r="I174" s="107"/>
      <c r="J174" s="249" t="e">
        <f t="shared" si="100"/>
        <v>#VALUE!</v>
      </c>
      <c r="K174" s="101" t="str">
        <f>IFERROR(INDEX('Data Sheet'!$C$198:$C$275,MATCH(I174,'Data Sheet'!$F$198:$F$275,0)),"")</f>
        <v/>
      </c>
      <c r="L174" s="250" t="str">
        <f>IFERROR(INDEX('Data Sheet'!$G$198:$G$275,MATCH(I174,'Data Sheet'!$F$198:$F$275,0)),"")</f>
        <v/>
      </c>
      <c r="M174" s="194"/>
      <c r="N174" s="248"/>
      <c r="O174" s="248"/>
      <c r="P174" s="108" t="str">
        <f>IFERROR(INDEX(Setup!$D$44:$D$70,MATCH(M174,Setup!$K$44:$K$70,0))&amp;"","")</f>
        <v/>
      </c>
      <c r="Q174" s="108" t="str">
        <f>IFERROR(INDEX(Setup!$E$44:$E$70,MATCH(M174,Setup!$K$44:$K$70,0))&amp;"","")</f>
        <v/>
      </c>
      <c r="R174" s="108" t="str">
        <f>IFERROR(INDEX(Setup!$L$44:$L$70,MATCH(M174,Setup!$K$44:$K$70,0))&amp;"","")</f>
        <v/>
      </c>
      <c r="S174" s="108" t="str">
        <f>Setup!$C$30</f>
        <v>USD</v>
      </c>
      <c r="T174" s="109" t="str">
        <f>IFERROR(INDEX('Data Sheet'!$B$198:$B$275,MATCH(I174,'Data Sheet'!$F$198:$F$275,0)),"")</f>
        <v/>
      </c>
      <c r="U174" s="110" t="str">
        <f>IFERROR(INDEX('Data Sheet'!$D$198:$D$275,MATCH(I174,'Data Sheet'!$F$198:$F$275,0)),"")</f>
        <v/>
      </c>
      <c r="V174" s="99"/>
      <c r="W174" s="195" t="str">
        <f>IF(V174=Setup!$C$30,"Grant",IF(V174=Setup!$C$31,"Local",IF(V174=Setup!$C$32,"Other",IF(ISBLANK(V174),"","Other"))))</f>
        <v/>
      </c>
      <c r="X174" s="255"/>
      <c r="Y174" s="259" t="str">
        <f>IF(X174&lt;&gt;"",X174/VLOOKUP($V174,Setup!$C$30:$D$41,2,0),"")</f>
        <v/>
      </c>
      <c r="Z174" s="262"/>
      <c r="AA174" s="256" t="str">
        <f t="shared" si="72"/>
        <v/>
      </c>
      <c r="AB174" s="262"/>
      <c r="AC174" s="258" t="str">
        <f t="shared" si="73"/>
        <v/>
      </c>
      <c r="AD174" s="262"/>
      <c r="AE174" s="258" t="str">
        <f t="shared" si="74"/>
        <v/>
      </c>
      <c r="AF174" s="262"/>
      <c r="AG174" s="256" t="str">
        <f t="shared" si="75"/>
        <v/>
      </c>
      <c r="AH174" s="256" t="str">
        <f t="shared" si="76"/>
        <v/>
      </c>
      <c r="AI174" s="256" t="str">
        <f t="shared" si="77"/>
        <v/>
      </c>
      <c r="AJ174" s="111"/>
      <c r="AK174" s="255"/>
      <c r="AL174" s="259" t="str">
        <f>IF(AK174&lt;&gt;"",AK174/VLOOKUP($V174,Setup!$C$30:$D$41,2,0),"")</f>
        <v/>
      </c>
      <c r="AM174" s="266"/>
      <c r="AN174" s="258" t="str">
        <f t="shared" si="78"/>
        <v/>
      </c>
      <c r="AO174" s="266"/>
      <c r="AP174" s="258" t="str">
        <f t="shared" si="79"/>
        <v/>
      </c>
      <c r="AQ174" s="266"/>
      <c r="AR174" s="258" t="str">
        <f t="shared" si="80"/>
        <v/>
      </c>
      <c r="AS174" s="266"/>
      <c r="AT174" s="256" t="str">
        <f t="shared" si="81"/>
        <v/>
      </c>
      <c r="AU174" s="256" t="str">
        <f t="shared" si="82"/>
        <v/>
      </c>
      <c r="AV174" s="256" t="str">
        <f t="shared" si="83"/>
        <v/>
      </c>
      <c r="AW174" s="267"/>
      <c r="AX174" s="255"/>
      <c r="AY174" s="259" t="str">
        <f>IF(AX174&lt;&gt;"",AX174/VLOOKUP($V174,Setup!$C$30:$D$41,2,0),"")</f>
        <v/>
      </c>
      <c r="AZ174" s="268"/>
      <c r="BA174" s="258" t="str">
        <f t="shared" si="84"/>
        <v/>
      </c>
      <c r="BB174" s="268"/>
      <c r="BC174" s="258" t="str">
        <f t="shared" si="85"/>
        <v/>
      </c>
      <c r="BD174" s="268"/>
      <c r="BE174" s="258" t="str">
        <f t="shared" si="86"/>
        <v/>
      </c>
      <c r="BF174" s="268"/>
      <c r="BG174" s="256" t="str">
        <f t="shared" si="87"/>
        <v/>
      </c>
      <c r="BH174" s="256" t="str">
        <f t="shared" si="88"/>
        <v/>
      </c>
      <c r="BI174" s="256" t="str">
        <f t="shared" si="89"/>
        <v/>
      </c>
      <c r="BJ174" s="267"/>
      <c r="BK174" s="255"/>
      <c r="BL174" s="259" t="str">
        <f>IF(BK174&lt;&gt;"",BK174/VLOOKUP($V174,Setup!$C$30:$D$41,2,0),"")</f>
        <v/>
      </c>
      <c r="BM174" s="268"/>
      <c r="BN174" s="258" t="str">
        <f t="shared" si="90"/>
        <v/>
      </c>
      <c r="BO174" s="268"/>
      <c r="BP174" s="258" t="str">
        <f t="shared" si="91"/>
        <v/>
      </c>
      <c r="BQ174" s="268"/>
      <c r="BR174" s="258" t="str">
        <f t="shared" si="92"/>
        <v/>
      </c>
      <c r="BS174" s="268"/>
      <c r="BT174" s="256" t="str">
        <f t="shared" si="93"/>
        <v/>
      </c>
      <c r="BU174" s="256" t="str">
        <f t="shared" si="94"/>
        <v/>
      </c>
      <c r="BV174" s="256" t="str">
        <f t="shared" si="95"/>
        <v/>
      </c>
      <c r="BW174" s="267"/>
      <c r="BX174" s="256" t="str">
        <f t="shared" si="96"/>
        <v/>
      </c>
      <c r="BY174" s="256" t="str">
        <f t="shared" si="97"/>
        <v/>
      </c>
      <c r="BZ174" s="281"/>
      <c r="CA174" s="282"/>
      <c r="CC174" s="112" t="str">
        <f t="shared" ca="1" si="98"/>
        <v/>
      </c>
      <c r="CF174" s="284"/>
      <c r="CG174" s="284"/>
      <c r="CH174" s="284"/>
      <c r="CI174" s="284"/>
      <c r="CL174" s="356" t="str">
        <f>IFERROR(VLOOKUP(C174,'Data Sheet'!$A$3:$B$26,2,FALSE),"")</f>
        <v/>
      </c>
    </row>
    <row r="175" spans="1:90" s="98" customFormat="1" ht="15.75" x14ac:dyDescent="0.2">
      <c r="A175" s="97"/>
      <c r="B175" s="105" t="str">
        <f t="shared" si="101"/>
        <v>--</v>
      </c>
      <c r="C175" s="276"/>
      <c r="D175" s="101" t="str">
        <f>IFERROR(IF(VLOOKUP(C175,'Data Sheet'!$A$3:$D$26,4,FALSE)=0,"",VLOOKUP(C175,'Data Sheet'!$A$3:$D$26,4,FALSE)),"")</f>
        <v/>
      </c>
      <c r="E175" s="279"/>
      <c r="F175" s="103" t="str">
        <f>IFERROR(IF(VLOOKUP(E175,'Data Sheet'!$C$29:$E$174,3,FALSE)=0,"",VLOOKUP(E175,'Data Sheet'!$C$29:$E$174,3,FALSE)),"")</f>
        <v/>
      </c>
      <c r="G175" s="106" t="str">
        <f t="shared" si="99"/>
        <v>-</v>
      </c>
      <c r="H175" s="273"/>
      <c r="I175" s="107"/>
      <c r="J175" s="249" t="e">
        <f t="shared" si="100"/>
        <v>#VALUE!</v>
      </c>
      <c r="K175" s="101" t="str">
        <f>IFERROR(INDEX('Data Sheet'!$C$198:$C$275,MATCH(I175,'Data Sheet'!$F$198:$F$275,0)),"")</f>
        <v/>
      </c>
      <c r="L175" s="250" t="str">
        <f>IFERROR(INDEX('Data Sheet'!$G$198:$G$275,MATCH(I175,'Data Sheet'!$F$198:$F$275,0)),"")</f>
        <v/>
      </c>
      <c r="M175" s="194"/>
      <c r="N175" s="248"/>
      <c r="O175" s="248"/>
      <c r="P175" s="108" t="str">
        <f>IFERROR(INDEX(Setup!$D$44:$D$70,MATCH(M175,Setup!$K$44:$K$70,0))&amp;"","")</f>
        <v/>
      </c>
      <c r="Q175" s="108" t="str">
        <f>IFERROR(INDEX(Setup!$E$44:$E$70,MATCH(M175,Setup!$K$44:$K$70,0))&amp;"","")</f>
        <v/>
      </c>
      <c r="R175" s="108" t="str">
        <f>IFERROR(INDEX(Setup!$L$44:$L$70,MATCH(M175,Setup!$K$44:$K$70,0))&amp;"","")</f>
        <v/>
      </c>
      <c r="S175" s="108" t="str">
        <f>Setup!$C$30</f>
        <v>USD</v>
      </c>
      <c r="T175" s="109" t="str">
        <f>IFERROR(INDEX('Data Sheet'!$B$198:$B$275,MATCH(I175,'Data Sheet'!$F$198:$F$275,0)),"")</f>
        <v/>
      </c>
      <c r="U175" s="110" t="str">
        <f>IFERROR(INDEX('Data Sheet'!$D$198:$D$275,MATCH(I175,'Data Sheet'!$F$198:$F$275,0)),"")</f>
        <v/>
      </c>
      <c r="V175" s="99"/>
      <c r="W175" s="195" t="str">
        <f>IF(V175=Setup!$C$30,"Grant",IF(V175=Setup!$C$31,"Local",IF(V175=Setup!$C$32,"Other",IF(ISBLANK(V175),"","Other"))))</f>
        <v/>
      </c>
      <c r="X175" s="255"/>
      <c r="Y175" s="259" t="str">
        <f>IF(X175&lt;&gt;"",X175/VLOOKUP($V175,Setup!$C$30:$D$41,2,0),"")</f>
        <v/>
      </c>
      <c r="Z175" s="262"/>
      <c r="AA175" s="256" t="str">
        <f t="shared" si="72"/>
        <v/>
      </c>
      <c r="AB175" s="262"/>
      <c r="AC175" s="258" t="str">
        <f t="shared" si="73"/>
        <v/>
      </c>
      <c r="AD175" s="262"/>
      <c r="AE175" s="258" t="str">
        <f t="shared" si="74"/>
        <v/>
      </c>
      <c r="AF175" s="262"/>
      <c r="AG175" s="256" t="str">
        <f t="shared" si="75"/>
        <v/>
      </c>
      <c r="AH175" s="256" t="str">
        <f t="shared" si="76"/>
        <v/>
      </c>
      <c r="AI175" s="256" t="str">
        <f t="shared" si="77"/>
        <v/>
      </c>
      <c r="AJ175" s="111"/>
      <c r="AK175" s="255"/>
      <c r="AL175" s="259" t="str">
        <f>IF(AK175&lt;&gt;"",AK175/VLOOKUP($V175,Setup!$C$30:$D$41,2,0),"")</f>
        <v/>
      </c>
      <c r="AM175" s="266"/>
      <c r="AN175" s="258" t="str">
        <f t="shared" si="78"/>
        <v/>
      </c>
      <c r="AO175" s="266"/>
      <c r="AP175" s="258" t="str">
        <f t="shared" si="79"/>
        <v/>
      </c>
      <c r="AQ175" s="266"/>
      <c r="AR175" s="258" t="str">
        <f t="shared" si="80"/>
        <v/>
      </c>
      <c r="AS175" s="266"/>
      <c r="AT175" s="256" t="str">
        <f t="shared" si="81"/>
        <v/>
      </c>
      <c r="AU175" s="256" t="str">
        <f t="shared" si="82"/>
        <v/>
      </c>
      <c r="AV175" s="256" t="str">
        <f t="shared" si="83"/>
        <v/>
      </c>
      <c r="AW175" s="267"/>
      <c r="AX175" s="255"/>
      <c r="AY175" s="259" t="str">
        <f>IF(AX175&lt;&gt;"",AX175/VLOOKUP($V175,Setup!$C$30:$D$41,2,0),"")</f>
        <v/>
      </c>
      <c r="AZ175" s="268"/>
      <c r="BA175" s="258" t="str">
        <f t="shared" si="84"/>
        <v/>
      </c>
      <c r="BB175" s="268"/>
      <c r="BC175" s="258" t="str">
        <f t="shared" si="85"/>
        <v/>
      </c>
      <c r="BD175" s="268"/>
      <c r="BE175" s="258" t="str">
        <f t="shared" si="86"/>
        <v/>
      </c>
      <c r="BF175" s="268"/>
      <c r="BG175" s="256" t="str">
        <f t="shared" si="87"/>
        <v/>
      </c>
      <c r="BH175" s="256" t="str">
        <f t="shared" si="88"/>
        <v/>
      </c>
      <c r="BI175" s="256" t="str">
        <f t="shared" si="89"/>
        <v/>
      </c>
      <c r="BJ175" s="267"/>
      <c r="BK175" s="255"/>
      <c r="BL175" s="259" t="str">
        <f>IF(BK175&lt;&gt;"",BK175/VLOOKUP($V175,Setup!$C$30:$D$41,2,0),"")</f>
        <v/>
      </c>
      <c r="BM175" s="268"/>
      <c r="BN175" s="258" t="str">
        <f t="shared" si="90"/>
        <v/>
      </c>
      <c r="BO175" s="268"/>
      <c r="BP175" s="258" t="str">
        <f t="shared" si="91"/>
        <v/>
      </c>
      <c r="BQ175" s="268"/>
      <c r="BR175" s="258" t="str">
        <f t="shared" si="92"/>
        <v/>
      </c>
      <c r="BS175" s="268"/>
      <c r="BT175" s="256" t="str">
        <f t="shared" si="93"/>
        <v/>
      </c>
      <c r="BU175" s="256" t="str">
        <f t="shared" si="94"/>
        <v/>
      </c>
      <c r="BV175" s="256" t="str">
        <f t="shared" si="95"/>
        <v/>
      </c>
      <c r="BW175" s="267"/>
      <c r="BX175" s="256" t="str">
        <f t="shared" si="96"/>
        <v/>
      </c>
      <c r="BY175" s="256" t="str">
        <f t="shared" si="97"/>
        <v/>
      </c>
      <c r="BZ175" s="281"/>
      <c r="CA175" s="282"/>
      <c r="CC175" s="112" t="str">
        <f t="shared" ca="1" si="98"/>
        <v/>
      </c>
      <c r="CF175" s="284"/>
      <c r="CG175" s="284"/>
      <c r="CH175" s="284"/>
      <c r="CI175" s="284"/>
      <c r="CL175" s="356" t="str">
        <f>IFERROR(VLOOKUP(C175,'Data Sheet'!$A$3:$B$26,2,FALSE),"")</f>
        <v/>
      </c>
    </row>
    <row r="176" spans="1:90" s="98" customFormat="1" ht="15.75" x14ac:dyDescent="0.2">
      <c r="A176" s="97"/>
      <c r="B176" s="105" t="str">
        <f t="shared" si="101"/>
        <v>--</v>
      </c>
      <c r="C176" s="276"/>
      <c r="D176" s="101" t="str">
        <f>IFERROR(IF(VLOOKUP(C176,'Data Sheet'!$A$3:$D$26,4,FALSE)=0,"",VLOOKUP(C176,'Data Sheet'!$A$3:$D$26,4,FALSE)),"")</f>
        <v/>
      </c>
      <c r="E176" s="279"/>
      <c r="F176" s="103" t="str">
        <f>IFERROR(IF(VLOOKUP(E176,'Data Sheet'!$C$29:$E$174,3,FALSE)=0,"",VLOOKUP(E176,'Data Sheet'!$C$29:$E$174,3,FALSE)),"")</f>
        <v/>
      </c>
      <c r="G176" s="106" t="str">
        <f t="shared" si="99"/>
        <v>-</v>
      </c>
      <c r="H176" s="273"/>
      <c r="I176" s="107"/>
      <c r="J176" s="249" t="e">
        <f t="shared" si="100"/>
        <v>#VALUE!</v>
      </c>
      <c r="K176" s="101" t="str">
        <f>IFERROR(INDEX('Data Sheet'!$C$198:$C$275,MATCH(I176,'Data Sheet'!$F$198:$F$275,0)),"")</f>
        <v/>
      </c>
      <c r="L176" s="250" t="str">
        <f>IFERROR(INDEX('Data Sheet'!$G$198:$G$275,MATCH(I176,'Data Sheet'!$F$198:$F$275,0)),"")</f>
        <v/>
      </c>
      <c r="M176" s="194"/>
      <c r="N176" s="248"/>
      <c r="O176" s="248"/>
      <c r="P176" s="108" t="str">
        <f>IFERROR(INDEX(Setup!$D$44:$D$70,MATCH(M176,Setup!$K$44:$K$70,0))&amp;"","")</f>
        <v/>
      </c>
      <c r="Q176" s="108" t="str">
        <f>IFERROR(INDEX(Setup!$E$44:$E$70,MATCH(M176,Setup!$K$44:$K$70,0))&amp;"","")</f>
        <v/>
      </c>
      <c r="R176" s="108" t="str">
        <f>IFERROR(INDEX(Setup!$L$44:$L$70,MATCH(M176,Setup!$K$44:$K$70,0))&amp;"","")</f>
        <v/>
      </c>
      <c r="S176" s="108" t="str">
        <f>Setup!$C$30</f>
        <v>USD</v>
      </c>
      <c r="T176" s="109" t="str">
        <f>IFERROR(INDEX('Data Sheet'!$B$198:$B$275,MATCH(I176,'Data Sheet'!$F$198:$F$275,0)),"")</f>
        <v/>
      </c>
      <c r="U176" s="110" t="str">
        <f>IFERROR(INDEX('Data Sheet'!$D$198:$D$275,MATCH(I176,'Data Sheet'!$F$198:$F$275,0)),"")</f>
        <v/>
      </c>
      <c r="V176" s="99"/>
      <c r="W176" s="195" t="str">
        <f>IF(V176=Setup!$C$30,"Grant",IF(V176=Setup!$C$31,"Local",IF(V176=Setup!$C$32,"Other",IF(ISBLANK(V176),"","Other"))))</f>
        <v/>
      </c>
      <c r="X176" s="255"/>
      <c r="Y176" s="259" t="str">
        <f>IF(X176&lt;&gt;"",X176/VLOOKUP($V176,Setup!$C$30:$D$41,2,0),"")</f>
        <v/>
      </c>
      <c r="Z176" s="262"/>
      <c r="AA176" s="256" t="str">
        <f t="shared" si="72"/>
        <v/>
      </c>
      <c r="AB176" s="262"/>
      <c r="AC176" s="258" t="str">
        <f t="shared" si="73"/>
        <v/>
      </c>
      <c r="AD176" s="262"/>
      <c r="AE176" s="258" t="str">
        <f t="shared" si="74"/>
        <v/>
      </c>
      <c r="AF176" s="262"/>
      <c r="AG176" s="256" t="str">
        <f t="shared" si="75"/>
        <v/>
      </c>
      <c r="AH176" s="256" t="str">
        <f t="shared" si="76"/>
        <v/>
      </c>
      <c r="AI176" s="256" t="str">
        <f t="shared" si="77"/>
        <v/>
      </c>
      <c r="AJ176" s="111"/>
      <c r="AK176" s="255"/>
      <c r="AL176" s="259" t="str">
        <f>IF(AK176&lt;&gt;"",AK176/VLOOKUP($V176,Setup!$C$30:$D$41,2,0),"")</f>
        <v/>
      </c>
      <c r="AM176" s="266"/>
      <c r="AN176" s="258" t="str">
        <f t="shared" si="78"/>
        <v/>
      </c>
      <c r="AO176" s="266"/>
      <c r="AP176" s="258" t="str">
        <f t="shared" si="79"/>
        <v/>
      </c>
      <c r="AQ176" s="266"/>
      <c r="AR176" s="258" t="str">
        <f t="shared" si="80"/>
        <v/>
      </c>
      <c r="AS176" s="266"/>
      <c r="AT176" s="256" t="str">
        <f t="shared" si="81"/>
        <v/>
      </c>
      <c r="AU176" s="256" t="str">
        <f t="shared" si="82"/>
        <v/>
      </c>
      <c r="AV176" s="256" t="str">
        <f t="shared" si="83"/>
        <v/>
      </c>
      <c r="AW176" s="267"/>
      <c r="AX176" s="255"/>
      <c r="AY176" s="259" t="str">
        <f>IF(AX176&lt;&gt;"",AX176/VLOOKUP($V176,Setup!$C$30:$D$41,2,0),"")</f>
        <v/>
      </c>
      <c r="AZ176" s="268"/>
      <c r="BA176" s="258" t="str">
        <f t="shared" si="84"/>
        <v/>
      </c>
      <c r="BB176" s="268"/>
      <c r="BC176" s="258" t="str">
        <f t="shared" si="85"/>
        <v/>
      </c>
      <c r="BD176" s="268"/>
      <c r="BE176" s="258" t="str">
        <f t="shared" si="86"/>
        <v/>
      </c>
      <c r="BF176" s="268"/>
      <c r="BG176" s="256" t="str">
        <f t="shared" si="87"/>
        <v/>
      </c>
      <c r="BH176" s="256" t="str">
        <f t="shared" si="88"/>
        <v/>
      </c>
      <c r="BI176" s="256" t="str">
        <f t="shared" si="89"/>
        <v/>
      </c>
      <c r="BJ176" s="267"/>
      <c r="BK176" s="255"/>
      <c r="BL176" s="259" t="str">
        <f>IF(BK176&lt;&gt;"",BK176/VLOOKUP($V176,Setup!$C$30:$D$41,2,0),"")</f>
        <v/>
      </c>
      <c r="BM176" s="268"/>
      <c r="BN176" s="258" t="str">
        <f t="shared" si="90"/>
        <v/>
      </c>
      <c r="BO176" s="268"/>
      <c r="BP176" s="258" t="str">
        <f t="shared" si="91"/>
        <v/>
      </c>
      <c r="BQ176" s="268"/>
      <c r="BR176" s="258" t="str">
        <f t="shared" si="92"/>
        <v/>
      </c>
      <c r="BS176" s="268"/>
      <c r="BT176" s="256" t="str">
        <f t="shared" si="93"/>
        <v/>
      </c>
      <c r="BU176" s="256" t="str">
        <f t="shared" si="94"/>
        <v/>
      </c>
      <c r="BV176" s="256" t="str">
        <f t="shared" si="95"/>
        <v/>
      </c>
      <c r="BW176" s="267"/>
      <c r="BX176" s="256" t="str">
        <f t="shared" si="96"/>
        <v/>
      </c>
      <c r="BY176" s="256" t="str">
        <f t="shared" si="97"/>
        <v/>
      </c>
      <c r="BZ176" s="281"/>
      <c r="CA176" s="282"/>
      <c r="CC176" s="112" t="str">
        <f t="shared" ca="1" si="98"/>
        <v/>
      </c>
      <c r="CF176" s="284"/>
      <c r="CG176" s="284"/>
      <c r="CH176" s="284"/>
      <c r="CI176" s="284"/>
      <c r="CL176" s="356" t="str">
        <f>IFERROR(VLOOKUP(C176,'Data Sheet'!$A$3:$B$26,2,FALSE),"")</f>
        <v/>
      </c>
    </row>
    <row r="177" spans="1:90" s="98" customFormat="1" ht="15.75" x14ac:dyDescent="0.2">
      <c r="A177" s="97"/>
      <c r="B177" s="105" t="str">
        <f t="shared" si="101"/>
        <v>--</v>
      </c>
      <c r="C177" s="276"/>
      <c r="D177" s="101" t="str">
        <f>IFERROR(IF(VLOOKUP(C177,'Data Sheet'!$A$3:$D$26,4,FALSE)=0,"",VLOOKUP(C177,'Data Sheet'!$A$3:$D$26,4,FALSE)),"")</f>
        <v/>
      </c>
      <c r="E177" s="279"/>
      <c r="F177" s="103" t="str">
        <f>IFERROR(IF(VLOOKUP(E177,'Data Sheet'!$C$29:$E$174,3,FALSE)=0,"",VLOOKUP(E177,'Data Sheet'!$C$29:$E$174,3,FALSE)),"")</f>
        <v/>
      </c>
      <c r="G177" s="106" t="str">
        <f t="shared" si="99"/>
        <v>-</v>
      </c>
      <c r="H177" s="273"/>
      <c r="I177" s="107"/>
      <c r="J177" s="249" t="e">
        <f t="shared" si="100"/>
        <v>#VALUE!</v>
      </c>
      <c r="K177" s="101" t="str">
        <f>IFERROR(INDEX('Data Sheet'!$C$198:$C$275,MATCH(I177,'Data Sheet'!$F$198:$F$275,0)),"")</f>
        <v/>
      </c>
      <c r="L177" s="250" t="str">
        <f>IFERROR(INDEX('Data Sheet'!$G$198:$G$275,MATCH(I177,'Data Sheet'!$F$198:$F$275,0)),"")</f>
        <v/>
      </c>
      <c r="M177" s="194"/>
      <c r="N177" s="248"/>
      <c r="O177" s="248"/>
      <c r="P177" s="108" t="str">
        <f>IFERROR(INDEX(Setup!$D$44:$D$70,MATCH(M177,Setup!$K$44:$K$70,0))&amp;"","")</f>
        <v/>
      </c>
      <c r="Q177" s="108" t="str">
        <f>IFERROR(INDEX(Setup!$E$44:$E$70,MATCH(M177,Setup!$K$44:$K$70,0))&amp;"","")</f>
        <v/>
      </c>
      <c r="R177" s="108" t="str">
        <f>IFERROR(INDEX(Setup!$L$44:$L$70,MATCH(M177,Setup!$K$44:$K$70,0))&amp;"","")</f>
        <v/>
      </c>
      <c r="S177" s="108" t="str">
        <f>Setup!$C$30</f>
        <v>USD</v>
      </c>
      <c r="T177" s="109" t="str">
        <f>IFERROR(INDEX('Data Sheet'!$B$198:$B$275,MATCH(I177,'Data Sheet'!$F$198:$F$275,0)),"")</f>
        <v/>
      </c>
      <c r="U177" s="110" t="str">
        <f>IFERROR(INDEX('Data Sheet'!$D$198:$D$275,MATCH(I177,'Data Sheet'!$F$198:$F$275,0)),"")</f>
        <v/>
      </c>
      <c r="V177" s="99"/>
      <c r="W177" s="195" t="str">
        <f>IF(V177=Setup!$C$30,"Grant",IF(V177=Setup!$C$31,"Local",IF(V177=Setup!$C$32,"Other",IF(ISBLANK(V177),"","Other"))))</f>
        <v/>
      </c>
      <c r="X177" s="255"/>
      <c r="Y177" s="259" t="str">
        <f>IF(X177&lt;&gt;"",X177/VLOOKUP($V177,Setup!$C$30:$D$41,2,0),"")</f>
        <v/>
      </c>
      <c r="Z177" s="262"/>
      <c r="AA177" s="256" t="str">
        <f t="shared" si="72"/>
        <v/>
      </c>
      <c r="AB177" s="262"/>
      <c r="AC177" s="258" t="str">
        <f t="shared" si="73"/>
        <v/>
      </c>
      <c r="AD177" s="262"/>
      <c r="AE177" s="258" t="str">
        <f t="shared" si="74"/>
        <v/>
      </c>
      <c r="AF177" s="262"/>
      <c r="AG177" s="256" t="str">
        <f t="shared" si="75"/>
        <v/>
      </c>
      <c r="AH177" s="256" t="str">
        <f t="shared" si="76"/>
        <v/>
      </c>
      <c r="AI177" s="256" t="str">
        <f t="shared" si="77"/>
        <v/>
      </c>
      <c r="AJ177" s="111"/>
      <c r="AK177" s="255"/>
      <c r="AL177" s="259" t="str">
        <f>IF(AK177&lt;&gt;"",AK177/VLOOKUP($V177,Setup!$C$30:$D$41,2,0),"")</f>
        <v/>
      </c>
      <c r="AM177" s="266"/>
      <c r="AN177" s="258" t="str">
        <f t="shared" si="78"/>
        <v/>
      </c>
      <c r="AO177" s="266"/>
      <c r="AP177" s="258" t="str">
        <f t="shared" si="79"/>
        <v/>
      </c>
      <c r="AQ177" s="266"/>
      <c r="AR177" s="258" t="str">
        <f t="shared" si="80"/>
        <v/>
      </c>
      <c r="AS177" s="266"/>
      <c r="AT177" s="256" t="str">
        <f t="shared" si="81"/>
        <v/>
      </c>
      <c r="AU177" s="256" t="str">
        <f t="shared" si="82"/>
        <v/>
      </c>
      <c r="AV177" s="256" t="str">
        <f t="shared" si="83"/>
        <v/>
      </c>
      <c r="AW177" s="267"/>
      <c r="AX177" s="255"/>
      <c r="AY177" s="259" t="str">
        <f>IF(AX177&lt;&gt;"",AX177/VLOOKUP($V177,Setup!$C$30:$D$41,2,0),"")</f>
        <v/>
      </c>
      <c r="AZ177" s="268"/>
      <c r="BA177" s="258" t="str">
        <f t="shared" si="84"/>
        <v/>
      </c>
      <c r="BB177" s="268"/>
      <c r="BC177" s="258" t="str">
        <f t="shared" si="85"/>
        <v/>
      </c>
      <c r="BD177" s="268"/>
      <c r="BE177" s="258" t="str">
        <f t="shared" si="86"/>
        <v/>
      </c>
      <c r="BF177" s="268"/>
      <c r="BG177" s="256" t="str">
        <f t="shared" si="87"/>
        <v/>
      </c>
      <c r="BH177" s="256" t="str">
        <f t="shared" si="88"/>
        <v/>
      </c>
      <c r="BI177" s="256" t="str">
        <f t="shared" si="89"/>
        <v/>
      </c>
      <c r="BJ177" s="267"/>
      <c r="BK177" s="255"/>
      <c r="BL177" s="259" t="str">
        <f>IF(BK177&lt;&gt;"",BK177/VLOOKUP($V177,Setup!$C$30:$D$41,2,0),"")</f>
        <v/>
      </c>
      <c r="BM177" s="268"/>
      <c r="BN177" s="258" t="str">
        <f t="shared" si="90"/>
        <v/>
      </c>
      <c r="BO177" s="268"/>
      <c r="BP177" s="258" t="str">
        <f t="shared" si="91"/>
        <v/>
      </c>
      <c r="BQ177" s="268"/>
      <c r="BR177" s="258" t="str">
        <f t="shared" si="92"/>
        <v/>
      </c>
      <c r="BS177" s="268"/>
      <c r="BT177" s="256" t="str">
        <f t="shared" si="93"/>
        <v/>
      </c>
      <c r="BU177" s="256" t="str">
        <f t="shared" si="94"/>
        <v/>
      </c>
      <c r="BV177" s="256" t="str">
        <f t="shared" si="95"/>
        <v/>
      </c>
      <c r="BW177" s="267"/>
      <c r="BX177" s="256" t="str">
        <f t="shared" si="96"/>
        <v/>
      </c>
      <c r="BY177" s="256" t="str">
        <f t="shared" si="97"/>
        <v/>
      </c>
      <c r="BZ177" s="281"/>
      <c r="CA177" s="282"/>
      <c r="CC177" s="112" t="str">
        <f t="shared" ca="1" si="98"/>
        <v/>
      </c>
      <c r="CF177" s="284"/>
      <c r="CG177" s="284"/>
      <c r="CH177" s="284"/>
      <c r="CI177" s="284"/>
      <c r="CL177" s="356" t="str">
        <f>IFERROR(VLOOKUP(C177,'Data Sheet'!$A$3:$B$26,2,FALSE),"")</f>
        <v/>
      </c>
    </row>
    <row r="178" spans="1:90" s="98" customFormat="1" ht="15.75" x14ac:dyDescent="0.2">
      <c r="A178" s="97"/>
      <c r="B178" s="105" t="str">
        <f t="shared" si="101"/>
        <v>--</v>
      </c>
      <c r="C178" s="276"/>
      <c r="D178" s="101" t="str">
        <f>IFERROR(IF(VLOOKUP(C178,'Data Sheet'!$A$3:$D$26,4,FALSE)=0,"",VLOOKUP(C178,'Data Sheet'!$A$3:$D$26,4,FALSE)),"")</f>
        <v/>
      </c>
      <c r="E178" s="279"/>
      <c r="F178" s="103" t="str">
        <f>IFERROR(IF(VLOOKUP(E178,'Data Sheet'!$C$29:$E$174,3,FALSE)=0,"",VLOOKUP(E178,'Data Sheet'!$C$29:$E$174,3,FALSE)),"")</f>
        <v/>
      </c>
      <c r="G178" s="106" t="str">
        <f t="shared" si="99"/>
        <v>-</v>
      </c>
      <c r="H178" s="273"/>
      <c r="I178" s="107"/>
      <c r="J178" s="249" t="e">
        <f t="shared" si="100"/>
        <v>#VALUE!</v>
      </c>
      <c r="K178" s="101" t="str">
        <f>IFERROR(INDEX('Data Sheet'!$C$198:$C$275,MATCH(I178,'Data Sheet'!$F$198:$F$275,0)),"")</f>
        <v/>
      </c>
      <c r="L178" s="250" t="str">
        <f>IFERROR(INDEX('Data Sheet'!$G$198:$G$275,MATCH(I178,'Data Sheet'!$F$198:$F$275,0)),"")</f>
        <v/>
      </c>
      <c r="M178" s="194"/>
      <c r="N178" s="248"/>
      <c r="O178" s="248"/>
      <c r="P178" s="108" t="str">
        <f>IFERROR(INDEX(Setup!$D$44:$D$70,MATCH(M178,Setup!$K$44:$K$70,0))&amp;"","")</f>
        <v/>
      </c>
      <c r="Q178" s="108" t="str">
        <f>IFERROR(INDEX(Setup!$E$44:$E$70,MATCH(M178,Setup!$K$44:$K$70,0))&amp;"","")</f>
        <v/>
      </c>
      <c r="R178" s="108" t="str">
        <f>IFERROR(INDEX(Setup!$L$44:$L$70,MATCH(M178,Setup!$K$44:$K$70,0))&amp;"","")</f>
        <v/>
      </c>
      <c r="S178" s="108" t="str">
        <f>Setup!$C$30</f>
        <v>USD</v>
      </c>
      <c r="T178" s="109" t="str">
        <f>IFERROR(INDEX('Data Sheet'!$B$198:$B$275,MATCH(I178,'Data Sheet'!$F$198:$F$275,0)),"")</f>
        <v/>
      </c>
      <c r="U178" s="110" t="str">
        <f>IFERROR(INDEX('Data Sheet'!$D$198:$D$275,MATCH(I178,'Data Sheet'!$F$198:$F$275,0)),"")</f>
        <v/>
      </c>
      <c r="V178" s="99"/>
      <c r="W178" s="195" t="str">
        <f>IF(V178=Setup!$C$30,"Grant",IF(V178=Setup!$C$31,"Local",IF(V178=Setup!$C$32,"Other",IF(ISBLANK(V178),"","Other"))))</f>
        <v/>
      </c>
      <c r="X178" s="255"/>
      <c r="Y178" s="259" t="str">
        <f>IF(X178&lt;&gt;"",X178/VLOOKUP($V178,Setup!$C$30:$D$41,2,0),"")</f>
        <v/>
      </c>
      <c r="Z178" s="262"/>
      <c r="AA178" s="256" t="str">
        <f t="shared" si="72"/>
        <v/>
      </c>
      <c r="AB178" s="262"/>
      <c r="AC178" s="258" t="str">
        <f t="shared" si="73"/>
        <v/>
      </c>
      <c r="AD178" s="262"/>
      <c r="AE178" s="258" t="str">
        <f t="shared" si="74"/>
        <v/>
      </c>
      <c r="AF178" s="262"/>
      <c r="AG178" s="256" t="str">
        <f t="shared" si="75"/>
        <v/>
      </c>
      <c r="AH178" s="256" t="str">
        <f t="shared" si="76"/>
        <v/>
      </c>
      <c r="AI178" s="256" t="str">
        <f t="shared" si="77"/>
        <v/>
      </c>
      <c r="AJ178" s="111"/>
      <c r="AK178" s="255"/>
      <c r="AL178" s="259" t="str">
        <f>IF(AK178&lt;&gt;"",AK178/VLOOKUP($V178,Setup!$C$30:$D$41,2,0),"")</f>
        <v/>
      </c>
      <c r="AM178" s="266"/>
      <c r="AN178" s="258" t="str">
        <f t="shared" si="78"/>
        <v/>
      </c>
      <c r="AO178" s="266"/>
      <c r="AP178" s="258" t="str">
        <f t="shared" si="79"/>
        <v/>
      </c>
      <c r="AQ178" s="266"/>
      <c r="AR178" s="258" t="str">
        <f t="shared" si="80"/>
        <v/>
      </c>
      <c r="AS178" s="266"/>
      <c r="AT178" s="256" t="str">
        <f t="shared" si="81"/>
        <v/>
      </c>
      <c r="AU178" s="256" t="str">
        <f t="shared" si="82"/>
        <v/>
      </c>
      <c r="AV178" s="256" t="str">
        <f t="shared" si="83"/>
        <v/>
      </c>
      <c r="AW178" s="267"/>
      <c r="AX178" s="255"/>
      <c r="AY178" s="259" t="str">
        <f>IF(AX178&lt;&gt;"",AX178/VLOOKUP($V178,Setup!$C$30:$D$41,2,0),"")</f>
        <v/>
      </c>
      <c r="AZ178" s="268"/>
      <c r="BA178" s="258" t="str">
        <f t="shared" si="84"/>
        <v/>
      </c>
      <c r="BB178" s="268"/>
      <c r="BC178" s="258" t="str">
        <f t="shared" si="85"/>
        <v/>
      </c>
      <c r="BD178" s="268"/>
      <c r="BE178" s="258" t="str">
        <f t="shared" si="86"/>
        <v/>
      </c>
      <c r="BF178" s="268"/>
      <c r="BG178" s="256" t="str">
        <f t="shared" si="87"/>
        <v/>
      </c>
      <c r="BH178" s="256" t="str">
        <f t="shared" si="88"/>
        <v/>
      </c>
      <c r="BI178" s="256" t="str">
        <f t="shared" si="89"/>
        <v/>
      </c>
      <c r="BJ178" s="267"/>
      <c r="BK178" s="255"/>
      <c r="BL178" s="259" t="str">
        <f>IF(BK178&lt;&gt;"",BK178/VLOOKUP($V178,Setup!$C$30:$D$41,2,0),"")</f>
        <v/>
      </c>
      <c r="BM178" s="268"/>
      <c r="BN178" s="258" t="str">
        <f t="shared" si="90"/>
        <v/>
      </c>
      <c r="BO178" s="268"/>
      <c r="BP178" s="258" t="str">
        <f t="shared" si="91"/>
        <v/>
      </c>
      <c r="BQ178" s="268"/>
      <c r="BR178" s="258" t="str">
        <f t="shared" si="92"/>
        <v/>
      </c>
      <c r="BS178" s="268"/>
      <c r="BT178" s="256" t="str">
        <f t="shared" si="93"/>
        <v/>
      </c>
      <c r="BU178" s="256" t="str">
        <f t="shared" si="94"/>
        <v/>
      </c>
      <c r="BV178" s="256" t="str">
        <f t="shared" si="95"/>
        <v/>
      </c>
      <c r="BW178" s="267"/>
      <c r="BX178" s="256" t="str">
        <f t="shared" si="96"/>
        <v/>
      </c>
      <c r="BY178" s="256" t="str">
        <f t="shared" si="97"/>
        <v/>
      </c>
      <c r="BZ178" s="281"/>
      <c r="CA178" s="282"/>
      <c r="CC178" s="112" t="str">
        <f t="shared" ca="1" si="98"/>
        <v/>
      </c>
      <c r="CF178" s="284"/>
      <c r="CG178" s="284"/>
      <c r="CH178" s="284"/>
      <c r="CI178" s="284"/>
      <c r="CL178" s="356" t="str">
        <f>IFERROR(VLOOKUP(C178,'Data Sheet'!$A$3:$B$26,2,FALSE),"")</f>
        <v/>
      </c>
    </row>
    <row r="179" spans="1:90" s="98" customFormat="1" ht="15.75" x14ac:dyDescent="0.2">
      <c r="A179" s="97"/>
      <c r="B179" s="105" t="str">
        <f t="shared" si="101"/>
        <v>--</v>
      </c>
      <c r="C179" s="276"/>
      <c r="D179" s="101" t="str">
        <f>IFERROR(IF(VLOOKUP(C179,'Data Sheet'!$A$3:$D$26,4,FALSE)=0,"",VLOOKUP(C179,'Data Sheet'!$A$3:$D$26,4,FALSE)),"")</f>
        <v/>
      </c>
      <c r="E179" s="279"/>
      <c r="F179" s="103" t="str">
        <f>IFERROR(IF(VLOOKUP(E179,'Data Sheet'!$C$29:$E$174,3,FALSE)=0,"",VLOOKUP(E179,'Data Sheet'!$C$29:$E$174,3,FALSE)),"")</f>
        <v/>
      </c>
      <c r="G179" s="106" t="str">
        <f t="shared" si="99"/>
        <v>-</v>
      </c>
      <c r="H179" s="273"/>
      <c r="I179" s="107"/>
      <c r="J179" s="249" t="e">
        <f t="shared" si="100"/>
        <v>#VALUE!</v>
      </c>
      <c r="K179" s="101" t="str">
        <f>IFERROR(INDEX('Data Sheet'!$C$198:$C$275,MATCH(I179,'Data Sheet'!$F$198:$F$275,0)),"")</f>
        <v/>
      </c>
      <c r="L179" s="250" t="str">
        <f>IFERROR(INDEX('Data Sheet'!$G$198:$G$275,MATCH(I179,'Data Sheet'!$F$198:$F$275,0)),"")</f>
        <v/>
      </c>
      <c r="M179" s="194"/>
      <c r="N179" s="248"/>
      <c r="O179" s="248"/>
      <c r="P179" s="108" t="str">
        <f>IFERROR(INDEX(Setup!$D$44:$D$70,MATCH(M179,Setup!$K$44:$K$70,0))&amp;"","")</f>
        <v/>
      </c>
      <c r="Q179" s="108" t="str">
        <f>IFERROR(INDEX(Setup!$E$44:$E$70,MATCH(M179,Setup!$K$44:$K$70,0))&amp;"","")</f>
        <v/>
      </c>
      <c r="R179" s="108" t="str">
        <f>IFERROR(INDEX(Setup!$L$44:$L$70,MATCH(M179,Setup!$K$44:$K$70,0))&amp;"","")</f>
        <v/>
      </c>
      <c r="S179" s="108" t="str">
        <f>Setup!$C$30</f>
        <v>USD</v>
      </c>
      <c r="T179" s="109" t="str">
        <f>IFERROR(INDEX('Data Sheet'!$B$198:$B$275,MATCH(I179,'Data Sheet'!$F$198:$F$275,0)),"")</f>
        <v/>
      </c>
      <c r="U179" s="110" t="str">
        <f>IFERROR(INDEX('Data Sheet'!$D$198:$D$275,MATCH(I179,'Data Sheet'!$F$198:$F$275,0)),"")</f>
        <v/>
      </c>
      <c r="V179" s="99"/>
      <c r="W179" s="195" t="str">
        <f>IF(V179=Setup!$C$30,"Grant",IF(V179=Setup!$C$31,"Local",IF(V179=Setup!$C$32,"Other",IF(ISBLANK(V179),"","Other"))))</f>
        <v/>
      </c>
      <c r="X179" s="255"/>
      <c r="Y179" s="259" t="str">
        <f>IF(X179&lt;&gt;"",X179/VLOOKUP($V179,Setup!$C$30:$D$41,2,0),"")</f>
        <v/>
      </c>
      <c r="Z179" s="262"/>
      <c r="AA179" s="256" t="str">
        <f t="shared" si="72"/>
        <v/>
      </c>
      <c r="AB179" s="262"/>
      <c r="AC179" s="258" t="str">
        <f t="shared" si="73"/>
        <v/>
      </c>
      <c r="AD179" s="262"/>
      <c r="AE179" s="258" t="str">
        <f t="shared" si="74"/>
        <v/>
      </c>
      <c r="AF179" s="262"/>
      <c r="AG179" s="256" t="str">
        <f t="shared" si="75"/>
        <v/>
      </c>
      <c r="AH179" s="256" t="str">
        <f t="shared" si="76"/>
        <v/>
      </c>
      <c r="AI179" s="256" t="str">
        <f t="shared" si="77"/>
        <v/>
      </c>
      <c r="AJ179" s="111"/>
      <c r="AK179" s="255"/>
      <c r="AL179" s="259" t="str">
        <f>IF(AK179&lt;&gt;"",AK179/VLOOKUP($V179,Setup!$C$30:$D$41,2,0),"")</f>
        <v/>
      </c>
      <c r="AM179" s="266"/>
      <c r="AN179" s="258" t="str">
        <f t="shared" si="78"/>
        <v/>
      </c>
      <c r="AO179" s="266"/>
      <c r="AP179" s="258" t="str">
        <f t="shared" si="79"/>
        <v/>
      </c>
      <c r="AQ179" s="266"/>
      <c r="AR179" s="258" t="str">
        <f t="shared" si="80"/>
        <v/>
      </c>
      <c r="AS179" s="266"/>
      <c r="AT179" s="256" t="str">
        <f t="shared" si="81"/>
        <v/>
      </c>
      <c r="AU179" s="256" t="str">
        <f t="shared" si="82"/>
        <v/>
      </c>
      <c r="AV179" s="256" t="str">
        <f t="shared" si="83"/>
        <v/>
      </c>
      <c r="AW179" s="267"/>
      <c r="AX179" s="255"/>
      <c r="AY179" s="259" t="str">
        <f>IF(AX179&lt;&gt;"",AX179/VLOOKUP($V179,Setup!$C$30:$D$41,2,0),"")</f>
        <v/>
      </c>
      <c r="AZ179" s="268"/>
      <c r="BA179" s="258" t="str">
        <f t="shared" si="84"/>
        <v/>
      </c>
      <c r="BB179" s="268"/>
      <c r="BC179" s="258" t="str">
        <f t="shared" si="85"/>
        <v/>
      </c>
      <c r="BD179" s="268"/>
      <c r="BE179" s="258" t="str">
        <f t="shared" si="86"/>
        <v/>
      </c>
      <c r="BF179" s="268"/>
      <c r="BG179" s="256" t="str">
        <f t="shared" si="87"/>
        <v/>
      </c>
      <c r="BH179" s="256" t="str">
        <f t="shared" si="88"/>
        <v/>
      </c>
      <c r="BI179" s="256" t="str">
        <f t="shared" si="89"/>
        <v/>
      </c>
      <c r="BJ179" s="267"/>
      <c r="BK179" s="255"/>
      <c r="BL179" s="259" t="str">
        <f>IF(BK179&lt;&gt;"",BK179/VLOOKUP($V179,Setup!$C$30:$D$41,2,0),"")</f>
        <v/>
      </c>
      <c r="BM179" s="268"/>
      <c r="BN179" s="258" t="str">
        <f t="shared" si="90"/>
        <v/>
      </c>
      <c r="BO179" s="268"/>
      <c r="BP179" s="258" t="str">
        <f t="shared" si="91"/>
        <v/>
      </c>
      <c r="BQ179" s="268"/>
      <c r="BR179" s="258" t="str">
        <f t="shared" si="92"/>
        <v/>
      </c>
      <c r="BS179" s="268"/>
      <c r="BT179" s="256" t="str">
        <f t="shared" si="93"/>
        <v/>
      </c>
      <c r="BU179" s="256" t="str">
        <f t="shared" si="94"/>
        <v/>
      </c>
      <c r="BV179" s="256" t="str">
        <f t="shared" si="95"/>
        <v/>
      </c>
      <c r="BW179" s="267"/>
      <c r="BX179" s="256" t="str">
        <f t="shared" si="96"/>
        <v/>
      </c>
      <c r="BY179" s="256" t="str">
        <f t="shared" si="97"/>
        <v/>
      </c>
      <c r="BZ179" s="281"/>
      <c r="CA179" s="282"/>
      <c r="CC179" s="112" t="str">
        <f t="shared" ca="1" si="98"/>
        <v/>
      </c>
      <c r="CF179" s="284"/>
      <c r="CG179" s="284"/>
      <c r="CH179" s="284"/>
      <c r="CI179" s="284"/>
      <c r="CL179" s="356" t="str">
        <f>IFERROR(VLOOKUP(C179,'Data Sheet'!$A$3:$B$26,2,FALSE),"")</f>
        <v/>
      </c>
    </row>
    <row r="180" spans="1:90" s="98" customFormat="1" ht="15.75" x14ac:dyDescent="0.2">
      <c r="A180" s="97"/>
      <c r="B180" s="105" t="str">
        <f t="shared" si="101"/>
        <v>--</v>
      </c>
      <c r="C180" s="276"/>
      <c r="D180" s="101" t="str">
        <f>IFERROR(IF(VLOOKUP(C180,'Data Sheet'!$A$3:$D$26,4,FALSE)=0,"",VLOOKUP(C180,'Data Sheet'!$A$3:$D$26,4,FALSE)),"")</f>
        <v/>
      </c>
      <c r="E180" s="279"/>
      <c r="F180" s="103" t="str">
        <f>IFERROR(IF(VLOOKUP(E180,'Data Sheet'!$C$29:$E$174,3,FALSE)=0,"",VLOOKUP(E180,'Data Sheet'!$C$29:$E$174,3,FALSE)),"")</f>
        <v/>
      </c>
      <c r="G180" s="106" t="str">
        <f t="shared" si="99"/>
        <v>-</v>
      </c>
      <c r="H180" s="273"/>
      <c r="I180" s="107"/>
      <c r="J180" s="249" t="e">
        <f t="shared" si="100"/>
        <v>#VALUE!</v>
      </c>
      <c r="K180" s="101" t="str">
        <f>IFERROR(INDEX('Data Sheet'!$C$198:$C$275,MATCH(I180,'Data Sheet'!$F$198:$F$275,0)),"")</f>
        <v/>
      </c>
      <c r="L180" s="250" t="str">
        <f>IFERROR(INDEX('Data Sheet'!$G$198:$G$275,MATCH(I180,'Data Sheet'!$F$198:$F$275,0)),"")</f>
        <v/>
      </c>
      <c r="M180" s="194"/>
      <c r="N180" s="248"/>
      <c r="O180" s="248"/>
      <c r="P180" s="108" t="str">
        <f>IFERROR(INDEX(Setup!$D$44:$D$70,MATCH(M180,Setup!$K$44:$K$70,0))&amp;"","")</f>
        <v/>
      </c>
      <c r="Q180" s="108" t="str">
        <f>IFERROR(INDEX(Setup!$E$44:$E$70,MATCH(M180,Setup!$K$44:$K$70,0))&amp;"","")</f>
        <v/>
      </c>
      <c r="R180" s="108" t="str">
        <f>IFERROR(INDEX(Setup!$L$44:$L$70,MATCH(M180,Setup!$K$44:$K$70,0))&amp;"","")</f>
        <v/>
      </c>
      <c r="S180" s="108" t="str">
        <f>Setup!$C$30</f>
        <v>USD</v>
      </c>
      <c r="T180" s="109" t="str">
        <f>IFERROR(INDEX('Data Sheet'!$B$198:$B$275,MATCH(I180,'Data Sheet'!$F$198:$F$275,0)),"")</f>
        <v/>
      </c>
      <c r="U180" s="110" t="str">
        <f>IFERROR(INDEX('Data Sheet'!$D$198:$D$275,MATCH(I180,'Data Sheet'!$F$198:$F$275,0)),"")</f>
        <v/>
      </c>
      <c r="V180" s="99"/>
      <c r="W180" s="195" t="str">
        <f>IF(V180=Setup!$C$30,"Grant",IF(V180=Setup!$C$31,"Local",IF(V180=Setup!$C$32,"Other",IF(ISBLANK(V180),"","Other"))))</f>
        <v/>
      </c>
      <c r="X180" s="255"/>
      <c r="Y180" s="259" t="str">
        <f>IF(X180&lt;&gt;"",X180/VLOOKUP($V180,Setup!$C$30:$D$41,2,0),"")</f>
        <v/>
      </c>
      <c r="Z180" s="262"/>
      <c r="AA180" s="256" t="str">
        <f t="shared" si="72"/>
        <v/>
      </c>
      <c r="AB180" s="262"/>
      <c r="AC180" s="258" t="str">
        <f t="shared" si="73"/>
        <v/>
      </c>
      <c r="AD180" s="262"/>
      <c r="AE180" s="258" t="str">
        <f t="shared" si="74"/>
        <v/>
      </c>
      <c r="AF180" s="262"/>
      <c r="AG180" s="256" t="str">
        <f t="shared" si="75"/>
        <v/>
      </c>
      <c r="AH180" s="256" t="str">
        <f t="shared" si="76"/>
        <v/>
      </c>
      <c r="AI180" s="256" t="str">
        <f t="shared" si="77"/>
        <v/>
      </c>
      <c r="AJ180" s="111"/>
      <c r="AK180" s="255"/>
      <c r="AL180" s="259" t="str">
        <f>IF(AK180&lt;&gt;"",AK180/VLOOKUP($V180,Setup!$C$30:$D$41,2,0),"")</f>
        <v/>
      </c>
      <c r="AM180" s="266"/>
      <c r="AN180" s="258" t="str">
        <f t="shared" si="78"/>
        <v/>
      </c>
      <c r="AO180" s="266"/>
      <c r="AP180" s="258" t="str">
        <f t="shared" si="79"/>
        <v/>
      </c>
      <c r="AQ180" s="266"/>
      <c r="AR180" s="258" t="str">
        <f t="shared" si="80"/>
        <v/>
      </c>
      <c r="AS180" s="266"/>
      <c r="AT180" s="256" t="str">
        <f t="shared" si="81"/>
        <v/>
      </c>
      <c r="AU180" s="256" t="str">
        <f t="shared" si="82"/>
        <v/>
      </c>
      <c r="AV180" s="256" t="str">
        <f t="shared" si="83"/>
        <v/>
      </c>
      <c r="AW180" s="267"/>
      <c r="AX180" s="255"/>
      <c r="AY180" s="259" t="str">
        <f>IF(AX180&lt;&gt;"",AX180/VLOOKUP($V180,Setup!$C$30:$D$41,2,0),"")</f>
        <v/>
      </c>
      <c r="AZ180" s="268"/>
      <c r="BA180" s="258" t="str">
        <f t="shared" si="84"/>
        <v/>
      </c>
      <c r="BB180" s="268"/>
      <c r="BC180" s="258" t="str">
        <f t="shared" si="85"/>
        <v/>
      </c>
      <c r="BD180" s="268"/>
      <c r="BE180" s="258" t="str">
        <f t="shared" si="86"/>
        <v/>
      </c>
      <c r="BF180" s="268"/>
      <c r="BG180" s="256" t="str">
        <f t="shared" si="87"/>
        <v/>
      </c>
      <c r="BH180" s="256" t="str">
        <f t="shared" si="88"/>
        <v/>
      </c>
      <c r="BI180" s="256" t="str">
        <f t="shared" si="89"/>
        <v/>
      </c>
      <c r="BJ180" s="267"/>
      <c r="BK180" s="255"/>
      <c r="BL180" s="259" t="str">
        <f>IF(BK180&lt;&gt;"",BK180/VLOOKUP($V180,Setup!$C$30:$D$41,2,0),"")</f>
        <v/>
      </c>
      <c r="BM180" s="268"/>
      <c r="BN180" s="258" t="str">
        <f t="shared" si="90"/>
        <v/>
      </c>
      <c r="BO180" s="268"/>
      <c r="BP180" s="258" t="str">
        <f t="shared" si="91"/>
        <v/>
      </c>
      <c r="BQ180" s="268"/>
      <c r="BR180" s="258" t="str">
        <f t="shared" si="92"/>
        <v/>
      </c>
      <c r="BS180" s="268"/>
      <c r="BT180" s="256" t="str">
        <f t="shared" si="93"/>
        <v/>
      </c>
      <c r="BU180" s="256" t="str">
        <f t="shared" si="94"/>
        <v/>
      </c>
      <c r="BV180" s="256" t="str">
        <f t="shared" si="95"/>
        <v/>
      </c>
      <c r="BW180" s="267"/>
      <c r="BX180" s="256" t="str">
        <f t="shared" si="96"/>
        <v/>
      </c>
      <c r="BY180" s="256" t="str">
        <f t="shared" si="97"/>
        <v/>
      </c>
      <c r="BZ180" s="281"/>
      <c r="CA180" s="282"/>
      <c r="CC180" s="112" t="str">
        <f t="shared" ca="1" si="98"/>
        <v/>
      </c>
      <c r="CF180" s="284"/>
      <c r="CG180" s="284"/>
      <c r="CH180" s="284"/>
      <c r="CI180" s="284"/>
      <c r="CL180" s="356" t="str">
        <f>IFERROR(VLOOKUP(C180,'Data Sheet'!$A$3:$B$26,2,FALSE),"")</f>
        <v/>
      </c>
    </row>
    <row r="181" spans="1:90" s="98" customFormat="1" ht="15.75" x14ac:dyDescent="0.2">
      <c r="A181" s="97"/>
      <c r="B181" s="105" t="str">
        <f t="shared" si="101"/>
        <v>--</v>
      </c>
      <c r="C181" s="276"/>
      <c r="D181" s="101" t="str">
        <f>IFERROR(IF(VLOOKUP(C181,'Data Sheet'!$A$3:$D$26,4,FALSE)=0,"",VLOOKUP(C181,'Data Sheet'!$A$3:$D$26,4,FALSE)),"")</f>
        <v/>
      </c>
      <c r="E181" s="279"/>
      <c r="F181" s="103" t="str">
        <f>IFERROR(IF(VLOOKUP(E181,'Data Sheet'!$C$29:$E$174,3,FALSE)=0,"",VLOOKUP(E181,'Data Sheet'!$C$29:$E$174,3,FALSE)),"")</f>
        <v/>
      </c>
      <c r="G181" s="106" t="str">
        <f t="shared" si="99"/>
        <v>-</v>
      </c>
      <c r="H181" s="273"/>
      <c r="I181" s="107"/>
      <c r="J181" s="249" t="e">
        <f t="shared" si="100"/>
        <v>#VALUE!</v>
      </c>
      <c r="K181" s="101" t="str">
        <f>IFERROR(INDEX('Data Sheet'!$C$198:$C$275,MATCH(I181,'Data Sheet'!$F$198:$F$275,0)),"")</f>
        <v/>
      </c>
      <c r="L181" s="250" t="str">
        <f>IFERROR(INDEX('Data Sheet'!$G$198:$G$275,MATCH(I181,'Data Sheet'!$F$198:$F$275,0)),"")</f>
        <v/>
      </c>
      <c r="M181" s="194"/>
      <c r="N181" s="248"/>
      <c r="O181" s="248"/>
      <c r="P181" s="108" t="str">
        <f>IFERROR(INDEX(Setup!$D$44:$D$70,MATCH(M181,Setup!$K$44:$K$70,0))&amp;"","")</f>
        <v/>
      </c>
      <c r="Q181" s="108" t="str">
        <f>IFERROR(INDEX(Setup!$E$44:$E$70,MATCH(M181,Setup!$K$44:$K$70,0))&amp;"","")</f>
        <v/>
      </c>
      <c r="R181" s="108" t="str">
        <f>IFERROR(INDEX(Setup!$L$44:$L$70,MATCH(M181,Setup!$K$44:$K$70,0))&amp;"","")</f>
        <v/>
      </c>
      <c r="S181" s="108" t="str">
        <f>Setup!$C$30</f>
        <v>USD</v>
      </c>
      <c r="T181" s="109" t="str">
        <f>IFERROR(INDEX('Data Sheet'!$B$198:$B$275,MATCH(I181,'Data Sheet'!$F$198:$F$275,0)),"")</f>
        <v/>
      </c>
      <c r="U181" s="110" t="str">
        <f>IFERROR(INDEX('Data Sheet'!$D$198:$D$275,MATCH(I181,'Data Sheet'!$F$198:$F$275,0)),"")</f>
        <v/>
      </c>
      <c r="V181" s="99"/>
      <c r="W181" s="195" t="str">
        <f>IF(V181=Setup!$C$30,"Grant",IF(V181=Setup!$C$31,"Local",IF(V181=Setup!$C$32,"Other",IF(ISBLANK(V181),"","Other"))))</f>
        <v/>
      </c>
      <c r="X181" s="255"/>
      <c r="Y181" s="259" t="str">
        <f>IF(X181&lt;&gt;"",X181/VLOOKUP($V181,Setup!$C$30:$D$41,2,0),"")</f>
        <v/>
      </c>
      <c r="Z181" s="262"/>
      <c r="AA181" s="256" t="str">
        <f t="shared" si="72"/>
        <v/>
      </c>
      <c r="AB181" s="262"/>
      <c r="AC181" s="258" t="str">
        <f t="shared" si="73"/>
        <v/>
      </c>
      <c r="AD181" s="262"/>
      <c r="AE181" s="258" t="str">
        <f t="shared" si="74"/>
        <v/>
      </c>
      <c r="AF181" s="262"/>
      <c r="AG181" s="256" t="str">
        <f t="shared" si="75"/>
        <v/>
      </c>
      <c r="AH181" s="256" t="str">
        <f t="shared" si="76"/>
        <v/>
      </c>
      <c r="AI181" s="256" t="str">
        <f t="shared" si="77"/>
        <v/>
      </c>
      <c r="AJ181" s="111"/>
      <c r="AK181" s="255"/>
      <c r="AL181" s="259" t="str">
        <f>IF(AK181&lt;&gt;"",AK181/VLOOKUP($V181,Setup!$C$30:$D$41,2,0),"")</f>
        <v/>
      </c>
      <c r="AM181" s="266"/>
      <c r="AN181" s="258" t="str">
        <f t="shared" si="78"/>
        <v/>
      </c>
      <c r="AO181" s="266"/>
      <c r="AP181" s="258" t="str">
        <f t="shared" si="79"/>
        <v/>
      </c>
      <c r="AQ181" s="266"/>
      <c r="AR181" s="258" t="str">
        <f t="shared" si="80"/>
        <v/>
      </c>
      <c r="AS181" s="266"/>
      <c r="AT181" s="256" t="str">
        <f t="shared" si="81"/>
        <v/>
      </c>
      <c r="AU181" s="256" t="str">
        <f t="shared" si="82"/>
        <v/>
      </c>
      <c r="AV181" s="256" t="str">
        <f t="shared" si="83"/>
        <v/>
      </c>
      <c r="AW181" s="267"/>
      <c r="AX181" s="255"/>
      <c r="AY181" s="259" t="str">
        <f>IF(AX181&lt;&gt;"",AX181/VLOOKUP($V181,Setup!$C$30:$D$41,2,0),"")</f>
        <v/>
      </c>
      <c r="AZ181" s="268"/>
      <c r="BA181" s="258" t="str">
        <f t="shared" si="84"/>
        <v/>
      </c>
      <c r="BB181" s="268"/>
      <c r="BC181" s="258" t="str">
        <f t="shared" si="85"/>
        <v/>
      </c>
      <c r="BD181" s="268"/>
      <c r="BE181" s="258" t="str">
        <f t="shared" si="86"/>
        <v/>
      </c>
      <c r="BF181" s="268"/>
      <c r="BG181" s="256" t="str">
        <f t="shared" si="87"/>
        <v/>
      </c>
      <c r="BH181" s="256" t="str">
        <f t="shared" si="88"/>
        <v/>
      </c>
      <c r="BI181" s="256" t="str">
        <f t="shared" si="89"/>
        <v/>
      </c>
      <c r="BJ181" s="267"/>
      <c r="BK181" s="255"/>
      <c r="BL181" s="259" t="str">
        <f>IF(BK181&lt;&gt;"",BK181/VLOOKUP($V181,Setup!$C$30:$D$41,2,0),"")</f>
        <v/>
      </c>
      <c r="BM181" s="268"/>
      <c r="BN181" s="258" t="str">
        <f t="shared" si="90"/>
        <v/>
      </c>
      <c r="BO181" s="268"/>
      <c r="BP181" s="258" t="str">
        <f t="shared" si="91"/>
        <v/>
      </c>
      <c r="BQ181" s="268"/>
      <c r="BR181" s="258" t="str">
        <f t="shared" si="92"/>
        <v/>
      </c>
      <c r="BS181" s="268"/>
      <c r="BT181" s="256" t="str">
        <f t="shared" si="93"/>
        <v/>
      </c>
      <c r="BU181" s="256" t="str">
        <f t="shared" si="94"/>
        <v/>
      </c>
      <c r="BV181" s="256" t="str">
        <f t="shared" si="95"/>
        <v/>
      </c>
      <c r="BW181" s="267"/>
      <c r="BX181" s="256" t="str">
        <f t="shared" si="96"/>
        <v/>
      </c>
      <c r="BY181" s="256" t="str">
        <f t="shared" si="97"/>
        <v/>
      </c>
      <c r="BZ181" s="281"/>
      <c r="CA181" s="282"/>
      <c r="CC181" s="112" t="str">
        <f t="shared" ca="1" si="98"/>
        <v/>
      </c>
      <c r="CF181" s="284"/>
      <c r="CG181" s="284"/>
      <c r="CH181" s="284"/>
      <c r="CI181" s="284"/>
      <c r="CL181" s="356" t="str">
        <f>IFERROR(VLOOKUP(C181,'Data Sheet'!$A$3:$B$26,2,FALSE),"")</f>
        <v/>
      </c>
    </row>
    <row r="182" spans="1:90" s="98" customFormat="1" ht="15.75" x14ac:dyDescent="0.2">
      <c r="A182" s="97"/>
      <c r="B182" s="105" t="str">
        <f t="shared" si="101"/>
        <v>--</v>
      </c>
      <c r="C182" s="276"/>
      <c r="D182" s="101" t="str">
        <f>IFERROR(IF(VLOOKUP(C182,'Data Sheet'!$A$3:$D$26,4,FALSE)=0,"",VLOOKUP(C182,'Data Sheet'!$A$3:$D$26,4,FALSE)),"")</f>
        <v/>
      </c>
      <c r="E182" s="279"/>
      <c r="F182" s="103" t="str">
        <f>IFERROR(IF(VLOOKUP(E182,'Data Sheet'!$C$29:$E$174,3,FALSE)=0,"",VLOOKUP(E182,'Data Sheet'!$C$29:$E$174,3,FALSE)),"")</f>
        <v/>
      </c>
      <c r="G182" s="106" t="str">
        <f t="shared" si="99"/>
        <v>-</v>
      </c>
      <c r="H182" s="273"/>
      <c r="I182" s="107"/>
      <c r="J182" s="249" t="e">
        <f t="shared" si="100"/>
        <v>#VALUE!</v>
      </c>
      <c r="K182" s="101" t="str">
        <f>IFERROR(INDEX('Data Sheet'!$C$198:$C$275,MATCH(I182,'Data Sheet'!$F$198:$F$275,0)),"")</f>
        <v/>
      </c>
      <c r="L182" s="250" t="str">
        <f>IFERROR(INDEX('Data Sheet'!$G$198:$G$275,MATCH(I182,'Data Sheet'!$F$198:$F$275,0)),"")</f>
        <v/>
      </c>
      <c r="M182" s="194"/>
      <c r="N182" s="248"/>
      <c r="O182" s="248"/>
      <c r="P182" s="108" t="str">
        <f>IFERROR(INDEX(Setup!$D$44:$D$70,MATCH(M182,Setup!$K$44:$K$70,0))&amp;"","")</f>
        <v/>
      </c>
      <c r="Q182" s="108" t="str">
        <f>IFERROR(INDEX(Setup!$E$44:$E$70,MATCH(M182,Setup!$K$44:$K$70,0))&amp;"","")</f>
        <v/>
      </c>
      <c r="R182" s="108" t="str">
        <f>IFERROR(INDEX(Setup!$L$44:$L$70,MATCH(M182,Setup!$K$44:$K$70,0))&amp;"","")</f>
        <v/>
      </c>
      <c r="S182" s="108" t="str">
        <f>Setup!$C$30</f>
        <v>USD</v>
      </c>
      <c r="T182" s="109" t="str">
        <f>IFERROR(INDEX('Data Sheet'!$B$198:$B$275,MATCH(I182,'Data Sheet'!$F$198:$F$275,0)),"")</f>
        <v/>
      </c>
      <c r="U182" s="110" t="str">
        <f>IFERROR(INDEX('Data Sheet'!$D$198:$D$275,MATCH(I182,'Data Sheet'!$F$198:$F$275,0)),"")</f>
        <v/>
      </c>
      <c r="V182" s="99"/>
      <c r="W182" s="195" t="str">
        <f>IF(V182=Setup!$C$30,"Grant",IF(V182=Setup!$C$31,"Local",IF(V182=Setup!$C$32,"Other",IF(ISBLANK(V182),"","Other"))))</f>
        <v/>
      </c>
      <c r="X182" s="255"/>
      <c r="Y182" s="259" t="str">
        <f>IF(X182&lt;&gt;"",X182/VLOOKUP($V182,Setup!$C$30:$D$41,2,0),"")</f>
        <v/>
      </c>
      <c r="Z182" s="262"/>
      <c r="AA182" s="256" t="str">
        <f t="shared" si="72"/>
        <v/>
      </c>
      <c r="AB182" s="262"/>
      <c r="AC182" s="258" t="str">
        <f t="shared" si="73"/>
        <v/>
      </c>
      <c r="AD182" s="262"/>
      <c r="AE182" s="258" t="str">
        <f t="shared" si="74"/>
        <v/>
      </c>
      <c r="AF182" s="262"/>
      <c r="AG182" s="256" t="str">
        <f t="shared" si="75"/>
        <v/>
      </c>
      <c r="AH182" s="256" t="str">
        <f t="shared" si="76"/>
        <v/>
      </c>
      <c r="AI182" s="256" t="str">
        <f t="shared" si="77"/>
        <v/>
      </c>
      <c r="AJ182" s="111"/>
      <c r="AK182" s="255"/>
      <c r="AL182" s="259" t="str">
        <f>IF(AK182&lt;&gt;"",AK182/VLOOKUP($V182,Setup!$C$30:$D$41,2,0),"")</f>
        <v/>
      </c>
      <c r="AM182" s="266"/>
      <c r="AN182" s="258" t="str">
        <f t="shared" si="78"/>
        <v/>
      </c>
      <c r="AO182" s="266"/>
      <c r="AP182" s="258" t="str">
        <f t="shared" si="79"/>
        <v/>
      </c>
      <c r="AQ182" s="266"/>
      <c r="AR182" s="258" t="str">
        <f t="shared" si="80"/>
        <v/>
      </c>
      <c r="AS182" s="266"/>
      <c r="AT182" s="256" t="str">
        <f t="shared" si="81"/>
        <v/>
      </c>
      <c r="AU182" s="256" t="str">
        <f t="shared" si="82"/>
        <v/>
      </c>
      <c r="AV182" s="256" t="str">
        <f t="shared" si="83"/>
        <v/>
      </c>
      <c r="AW182" s="267"/>
      <c r="AX182" s="255"/>
      <c r="AY182" s="259" t="str">
        <f>IF(AX182&lt;&gt;"",AX182/VLOOKUP($V182,Setup!$C$30:$D$41,2,0),"")</f>
        <v/>
      </c>
      <c r="AZ182" s="268"/>
      <c r="BA182" s="258" t="str">
        <f t="shared" si="84"/>
        <v/>
      </c>
      <c r="BB182" s="268"/>
      <c r="BC182" s="258" t="str">
        <f t="shared" si="85"/>
        <v/>
      </c>
      <c r="BD182" s="268"/>
      <c r="BE182" s="258" t="str">
        <f t="shared" si="86"/>
        <v/>
      </c>
      <c r="BF182" s="268"/>
      <c r="BG182" s="256" t="str">
        <f t="shared" si="87"/>
        <v/>
      </c>
      <c r="BH182" s="256" t="str">
        <f t="shared" si="88"/>
        <v/>
      </c>
      <c r="BI182" s="256" t="str">
        <f t="shared" si="89"/>
        <v/>
      </c>
      <c r="BJ182" s="267"/>
      <c r="BK182" s="255"/>
      <c r="BL182" s="259" t="str">
        <f>IF(BK182&lt;&gt;"",BK182/VLOOKUP($V182,Setup!$C$30:$D$41,2,0),"")</f>
        <v/>
      </c>
      <c r="BM182" s="268"/>
      <c r="BN182" s="258" t="str">
        <f t="shared" si="90"/>
        <v/>
      </c>
      <c r="BO182" s="268"/>
      <c r="BP182" s="258" t="str">
        <f t="shared" si="91"/>
        <v/>
      </c>
      <c r="BQ182" s="268"/>
      <c r="BR182" s="258" t="str">
        <f t="shared" si="92"/>
        <v/>
      </c>
      <c r="BS182" s="268"/>
      <c r="BT182" s="256" t="str">
        <f t="shared" si="93"/>
        <v/>
      </c>
      <c r="BU182" s="256" t="str">
        <f t="shared" si="94"/>
        <v/>
      </c>
      <c r="BV182" s="256" t="str">
        <f t="shared" si="95"/>
        <v/>
      </c>
      <c r="BW182" s="267"/>
      <c r="BX182" s="256" t="str">
        <f t="shared" si="96"/>
        <v/>
      </c>
      <c r="BY182" s="256" t="str">
        <f t="shared" si="97"/>
        <v/>
      </c>
      <c r="BZ182" s="281"/>
      <c r="CA182" s="282"/>
      <c r="CC182" s="112" t="str">
        <f t="shared" ca="1" si="98"/>
        <v/>
      </c>
      <c r="CF182" s="284"/>
      <c r="CG182" s="284"/>
      <c r="CH182" s="284"/>
      <c r="CI182" s="284"/>
      <c r="CL182" s="356" t="str">
        <f>IFERROR(VLOOKUP(C182,'Data Sheet'!$A$3:$B$26,2,FALSE),"")</f>
        <v/>
      </c>
    </row>
    <row r="183" spans="1:90" s="98" customFormat="1" ht="15.75" x14ac:dyDescent="0.2">
      <c r="A183" s="97"/>
      <c r="B183" s="105" t="str">
        <f t="shared" si="101"/>
        <v>--</v>
      </c>
      <c r="C183" s="276"/>
      <c r="D183" s="101" t="str">
        <f>IFERROR(IF(VLOOKUP(C183,'Data Sheet'!$A$3:$D$26,4,FALSE)=0,"",VLOOKUP(C183,'Data Sheet'!$A$3:$D$26,4,FALSE)),"")</f>
        <v/>
      </c>
      <c r="E183" s="279"/>
      <c r="F183" s="103" t="str">
        <f>IFERROR(IF(VLOOKUP(E183,'Data Sheet'!$C$29:$E$174,3,FALSE)=0,"",VLOOKUP(E183,'Data Sheet'!$C$29:$E$174,3,FALSE)),"")</f>
        <v/>
      </c>
      <c r="G183" s="106" t="str">
        <f t="shared" si="99"/>
        <v>-</v>
      </c>
      <c r="H183" s="273"/>
      <c r="I183" s="107"/>
      <c r="J183" s="249" t="e">
        <f t="shared" si="100"/>
        <v>#VALUE!</v>
      </c>
      <c r="K183" s="101" t="str">
        <f>IFERROR(INDEX('Data Sheet'!$C$198:$C$275,MATCH(I183,'Data Sheet'!$F$198:$F$275,0)),"")</f>
        <v/>
      </c>
      <c r="L183" s="250" t="str">
        <f>IFERROR(INDEX('Data Sheet'!$G$198:$G$275,MATCH(I183,'Data Sheet'!$F$198:$F$275,0)),"")</f>
        <v/>
      </c>
      <c r="M183" s="194"/>
      <c r="N183" s="248"/>
      <c r="O183" s="248"/>
      <c r="P183" s="108" t="str">
        <f>IFERROR(INDEX(Setup!$D$44:$D$70,MATCH(M183,Setup!$K$44:$K$70,0))&amp;"","")</f>
        <v/>
      </c>
      <c r="Q183" s="108" t="str">
        <f>IFERROR(INDEX(Setup!$E$44:$E$70,MATCH(M183,Setup!$K$44:$K$70,0))&amp;"","")</f>
        <v/>
      </c>
      <c r="R183" s="108" t="str">
        <f>IFERROR(INDEX(Setup!$L$44:$L$70,MATCH(M183,Setup!$K$44:$K$70,0))&amp;"","")</f>
        <v/>
      </c>
      <c r="S183" s="108" t="str">
        <f>Setup!$C$30</f>
        <v>USD</v>
      </c>
      <c r="T183" s="109" t="str">
        <f>IFERROR(INDEX('Data Sheet'!$B$198:$B$275,MATCH(I183,'Data Sheet'!$F$198:$F$275,0)),"")</f>
        <v/>
      </c>
      <c r="U183" s="110" t="str">
        <f>IFERROR(INDEX('Data Sheet'!$D$198:$D$275,MATCH(I183,'Data Sheet'!$F$198:$F$275,0)),"")</f>
        <v/>
      </c>
      <c r="V183" s="99"/>
      <c r="W183" s="195" t="str">
        <f>IF(V183=Setup!$C$30,"Grant",IF(V183=Setup!$C$31,"Local",IF(V183=Setup!$C$32,"Other",IF(ISBLANK(V183),"","Other"))))</f>
        <v/>
      </c>
      <c r="X183" s="255"/>
      <c r="Y183" s="259" t="str">
        <f>IF(X183&lt;&gt;"",X183/VLOOKUP($V183,Setup!$C$30:$D$41,2,0),"")</f>
        <v/>
      </c>
      <c r="Z183" s="262"/>
      <c r="AA183" s="256" t="str">
        <f t="shared" si="72"/>
        <v/>
      </c>
      <c r="AB183" s="262"/>
      <c r="AC183" s="258" t="str">
        <f t="shared" si="73"/>
        <v/>
      </c>
      <c r="AD183" s="262"/>
      <c r="AE183" s="258" t="str">
        <f t="shared" si="74"/>
        <v/>
      </c>
      <c r="AF183" s="262"/>
      <c r="AG183" s="256" t="str">
        <f t="shared" si="75"/>
        <v/>
      </c>
      <c r="AH183" s="256" t="str">
        <f t="shared" si="76"/>
        <v/>
      </c>
      <c r="AI183" s="256" t="str">
        <f t="shared" si="77"/>
        <v/>
      </c>
      <c r="AJ183" s="111"/>
      <c r="AK183" s="255"/>
      <c r="AL183" s="259" t="str">
        <f>IF(AK183&lt;&gt;"",AK183/VLOOKUP($V183,Setup!$C$30:$D$41,2,0),"")</f>
        <v/>
      </c>
      <c r="AM183" s="266"/>
      <c r="AN183" s="258" t="str">
        <f t="shared" si="78"/>
        <v/>
      </c>
      <c r="AO183" s="266"/>
      <c r="AP183" s="258" t="str">
        <f t="shared" si="79"/>
        <v/>
      </c>
      <c r="AQ183" s="266"/>
      <c r="AR183" s="258" t="str">
        <f t="shared" si="80"/>
        <v/>
      </c>
      <c r="AS183" s="266"/>
      <c r="AT183" s="256" t="str">
        <f t="shared" si="81"/>
        <v/>
      </c>
      <c r="AU183" s="256" t="str">
        <f t="shared" si="82"/>
        <v/>
      </c>
      <c r="AV183" s="256" t="str">
        <f t="shared" si="83"/>
        <v/>
      </c>
      <c r="AW183" s="267"/>
      <c r="AX183" s="255"/>
      <c r="AY183" s="259" t="str">
        <f>IF(AX183&lt;&gt;"",AX183/VLOOKUP($V183,Setup!$C$30:$D$41,2,0),"")</f>
        <v/>
      </c>
      <c r="AZ183" s="268"/>
      <c r="BA183" s="258" t="str">
        <f t="shared" si="84"/>
        <v/>
      </c>
      <c r="BB183" s="268"/>
      <c r="BC183" s="258" t="str">
        <f t="shared" si="85"/>
        <v/>
      </c>
      <c r="BD183" s="268"/>
      <c r="BE183" s="258" t="str">
        <f t="shared" si="86"/>
        <v/>
      </c>
      <c r="BF183" s="268"/>
      <c r="BG183" s="256" t="str">
        <f t="shared" si="87"/>
        <v/>
      </c>
      <c r="BH183" s="256" t="str">
        <f t="shared" si="88"/>
        <v/>
      </c>
      <c r="BI183" s="256" t="str">
        <f t="shared" si="89"/>
        <v/>
      </c>
      <c r="BJ183" s="267"/>
      <c r="BK183" s="255"/>
      <c r="BL183" s="259" t="str">
        <f>IF(BK183&lt;&gt;"",BK183/VLOOKUP($V183,Setup!$C$30:$D$41,2,0),"")</f>
        <v/>
      </c>
      <c r="BM183" s="268"/>
      <c r="BN183" s="258" t="str">
        <f t="shared" si="90"/>
        <v/>
      </c>
      <c r="BO183" s="268"/>
      <c r="BP183" s="258" t="str">
        <f t="shared" si="91"/>
        <v/>
      </c>
      <c r="BQ183" s="268"/>
      <c r="BR183" s="258" t="str">
        <f t="shared" si="92"/>
        <v/>
      </c>
      <c r="BS183" s="268"/>
      <c r="BT183" s="256" t="str">
        <f t="shared" si="93"/>
        <v/>
      </c>
      <c r="BU183" s="256" t="str">
        <f t="shared" si="94"/>
        <v/>
      </c>
      <c r="BV183" s="256" t="str">
        <f t="shared" si="95"/>
        <v/>
      </c>
      <c r="BW183" s="267"/>
      <c r="BX183" s="256" t="str">
        <f t="shared" si="96"/>
        <v/>
      </c>
      <c r="BY183" s="256" t="str">
        <f t="shared" si="97"/>
        <v/>
      </c>
      <c r="BZ183" s="281"/>
      <c r="CA183" s="282"/>
      <c r="CC183" s="112" t="str">
        <f t="shared" ca="1" si="98"/>
        <v/>
      </c>
      <c r="CF183" s="284"/>
      <c r="CG183" s="284"/>
      <c r="CH183" s="284"/>
      <c r="CI183" s="284"/>
      <c r="CL183" s="356" t="str">
        <f>IFERROR(VLOOKUP(C183,'Data Sheet'!$A$3:$B$26,2,FALSE),"")</f>
        <v/>
      </c>
    </row>
    <row r="184" spans="1:90" s="98" customFormat="1" ht="15.75" x14ac:dyDescent="0.2">
      <c r="A184" s="97"/>
      <c r="B184" s="105" t="str">
        <f t="shared" si="101"/>
        <v>--</v>
      </c>
      <c r="C184" s="276"/>
      <c r="D184" s="101" t="str">
        <f>IFERROR(IF(VLOOKUP(C184,'Data Sheet'!$A$3:$D$26,4,FALSE)=0,"",VLOOKUP(C184,'Data Sheet'!$A$3:$D$26,4,FALSE)),"")</f>
        <v/>
      </c>
      <c r="E184" s="279"/>
      <c r="F184" s="103" t="str">
        <f>IFERROR(IF(VLOOKUP(E184,'Data Sheet'!$C$29:$E$174,3,FALSE)=0,"",VLOOKUP(E184,'Data Sheet'!$C$29:$E$174,3,FALSE)),"")</f>
        <v/>
      </c>
      <c r="G184" s="106" t="str">
        <f t="shared" si="99"/>
        <v>-</v>
      </c>
      <c r="H184" s="273"/>
      <c r="I184" s="107"/>
      <c r="J184" s="249" t="e">
        <f t="shared" si="100"/>
        <v>#VALUE!</v>
      </c>
      <c r="K184" s="101" t="str">
        <f>IFERROR(INDEX('Data Sheet'!$C$198:$C$275,MATCH(I184,'Data Sheet'!$F$198:$F$275,0)),"")</f>
        <v/>
      </c>
      <c r="L184" s="250" t="str">
        <f>IFERROR(INDEX('Data Sheet'!$G$198:$G$275,MATCH(I184,'Data Sheet'!$F$198:$F$275,0)),"")</f>
        <v/>
      </c>
      <c r="M184" s="194"/>
      <c r="N184" s="248"/>
      <c r="O184" s="248"/>
      <c r="P184" s="108" t="str">
        <f>IFERROR(INDEX(Setup!$D$44:$D$70,MATCH(M184,Setup!$K$44:$K$70,0))&amp;"","")</f>
        <v/>
      </c>
      <c r="Q184" s="108" t="str">
        <f>IFERROR(INDEX(Setup!$E$44:$E$70,MATCH(M184,Setup!$K$44:$K$70,0))&amp;"","")</f>
        <v/>
      </c>
      <c r="R184" s="108" t="str">
        <f>IFERROR(INDEX(Setup!$L$44:$L$70,MATCH(M184,Setup!$K$44:$K$70,0))&amp;"","")</f>
        <v/>
      </c>
      <c r="S184" s="108" t="str">
        <f>Setup!$C$30</f>
        <v>USD</v>
      </c>
      <c r="T184" s="109" t="str">
        <f>IFERROR(INDEX('Data Sheet'!$B$198:$B$275,MATCH(I184,'Data Sheet'!$F$198:$F$275,0)),"")</f>
        <v/>
      </c>
      <c r="U184" s="110" t="str">
        <f>IFERROR(INDEX('Data Sheet'!$D$198:$D$275,MATCH(I184,'Data Sheet'!$F$198:$F$275,0)),"")</f>
        <v/>
      </c>
      <c r="V184" s="99"/>
      <c r="W184" s="195" t="str">
        <f>IF(V184=Setup!$C$30,"Grant",IF(V184=Setup!$C$31,"Local",IF(V184=Setup!$C$32,"Other",IF(ISBLANK(V184),"","Other"))))</f>
        <v/>
      </c>
      <c r="X184" s="255"/>
      <c r="Y184" s="259" t="str">
        <f>IF(X184&lt;&gt;"",X184/VLOOKUP($V184,Setup!$C$30:$D$41,2,0),"")</f>
        <v/>
      </c>
      <c r="Z184" s="262"/>
      <c r="AA184" s="256" t="str">
        <f t="shared" si="72"/>
        <v/>
      </c>
      <c r="AB184" s="262"/>
      <c r="AC184" s="258" t="str">
        <f t="shared" si="73"/>
        <v/>
      </c>
      <c r="AD184" s="262"/>
      <c r="AE184" s="258" t="str">
        <f t="shared" si="74"/>
        <v/>
      </c>
      <c r="AF184" s="262"/>
      <c r="AG184" s="256" t="str">
        <f t="shared" si="75"/>
        <v/>
      </c>
      <c r="AH184" s="256" t="str">
        <f t="shared" si="76"/>
        <v/>
      </c>
      <c r="AI184" s="256" t="str">
        <f t="shared" si="77"/>
        <v/>
      </c>
      <c r="AJ184" s="111"/>
      <c r="AK184" s="255"/>
      <c r="AL184" s="259" t="str">
        <f>IF(AK184&lt;&gt;"",AK184/VLOOKUP($V184,Setup!$C$30:$D$41,2,0),"")</f>
        <v/>
      </c>
      <c r="AM184" s="266"/>
      <c r="AN184" s="258" t="str">
        <f t="shared" si="78"/>
        <v/>
      </c>
      <c r="AO184" s="266"/>
      <c r="AP184" s="258" t="str">
        <f t="shared" si="79"/>
        <v/>
      </c>
      <c r="AQ184" s="266"/>
      <c r="AR184" s="258" t="str">
        <f t="shared" si="80"/>
        <v/>
      </c>
      <c r="AS184" s="266"/>
      <c r="AT184" s="256" t="str">
        <f t="shared" si="81"/>
        <v/>
      </c>
      <c r="AU184" s="256" t="str">
        <f t="shared" si="82"/>
        <v/>
      </c>
      <c r="AV184" s="256" t="str">
        <f t="shared" si="83"/>
        <v/>
      </c>
      <c r="AW184" s="267"/>
      <c r="AX184" s="255"/>
      <c r="AY184" s="259" t="str">
        <f>IF(AX184&lt;&gt;"",AX184/VLOOKUP($V184,Setup!$C$30:$D$41,2,0),"")</f>
        <v/>
      </c>
      <c r="AZ184" s="268"/>
      <c r="BA184" s="258" t="str">
        <f t="shared" si="84"/>
        <v/>
      </c>
      <c r="BB184" s="268"/>
      <c r="BC184" s="258" t="str">
        <f t="shared" si="85"/>
        <v/>
      </c>
      <c r="BD184" s="268"/>
      <c r="BE184" s="258" t="str">
        <f t="shared" si="86"/>
        <v/>
      </c>
      <c r="BF184" s="268"/>
      <c r="BG184" s="256" t="str">
        <f t="shared" si="87"/>
        <v/>
      </c>
      <c r="BH184" s="256" t="str">
        <f t="shared" si="88"/>
        <v/>
      </c>
      <c r="BI184" s="256" t="str">
        <f t="shared" si="89"/>
        <v/>
      </c>
      <c r="BJ184" s="267"/>
      <c r="BK184" s="255"/>
      <c r="BL184" s="259" t="str">
        <f>IF(BK184&lt;&gt;"",BK184/VLOOKUP($V184,Setup!$C$30:$D$41,2,0),"")</f>
        <v/>
      </c>
      <c r="BM184" s="268"/>
      <c r="BN184" s="258" t="str">
        <f t="shared" si="90"/>
        <v/>
      </c>
      <c r="BO184" s="268"/>
      <c r="BP184" s="258" t="str">
        <f t="shared" si="91"/>
        <v/>
      </c>
      <c r="BQ184" s="268"/>
      <c r="BR184" s="258" t="str">
        <f t="shared" si="92"/>
        <v/>
      </c>
      <c r="BS184" s="268"/>
      <c r="BT184" s="256" t="str">
        <f t="shared" si="93"/>
        <v/>
      </c>
      <c r="BU184" s="256" t="str">
        <f t="shared" si="94"/>
        <v/>
      </c>
      <c r="BV184" s="256" t="str">
        <f t="shared" si="95"/>
        <v/>
      </c>
      <c r="BW184" s="267"/>
      <c r="BX184" s="256" t="str">
        <f t="shared" si="96"/>
        <v/>
      </c>
      <c r="BY184" s="256" t="str">
        <f t="shared" si="97"/>
        <v/>
      </c>
      <c r="BZ184" s="281"/>
      <c r="CA184" s="282"/>
      <c r="CC184" s="112" t="str">
        <f t="shared" ca="1" si="98"/>
        <v/>
      </c>
      <c r="CF184" s="284"/>
      <c r="CG184" s="284"/>
      <c r="CH184" s="284"/>
      <c r="CI184" s="284"/>
      <c r="CL184" s="356" t="str">
        <f>IFERROR(VLOOKUP(C184,'Data Sheet'!$A$3:$B$26,2,FALSE),"")</f>
        <v/>
      </c>
    </row>
    <row r="185" spans="1:90" s="98" customFormat="1" ht="15.75" x14ac:dyDescent="0.2">
      <c r="A185" s="97"/>
      <c r="B185" s="105" t="str">
        <f t="shared" si="101"/>
        <v>--</v>
      </c>
      <c r="C185" s="276"/>
      <c r="D185" s="101" t="str">
        <f>IFERROR(IF(VLOOKUP(C185,'Data Sheet'!$A$3:$D$26,4,FALSE)=0,"",VLOOKUP(C185,'Data Sheet'!$A$3:$D$26,4,FALSE)),"")</f>
        <v/>
      </c>
      <c r="E185" s="279"/>
      <c r="F185" s="103" t="str">
        <f>IFERROR(IF(VLOOKUP(E185,'Data Sheet'!$C$29:$E$174,3,FALSE)=0,"",VLOOKUP(E185,'Data Sheet'!$C$29:$E$174,3,FALSE)),"")</f>
        <v/>
      </c>
      <c r="G185" s="106" t="str">
        <f t="shared" si="99"/>
        <v>-</v>
      </c>
      <c r="H185" s="273"/>
      <c r="I185" s="107"/>
      <c r="J185" s="249" t="e">
        <f t="shared" si="100"/>
        <v>#VALUE!</v>
      </c>
      <c r="K185" s="101" t="str">
        <f>IFERROR(INDEX('Data Sheet'!$C$198:$C$275,MATCH(I185,'Data Sheet'!$F$198:$F$275,0)),"")</f>
        <v/>
      </c>
      <c r="L185" s="250" t="str">
        <f>IFERROR(INDEX('Data Sheet'!$G$198:$G$275,MATCH(I185,'Data Sheet'!$F$198:$F$275,0)),"")</f>
        <v/>
      </c>
      <c r="M185" s="194"/>
      <c r="N185" s="248"/>
      <c r="O185" s="248"/>
      <c r="P185" s="108" t="str">
        <f>IFERROR(INDEX(Setup!$D$44:$D$70,MATCH(M185,Setup!$K$44:$K$70,0))&amp;"","")</f>
        <v/>
      </c>
      <c r="Q185" s="108" t="str">
        <f>IFERROR(INDEX(Setup!$E$44:$E$70,MATCH(M185,Setup!$K$44:$K$70,0))&amp;"","")</f>
        <v/>
      </c>
      <c r="R185" s="108" t="str">
        <f>IFERROR(INDEX(Setup!$L$44:$L$70,MATCH(M185,Setup!$K$44:$K$70,0))&amp;"","")</f>
        <v/>
      </c>
      <c r="S185" s="108" t="str">
        <f>Setup!$C$30</f>
        <v>USD</v>
      </c>
      <c r="T185" s="109" t="str">
        <f>IFERROR(INDEX('Data Sheet'!$B$198:$B$275,MATCH(I185,'Data Sheet'!$F$198:$F$275,0)),"")</f>
        <v/>
      </c>
      <c r="U185" s="110" t="str">
        <f>IFERROR(INDEX('Data Sheet'!$D$198:$D$275,MATCH(I185,'Data Sheet'!$F$198:$F$275,0)),"")</f>
        <v/>
      </c>
      <c r="V185" s="99"/>
      <c r="W185" s="195" t="str">
        <f>IF(V185=Setup!$C$30,"Grant",IF(V185=Setup!$C$31,"Local",IF(V185=Setup!$C$32,"Other",IF(ISBLANK(V185),"","Other"))))</f>
        <v/>
      </c>
      <c r="X185" s="255"/>
      <c r="Y185" s="259" t="str">
        <f>IF(X185&lt;&gt;"",X185/VLOOKUP($V185,Setup!$C$30:$D$41,2,0),"")</f>
        <v/>
      </c>
      <c r="Z185" s="262"/>
      <c r="AA185" s="256" t="str">
        <f t="shared" si="72"/>
        <v/>
      </c>
      <c r="AB185" s="262"/>
      <c r="AC185" s="258" t="str">
        <f t="shared" si="73"/>
        <v/>
      </c>
      <c r="AD185" s="262"/>
      <c r="AE185" s="258" t="str">
        <f t="shared" si="74"/>
        <v/>
      </c>
      <c r="AF185" s="262"/>
      <c r="AG185" s="256" t="str">
        <f t="shared" si="75"/>
        <v/>
      </c>
      <c r="AH185" s="256" t="str">
        <f t="shared" si="76"/>
        <v/>
      </c>
      <c r="AI185" s="256" t="str">
        <f t="shared" si="77"/>
        <v/>
      </c>
      <c r="AJ185" s="111"/>
      <c r="AK185" s="255"/>
      <c r="AL185" s="259" t="str">
        <f>IF(AK185&lt;&gt;"",AK185/VLOOKUP($V185,Setup!$C$30:$D$41,2,0),"")</f>
        <v/>
      </c>
      <c r="AM185" s="266"/>
      <c r="AN185" s="258" t="str">
        <f t="shared" si="78"/>
        <v/>
      </c>
      <c r="AO185" s="266"/>
      <c r="AP185" s="258" t="str">
        <f t="shared" si="79"/>
        <v/>
      </c>
      <c r="AQ185" s="266"/>
      <c r="AR185" s="258" t="str">
        <f t="shared" si="80"/>
        <v/>
      </c>
      <c r="AS185" s="266"/>
      <c r="AT185" s="256" t="str">
        <f t="shared" si="81"/>
        <v/>
      </c>
      <c r="AU185" s="256" t="str">
        <f t="shared" si="82"/>
        <v/>
      </c>
      <c r="AV185" s="256" t="str">
        <f t="shared" si="83"/>
        <v/>
      </c>
      <c r="AW185" s="267"/>
      <c r="AX185" s="255"/>
      <c r="AY185" s="259" t="str">
        <f>IF(AX185&lt;&gt;"",AX185/VLOOKUP($V185,Setup!$C$30:$D$41,2,0),"")</f>
        <v/>
      </c>
      <c r="AZ185" s="268"/>
      <c r="BA185" s="258" t="str">
        <f t="shared" si="84"/>
        <v/>
      </c>
      <c r="BB185" s="268"/>
      <c r="BC185" s="258" t="str">
        <f t="shared" si="85"/>
        <v/>
      </c>
      <c r="BD185" s="268"/>
      <c r="BE185" s="258" t="str">
        <f t="shared" si="86"/>
        <v/>
      </c>
      <c r="BF185" s="268"/>
      <c r="BG185" s="256" t="str">
        <f t="shared" si="87"/>
        <v/>
      </c>
      <c r="BH185" s="256" t="str">
        <f t="shared" si="88"/>
        <v/>
      </c>
      <c r="BI185" s="256" t="str">
        <f t="shared" si="89"/>
        <v/>
      </c>
      <c r="BJ185" s="267"/>
      <c r="BK185" s="255"/>
      <c r="BL185" s="259" t="str">
        <f>IF(BK185&lt;&gt;"",BK185/VLOOKUP($V185,Setup!$C$30:$D$41,2,0),"")</f>
        <v/>
      </c>
      <c r="BM185" s="268"/>
      <c r="BN185" s="258" t="str">
        <f t="shared" si="90"/>
        <v/>
      </c>
      <c r="BO185" s="268"/>
      <c r="BP185" s="258" t="str">
        <f t="shared" si="91"/>
        <v/>
      </c>
      <c r="BQ185" s="268"/>
      <c r="BR185" s="258" t="str">
        <f t="shared" si="92"/>
        <v/>
      </c>
      <c r="BS185" s="268"/>
      <c r="BT185" s="256" t="str">
        <f t="shared" si="93"/>
        <v/>
      </c>
      <c r="BU185" s="256" t="str">
        <f t="shared" si="94"/>
        <v/>
      </c>
      <c r="BV185" s="256" t="str">
        <f t="shared" si="95"/>
        <v/>
      </c>
      <c r="BW185" s="267"/>
      <c r="BX185" s="256" t="str">
        <f t="shared" si="96"/>
        <v/>
      </c>
      <c r="BY185" s="256" t="str">
        <f t="shared" si="97"/>
        <v/>
      </c>
      <c r="BZ185" s="281"/>
      <c r="CA185" s="282"/>
      <c r="CC185" s="112" t="str">
        <f t="shared" ca="1" si="98"/>
        <v/>
      </c>
      <c r="CF185" s="284"/>
      <c r="CG185" s="284"/>
      <c r="CH185" s="284"/>
      <c r="CI185" s="284"/>
      <c r="CL185" s="356" t="str">
        <f>IFERROR(VLOOKUP(C185,'Data Sheet'!$A$3:$B$26,2,FALSE),"")</f>
        <v/>
      </c>
    </row>
    <row r="186" spans="1:90" s="98" customFormat="1" ht="15.75" x14ac:dyDescent="0.2">
      <c r="A186" s="97"/>
      <c r="B186" s="105" t="str">
        <f t="shared" si="101"/>
        <v>--</v>
      </c>
      <c r="C186" s="276"/>
      <c r="D186" s="101" t="str">
        <f>IFERROR(IF(VLOOKUP(C186,'Data Sheet'!$A$3:$D$26,4,FALSE)=0,"",VLOOKUP(C186,'Data Sheet'!$A$3:$D$26,4,FALSE)),"")</f>
        <v/>
      </c>
      <c r="E186" s="279"/>
      <c r="F186" s="103" t="str">
        <f>IFERROR(IF(VLOOKUP(E186,'Data Sheet'!$C$29:$E$174,3,FALSE)=0,"",VLOOKUP(E186,'Data Sheet'!$C$29:$E$174,3,FALSE)),"")</f>
        <v/>
      </c>
      <c r="G186" s="106" t="str">
        <f t="shared" si="99"/>
        <v>-</v>
      </c>
      <c r="H186" s="273"/>
      <c r="I186" s="107"/>
      <c r="J186" s="249" t="e">
        <f t="shared" si="100"/>
        <v>#VALUE!</v>
      </c>
      <c r="K186" s="101" t="str">
        <f>IFERROR(INDEX('Data Sheet'!$C$198:$C$275,MATCH(I186,'Data Sheet'!$F$198:$F$275,0)),"")</f>
        <v/>
      </c>
      <c r="L186" s="250" t="str">
        <f>IFERROR(INDEX('Data Sheet'!$G$198:$G$275,MATCH(I186,'Data Sheet'!$F$198:$F$275,0)),"")</f>
        <v/>
      </c>
      <c r="M186" s="194"/>
      <c r="N186" s="248"/>
      <c r="O186" s="248"/>
      <c r="P186" s="108" t="str">
        <f>IFERROR(INDEX(Setup!$D$44:$D$70,MATCH(M186,Setup!$K$44:$K$70,0))&amp;"","")</f>
        <v/>
      </c>
      <c r="Q186" s="108" t="str">
        <f>IFERROR(INDEX(Setup!$E$44:$E$70,MATCH(M186,Setup!$K$44:$K$70,0))&amp;"","")</f>
        <v/>
      </c>
      <c r="R186" s="108" t="str">
        <f>IFERROR(INDEX(Setup!$L$44:$L$70,MATCH(M186,Setup!$K$44:$K$70,0))&amp;"","")</f>
        <v/>
      </c>
      <c r="S186" s="108" t="str">
        <f>Setup!$C$30</f>
        <v>USD</v>
      </c>
      <c r="T186" s="109" t="str">
        <f>IFERROR(INDEX('Data Sheet'!$B$198:$B$275,MATCH(I186,'Data Sheet'!$F$198:$F$275,0)),"")</f>
        <v/>
      </c>
      <c r="U186" s="110" t="str">
        <f>IFERROR(INDEX('Data Sheet'!$D$198:$D$275,MATCH(I186,'Data Sheet'!$F$198:$F$275,0)),"")</f>
        <v/>
      </c>
      <c r="V186" s="99"/>
      <c r="W186" s="195" t="str">
        <f>IF(V186=Setup!$C$30,"Grant",IF(V186=Setup!$C$31,"Local",IF(V186=Setup!$C$32,"Other",IF(ISBLANK(V186),"","Other"))))</f>
        <v/>
      </c>
      <c r="X186" s="255"/>
      <c r="Y186" s="259" t="str">
        <f>IF(X186&lt;&gt;"",X186/VLOOKUP($V186,Setup!$C$30:$D$41,2,0),"")</f>
        <v/>
      </c>
      <c r="Z186" s="262"/>
      <c r="AA186" s="256" t="str">
        <f t="shared" si="72"/>
        <v/>
      </c>
      <c r="AB186" s="262"/>
      <c r="AC186" s="258" t="str">
        <f t="shared" si="73"/>
        <v/>
      </c>
      <c r="AD186" s="262"/>
      <c r="AE186" s="258" t="str">
        <f t="shared" si="74"/>
        <v/>
      </c>
      <c r="AF186" s="262"/>
      <c r="AG186" s="256" t="str">
        <f t="shared" si="75"/>
        <v/>
      </c>
      <c r="AH186" s="256" t="str">
        <f t="shared" si="76"/>
        <v/>
      </c>
      <c r="AI186" s="256" t="str">
        <f t="shared" si="77"/>
        <v/>
      </c>
      <c r="AJ186" s="111"/>
      <c r="AK186" s="255"/>
      <c r="AL186" s="259" t="str">
        <f>IF(AK186&lt;&gt;"",AK186/VLOOKUP($V186,Setup!$C$30:$D$41,2,0),"")</f>
        <v/>
      </c>
      <c r="AM186" s="266"/>
      <c r="AN186" s="258" t="str">
        <f t="shared" si="78"/>
        <v/>
      </c>
      <c r="AO186" s="266"/>
      <c r="AP186" s="258" t="str">
        <f t="shared" si="79"/>
        <v/>
      </c>
      <c r="AQ186" s="266"/>
      <c r="AR186" s="258" t="str">
        <f t="shared" si="80"/>
        <v/>
      </c>
      <c r="AS186" s="266"/>
      <c r="AT186" s="256" t="str">
        <f t="shared" si="81"/>
        <v/>
      </c>
      <c r="AU186" s="256" t="str">
        <f t="shared" si="82"/>
        <v/>
      </c>
      <c r="AV186" s="256" t="str">
        <f t="shared" si="83"/>
        <v/>
      </c>
      <c r="AW186" s="267"/>
      <c r="AX186" s="255"/>
      <c r="AY186" s="259" t="str">
        <f>IF(AX186&lt;&gt;"",AX186/VLOOKUP($V186,Setup!$C$30:$D$41,2,0),"")</f>
        <v/>
      </c>
      <c r="AZ186" s="268"/>
      <c r="BA186" s="258" t="str">
        <f t="shared" si="84"/>
        <v/>
      </c>
      <c r="BB186" s="268"/>
      <c r="BC186" s="258" t="str">
        <f t="shared" si="85"/>
        <v/>
      </c>
      <c r="BD186" s="268"/>
      <c r="BE186" s="258" t="str">
        <f t="shared" si="86"/>
        <v/>
      </c>
      <c r="BF186" s="268"/>
      <c r="BG186" s="256" t="str">
        <f t="shared" si="87"/>
        <v/>
      </c>
      <c r="BH186" s="256" t="str">
        <f t="shared" si="88"/>
        <v/>
      </c>
      <c r="BI186" s="256" t="str">
        <f t="shared" si="89"/>
        <v/>
      </c>
      <c r="BJ186" s="267"/>
      <c r="BK186" s="255"/>
      <c r="BL186" s="259" t="str">
        <f>IF(BK186&lt;&gt;"",BK186/VLOOKUP($V186,Setup!$C$30:$D$41,2,0),"")</f>
        <v/>
      </c>
      <c r="BM186" s="268"/>
      <c r="BN186" s="258" t="str">
        <f t="shared" si="90"/>
        <v/>
      </c>
      <c r="BO186" s="268"/>
      <c r="BP186" s="258" t="str">
        <f t="shared" si="91"/>
        <v/>
      </c>
      <c r="BQ186" s="268"/>
      <c r="BR186" s="258" t="str">
        <f t="shared" si="92"/>
        <v/>
      </c>
      <c r="BS186" s="268"/>
      <c r="BT186" s="256" t="str">
        <f t="shared" si="93"/>
        <v/>
      </c>
      <c r="BU186" s="256" t="str">
        <f t="shared" si="94"/>
        <v/>
      </c>
      <c r="BV186" s="256" t="str">
        <f t="shared" si="95"/>
        <v/>
      </c>
      <c r="BW186" s="267"/>
      <c r="BX186" s="256" t="str">
        <f t="shared" si="96"/>
        <v/>
      </c>
      <c r="BY186" s="256" t="str">
        <f t="shared" si="97"/>
        <v/>
      </c>
      <c r="BZ186" s="281"/>
      <c r="CA186" s="282"/>
      <c r="CC186" s="112" t="str">
        <f t="shared" ca="1" si="98"/>
        <v/>
      </c>
      <c r="CF186" s="284"/>
      <c r="CG186" s="284"/>
      <c r="CH186" s="284"/>
      <c r="CI186" s="284"/>
      <c r="CL186" s="356" t="str">
        <f>IFERROR(VLOOKUP(C186,'Data Sheet'!$A$3:$B$26,2,FALSE),"")</f>
        <v/>
      </c>
    </row>
    <row r="187" spans="1:90" s="98" customFormat="1" ht="15.75" x14ac:dyDescent="0.2">
      <c r="A187" s="97"/>
      <c r="B187" s="105" t="str">
        <f t="shared" si="101"/>
        <v>--</v>
      </c>
      <c r="C187" s="276"/>
      <c r="D187" s="101" t="str">
        <f>IFERROR(IF(VLOOKUP(C187,'Data Sheet'!$A$3:$D$26,4,FALSE)=0,"",VLOOKUP(C187,'Data Sheet'!$A$3:$D$26,4,FALSE)),"")</f>
        <v/>
      </c>
      <c r="E187" s="279"/>
      <c r="F187" s="103" t="str">
        <f>IFERROR(IF(VLOOKUP(E187,'Data Sheet'!$C$29:$E$174,3,FALSE)=0,"",VLOOKUP(E187,'Data Sheet'!$C$29:$E$174,3,FALSE)),"")</f>
        <v/>
      </c>
      <c r="G187" s="106" t="str">
        <f t="shared" si="99"/>
        <v>-</v>
      </c>
      <c r="H187" s="273"/>
      <c r="I187" s="107"/>
      <c r="J187" s="249" t="e">
        <f t="shared" si="100"/>
        <v>#VALUE!</v>
      </c>
      <c r="K187" s="101" t="str">
        <f>IFERROR(INDEX('Data Sheet'!$C$198:$C$275,MATCH(I187,'Data Sheet'!$F$198:$F$275,0)),"")</f>
        <v/>
      </c>
      <c r="L187" s="250" t="str">
        <f>IFERROR(INDEX('Data Sheet'!$G$198:$G$275,MATCH(I187,'Data Sheet'!$F$198:$F$275,0)),"")</f>
        <v/>
      </c>
      <c r="M187" s="194"/>
      <c r="N187" s="248"/>
      <c r="O187" s="248"/>
      <c r="P187" s="108" t="str">
        <f>IFERROR(INDEX(Setup!$D$44:$D$70,MATCH(M187,Setup!$K$44:$K$70,0))&amp;"","")</f>
        <v/>
      </c>
      <c r="Q187" s="108" t="str">
        <f>IFERROR(INDEX(Setup!$E$44:$E$70,MATCH(M187,Setup!$K$44:$K$70,0))&amp;"","")</f>
        <v/>
      </c>
      <c r="R187" s="108" t="str">
        <f>IFERROR(INDEX(Setup!$L$44:$L$70,MATCH(M187,Setup!$K$44:$K$70,0))&amp;"","")</f>
        <v/>
      </c>
      <c r="S187" s="108" t="str">
        <f>Setup!$C$30</f>
        <v>USD</v>
      </c>
      <c r="T187" s="109" t="str">
        <f>IFERROR(INDEX('Data Sheet'!$B$198:$B$275,MATCH(I187,'Data Sheet'!$F$198:$F$275,0)),"")</f>
        <v/>
      </c>
      <c r="U187" s="110" t="str">
        <f>IFERROR(INDEX('Data Sheet'!$D$198:$D$275,MATCH(I187,'Data Sheet'!$F$198:$F$275,0)),"")</f>
        <v/>
      </c>
      <c r="V187" s="99"/>
      <c r="W187" s="195" t="str">
        <f>IF(V187=Setup!$C$30,"Grant",IF(V187=Setup!$C$31,"Local",IF(V187=Setup!$C$32,"Other",IF(ISBLANK(V187),"","Other"))))</f>
        <v/>
      </c>
      <c r="X187" s="255"/>
      <c r="Y187" s="259" t="str">
        <f>IF(X187&lt;&gt;"",X187/VLOOKUP($V187,Setup!$C$30:$D$41,2,0),"")</f>
        <v/>
      </c>
      <c r="Z187" s="262"/>
      <c r="AA187" s="256" t="str">
        <f t="shared" si="72"/>
        <v/>
      </c>
      <c r="AB187" s="262"/>
      <c r="AC187" s="258" t="str">
        <f t="shared" si="73"/>
        <v/>
      </c>
      <c r="AD187" s="262"/>
      <c r="AE187" s="258" t="str">
        <f t="shared" si="74"/>
        <v/>
      </c>
      <c r="AF187" s="262"/>
      <c r="AG187" s="256" t="str">
        <f t="shared" si="75"/>
        <v/>
      </c>
      <c r="AH187" s="256" t="str">
        <f t="shared" si="76"/>
        <v/>
      </c>
      <c r="AI187" s="256" t="str">
        <f t="shared" si="77"/>
        <v/>
      </c>
      <c r="AJ187" s="111"/>
      <c r="AK187" s="255"/>
      <c r="AL187" s="259" t="str">
        <f>IF(AK187&lt;&gt;"",AK187/VLOOKUP($V187,Setup!$C$30:$D$41,2,0),"")</f>
        <v/>
      </c>
      <c r="AM187" s="266"/>
      <c r="AN187" s="258" t="str">
        <f t="shared" si="78"/>
        <v/>
      </c>
      <c r="AO187" s="266"/>
      <c r="AP187" s="258" t="str">
        <f t="shared" si="79"/>
        <v/>
      </c>
      <c r="AQ187" s="266"/>
      <c r="AR187" s="258" t="str">
        <f t="shared" si="80"/>
        <v/>
      </c>
      <c r="AS187" s="266"/>
      <c r="AT187" s="256" t="str">
        <f t="shared" si="81"/>
        <v/>
      </c>
      <c r="AU187" s="256" t="str">
        <f t="shared" si="82"/>
        <v/>
      </c>
      <c r="AV187" s="256" t="str">
        <f t="shared" si="83"/>
        <v/>
      </c>
      <c r="AW187" s="267"/>
      <c r="AX187" s="255"/>
      <c r="AY187" s="259" t="str">
        <f>IF(AX187&lt;&gt;"",AX187/VLOOKUP($V187,Setup!$C$30:$D$41,2,0),"")</f>
        <v/>
      </c>
      <c r="AZ187" s="268"/>
      <c r="BA187" s="258" t="str">
        <f t="shared" si="84"/>
        <v/>
      </c>
      <c r="BB187" s="268"/>
      <c r="BC187" s="258" t="str">
        <f t="shared" si="85"/>
        <v/>
      </c>
      <c r="BD187" s="268"/>
      <c r="BE187" s="258" t="str">
        <f t="shared" si="86"/>
        <v/>
      </c>
      <c r="BF187" s="268"/>
      <c r="BG187" s="256" t="str">
        <f t="shared" si="87"/>
        <v/>
      </c>
      <c r="BH187" s="256" t="str">
        <f t="shared" si="88"/>
        <v/>
      </c>
      <c r="BI187" s="256" t="str">
        <f t="shared" si="89"/>
        <v/>
      </c>
      <c r="BJ187" s="267"/>
      <c r="BK187" s="255"/>
      <c r="BL187" s="259" t="str">
        <f>IF(BK187&lt;&gt;"",BK187/VLOOKUP($V187,Setup!$C$30:$D$41,2,0),"")</f>
        <v/>
      </c>
      <c r="BM187" s="268"/>
      <c r="BN187" s="258" t="str">
        <f t="shared" si="90"/>
        <v/>
      </c>
      <c r="BO187" s="268"/>
      <c r="BP187" s="258" t="str">
        <f t="shared" si="91"/>
        <v/>
      </c>
      <c r="BQ187" s="268"/>
      <c r="BR187" s="258" t="str">
        <f t="shared" si="92"/>
        <v/>
      </c>
      <c r="BS187" s="268"/>
      <c r="BT187" s="256" t="str">
        <f t="shared" si="93"/>
        <v/>
      </c>
      <c r="BU187" s="256" t="str">
        <f t="shared" si="94"/>
        <v/>
      </c>
      <c r="BV187" s="256" t="str">
        <f t="shared" si="95"/>
        <v/>
      </c>
      <c r="BW187" s="267"/>
      <c r="BX187" s="256" t="str">
        <f t="shared" si="96"/>
        <v/>
      </c>
      <c r="BY187" s="256" t="str">
        <f t="shared" si="97"/>
        <v/>
      </c>
      <c r="BZ187" s="281"/>
      <c r="CA187" s="282"/>
      <c r="CC187" s="112" t="str">
        <f t="shared" ca="1" si="98"/>
        <v/>
      </c>
      <c r="CF187" s="284"/>
      <c r="CG187" s="284"/>
      <c r="CH187" s="284"/>
      <c r="CI187" s="284"/>
      <c r="CL187" s="356" t="str">
        <f>IFERROR(VLOOKUP(C187,'Data Sheet'!$A$3:$B$26,2,FALSE),"")</f>
        <v/>
      </c>
    </row>
    <row r="188" spans="1:90" s="98" customFormat="1" ht="15.75" x14ac:dyDescent="0.2">
      <c r="A188" s="97"/>
      <c r="B188" s="105" t="str">
        <f t="shared" si="101"/>
        <v>--</v>
      </c>
      <c r="C188" s="276"/>
      <c r="D188" s="101" t="str">
        <f>IFERROR(IF(VLOOKUP(C188,'Data Sheet'!$A$3:$D$26,4,FALSE)=0,"",VLOOKUP(C188,'Data Sheet'!$A$3:$D$26,4,FALSE)),"")</f>
        <v/>
      </c>
      <c r="E188" s="279"/>
      <c r="F188" s="103" t="str">
        <f>IFERROR(IF(VLOOKUP(E188,'Data Sheet'!$C$29:$E$174,3,FALSE)=0,"",VLOOKUP(E188,'Data Sheet'!$C$29:$E$174,3,FALSE)),"")</f>
        <v/>
      </c>
      <c r="G188" s="106" t="str">
        <f t="shared" si="99"/>
        <v>-</v>
      </c>
      <c r="H188" s="273"/>
      <c r="I188" s="107"/>
      <c r="J188" s="249" t="e">
        <f t="shared" si="100"/>
        <v>#VALUE!</v>
      </c>
      <c r="K188" s="101" t="str">
        <f>IFERROR(INDEX('Data Sheet'!$C$198:$C$275,MATCH(I188,'Data Sheet'!$F$198:$F$275,0)),"")</f>
        <v/>
      </c>
      <c r="L188" s="250" t="str">
        <f>IFERROR(INDEX('Data Sheet'!$G$198:$G$275,MATCH(I188,'Data Sheet'!$F$198:$F$275,0)),"")</f>
        <v/>
      </c>
      <c r="M188" s="194"/>
      <c r="N188" s="248"/>
      <c r="O188" s="248"/>
      <c r="P188" s="108" t="str">
        <f>IFERROR(INDEX(Setup!$D$44:$D$70,MATCH(M188,Setup!$K$44:$K$70,0))&amp;"","")</f>
        <v/>
      </c>
      <c r="Q188" s="108" t="str">
        <f>IFERROR(INDEX(Setup!$E$44:$E$70,MATCH(M188,Setup!$K$44:$K$70,0))&amp;"","")</f>
        <v/>
      </c>
      <c r="R188" s="108" t="str">
        <f>IFERROR(INDEX(Setup!$L$44:$L$70,MATCH(M188,Setup!$K$44:$K$70,0))&amp;"","")</f>
        <v/>
      </c>
      <c r="S188" s="108" t="str">
        <f>Setup!$C$30</f>
        <v>USD</v>
      </c>
      <c r="T188" s="109" t="str">
        <f>IFERROR(INDEX('Data Sheet'!$B$198:$B$275,MATCH(I188,'Data Sheet'!$F$198:$F$275,0)),"")</f>
        <v/>
      </c>
      <c r="U188" s="110" t="str">
        <f>IFERROR(INDEX('Data Sheet'!$D$198:$D$275,MATCH(I188,'Data Sheet'!$F$198:$F$275,0)),"")</f>
        <v/>
      </c>
      <c r="V188" s="99"/>
      <c r="W188" s="195" t="str">
        <f>IF(V188=Setup!$C$30,"Grant",IF(V188=Setup!$C$31,"Local",IF(V188=Setup!$C$32,"Other",IF(ISBLANK(V188),"","Other"))))</f>
        <v/>
      </c>
      <c r="X188" s="255"/>
      <c r="Y188" s="259" t="str">
        <f>IF(X188&lt;&gt;"",X188/VLOOKUP($V188,Setup!$C$30:$D$41,2,0),"")</f>
        <v/>
      </c>
      <c r="Z188" s="262"/>
      <c r="AA188" s="256" t="str">
        <f t="shared" si="72"/>
        <v/>
      </c>
      <c r="AB188" s="262"/>
      <c r="AC188" s="258" t="str">
        <f t="shared" si="73"/>
        <v/>
      </c>
      <c r="AD188" s="262"/>
      <c r="AE188" s="258" t="str">
        <f t="shared" si="74"/>
        <v/>
      </c>
      <c r="AF188" s="262"/>
      <c r="AG188" s="256" t="str">
        <f t="shared" si="75"/>
        <v/>
      </c>
      <c r="AH188" s="256" t="str">
        <f t="shared" si="76"/>
        <v/>
      </c>
      <c r="AI188" s="256" t="str">
        <f t="shared" si="77"/>
        <v/>
      </c>
      <c r="AJ188" s="111"/>
      <c r="AK188" s="255"/>
      <c r="AL188" s="259" t="str">
        <f>IF(AK188&lt;&gt;"",AK188/VLOOKUP($V188,Setup!$C$30:$D$41,2,0),"")</f>
        <v/>
      </c>
      <c r="AM188" s="266"/>
      <c r="AN188" s="258" t="str">
        <f t="shared" si="78"/>
        <v/>
      </c>
      <c r="AO188" s="266"/>
      <c r="AP188" s="258" t="str">
        <f t="shared" si="79"/>
        <v/>
      </c>
      <c r="AQ188" s="266"/>
      <c r="AR188" s="258" t="str">
        <f t="shared" si="80"/>
        <v/>
      </c>
      <c r="AS188" s="266"/>
      <c r="AT188" s="256" t="str">
        <f t="shared" si="81"/>
        <v/>
      </c>
      <c r="AU188" s="256" t="str">
        <f t="shared" si="82"/>
        <v/>
      </c>
      <c r="AV188" s="256" t="str">
        <f t="shared" si="83"/>
        <v/>
      </c>
      <c r="AW188" s="267"/>
      <c r="AX188" s="255"/>
      <c r="AY188" s="259" t="str">
        <f>IF(AX188&lt;&gt;"",AX188/VLOOKUP($V188,Setup!$C$30:$D$41,2,0),"")</f>
        <v/>
      </c>
      <c r="AZ188" s="268"/>
      <c r="BA188" s="258" t="str">
        <f t="shared" si="84"/>
        <v/>
      </c>
      <c r="BB188" s="268"/>
      <c r="BC188" s="258" t="str">
        <f t="shared" si="85"/>
        <v/>
      </c>
      <c r="BD188" s="268"/>
      <c r="BE188" s="258" t="str">
        <f t="shared" si="86"/>
        <v/>
      </c>
      <c r="BF188" s="268"/>
      <c r="BG188" s="256" t="str">
        <f t="shared" si="87"/>
        <v/>
      </c>
      <c r="BH188" s="256" t="str">
        <f t="shared" si="88"/>
        <v/>
      </c>
      <c r="BI188" s="256" t="str">
        <f t="shared" si="89"/>
        <v/>
      </c>
      <c r="BJ188" s="267"/>
      <c r="BK188" s="255"/>
      <c r="BL188" s="259" t="str">
        <f>IF(BK188&lt;&gt;"",BK188/VLOOKUP($V188,Setup!$C$30:$D$41,2,0),"")</f>
        <v/>
      </c>
      <c r="BM188" s="268"/>
      <c r="BN188" s="258" t="str">
        <f t="shared" si="90"/>
        <v/>
      </c>
      <c r="BO188" s="268"/>
      <c r="BP188" s="258" t="str">
        <f t="shared" si="91"/>
        <v/>
      </c>
      <c r="BQ188" s="268"/>
      <c r="BR188" s="258" t="str">
        <f t="shared" si="92"/>
        <v/>
      </c>
      <c r="BS188" s="268"/>
      <c r="BT188" s="256" t="str">
        <f t="shared" si="93"/>
        <v/>
      </c>
      <c r="BU188" s="256" t="str">
        <f t="shared" si="94"/>
        <v/>
      </c>
      <c r="BV188" s="256" t="str">
        <f t="shared" si="95"/>
        <v/>
      </c>
      <c r="BW188" s="267"/>
      <c r="BX188" s="256" t="str">
        <f t="shared" si="96"/>
        <v/>
      </c>
      <c r="BY188" s="256" t="str">
        <f t="shared" si="97"/>
        <v/>
      </c>
      <c r="BZ188" s="281"/>
      <c r="CA188" s="282"/>
      <c r="CC188" s="112" t="str">
        <f t="shared" ca="1" si="98"/>
        <v/>
      </c>
      <c r="CF188" s="284"/>
      <c r="CG188" s="284"/>
      <c r="CH188" s="284"/>
      <c r="CI188" s="284"/>
      <c r="CL188" s="356" t="str">
        <f>IFERROR(VLOOKUP(C188,'Data Sheet'!$A$3:$B$26,2,FALSE),"")</f>
        <v/>
      </c>
    </row>
    <row r="189" spans="1:90" s="98" customFormat="1" ht="15.75" x14ac:dyDescent="0.2">
      <c r="A189" s="97"/>
      <c r="B189" s="105" t="str">
        <f t="shared" si="101"/>
        <v>--</v>
      </c>
      <c r="C189" s="276"/>
      <c r="D189" s="101" t="str">
        <f>IFERROR(IF(VLOOKUP(C189,'Data Sheet'!$A$3:$D$26,4,FALSE)=0,"",VLOOKUP(C189,'Data Sheet'!$A$3:$D$26,4,FALSE)),"")</f>
        <v/>
      </c>
      <c r="E189" s="279"/>
      <c r="F189" s="103" t="str">
        <f>IFERROR(IF(VLOOKUP(E189,'Data Sheet'!$C$29:$E$174,3,FALSE)=0,"",VLOOKUP(E189,'Data Sheet'!$C$29:$E$174,3,FALSE)),"")</f>
        <v/>
      </c>
      <c r="G189" s="106" t="str">
        <f t="shared" si="99"/>
        <v>-</v>
      </c>
      <c r="H189" s="273"/>
      <c r="I189" s="107"/>
      <c r="J189" s="249" t="e">
        <f t="shared" si="100"/>
        <v>#VALUE!</v>
      </c>
      <c r="K189" s="101" t="str">
        <f>IFERROR(INDEX('Data Sheet'!$C$198:$C$275,MATCH(I189,'Data Sheet'!$F$198:$F$275,0)),"")</f>
        <v/>
      </c>
      <c r="L189" s="250" t="str">
        <f>IFERROR(INDEX('Data Sheet'!$G$198:$G$275,MATCH(I189,'Data Sheet'!$F$198:$F$275,0)),"")</f>
        <v/>
      </c>
      <c r="M189" s="194"/>
      <c r="N189" s="248"/>
      <c r="O189" s="248"/>
      <c r="P189" s="108" t="str">
        <f>IFERROR(INDEX(Setup!$D$44:$D$70,MATCH(M189,Setup!$K$44:$K$70,0))&amp;"","")</f>
        <v/>
      </c>
      <c r="Q189" s="108" t="str">
        <f>IFERROR(INDEX(Setup!$E$44:$E$70,MATCH(M189,Setup!$K$44:$K$70,0))&amp;"","")</f>
        <v/>
      </c>
      <c r="R189" s="108" t="str">
        <f>IFERROR(INDEX(Setup!$L$44:$L$70,MATCH(M189,Setup!$K$44:$K$70,0))&amp;"","")</f>
        <v/>
      </c>
      <c r="S189" s="108" t="str">
        <f>Setup!$C$30</f>
        <v>USD</v>
      </c>
      <c r="T189" s="109" t="str">
        <f>IFERROR(INDEX('Data Sheet'!$B$198:$B$275,MATCH(I189,'Data Sheet'!$F$198:$F$275,0)),"")</f>
        <v/>
      </c>
      <c r="U189" s="110" t="str">
        <f>IFERROR(INDEX('Data Sheet'!$D$198:$D$275,MATCH(I189,'Data Sheet'!$F$198:$F$275,0)),"")</f>
        <v/>
      </c>
      <c r="V189" s="99"/>
      <c r="W189" s="195" t="str">
        <f>IF(V189=Setup!$C$30,"Grant",IF(V189=Setup!$C$31,"Local",IF(V189=Setup!$C$32,"Other",IF(ISBLANK(V189),"","Other"))))</f>
        <v/>
      </c>
      <c r="X189" s="255"/>
      <c r="Y189" s="259" t="str">
        <f>IF(X189&lt;&gt;"",X189/VLOOKUP($V189,Setup!$C$30:$D$41,2,0),"")</f>
        <v/>
      </c>
      <c r="Z189" s="262"/>
      <c r="AA189" s="256" t="str">
        <f t="shared" si="72"/>
        <v/>
      </c>
      <c r="AB189" s="262"/>
      <c r="AC189" s="258" t="str">
        <f t="shared" si="73"/>
        <v/>
      </c>
      <c r="AD189" s="262"/>
      <c r="AE189" s="258" t="str">
        <f t="shared" si="74"/>
        <v/>
      </c>
      <c r="AF189" s="262"/>
      <c r="AG189" s="256" t="str">
        <f t="shared" si="75"/>
        <v/>
      </c>
      <c r="AH189" s="256" t="str">
        <f t="shared" si="76"/>
        <v/>
      </c>
      <c r="AI189" s="256" t="str">
        <f t="shared" si="77"/>
        <v/>
      </c>
      <c r="AJ189" s="111"/>
      <c r="AK189" s="255"/>
      <c r="AL189" s="259" t="str">
        <f>IF(AK189&lt;&gt;"",AK189/VLOOKUP($V189,Setup!$C$30:$D$41,2,0),"")</f>
        <v/>
      </c>
      <c r="AM189" s="266"/>
      <c r="AN189" s="258" t="str">
        <f t="shared" si="78"/>
        <v/>
      </c>
      <c r="AO189" s="266"/>
      <c r="AP189" s="258" t="str">
        <f t="shared" si="79"/>
        <v/>
      </c>
      <c r="AQ189" s="266"/>
      <c r="AR189" s="258" t="str">
        <f t="shared" si="80"/>
        <v/>
      </c>
      <c r="AS189" s="266"/>
      <c r="AT189" s="256" t="str">
        <f t="shared" si="81"/>
        <v/>
      </c>
      <c r="AU189" s="256" t="str">
        <f t="shared" si="82"/>
        <v/>
      </c>
      <c r="AV189" s="256" t="str">
        <f t="shared" si="83"/>
        <v/>
      </c>
      <c r="AW189" s="267"/>
      <c r="AX189" s="255"/>
      <c r="AY189" s="259" t="str">
        <f>IF(AX189&lt;&gt;"",AX189/VLOOKUP($V189,Setup!$C$30:$D$41,2,0),"")</f>
        <v/>
      </c>
      <c r="AZ189" s="268"/>
      <c r="BA189" s="258" t="str">
        <f t="shared" si="84"/>
        <v/>
      </c>
      <c r="BB189" s="268"/>
      <c r="BC189" s="258" t="str">
        <f t="shared" si="85"/>
        <v/>
      </c>
      <c r="BD189" s="268"/>
      <c r="BE189" s="258" t="str">
        <f t="shared" si="86"/>
        <v/>
      </c>
      <c r="BF189" s="268"/>
      <c r="BG189" s="256" t="str">
        <f t="shared" si="87"/>
        <v/>
      </c>
      <c r="BH189" s="256" t="str">
        <f t="shared" si="88"/>
        <v/>
      </c>
      <c r="BI189" s="256" t="str">
        <f t="shared" si="89"/>
        <v/>
      </c>
      <c r="BJ189" s="267"/>
      <c r="BK189" s="255"/>
      <c r="BL189" s="259" t="str">
        <f>IF(BK189&lt;&gt;"",BK189/VLOOKUP($V189,Setup!$C$30:$D$41,2,0),"")</f>
        <v/>
      </c>
      <c r="BM189" s="268"/>
      <c r="BN189" s="258" t="str">
        <f t="shared" si="90"/>
        <v/>
      </c>
      <c r="BO189" s="268"/>
      <c r="BP189" s="258" t="str">
        <f t="shared" si="91"/>
        <v/>
      </c>
      <c r="BQ189" s="268"/>
      <c r="BR189" s="258" t="str">
        <f t="shared" si="92"/>
        <v/>
      </c>
      <c r="BS189" s="268"/>
      <c r="BT189" s="256" t="str">
        <f t="shared" si="93"/>
        <v/>
      </c>
      <c r="BU189" s="256" t="str">
        <f t="shared" si="94"/>
        <v/>
      </c>
      <c r="BV189" s="256" t="str">
        <f t="shared" si="95"/>
        <v/>
      </c>
      <c r="BW189" s="267"/>
      <c r="BX189" s="256" t="str">
        <f t="shared" si="96"/>
        <v/>
      </c>
      <c r="BY189" s="256" t="str">
        <f t="shared" si="97"/>
        <v/>
      </c>
      <c r="BZ189" s="281"/>
      <c r="CA189" s="282"/>
      <c r="CC189" s="112" t="str">
        <f t="shared" ca="1" si="98"/>
        <v/>
      </c>
      <c r="CF189" s="284"/>
      <c r="CG189" s="284"/>
      <c r="CH189" s="284"/>
      <c r="CI189" s="284"/>
      <c r="CL189" s="356" t="str">
        <f>IFERROR(VLOOKUP(C189,'Data Sheet'!$A$3:$B$26,2,FALSE),"")</f>
        <v/>
      </c>
    </row>
    <row r="190" spans="1:90" s="98" customFormat="1" ht="15.75" x14ac:dyDescent="0.2">
      <c r="A190" s="97"/>
      <c r="B190" s="105" t="str">
        <f t="shared" si="101"/>
        <v>--</v>
      </c>
      <c r="C190" s="276"/>
      <c r="D190" s="101" t="str">
        <f>IFERROR(IF(VLOOKUP(C190,'Data Sheet'!$A$3:$D$26,4,FALSE)=0,"",VLOOKUP(C190,'Data Sheet'!$A$3:$D$26,4,FALSE)),"")</f>
        <v/>
      </c>
      <c r="E190" s="279"/>
      <c r="F190" s="103" t="str">
        <f>IFERROR(IF(VLOOKUP(E190,'Data Sheet'!$C$29:$E$174,3,FALSE)=0,"",VLOOKUP(E190,'Data Sheet'!$C$29:$E$174,3,FALSE)),"")</f>
        <v/>
      </c>
      <c r="G190" s="106" t="str">
        <f t="shared" si="99"/>
        <v>-</v>
      </c>
      <c r="H190" s="273"/>
      <c r="I190" s="107"/>
      <c r="J190" s="249" t="e">
        <f t="shared" si="100"/>
        <v>#VALUE!</v>
      </c>
      <c r="K190" s="101" t="str">
        <f>IFERROR(INDEX('Data Sheet'!$C$198:$C$275,MATCH(I190,'Data Sheet'!$F$198:$F$275,0)),"")</f>
        <v/>
      </c>
      <c r="L190" s="250" t="str">
        <f>IFERROR(INDEX('Data Sheet'!$G$198:$G$275,MATCH(I190,'Data Sheet'!$F$198:$F$275,0)),"")</f>
        <v/>
      </c>
      <c r="M190" s="194"/>
      <c r="N190" s="248"/>
      <c r="O190" s="248"/>
      <c r="P190" s="108" t="str">
        <f>IFERROR(INDEX(Setup!$D$44:$D$70,MATCH(M190,Setup!$K$44:$K$70,0))&amp;"","")</f>
        <v/>
      </c>
      <c r="Q190" s="108" t="str">
        <f>IFERROR(INDEX(Setup!$E$44:$E$70,MATCH(M190,Setup!$K$44:$K$70,0))&amp;"","")</f>
        <v/>
      </c>
      <c r="R190" s="108" t="str">
        <f>IFERROR(INDEX(Setup!$L$44:$L$70,MATCH(M190,Setup!$K$44:$K$70,0))&amp;"","")</f>
        <v/>
      </c>
      <c r="S190" s="108" t="str">
        <f>Setup!$C$30</f>
        <v>USD</v>
      </c>
      <c r="T190" s="109" t="str">
        <f>IFERROR(INDEX('Data Sheet'!$B$198:$B$275,MATCH(I190,'Data Sheet'!$F$198:$F$275,0)),"")</f>
        <v/>
      </c>
      <c r="U190" s="110" t="str">
        <f>IFERROR(INDEX('Data Sheet'!$D$198:$D$275,MATCH(I190,'Data Sheet'!$F$198:$F$275,0)),"")</f>
        <v/>
      </c>
      <c r="V190" s="99"/>
      <c r="W190" s="195" t="str">
        <f>IF(V190=Setup!$C$30,"Grant",IF(V190=Setup!$C$31,"Local",IF(V190=Setup!$C$32,"Other",IF(ISBLANK(V190),"","Other"))))</f>
        <v/>
      </c>
      <c r="X190" s="255"/>
      <c r="Y190" s="259" t="str">
        <f>IF(X190&lt;&gt;"",X190/VLOOKUP($V190,Setup!$C$30:$D$41,2,0),"")</f>
        <v/>
      </c>
      <c r="Z190" s="262"/>
      <c r="AA190" s="256" t="str">
        <f t="shared" si="72"/>
        <v/>
      </c>
      <c r="AB190" s="262"/>
      <c r="AC190" s="258" t="str">
        <f t="shared" si="73"/>
        <v/>
      </c>
      <c r="AD190" s="262"/>
      <c r="AE190" s="258" t="str">
        <f t="shared" si="74"/>
        <v/>
      </c>
      <c r="AF190" s="262"/>
      <c r="AG190" s="256" t="str">
        <f t="shared" si="75"/>
        <v/>
      </c>
      <c r="AH190" s="256" t="str">
        <f t="shared" si="76"/>
        <v/>
      </c>
      <c r="AI190" s="256" t="str">
        <f t="shared" si="77"/>
        <v/>
      </c>
      <c r="AJ190" s="111"/>
      <c r="AK190" s="255"/>
      <c r="AL190" s="259" t="str">
        <f>IF(AK190&lt;&gt;"",AK190/VLOOKUP($V190,Setup!$C$30:$D$41,2,0),"")</f>
        <v/>
      </c>
      <c r="AM190" s="266"/>
      <c r="AN190" s="258" t="str">
        <f t="shared" si="78"/>
        <v/>
      </c>
      <c r="AO190" s="266"/>
      <c r="AP190" s="258" t="str">
        <f t="shared" si="79"/>
        <v/>
      </c>
      <c r="AQ190" s="266"/>
      <c r="AR190" s="258" t="str">
        <f t="shared" si="80"/>
        <v/>
      </c>
      <c r="AS190" s="266"/>
      <c r="AT190" s="256" t="str">
        <f t="shared" si="81"/>
        <v/>
      </c>
      <c r="AU190" s="256" t="str">
        <f t="shared" si="82"/>
        <v/>
      </c>
      <c r="AV190" s="256" t="str">
        <f t="shared" si="83"/>
        <v/>
      </c>
      <c r="AW190" s="267"/>
      <c r="AX190" s="255"/>
      <c r="AY190" s="259" t="str">
        <f>IF(AX190&lt;&gt;"",AX190/VLOOKUP($V190,Setup!$C$30:$D$41,2,0),"")</f>
        <v/>
      </c>
      <c r="AZ190" s="268"/>
      <c r="BA190" s="258" t="str">
        <f t="shared" si="84"/>
        <v/>
      </c>
      <c r="BB190" s="268"/>
      <c r="BC190" s="258" t="str">
        <f t="shared" si="85"/>
        <v/>
      </c>
      <c r="BD190" s="268"/>
      <c r="BE190" s="258" t="str">
        <f t="shared" si="86"/>
        <v/>
      </c>
      <c r="BF190" s="268"/>
      <c r="BG190" s="256" t="str">
        <f t="shared" si="87"/>
        <v/>
      </c>
      <c r="BH190" s="256" t="str">
        <f t="shared" si="88"/>
        <v/>
      </c>
      <c r="BI190" s="256" t="str">
        <f t="shared" si="89"/>
        <v/>
      </c>
      <c r="BJ190" s="267"/>
      <c r="BK190" s="255"/>
      <c r="BL190" s="259" t="str">
        <f>IF(BK190&lt;&gt;"",BK190/VLOOKUP($V190,Setup!$C$30:$D$41,2,0),"")</f>
        <v/>
      </c>
      <c r="BM190" s="268"/>
      <c r="BN190" s="258" t="str">
        <f t="shared" si="90"/>
        <v/>
      </c>
      <c r="BO190" s="268"/>
      <c r="BP190" s="258" t="str">
        <f t="shared" si="91"/>
        <v/>
      </c>
      <c r="BQ190" s="268"/>
      <c r="BR190" s="258" t="str">
        <f t="shared" si="92"/>
        <v/>
      </c>
      <c r="BS190" s="268"/>
      <c r="BT190" s="256" t="str">
        <f t="shared" si="93"/>
        <v/>
      </c>
      <c r="BU190" s="256" t="str">
        <f t="shared" si="94"/>
        <v/>
      </c>
      <c r="BV190" s="256" t="str">
        <f t="shared" si="95"/>
        <v/>
      </c>
      <c r="BW190" s="267"/>
      <c r="BX190" s="256" t="str">
        <f t="shared" si="96"/>
        <v/>
      </c>
      <c r="BY190" s="256" t="str">
        <f t="shared" si="97"/>
        <v/>
      </c>
      <c r="BZ190" s="281"/>
      <c r="CA190" s="282"/>
      <c r="CC190" s="112" t="str">
        <f t="shared" ca="1" si="98"/>
        <v/>
      </c>
      <c r="CF190" s="284"/>
      <c r="CG190" s="284"/>
      <c r="CH190" s="284"/>
      <c r="CI190" s="284"/>
      <c r="CL190" s="356" t="str">
        <f>IFERROR(VLOOKUP(C190,'Data Sheet'!$A$3:$B$26,2,FALSE),"")</f>
        <v/>
      </c>
    </row>
    <row r="191" spans="1:90" s="98" customFormat="1" ht="15.75" x14ac:dyDescent="0.2">
      <c r="A191" s="97"/>
      <c r="B191" s="105" t="str">
        <f t="shared" si="101"/>
        <v>--</v>
      </c>
      <c r="C191" s="276"/>
      <c r="D191" s="101" t="str">
        <f>IFERROR(IF(VLOOKUP(C191,'Data Sheet'!$A$3:$D$26,4,FALSE)=0,"",VLOOKUP(C191,'Data Sheet'!$A$3:$D$26,4,FALSE)),"")</f>
        <v/>
      </c>
      <c r="E191" s="279"/>
      <c r="F191" s="103" t="str">
        <f>IFERROR(IF(VLOOKUP(E191,'Data Sheet'!$C$29:$E$174,3,FALSE)=0,"",VLOOKUP(E191,'Data Sheet'!$C$29:$E$174,3,FALSE)),"")</f>
        <v/>
      </c>
      <c r="G191" s="106" t="str">
        <f t="shared" si="99"/>
        <v>-</v>
      </c>
      <c r="H191" s="273"/>
      <c r="I191" s="107"/>
      <c r="J191" s="249" t="e">
        <f t="shared" si="100"/>
        <v>#VALUE!</v>
      </c>
      <c r="K191" s="101" t="str">
        <f>IFERROR(INDEX('Data Sheet'!$C$198:$C$275,MATCH(I191,'Data Sheet'!$F$198:$F$275,0)),"")</f>
        <v/>
      </c>
      <c r="L191" s="250" t="str">
        <f>IFERROR(INDEX('Data Sheet'!$G$198:$G$275,MATCH(I191,'Data Sheet'!$F$198:$F$275,0)),"")</f>
        <v/>
      </c>
      <c r="M191" s="194"/>
      <c r="N191" s="248"/>
      <c r="O191" s="248"/>
      <c r="P191" s="108" t="str">
        <f>IFERROR(INDEX(Setup!$D$44:$D$70,MATCH(M191,Setup!$K$44:$K$70,0))&amp;"","")</f>
        <v/>
      </c>
      <c r="Q191" s="108" t="str">
        <f>IFERROR(INDEX(Setup!$E$44:$E$70,MATCH(M191,Setup!$K$44:$K$70,0))&amp;"","")</f>
        <v/>
      </c>
      <c r="R191" s="108" t="str">
        <f>IFERROR(INDEX(Setup!$L$44:$L$70,MATCH(M191,Setup!$K$44:$K$70,0))&amp;"","")</f>
        <v/>
      </c>
      <c r="S191" s="108" t="str">
        <f>Setup!$C$30</f>
        <v>USD</v>
      </c>
      <c r="T191" s="109" t="str">
        <f>IFERROR(INDEX('Data Sheet'!$B$198:$B$275,MATCH(I191,'Data Sheet'!$F$198:$F$275,0)),"")</f>
        <v/>
      </c>
      <c r="U191" s="110" t="str">
        <f>IFERROR(INDEX('Data Sheet'!$D$198:$D$275,MATCH(I191,'Data Sheet'!$F$198:$F$275,0)),"")</f>
        <v/>
      </c>
      <c r="V191" s="99"/>
      <c r="W191" s="195" t="str">
        <f>IF(V191=Setup!$C$30,"Grant",IF(V191=Setup!$C$31,"Local",IF(V191=Setup!$C$32,"Other",IF(ISBLANK(V191),"","Other"))))</f>
        <v/>
      </c>
      <c r="X191" s="255"/>
      <c r="Y191" s="259" t="str">
        <f>IF(X191&lt;&gt;"",X191/VLOOKUP($V191,Setup!$C$30:$D$41,2,0),"")</f>
        <v/>
      </c>
      <c r="Z191" s="262"/>
      <c r="AA191" s="256" t="str">
        <f t="shared" si="72"/>
        <v/>
      </c>
      <c r="AB191" s="262"/>
      <c r="AC191" s="258" t="str">
        <f t="shared" si="73"/>
        <v/>
      </c>
      <c r="AD191" s="262"/>
      <c r="AE191" s="258" t="str">
        <f t="shared" si="74"/>
        <v/>
      </c>
      <c r="AF191" s="262"/>
      <c r="AG191" s="256" t="str">
        <f t="shared" si="75"/>
        <v/>
      </c>
      <c r="AH191" s="256" t="str">
        <f t="shared" si="76"/>
        <v/>
      </c>
      <c r="AI191" s="256" t="str">
        <f t="shared" si="77"/>
        <v/>
      </c>
      <c r="AJ191" s="111"/>
      <c r="AK191" s="255"/>
      <c r="AL191" s="259" t="str">
        <f>IF(AK191&lt;&gt;"",AK191/VLOOKUP($V191,Setup!$C$30:$D$41,2,0),"")</f>
        <v/>
      </c>
      <c r="AM191" s="266"/>
      <c r="AN191" s="258" t="str">
        <f t="shared" si="78"/>
        <v/>
      </c>
      <c r="AO191" s="266"/>
      <c r="AP191" s="258" t="str">
        <f t="shared" si="79"/>
        <v/>
      </c>
      <c r="AQ191" s="266"/>
      <c r="AR191" s="258" t="str">
        <f t="shared" si="80"/>
        <v/>
      </c>
      <c r="AS191" s="266"/>
      <c r="AT191" s="256" t="str">
        <f t="shared" si="81"/>
        <v/>
      </c>
      <c r="AU191" s="256" t="str">
        <f t="shared" si="82"/>
        <v/>
      </c>
      <c r="AV191" s="256" t="str">
        <f t="shared" si="83"/>
        <v/>
      </c>
      <c r="AW191" s="267"/>
      <c r="AX191" s="255"/>
      <c r="AY191" s="259" t="str">
        <f>IF(AX191&lt;&gt;"",AX191/VLOOKUP($V191,Setup!$C$30:$D$41,2,0),"")</f>
        <v/>
      </c>
      <c r="AZ191" s="268"/>
      <c r="BA191" s="258" t="str">
        <f t="shared" si="84"/>
        <v/>
      </c>
      <c r="BB191" s="268"/>
      <c r="BC191" s="258" t="str">
        <f t="shared" si="85"/>
        <v/>
      </c>
      <c r="BD191" s="268"/>
      <c r="BE191" s="258" t="str">
        <f t="shared" si="86"/>
        <v/>
      </c>
      <c r="BF191" s="268"/>
      <c r="BG191" s="256" t="str">
        <f t="shared" si="87"/>
        <v/>
      </c>
      <c r="BH191" s="256" t="str">
        <f t="shared" si="88"/>
        <v/>
      </c>
      <c r="BI191" s="256" t="str">
        <f t="shared" si="89"/>
        <v/>
      </c>
      <c r="BJ191" s="267"/>
      <c r="BK191" s="255"/>
      <c r="BL191" s="259" t="str">
        <f>IF(BK191&lt;&gt;"",BK191/VLOOKUP($V191,Setup!$C$30:$D$41,2,0),"")</f>
        <v/>
      </c>
      <c r="BM191" s="268"/>
      <c r="BN191" s="258" t="str">
        <f t="shared" si="90"/>
        <v/>
      </c>
      <c r="BO191" s="268"/>
      <c r="BP191" s="258" t="str">
        <f t="shared" si="91"/>
        <v/>
      </c>
      <c r="BQ191" s="268"/>
      <c r="BR191" s="258" t="str">
        <f t="shared" si="92"/>
        <v/>
      </c>
      <c r="BS191" s="268"/>
      <c r="BT191" s="256" t="str">
        <f t="shared" si="93"/>
        <v/>
      </c>
      <c r="BU191" s="256" t="str">
        <f t="shared" si="94"/>
        <v/>
      </c>
      <c r="BV191" s="256" t="str">
        <f t="shared" si="95"/>
        <v/>
      </c>
      <c r="BW191" s="267"/>
      <c r="BX191" s="256" t="str">
        <f t="shared" si="96"/>
        <v/>
      </c>
      <c r="BY191" s="256" t="str">
        <f t="shared" si="97"/>
        <v/>
      </c>
      <c r="BZ191" s="281"/>
      <c r="CA191" s="282"/>
      <c r="CC191" s="112" t="str">
        <f t="shared" ca="1" si="98"/>
        <v/>
      </c>
      <c r="CF191" s="284"/>
      <c r="CG191" s="284"/>
      <c r="CH191" s="284"/>
      <c r="CI191" s="284"/>
      <c r="CL191" s="356" t="str">
        <f>IFERROR(VLOOKUP(C191,'Data Sheet'!$A$3:$B$26,2,FALSE),"")</f>
        <v/>
      </c>
    </row>
    <row r="192" spans="1:90" s="98" customFormat="1" ht="15.75" x14ac:dyDescent="0.2">
      <c r="A192" s="97"/>
      <c r="B192" s="105" t="str">
        <f t="shared" si="101"/>
        <v>--</v>
      </c>
      <c r="C192" s="276"/>
      <c r="D192" s="101" t="str">
        <f>IFERROR(IF(VLOOKUP(C192,'Data Sheet'!$A$3:$D$26,4,FALSE)=0,"",VLOOKUP(C192,'Data Sheet'!$A$3:$D$26,4,FALSE)),"")</f>
        <v/>
      </c>
      <c r="E192" s="279"/>
      <c r="F192" s="103" t="str">
        <f>IFERROR(IF(VLOOKUP(E192,'Data Sheet'!$C$29:$E$174,3,FALSE)=0,"",VLOOKUP(E192,'Data Sheet'!$C$29:$E$174,3,FALSE)),"")</f>
        <v/>
      </c>
      <c r="G192" s="106" t="str">
        <f t="shared" si="99"/>
        <v>-</v>
      </c>
      <c r="H192" s="273"/>
      <c r="I192" s="107"/>
      <c r="J192" s="249" t="e">
        <f t="shared" si="100"/>
        <v>#VALUE!</v>
      </c>
      <c r="K192" s="101" t="str">
        <f>IFERROR(INDEX('Data Sheet'!$C$198:$C$275,MATCH(I192,'Data Sheet'!$F$198:$F$275,0)),"")</f>
        <v/>
      </c>
      <c r="L192" s="250" t="str">
        <f>IFERROR(INDEX('Data Sheet'!$G$198:$G$275,MATCH(I192,'Data Sheet'!$F$198:$F$275,0)),"")</f>
        <v/>
      </c>
      <c r="M192" s="194"/>
      <c r="N192" s="248"/>
      <c r="O192" s="248"/>
      <c r="P192" s="108" t="str">
        <f>IFERROR(INDEX(Setup!$D$44:$D$70,MATCH(M192,Setup!$K$44:$K$70,0))&amp;"","")</f>
        <v/>
      </c>
      <c r="Q192" s="108" t="str">
        <f>IFERROR(INDEX(Setup!$E$44:$E$70,MATCH(M192,Setup!$K$44:$K$70,0))&amp;"","")</f>
        <v/>
      </c>
      <c r="R192" s="108" t="str">
        <f>IFERROR(INDEX(Setup!$L$44:$L$70,MATCH(M192,Setup!$K$44:$K$70,0))&amp;"","")</f>
        <v/>
      </c>
      <c r="S192" s="108" t="str">
        <f>Setup!$C$30</f>
        <v>USD</v>
      </c>
      <c r="T192" s="109" t="str">
        <f>IFERROR(INDEX('Data Sheet'!$B$198:$B$275,MATCH(I192,'Data Sheet'!$F$198:$F$275,0)),"")</f>
        <v/>
      </c>
      <c r="U192" s="110" t="str">
        <f>IFERROR(INDEX('Data Sheet'!$D$198:$D$275,MATCH(I192,'Data Sheet'!$F$198:$F$275,0)),"")</f>
        <v/>
      </c>
      <c r="V192" s="99"/>
      <c r="W192" s="195" t="str">
        <f>IF(V192=Setup!$C$30,"Grant",IF(V192=Setup!$C$31,"Local",IF(V192=Setup!$C$32,"Other",IF(ISBLANK(V192),"","Other"))))</f>
        <v/>
      </c>
      <c r="X192" s="255"/>
      <c r="Y192" s="259" t="str">
        <f>IF(X192&lt;&gt;"",X192/VLOOKUP($V192,Setup!$C$30:$D$41,2,0),"")</f>
        <v/>
      </c>
      <c r="Z192" s="262"/>
      <c r="AA192" s="256" t="str">
        <f t="shared" si="72"/>
        <v/>
      </c>
      <c r="AB192" s="262"/>
      <c r="AC192" s="258" t="str">
        <f t="shared" si="73"/>
        <v/>
      </c>
      <c r="AD192" s="262"/>
      <c r="AE192" s="258" t="str">
        <f t="shared" si="74"/>
        <v/>
      </c>
      <c r="AF192" s="262"/>
      <c r="AG192" s="256" t="str">
        <f t="shared" si="75"/>
        <v/>
      </c>
      <c r="AH192" s="256" t="str">
        <f t="shared" si="76"/>
        <v/>
      </c>
      <c r="AI192" s="256" t="str">
        <f t="shared" si="77"/>
        <v/>
      </c>
      <c r="AJ192" s="111"/>
      <c r="AK192" s="255"/>
      <c r="AL192" s="259" t="str">
        <f>IF(AK192&lt;&gt;"",AK192/VLOOKUP($V192,Setup!$C$30:$D$41,2,0),"")</f>
        <v/>
      </c>
      <c r="AM192" s="266"/>
      <c r="AN192" s="258" t="str">
        <f t="shared" si="78"/>
        <v/>
      </c>
      <c r="AO192" s="266"/>
      <c r="AP192" s="258" t="str">
        <f t="shared" si="79"/>
        <v/>
      </c>
      <c r="AQ192" s="266"/>
      <c r="AR192" s="258" t="str">
        <f t="shared" si="80"/>
        <v/>
      </c>
      <c r="AS192" s="266"/>
      <c r="AT192" s="256" t="str">
        <f t="shared" si="81"/>
        <v/>
      </c>
      <c r="AU192" s="256" t="str">
        <f t="shared" si="82"/>
        <v/>
      </c>
      <c r="AV192" s="256" t="str">
        <f t="shared" si="83"/>
        <v/>
      </c>
      <c r="AW192" s="267"/>
      <c r="AX192" s="255"/>
      <c r="AY192" s="259" t="str">
        <f>IF(AX192&lt;&gt;"",AX192/VLOOKUP($V192,Setup!$C$30:$D$41,2,0),"")</f>
        <v/>
      </c>
      <c r="AZ192" s="268"/>
      <c r="BA192" s="258" t="str">
        <f t="shared" si="84"/>
        <v/>
      </c>
      <c r="BB192" s="268"/>
      <c r="BC192" s="258" t="str">
        <f t="shared" si="85"/>
        <v/>
      </c>
      <c r="BD192" s="268"/>
      <c r="BE192" s="258" t="str">
        <f t="shared" si="86"/>
        <v/>
      </c>
      <c r="BF192" s="268"/>
      <c r="BG192" s="256" t="str">
        <f t="shared" si="87"/>
        <v/>
      </c>
      <c r="BH192" s="256" t="str">
        <f t="shared" si="88"/>
        <v/>
      </c>
      <c r="BI192" s="256" t="str">
        <f t="shared" si="89"/>
        <v/>
      </c>
      <c r="BJ192" s="267"/>
      <c r="BK192" s="255"/>
      <c r="BL192" s="259" t="str">
        <f>IF(BK192&lt;&gt;"",BK192/VLOOKUP($V192,Setup!$C$30:$D$41,2,0),"")</f>
        <v/>
      </c>
      <c r="BM192" s="268"/>
      <c r="BN192" s="258" t="str">
        <f t="shared" si="90"/>
        <v/>
      </c>
      <c r="BO192" s="268"/>
      <c r="BP192" s="258" t="str">
        <f t="shared" si="91"/>
        <v/>
      </c>
      <c r="BQ192" s="268"/>
      <c r="BR192" s="258" t="str">
        <f t="shared" si="92"/>
        <v/>
      </c>
      <c r="BS192" s="268"/>
      <c r="BT192" s="256" t="str">
        <f t="shared" si="93"/>
        <v/>
      </c>
      <c r="BU192" s="256" t="str">
        <f t="shared" si="94"/>
        <v/>
      </c>
      <c r="BV192" s="256" t="str">
        <f t="shared" si="95"/>
        <v/>
      </c>
      <c r="BW192" s="267"/>
      <c r="BX192" s="256" t="str">
        <f t="shared" si="96"/>
        <v/>
      </c>
      <c r="BY192" s="256" t="str">
        <f t="shared" si="97"/>
        <v/>
      </c>
      <c r="BZ192" s="281"/>
      <c r="CA192" s="282"/>
      <c r="CC192" s="112" t="str">
        <f t="shared" ca="1" si="98"/>
        <v/>
      </c>
      <c r="CF192" s="284"/>
      <c r="CG192" s="284"/>
      <c r="CH192" s="284"/>
      <c r="CI192" s="284"/>
      <c r="CL192" s="356" t="str">
        <f>IFERROR(VLOOKUP(C192,'Data Sheet'!$A$3:$B$26,2,FALSE),"")</f>
        <v/>
      </c>
    </row>
    <row r="193" spans="1:90" s="98" customFormat="1" ht="15.75" x14ac:dyDescent="0.2">
      <c r="A193" s="97"/>
      <c r="B193" s="105" t="str">
        <f t="shared" si="101"/>
        <v>--</v>
      </c>
      <c r="C193" s="276"/>
      <c r="D193" s="101" t="str">
        <f>IFERROR(IF(VLOOKUP(C193,'Data Sheet'!$A$3:$D$26,4,FALSE)=0,"",VLOOKUP(C193,'Data Sheet'!$A$3:$D$26,4,FALSE)),"")</f>
        <v/>
      </c>
      <c r="E193" s="279"/>
      <c r="F193" s="103" t="str">
        <f>IFERROR(IF(VLOOKUP(E193,'Data Sheet'!$C$29:$E$174,3,FALSE)=0,"",VLOOKUP(E193,'Data Sheet'!$C$29:$E$174,3,FALSE)),"")</f>
        <v/>
      </c>
      <c r="G193" s="106" t="str">
        <f t="shared" si="99"/>
        <v>-</v>
      </c>
      <c r="H193" s="273"/>
      <c r="I193" s="107"/>
      <c r="J193" s="249" t="e">
        <f t="shared" si="100"/>
        <v>#VALUE!</v>
      </c>
      <c r="K193" s="101" t="str">
        <f>IFERROR(INDEX('Data Sheet'!$C$198:$C$275,MATCH(I193,'Data Sheet'!$F$198:$F$275,0)),"")</f>
        <v/>
      </c>
      <c r="L193" s="250" t="str">
        <f>IFERROR(INDEX('Data Sheet'!$G$198:$G$275,MATCH(I193,'Data Sheet'!$F$198:$F$275,0)),"")</f>
        <v/>
      </c>
      <c r="M193" s="194"/>
      <c r="N193" s="248"/>
      <c r="O193" s="248"/>
      <c r="P193" s="108" t="str">
        <f>IFERROR(INDEX(Setup!$D$44:$D$70,MATCH(M193,Setup!$K$44:$K$70,0))&amp;"","")</f>
        <v/>
      </c>
      <c r="Q193" s="108" t="str">
        <f>IFERROR(INDEX(Setup!$E$44:$E$70,MATCH(M193,Setup!$K$44:$K$70,0))&amp;"","")</f>
        <v/>
      </c>
      <c r="R193" s="108" t="str">
        <f>IFERROR(INDEX(Setup!$L$44:$L$70,MATCH(M193,Setup!$K$44:$K$70,0))&amp;"","")</f>
        <v/>
      </c>
      <c r="S193" s="108" t="str">
        <f>Setup!$C$30</f>
        <v>USD</v>
      </c>
      <c r="T193" s="109" t="str">
        <f>IFERROR(INDEX('Data Sheet'!$B$198:$B$275,MATCH(I193,'Data Sheet'!$F$198:$F$275,0)),"")</f>
        <v/>
      </c>
      <c r="U193" s="110" t="str">
        <f>IFERROR(INDEX('Data Sheet'!$D$198:$D$275,MATCH(I193,'Data Sheet'!$F$198:$F$275,0)),"")</f>
        <v/>
      </c>
      <c r="V193" s="99"/>
      <c r="W193" s="195" t="str">
        <f>IF(V193=Setup!$C$30,"Grant",IF(V193=Setup!$C$31,"Local",IF(V193=Setup!$C$32,"Other",IF(ISBLANK(V193),"","Other"))))</f>
        <v/>
      </c>
      <c r="X193" s="255"/>
      <c r="Y193" s="259" t="str">
        <f>IF(X193&lt;&gt;"",X193/VLOOKUP($V193,Setup!$C$30:$D$41,2,0),"")</f>
        <v/>
      </c>
      <c r="Z193" s="262"/>
      <c r="AA193" s="256" t="str">
        <f t="shared" si="72"/>
        <v/>
      </c>
      <c r="AB193" s="262"/>
      <c r="AC193" s="258" t="str">
        <f t="shared" si="73"/>
        <v/>
      </c>
      <c r="AD193" s="262"/>
      <c r="AE193" s="258" t="str">
        <f t="shared" si="74"/>
        <v/>
      </c>
      <c r="AF193" s="262"/>
      <c r="AG193" s="256" t="str">
        <f t="shared" si="75"/>
        <v/>
      </c>
      <c r="AH193" s="256" t="str">
        <f t="shared" si="76"/>
        <v/>
      </c>
      <c r="AI193" s="256" t="str">
        <f t="shared" si="77"/>
        <v/>
      </c>
      <c r="AJ193" s="111"/>
      <c r="AK193" s="255"/>
      <c r="AL193" s="259" t="str">
        <f>IF(AK193&lt;&gt;"",AK193/VLOOKUP($V193,Setup!$C$30:$D$41,2,0),"")</f>
        <v/>
      </c>
      <c r="AM193" s="266"/>
      <c r="AN193" s="258" t="str">
        <f t="shared" si="78"/>
        <v/>
      </c>
      <c r="AO193" s="266"/>
      <c r="AP193" s="258" t="str">
        <f t="shared" si="79"/>
        <v/>
      </c>
      <c r="AQ193" s="266"/>
      <c r="AR193" s="258" t="str">
        <f t="shared" si="80"/>
        <v/>
      </c>
      <c r="AS193" s="266"/>
      <c r="AT193" s="256" t="str">
        <f t="shared" si="81"/>
        <v/>
      </c>
      <c r="AU193" s="256" t="str">
        <f t="shared" si="82"/>
        <v/>
      </c>
      <c r="AV193" s="256" t="str">
        <f t="shared" si="83"/>
        <v/>
      </c>
      <c r="AW193" s="267"/>
      <c r="AX193" s="255"/>
      <c r="AY193" s="259" t="str">
        <f>IF(AX193&lt;&gt;"",AX193/VLOOKUP($V193,Setup!$C$30:$D$41,2,0),"")</f>
        <v/>
      </c>
      <c r="AZ193" s="268"/>
      <c r="BA193" s="258" t="str">
        <f t="shared" si="84"/>
        <v/>
      </c>
      <c r="BB193" s="268"/>
      <c r="BC193" s="258" t="str">
        <f t="shared" si="85"/>
        <v/>
      </c>
      <c r="BD193" s="268"/>
      <c r="BE193" s="258" t="str">
        <f t="shared" si="86"/>
        <v/>
      </c>
      <c r="BF193" s="268"/>
      <c r="BG193" s="256" t="str">
        <f t="shared" si="87"/>
        <v/>
      </c>
      <c r="BH193" s="256" t="str">
        <f t="shared" si="88"/>
        <v/>
      </c>
      <c r="BI193" s="256" t="str">
        <f t="shared" si="89"/>
        <v/>
      </c>
      <c r="BJ193" s="267"/>
      <c r="BK193" s="255"/>
      <c r="BL193" s="259" t="str">
        <f>IF(BK193&lt;&gt;"",BK193/VLOOKUP($V193,Setup!$C$30:$D$41,2,0),"")</f>
        <v/>
      </c>
      <c r="BM193" s="268"/>
      <c r="BN193" s="258" t="str">
        <f t="shared" si="90"/>
        <v/>
      </c>
      <c r="BO193" s="268"/>
      <c r="BP193" s="258" t="str">
        <f t="shared" si="91"/>
        <v/>
      </c>
      <c r="BQ193" s="268"/>
      <c r="BR193" s="258" t="str">
        <f t="shared" si="92"/>
        <v/>
      </c>
      <c r="BS193" s="268"/>
      <c r="BT193" s="256" t="str">
        <f t="shared" si="93"/>
        <v/>
      </c>
      <c r="BU193" s="256" t="str">
        <f t="shared" si="94"/>
        <v/>
      </c>
      <c r="BV193" s="256" t="str">
        <f t="shared" si="95"/>
        <v/>
      </c>
      <c r="BW193" s="267"/>
      <c r="BX193" s="256" t="str">
        <f t="shared" si="96"/>
        <v/>
      </c>
      <c r="BY193" s="256" t="str">
        <f t="shared" si="97"/>
        <v/>
      </c>
      <c r="BZ193" s="281"/>
      <c r="CA193" s="282"/>
      <c r="CC193" s="112" t="str">
        <f t="shared" ca="1" si="98"/>
        <v/>
      </c>
      <c r="CF193" s="284"/>
      <c r="CG193" s="284"/>
      <c r="CH193" s="284"/>
      <c r="CI193" s="284"/>
      <c r="CL193" s="356" t="str">
        <f>IFERROR(VLOOKUP(C193,'Data Sheet'!$A$3:$B$26,2,FALSE),"")</f>
        <v/>
      </c>
    </row>
    <row r="194" spans="1:90" s="98" customFormat="1" ht="15.75" x14ac:dyDescent="0.2">
      <c r="A194" s="97"/>
      <c r="B194" s="105" t="str">
        <f t="shared" si="101"/>
        <v>--</v>
      </c>
      <c r="C194" s="276"/>
      <c r="D194" s="101" t="str">
        <f>IFERROR(IF(VLOOKUP(C194,'Data Sheet'!$A$3:$D$26,4,FALSE)=0,"",VLOOKUP(C194,'Data Sheet'!$A$3:$D$26,4,FALSE)),"")</f>
        <v/>
      </c>
      <c r="E194" s="279"/>
      <c r="F194" s="103" t="str">
        <f>IFERROR(IF(VLOOKUP(E194,'Data Sheet'!$C$29:$E$174,3,FALSE)=0,"",VLOOKUP(E194,'Data Sheet'!$C$29:$E$174,3,FALSE)),"")</f>
        <v/>
      </c>
      <c r="G194" s="106" t="str">
        <f t="shared" si="99"/>
        <v>-</v>
      </c>
      <c r="H194" s="273"/>
      <c r="I194" s="107"/>
      <c r="J194" s="249" t="e">
        <f t="shared" si="100"/>
        <v>#VALUE!</v>
      </c>
      <c r="K194" s="101" t="str">
        <f>IFERROR(INDEX('Data Sheet'!$C$198:$C$275,MATCH(I194,'Data Sheet'!$F$198:$F$275,0)),"")</f>
        <v/>
      </c>
      <c r="L194" s="250" t="str">
        <f>IFERROR(INDEX('Data Sheet'!$G$198:$G$275,MATCH(I194,'Data Sheet'!$F$198:$F$275,0)),"")</f>
        <v/>
      </c>
      <c r="M194" s="194"/>
      <c r="N194" s="248"/>
      <c r="O194" s="248"/>
      <c r="P194" s="108" t="str">
        <f>IFERROR(INDEX(Setup!$D$44:$D$70,MATCH(M194,Setup!$K$44:$K$70,0))&amp;"","")</f>
        <v/>
      </c>
      <c r="Q194" s="108" t="str">
        <f>IFERROR(INDEX(Setup!$E$44:$E$70,MATCH(M194,Setup!$K$44:$K$70,0))&amp;"","")</f>
        <v/>
      </c>
      <c r="R194" s="108" t="str">
        <f>IFERROR(INDEX(Setup!$L$44:$L$70,MATCH(M194,Setup!$K$44:$K$70,0))&amp;"","")</f>
        <v/>
      </c>
      <c r="S194" s="108" t="str">
        <f>Setup!$C$30</f>
        <v>USD</v>
      </c>
      <c r="T194" s="109" t="str">
        <f>IFERROR(INDEX('Data Sheet'!$B$198:$B$275,MATCH(I194,'Data Sheet'!$F$198:$F$275,0)),"")</f>
        <v/>
      </c>
      <c r="U194" s="110" t="str">
        <f>IFERROR(INDEX('Data Sheet'!$D$198:$D$275,MATCH(I194,'Data Sheet'!$F$198:$F$275,0)),"")</f>
        <v/>
      </c>
      <c r="V194" s="99"/>
      <c r="W194" s="195" t="str">
        <f>IF(V194=Setup!$C$30,"Grant",IF(V194=Setup!$C$31,"Local",IF(V194=Setup!$C$32,"Other",IF(ISBLANK(V194),"","Other"))))</f>
        <v/>
      </c>
      <c r="X194" s="255"/>
      <c r="Y194" s="259" t="str">
        <f>IF(X194&lt;&gt;"",X194/VLOOKUP($V194,Setup!$C$30:$D$41,2,0),"")</f>
        <v/>
      </c>
      <c r="Z194" s="262"/>
      <c r="AA194" s="256" t="str">
        <f t="shared" si="72"/>
        <v/>
      </c>
      <c r="AB194" s="262"/>
      <c r="AC194" s="258" t="str">
        <f t="shared" si="73"/>
        <v/>
      </c>
      <c r="AD194" s="262"/>
      <c r="AE194" s="258" t="str">
        <f t="shared" si="74"/>
        <v/>
      </c>
      <c r="AF194" s="262"/>
      <c r="AG194" s="256" t="str">
        <f t="shared" si="75"/>
        <v/>
      </c>
      <c r="AH194" s="256" t="str">
        <f t="shared" si="76"/>
        <v/>
      </c>
      <c r="AI194" s="256" t="str">
        <f t="shared" si="77"/>
        <v/>
      </c>
      <c r="AJ194" s="111"/>
      <c r="AK194" s="255"/>
      <c r="AL194" s="259" t="str">
        <f>IF(AK194&lt;&gt;"",AK194/VLOOKUP($V194,Setup!$C$30:$D$41,2,0),"")</f>
        <v/>
      </c>
      <c r="AM194" s="266"/>
      <c r="AN194" s="258" t="str">
        <f t="shared" si="78"/>
        <v/>
      </c>
      <c r="AO194" s="266"/>
      <c r="AP194" s="258" t="str">
        <f t="shared" si="79"/>
        <v/>
      </c>
      <c r="AQ194" s="266"/>
      <c r="AR194" s="258" t="str">
        <f t="shared" si="80"/>
        <v/>
      </c>
      <c r="AS194" s="266"/>
      <c r="AT194" s="256" t="str">
        <f t="shared" si="81"/>
        <v/>
      </c>
      <c r="AU194" s="256" t="str">
        <f t="shared" si="82"/>
        <v/>
      </c>
      <c r="AV194" s="256" t="str">
        <f t="shared" si="83"/>
        <v/>
      </c>
      <c r="AW194" s="267"/>
      <c r="AX194" s="255"/>
      <c r="AY194" s="259" t="str">
        <f>IF(AX194&lt;&gt;"",AX194/VLOOKUP($V194,Setup!$C$30:$D$41,2,0),"")</f>
        <v/>
      </c>
      <c r="AZ194" s="268"/>
      <c r="BA194" s="258" t="str">
        <f t="shared" si="84"/>
        <v/>
      </c>
      <c r="BB194" s="268"/>
      <c r="BC194" s="258" t="str">
        <f t="shared" si="85"/>
        <v/>
      </c>
      <c r="BD194" s="268"/>
      <c r="BE194" s="258" t="str">
        <f t="shared" si="86"/>
        <v/>
      </c>
      <c r="BF194" s="268"/>
      <c r="BG194" s="256" t="str">
        <f t="shared" si="87"/>
        <v/>
      </c>
      <c r="BH194" s="256" t="str">
        <f t="shared" si="88"/>
        <v/>
      </c>
      <c r="BI194" s="256" t="str">
        <f t="shared" si="89"/>
        <v/>
      </c>
      <c r="BJ194" s="267"/>
      <c r="BK194" s="255"/>
      <c r="BL194" s="259" t="str">
        <f>IF(BK194&lt;&gt;"",BK194/VLOOKUP($V194,Setup!$C$30:$D$41,2,0),"")</f>
        <v/>
      </c>
      <c r="BM194" s="268"/>
      <c r="BN194" s="258" t="str">
        <f t="shared" si="90"/>
        <v/>
      </c>
      <c r="BO194" s="268"/>
      <c r="BP194" s="258" t="str">
        <f t="shared" si="91"/>
        <v/>
      </c>
      <c r="BQ194" s="268"/>
      <c r="BR194" s="258" t="str">
        <f t="shared" si="92"/>
        <v/>
      </c>
      <c r="BS194" s="268"/>
      <c r="BT194" s="256" t="str">
        <f t="shared" si="93"/>
        <v/>
      </c>
      <c r="BU194" s="256" t="str">
        <f t="shared" si="94"/>
        <v/>
      </c>
      <c r="BV194" s="256" t="str">
        <f t="shared" si="95"/>
        <v/>
      </c>
      <c r="BW194" s="267"/>
      <c r="BX194" s="256" t="str">
        <f t="shared" si="96"/>
        <v/>
      </c>
      <c r="BY194" s="256" t="str">
        <f t="shared" si="97"/>
        <v/>
      </c>
      <c r="BZ194" s="281"/>
      <c r="CA194" s="282"/>
      <c r="CC194" s="112" t="str">
        <f t="shared" ca="1" si="98"/>
        <v/>
      </c>
      <c r="CF194" s="284"/>
      <c r="CG194" s="284"/>
      <c r="CH194" s="284"/>
      <c r="CI194" s="284"/>
      <c r="CL194" s="356" t="str">
        <f>IFERROR(VLOOKUP(C194,'Data Sheet'!$A$3:$B$26,2,FALSE),"")</f>
        <v/>
      </c>
    </row>
    <row r="195" spans="1:90" s="98" customFormat="1" ht="15.75" x14ac:dyDescent="0.2">
      <c r="A195" s="97"/>
      <c r="B195" s="105" t="str">
        <f t="shared" si="101"/>
        <v>--</v>
      </c>
      <c r="C195" s="276"/>
      <c r="D195" s="101" t="str">
        <f>IFERROR(IF(VLOOKUP(C195,'Data Sheet'!$A$3:$D$26,4,FALSE)=0,"",VLOOKUP(C195,'Data Sheet'!$A$3:$D$26,4,FALSE)),"")</f>
        <v/>
      </c>
      <c r="E195" s="279"/>
      <c r="F195" s="103" t="str">
        <f>IFERROR(IF(VLOOKUP(E195,'Data Sheet'!$C$29:$E$174,3,FALSE)=0,"",VLOOKUP(E195,'Data Sheet'!$C$29:$E$174,3,FALSE)),"")</f>
        <v/>
      </c>
      <c r="G195" s="106" t="str">
        <f t="shared" si="99"/>
        <v>-</v>
      </c>
      <c r="H195" s="273"/>
      <c r="I195" s="107"/>
      <c r="J195" s="249" t="e">
        <f t="shared" si="100"/>
        <v>#VALUE!</v>
      </c>
      <c r="K195" s="101" t="str">
        <f>IFERROR(INDEX('Data Sheet'!$C$198:$C$275,MATCH(I195,'Data Sheet'!$F$198:$F$275,0)),"")</f>
        <v/>
      </c>
      <c r="L195" s="250" t="str">
        <f>IFERROR(INDEX('Data Sheet'!$G$198:$G$275,MATCH(I195,'Data Sheet'!$F$198:$F$275,0)),"")</f>
        <v/>
      </c>
      <c r="M195" s="194"/>
      <c r="N195" s="248"/>
      <c r="O195" s="248"/>
      <c r="P195" s="108" t="str">
        <f>IFERROR(INDEX(Setup!$D$44:$D$70,MATCH(M195,Setup!$K$44:$K$70,0))&amp;"","")</f>
        <v/>
      </c>
      <c r="Q195" s="108" t="str">
        <f>IFERROR(INDEX(Setup!$E$44:$E$70,MATCH(M195,Setup!$K$44:$K$70,0))&amp;"","")</f>
        <v/>
      </c>
      <c r="R195" s="108" t="str">
        <f>IFERROR(INDEX(Setup!$L$44:$L$70,MATCH(M195,Setup!$K$44:$K$70,0))&amp;"","")</f>
        <v/>
      </c>
      <c r="S195" s="108" t="str">
        <f>Setup!$C$30</f>
        <v>USD</v>
      </c>
      <c r="T195" s="109" t="str">
        <f>IFERROR(INDEX('Data Sheet'!$B$198:$B$275,MATCH(I195,'Data Sheet'!$F$198:$F$275,0)),"")</f>
        <v/>
      </c>
      <c r="U195" s="110" t="str">
        <f>IFERROR(INDEX('Data Sheet'!$D$198:$D$275,MATCH(I195,'Data Sheet'!$F$198:$F$275,0)),"")</f>
        <v/>
      </c>
      <c r="V195" s="99"/>
      <c r="W195" s="195" t="str">
        <f>IF(V195=Setup!$C$30,"Grant",IF(V195=Setup!$C$31,"Local",IF(V195=Setup!$C$32,"Other",IF(ISBLANK(V195),"","Other"))))</f>
        <v/>
      </c>
      <c r="X195" s="255"/>
      <c r="Y195" s="259" t="str">
        <f>IF(X195&lt;&gt;"",X195/VLOOKUP($V195,Setup!$C$30:$D$41,2,0),"")</f>
        <v/>
      </c>
      <c r="Z195" s="262"/>
      <c r="AA195" s="256" t="str">
        <f t="shared" si="72"/>
        <v/>
      </c>
      <c r="AB195" s="262"/>
      <c r="AC195" s="258" t="str">
        <f t="shared" si="73"/>
        <v/>
      </c>
      <c r="AD195" s="262"/>
      <c r="AE195" s="258" t="str">
        <f t="shared" si="74"/>
        <v/>
      </c>
      <c r="AF195" s="262"/>
      <c r="AG195" s="256" t="str">
        <f t="shared" si="75"/>
        <v/>
      </c>
      <c r="AH195" s="256" t="str">
        <f t="shared" si="76"/>
        <v/>
      </c>
      <c r="AI195" s="256" t="str">
        <f t="shared" si="77"/>
        <v/>
      </c>
      <c r="AJ195" s="111"/>
      <c r="AK195" s="255"/>
      <c r="AL195" s="259" t="str">
        <f>IF(AK195&lt;&gt;"",AK195/VLOOKUP($V195,Setup!$C$30:$D$41,2,0),"")</f>
        <v/>
      </c>
      <c r="AM195" s="266"/>
      <c r="AN195" s="258" t="str">
        <f t="shared" si="78"/>
        <v/>
      </c>
      <c r="AO195" s="266"/>
      <c r="AP195" s="258" t="str">
        <f t="shared" si="79"/>
        <v/>
      </c>
      <c r="AQ195" s="266"/>
      <c r="AR195" s="258" t="str">
        <f t="shared" si="80"/>
        <v/>
      </c>
      <c r="AS195" s="266"/>
      <c r="AT195" s="256" t="str">
        <f t="shared" si="81"/>
        <v/>
      </c>
      <c r="AU195" s="256" t="str">
        <f t="shared" si="82"/>
        <v/>
      </c>
      <c r="AV195" s="256" t="str">
        <f t="shared" si="83"/>
        <v/>
      </c>
      <c r="AW195" s="267"/>
      <c r="AX195" s="255"/>
      <c r="AY195" s="259" t="str">
        <f>IF(AX195&lt;&gt;"",AX195/VLOOKUP($V195,Setup!$C$30:$D$41,2,0),"")</f>
        <v/>
      </c>
      <c r="AZ195" s="268"/>
      <c r="BA195" s="258" t="str">
        <f t="shared" si="84"/>
        <v/>
      </c>
      <c r="BB195" s="268"/>
      <c r="BC195" s="258" t="str">
        <f t="shared" si="85"/>
        <v/>
      </c>
      <c r="BD195" s="268"/>
      <c r="BE195" s="258" t="str">
        <f t="shared" si="86"/>
        <v/>
      </c>
      <c r="BF195" s="268"/>
      <c r="BG195" s="256" t="str">
        <f t="shared" si="87"/>
        <v/>
      </c>
      <c r="BH195" s="256" t="str">
        <f t="shared" si="88"/>
        <v/>
      </c>
      <c r="BI195" s="256" t="str">
        <f t="shared" si="89"/>
        <v/>
      </c>
      <c r="BJ195" s="267"/>
      <c r="BK195" s="255"/>
      <c r="BL195" s="259" t="str">
        <f>IF(BK195&lt;&gt;"",BK195/VLOOKUP($V195,Setup!$C$30:$D$41,2,0),"")</f>
        <v/>
      </c>
      <c r="BM195" s="268"/>
      <c r="BN195" s="258" t="str">
        <f t="shared" si="90"/>
        <v/>
      </c>
      <c r="BO195" s="268"/>
      <c r="BP195" s="258" t="str">
        <f t="shared" si="91"/>
        <v/>
      </c>
      <c r="BQ195" s="268"/>
      <c r="BR195" s="258" t="str">
        <f t="shared" si="92"/>
        <v/>
      </c>
      <c r="BS195" s="268"/>
      <c r="BT195" s="256" t="str">
        <f t="shared" si="93"/>
        <v/>
      </c>
      <c r="BU195" s="256" t="str">
        <f t="shared" si="94"/>
        <v/>
      </c>
      <c r="BV195" s="256" t="str">
        <f t="shared" si="95"/>
        <v/>
      </c>
      <c r="BW195" s="267"/>
      <c r="BX195" s="256" t="str">
        <f t="shared" si="96"/>
        <v/>
      </c>
      <c r="BY195" s="256" t="str">
        <f t="shared" si="97"/>
        <v/>
      </c>
      <c r="BZ195" s="281"/>
      <c r="CA195" s="282"/>
      <c r="CC195" s="112" t="str">
        <f t="shared" ca="1" si="98"/>
        <v/>
      </c>
      <c r="CF195" s="284"/>
      <c r="CG195" s="284"/>
      <c r="CH195" s="284"/>
      <c r="CI195" s="284"/>
      <c r="CL195" s="356" t="str">
        <f>IFERROR(VLOOKUP(C195,'Data Sheet'!$A$3:$B$26,2,FALSE),"")</f>
        <v/>
      </c>
    </row>
    <row r="196" spans="1:90" s="98" customFormat="1" ht="15.75" x14ac:dyDescent="0.2">
      <c r="A196" s="97"/>
      <c r="B196" s="105" t="str">
        <f t="shared" si="101"/>
        <v>--</v>
      </c>
      <c r="C196" s="276"/>
      <c r="D196" s="101" t="str">
        <f>IFERROR(IF(VLOOKUP(C196,'Data Sheet'!$A$3:$D$26,4,FALSE)=0,"",VLOOKUP(C196,'Data Sheet'!$A$3:$D$26,4,FALSE)),"")</f>
        <v/>
      </c>
      <c r="E196" s="279"/>
      <c r="F196" s="103" t="str">
        <f>IFERROR(IF(VLOOKUP(E196,'Data Sheet'!$C$29:$E$174,3,FALSE)=0,"",VLOOKUP(E196,'Data Sheet'!$C$29:$E$174,3,FALSE)),"")</f>
        <v/>
      </c>
      <c r="G196" s="106" t="str">
        <f t="shared" si="99"/>
        <v>-</v>
      </c>
      <c r="H196" s="273"/>
      <c r="I196" s="107"/>
      <c r="J196" s="249" t="e">
        <f t="shared" si="100"/>
        <v>#VALUE!</v>
      </c>
      <c r="K196" s="101" t="str">
        <f>IFERROR(INDEX('Data Sheet'!$C$198:$C$275,MATCH(I196,'Data Sheet'!$F$198:$F$275,0)),"")</f>
        <v/>
      </c>
      <c r="L196" s="250" t="str">
        <f>IFERROR(INDEX('Data Sheet'!$G$198:$G$275,MATCH(I196,'Data Sheet'!$F$198:$F$275,0)),"")</f>
        <v/>
      </c>
      <c r="M196" s="194"/>
      <c r="N196" s="248"/>
      <c r="O196" s="248"/>
      <c r="P196" s="108" t="str">
        <f>IFERROR(INDEX(Setup!$D$44:$D$70,MATCH(M196,Setup!$K$44:$K$70,0))&amp;"","")</f>
        <v/>
      </c>
      <c r="Q196" s="108" t="str">
        <f>IFERROR(INDEX(Setup!$E$44:$E$70,MATCH(M196,Setup!$K$44:$K$70,0))&amp;"","")</f>
        <v/>
      </c>
      <c r="R196" s="108" t="str">
        <f>IFERROR(INDEX(Setup!$L$44:$L$70,MATCH(M196,Setup!$K$44:$K$70,0))&amp;"","")</f>
        <v/>
      </c>
      <c r="S196" s="108" t="str">
        <f>Setup!$C$30</f>
        <v>USD</v>
      </c>
      <c r="T196" s="109" t="str">
        <f>IFERROR(INDEX('Data Sheet'!$B$198:$B$275,MATCH(I196,'Data Sheet'!$F$198:$F$275,0)),"")</f>
        <v/>
      </c>
      <c r="U196" s="110" t="str">
        <f>IFERROR(INDEX('Data Sheet'!$D$198:$D$275,MATCH(I196,'Data Sheet'!$F$198:$F$275,0)),"")</f>
        <v/>
      </c>
      <c r="V196" s="99"/>
      <c r="W196" s="195" t="str">
        <f>IF(V196=Setup!$C$30,"Grant",IF(V196=Setup!$C$31,"Local",IF(V196=Setup!$C$32,"Other",IF(ISBLANK(V196),"","Other"))))</f>
        <v/>
      </c>
      <c r="X196" s="255"/>
      <c r="Y196" s="259" t="str">
        <f>IF(X196&lt;&gt;"",X196/VLOOKUP($V196,Setup!$C$30:$D$41,2,0),"")</f>
        <v/>
      </c>
      <c r="Z196" s="262"/>
      <c r="AA196" s="256" t="str">
        <f t="shared" si="72"/>
        <v/>
      </c>
      <c r="AB196" s="262"/>
      <c r="AC196" s="258" t="str">
        <f t="shared" si="73"/>
        <v/>
      </c>
      <c r="AD196" s="262"/>
      <c r="AE196" s="258" t="str">
        <f t="shared" si="74"/>
        <v/>
      </c>
      <c r="AF196" s="262"/>
      <c r="AG196" s="256" t="str">
        <f t="shared" si="75"/>
        <v/>
      </c>
      <c r="AH196" s="256" t="str">
        <f t="shared" si="76"/>
        <v/>
      </c>
      <c r="AI196" s="256" t="str">
        <f t="shared" si="77"/>
        <v/>
      </c>
      <c r="AJ196" s="111"/>
      <c r="AK196" s="255"/>
      <c r="AL196" s="259" t="str">
        <f>IF(AK196&lt;&gt;"",AK196/VLOOKUP($V196,Setup!$C$30:$D$41,2,0),"")</f>
        <v/>
      </c>
      <c r="AM196" s="266"/>
      <c r="AN196" s="258" t="str">
        <f t="shared" si="78"/>
        <v/>
      </c>
      <c r="AO196" s="266"/>
      <c r="AP196" s="258" t="str">
        <f t="shared" si="79"/>
        <v/>
      </c>
      <c r="AQ196" s="266"/>
      <c r="AR196" s="258" t="str">
        <f t="shared" si="80"/>
        <v/>
      </c>
      <c r="AS196" s="266"/>
      <c r="AT196" s="256" t="str">
        <f t="shared" si="81"/>
        <v/>
      </c>
      <c r="AU196" s="256" t="str">
        <f t="shared" si="82"/>
        <v/>
      </c>
      <c r="AV196" s="256" t="str">
        <f t="shared" si="83"/>
        <v/>
      </c>
      <c r="AW196" s="267"/>
      <c r="AX196" s="255"/>
      <c r="AY196" s="259" t="str">
        <f>IF(AX196&lt;&gt;"",AX196/VLOOKUP($V196,Setup!$C$30:$D$41,2,0),"")</f>
        <v/>
      </c>
      <c r="AZ196" s="268"/>
      <c r="BA196" s="258" t="str">
        <f t="shared" si="84"/>
        <v/>
      </c>
      <c r="BB196" s="268"/>
      <c r="BC196" s="258" t="str">
        <f t="shared" si="85"/>
        <v/>
      </c>
      <c r="BD196" s="268"/>
      <c r="BE196" s="258" t="str">
        <f t="shared" si="86"/>
        <v/>
      </c>
      <c r="BF196" s="268"/>
      <c r="BG196" s="256" t="str">
        <f t="shared" si="87"/>
        <v/>
      </c>
      <c r="BH196" s="256" t="str">
        <f t="shared" si="88"/>
        <v/>
      </c>
      <c r="BI196" s="256" t="str">
        <f t="shared" si="89"/>
        <v/>
      </c>
      <c r="BJ196" s="267"/>
      <c r="BK196" s="255"/>
      <c r="BL196" s="259" t="str">
        <f>IF(BK196&lt;&gt;"",BK196/VLOOKUP($V196,Setup!$C$30:$D$41,2,0),"")</f>
        <v/>
      </c>
      <c r="BM196" s="268"/>
      <c r="BN196" s="258" t="str">
        <f t="shared" si="90"/>
        <v/>
      </c>
      <c r="BO196" s="268"/>
      <c r="BP196" s="258" t="str">
        <f t="shared" si="91"/>
        <v/>
      </c>
      <c r="BQ196" s="268"/>
      <c r="BR196" s="258" t="str">
        <f t="shared" si="92"/>
        <v/>
      </c>
      <c r="BS196" s="268"/>
      <c r="BT196" s="256" t="str">
        <f t="shared" si="93"/>
        <v/>
      </c>
      <c r="BU196" s="256" t="str">
        <f t="shared" si="94"/>
        <v/>
      </c>
      <c r="BV196" s="256" t="str">
        <f t="shared" si="95"/>
        <v/>
      </c>
      <c r="BW196" s="267"/>
      <c r="BX196" s="256" t="str">
        <f t="shared" si="96"/>
        <v/>
      </c>
      <c r="BY196" s="256" t="str">
        <f t="shared" si="97"/>
        <v/>
      </c>
      <c r="BZ196" s="281"/>
      <c r="CA196" s="282"/>
      <c r="CC196" s="112" t="str">
        <f t="shared" ca="1" si="98"/>
        <v/>
      </c>
      <c r="CF196" s="284"/>
      <c r="CG196" s="284"/>
      <c r="CH196" s="284"/>
      <c r="CI196" s="284"/>
      <c r="CL196" s="356" t="str">
        <f>IFERROR(VLOOKUP(C196,'Data Sheet'!$A$3:$B$26,2,FALSE),"")</f>
        <v/>
      </c>
    </row>
    <row r="197" spans="1:90" s="98" customFormat="1" ht="15.75" x14ac:dyDescent="0.2">
      <c r="A197" s="97"/>
      <c r="B197" s="105" t="str">
        <f t="shared" si="101"/>
        <v>--</v>
      </c>
      <c r="C197" s="276"/>
      <c r="D197" s="101" t="str">
        <f>IFERROR(IF(VLOOKUP(C197,'Data Sheet'!$A$3:$D$26,4,FALSE)=0,"",VLOOKUP(C197,'Data Sheet'!$A$3:$D$26,4,FALSE)),"")</f>
        <v/>
      </c>
      <c r="E197" s="279"/>
      <c r="F197" s="103" t="str">
        <f>IFERROR(IF(VLOOKUP(E197,'Data Sheet'!$C$29:$E$174,3,FALSE)=0,"",VLOOKUP(E197,'Data Sheet'!$C$29:$E$174,3,FALSE)),"")</f>
        <v/>
      </c>
      <c r="G197" s="106" t="str">
        <f t="shared" si="99"/>
        <v>-</v>
      </c>
      <c r="H197" s="273"/>
      <c r="I197" s="107"/>
      <c r="J197" s="249" t="e">
        <f t="shared" si="100"/>
        <v>#VALUE!</v>
      </c>
      <c r="K197" s="101" t="str">
        <f>IFERROR(INDEX('Data Sheet'!$C$198:$C$275,MATCH(I197,'Data Sheet'!$F$198:$F$275,0)),"")</f>
        <v/>
      </c>
      <c r="L197" s="250" t="str">
        <f>IFERROR(INDEX('Data Sheet'!$G$198:$G$275,MATCH(I197,'Data Sheet'!$F$198:$F$275,0)),"")</f>
        <v/>
      </c>
      <c r="M197" s="194"/>
      <c r="N197" s="248"/>
      <c r="O197" s="248"/>
      <c r="P197" s="108" t="str">
        <f>IFERROR(INDEX(Setup!$D$44:$D$70,MATCH(M197,Setup!$K$44:$K$70,0))&amp;"","")</f>
        <v/>
      </c>
      <c r="Q197" s="108" t="str">
        <f>IFERROR(INDEX(Setup!$E$44:$E$70,MATCH(M197,Setup!$K$44:$K$70,0))&amp;"","")</f>
        <v/>
      </c>
      <c r="R197" s="108" t="str">
        <f>IFERROR(INDEX(Setup!$L$44:$L$70,MATCH(M197,Setup!$K$44:$K$70,0))&amp;"","")</f>
        <v/>
      </c>
      <c r="S197" s="108" t="str">
        <f>Setup!$C$30</f>
        <v>USD</v>
      </c>
      <c r="T197" s="109" t="str">
        <f>IFERROR(INDEX('Data Sheet'!$B$198:$B$275,MATCH(I197,'Data Sheet'!$F$198:$F$275,0)),"")</f>
        <v/>
      </c>
      <c r="U197" s="110" t="str">
        <f>IFERROR(INDEX('Data Sheet'!$D$198:$D$275,MATCH(I197,'Data Sheet'!$F$198:$F$275,0)),"")</f>
        <v/>
      </c>
      <c r="V197" s="99"/>
      <c r="W197" s="195" t="str">
        <f>IF(V197=Setup!$C$30,"Grant",IF(V197=Setup!$C$31,"Local",IF(V197=Setup!$C$32,"Other",IF(ISBLANK(V197),"","Other"))))</f>
        <v/>
      </c>
      <c r="X197" s="255"/>
      <c r="Y197" s="259" t="str">
        <f>IF(X197&lt;&gt;"",X197/VLOOKUP($V197,Setup!$C$30:$D$41,2,0),"")</f>
        <v/>
      </c>
      <c r="Z197" s="262"/>
      <c r="AA197" s="256" t="str">
        <f t="shared" ref="AA197:AA260" si="102">IFERROR(IF(AND(NOT(Z197=""),NOT(Y197="")),Z197*Y197,""),"")</f>
        <v/>
      </c>
      <c r="AB197" s="262"/>
      <c r="AC197" s="258" t="str">
        <f t="shared" ref="AC197:AC260" si="103">IFERROR(IF(AND(NOT(AB197=""),NOT(Y197="")),AB197*Y197,""),"")</f>
        <v/>
      </c>
      <c r="AD197" s="262"/>
      <c r="AE197" s="258" t="str">
        <f t="shared" ref="AE197:AE260" si="104">IFERROR(IF(AND(NOT(AD197=""),NOT(Y197="")),AD197*Y197,""),"")</f>
        <v/>
      </c>
      <c r="AF197" s="262"/>
      <c r="AG197" s="256" t="str">
        <f t="shared" ref="AG197:AG260" si="105">IFERROR(IF(AND(NOT(AF197=""),NOT(Y197="")),AF197*Y197,""),"")</f>
        <v/>
      </c>
      <c r="AH197" s="256" t="str">
        <f t="shared" ref="AH197:AH260" si="106">IFERROR(IF(OR(NOT(Z197=""),NOT(AF197=""),NOT(AB197=""),NOT(AD197="")),Z197+AF197+AB197+AD197,""),"")</f>
        <v/>
      </c>
      <c r="AI197" s="256" t="str">
        <f t="shared" ref="AI197:AI260" si="107">IF(SUM(AA197,AC197,AE197,AG197)&gt;0,SUM(AA197,AC197,AE197,AG197),"")</f>
        <v/>
      </c>
      <c r="AJ197" s="111"/>
      <c r="AK197" s="255"/>
      <c r="AL197" s="259" t="str">
        <f>IF(AK197&lt;&gt;"",AK197/VLOOKUP($V197,Setup!$C$30:$D$41,2,0),"")</f>
        <v/>
      </c>
      <c r="AM197" s="266"/>
      <c r="AN197" s="258" t="str">
        <f t="shared" ref="AN197:AN260" si="108">IFERROR(IF(AND(NOT(AM197=""),NOT(AL197="")),AM197*$AL197,""),"")</f>
        <v/>
      </c>
      <c r="AO197" s="266"/>
      <c r="AP197" s="258" t="str">
        <f t="shared" ref="AP197:AP260" si="109">IFERROR(IF(AND(NOT(AO197=""),NOT(AL197="")),AO197*$AL197,""),"")</f>
        <v/>
      </c>
      <c r="AQ197" s="266"/>
      <c r="AR197" s="258" t="str">
        <f t="shared" ref="AR197:AR260" si="110">IFERROR(IF(AND(NOT(AQ197=""),NOT(AL197="")),AQ197*$AL197,""),"")</f>
        <v/>
      </c>
      <c r="AS197" s="266"/>
      <c r="AT197" s="256" t="str">
        <f t="shared" ref="AT197:AT260" si="111">IFERROR(IF(AND(NOT(AS197=""),NOT(AL197="")),AS197*$AL197,""),"")</f>
        <v/>
      </c>
      <c r="AU197" s="256" t="str">
        <f t="shared" ref="AU197:AU260" si="112">IFERROR(IF(OR(NOT(AM197=""),NOT(AS197=""),NOT(AO197=""),NOT(AQ197="")),AM197+AS197+AO197+AQ197,""),"")</f>
        <v/>
      </c>
      <c r="AV197" s="256" t="str">
        <f t="shared" ref="AV197:AV260" si="113">IF(SUM(AN197,AT197,AP197,AR197)&gt;0,SUM(AN197,AT197,AP197,AR197),"")</f>
        <v/>
      </c>
      <c r="AW197" s="267"/>
      <c r="AX197" s="255"/>
      <c r="AY197" s="259" t="str">
        <f>IF(AX197&lt;&gt;"",AX197/VLOOKUP($V197,Setup!$C$30:$D$41,2,0),"")</f>
        <v/>
      </c>
      <c r="AZ197" s="268"/>
      <c r="BA197" s="258" t="str">
        <f t="shared" ref="BA197:BA260" si="114">IFERROR(IF(AND(NOT(AZ197=""),NOT(AY197="")),AZ197*$AY197,""),"")</f>
        <v/>
      </c>
      <c r="BB197" s="268"/>
      <c r="BC197" s="258" t="str">
        <f t="shared" ref="BC197:BC260" si="115">IFERROR(IF(AND(NOT(BB197=""),NOT(AY197="")),BB197*$AY197,""),"")</f>
        <v/>
      </c>
      <c r="BD197" s="268"/>
      <c r="BE197" s="258" t="str">
        <f t="shared" ref="BE197:BE260" si="116">IFERROR(IF(AND(NOT(BD197=""),NOT(AY197="")),BD197*$AY197,""),"")</f>
        <v/>
      </c>
      <c r="BF197" s="268"/>
      <c r="BG197" s="256" t="str">
        <f t="shared" ref="BG197:BG260" si="117">IFERROR(IF(AND(NOT(BF197=""),NOT(AY197="")),BF197*$AY197,""),"")</f>
        <v/>
      </c>
      <c r="BH197" s="256" t="str">
        <f t="shared" ref="BH197:BH260" si="118">IFERROR(IF(OR(NOT(AZ197=""),NOT(BF197=""),NOT(BB197=""),NOT(BD197="")),AZ197+BF197+BB197+BD197,""),"")</f>
        <v/>
      </c>
      <c r="BI197" s="256" t="str">
        <f t="shared" ref="BI197:BI260" si="119">IF(SUM(BA197,BG197,BC197,BE197)&gt;0,SUM(BA197,BG197,BC197,BE197),"")</f>
        <v/>
      </c>
      <c r="BJ197" s="267"/>
      <c r="BK197" s="255"/>
      <c r="BL197" s="259" t="str">
        <f>IF(BK197&lt;&gt;"",BK197/VLOOKUP($V197,Setup!$C$30:$D$41,2,0),"")</f>
        <v/>
      </c>
      <c r="BM197" s="268"/>
      <c r="BN197" s="258" t="str">
        <f t="shared" ref="BN197:BN260" si="120">IFERROR(IF(AND(NOT(BM197=""),NOT(BL197="")),BM197*$BL197,""),"")</f>
        <v/>
      </c>
      <c r="BO197" s="268"/>
      <c r="BP197" s="258" t="str">
        <f t="shared" ref="BP197:BP260" si="121">IFERROR(IF(AND(NOT(BO197=""),NOT(BL197="")),BO197*$BL197,""),"")</f>
        <v/>
      </c>
      <c r="BQ197" s="268"/>
      <c r="BR197" s="258" t="str">
        <f t="shared" ref="BR197:BR260" si="122">IFERROR(IF(AND(NOT(BQ197=""),NOT(BL197="")),BQ197*$BL197,""),"")</f>
        <v/>
      </c>
      <c r="BS197" s="268"/>
      <c r="BT197" s="256" t="str">
        <f t="shared" ref="BT197:BT260" si="123">IFERROR(IF(AND(NOT(BS197=""),NOT(BL197="")),BS197*$BL197,""),"")</f>
        <v/>
      </c>
      <c r="BU197" s="256" t="str">
        <f t="shared" ref="BU197:BU260" si="124">IFERROR(IF(OR(NOT(BM197=""),NOT(BS197=""),NOT(BO197=""),NOT(BQ197="")),BM197+BS197+BO197+BQ197,""),"")</f>
        <v/>
      </c>
      <c r="BV197" s="256" t="str">
        <f t="shared" ref="BV197:BV260" si="125">IF(SUM(BN197,BT197,BP197,BR197)&gt;0,SUM(BN197,BT197,BP197,BR197),"")</f>
        <v/>
      </c>
      <c r="BW197" s="267"/>
      <c r="BX197" s="256" t="str">
        <f t="shared" ref="BX197:BX260" si="126">IF(SUM(AH197,AU197,BH197,BU197)&gt;0,SUM(AH197,AU197,BH197,BU197),"")</f>
        <v/>
      </c>
      <c r="BY197" s="256" t="str">
        <f t="shared" ref="BY197:BY260" si="127">IF(SUM(AI197,AV197,BI197,BV197)&gt;0,SUM(AI197,AV197,BI197,BV197),"")</f>
        <v/>
      </c>
      <c r="BZ197" s="281"/>
      <c r="CA197" s="282"/>
      <c r="CC197" s="112" t="str">
        <f t="shared" ref="CC197:CC260" ca="1" si="128">IF(OR(B197="--",IFERROR(MATCH(B197,OFFSET(B$4,0,0,ROW()-1,1),0),1)&lt;&gt;1),"",1)</f>
        <v/>
      </c>
      <c r="CF197" s="284"/>
      <c r="CG197" s="284"/>
      <c r="CH197" s="284"/>
      <c r="CI197" s="284"/>
      <c r="CL197" s="356" t="str">
        <f>IFERROR(VLOOKUP(C197,'Data Sheet'!$A$3:$B$26,2,FALSE),"")</f>
        <v/>
      </c>
    </row>
    <row r="198" spans="1:90" s="98" customFormat="1" ht="15.75" x14ac:dyDescent="0.2">
      <c r="A198" s="97"/>
      <c r="B198" s="105" t="str">
        <f t="shared" si="101"/>
        <v>--</v>
      </c>
      <c r="C198" s="276"/>
      <c r="D198" s="101" t="str">
        <f>IFERROR(IF(VLOOKUP(C198,'Data Sheet'!$A$3:$D$26,4,FALSE)=0,"",VLOOKUP(C198,'Data Sheet'!$A$3:$D$26,4,FALSE)),"")</f>
        <v/>
      </c>
      <c r="E198" s="279"/>
      <c r="F198" s="103" t="str">
        <f>IFERROR(IF(VLOOKUP(E198,'Data Sheet'!$C$29:$E$174,3,FALSE)=0,"",VLOOKUP(E198,'Data Sheet'!$C$29:$E$174,3,FALSE)),"")</f>
        <v/>
      </c>
      <c r="G198" s="106" t="str">
        <f t="shared" ref="G198:G261" si="129">CONCATENATE(D198,"-",F198)</f>
        <v>-</v>
      </c>
      <c r="H198" s="273"/>
      <c r="I198" s="107"/>
      <c r="J198" s="249" t="e">
        <f t="shared" ref="J198:J261" si="130">LEFT(I198,SEARCH(".",I198,1)+1)</f>
        <v>#VALUE!</v>
      </c>
      <c r="K198" s="101" t="str">
        <f>IFERROR(INDEX('Data Sheet'!$C$198:$C$275,MATCH(I198,'Data Sheet'!$F$198:$F$275,0)),"")</f>
        <v/>
      </c>
      <c r="L198" s="250" t="str">
        <f>IFERROR(INDEX('Data Sheet'!$G$198:$G$275,MATCH(I198,'Data Sheet'!$F$198:$F$275,0)),"")</f>
        <v/>
      </c>
      <c r="M198" s="194"/>
      <c r="N198" s="248"/>
      <c r="O198" s="248"/>
      <c r="P198" s="108" t="str">
        <f>IFERROR(INDEX(Setup!$D$44:$D$70,MATCH(M198,Setup!$K$44:$K$70,0))&amp;"","")</f>
        <v/>
      </c>
      <c r="Q198" s="108" t="str">
        <f>IFERROR(INDEX(Setup!$E$44:$E$70,MATCH(M198,Setup!$K$44:$K$70,0))&amp;"","")</f>
        <v/>
      </c>
      <c r="R198" s="108" t="str">
        <f>IFERROR(INDEX(Setup!$L$44:$L$70,MATCH(M198,Setup!$K$44:$K$70,0))&amp;"","")</f>
        <v/>
      </c>
      <c r="S198" s="108" t="str">
        <f>Setup!$C$30</f>
        <v>USD</v>
      </c>
      <c r="T198" s="109" t="str">
        <f>IFERROR(INDEX('Data Sheet'!$B$198:$B$275,MATCH(I198,'Data Sheet'!$F$198:$F$275,0)),"")</f>
        <v/>
      </c>
      <c r="U198" s="110" t="str">
        <f>IFERROR(INDEX('Data Sheet'!$D$198:$D$275,MATCH(I198,'Data Sheet'!$F$198:$F$275,0)),"")</f>
        <v/>
      </c>
      <c r="V198" s="99"/>
      <c r="W198" s="195" t="str">
        <f>IF(V198=Setup!$C$30,"Grant",IF(V198=Setup!$C$31,"Local",IF(V198=Setup!$C$32,"Other",IF(ISBLANK(V198),"","Other"))))</f>
        <v/>
      </c>
      <c r="X198" s="255"/>
      <c r="Y198" s="259" t="str">
        <f>IF(X198&lt;&gt;"",X198/VLOOKUP($V198,Setup!$C$30:$D$41,2,0),"")</f>
        <v/>
      </c>
      <c r="Z198" s="262"/>
      <c r="AA198" s="256" t="str">
        <f t="shared" si="102"/>
        <v/>
      </c>
      <c r="AB198" s="262"/>
      <c r="AC198" s="258" t="str">
        <f t="shared" si="103"/>
        <v/>
      </c>
      <c r="AD198" s="262"/>
      <c r="AE198" s="258" t="str">
        <f t="shared" si="104"/>
        <v/>
      </c>
      <c r="AF198" s="262"/>
      <c r="AG198" s="256" t="str">
        <f t="shared" si="105"/>
        <v/>
      </c>
      <c r="AH198" s="256" t="str">
        <f t="shared" si="106"/>
        <v/>
      </c>
      <c r="AI198" s="256" t="str">
        <f t="shared" si="107"/>
        <v/>
      </c>
      <c r="AJ198" s="111"/>
      <c r="AK198" s="255"/>
      <c r="AL198" s="259" t="str">
        <f>IF(AK198&lt;&gt;"",AK198/VLOOKUP($V198,Setup!$C$30:$D$41,2,0),"")</f>
        <v/>
      </c>
      <c r="AM198" s="266"/>
      <c r="AN198" s="258" t="str">
        <f t="shared" si="108"/>
        <v/>
      </c>
      <c r="AO198" s="266"/>
      <c r="AP198" s="258" t="str">
        <f t="shared" si="109"/>
        <v/>
      </c>
      <c r="AQ198" s="266"/>
      <c r="AR198" s="258" t="str">
        <f t="shared" si="110"/>
        <v/>
      </c>
      <c r="AS198" s="266"/>
      <c r="AT198" s="256" t="str">
        <f t="shared" si="111"/>
        <v/>
      </c>
      <c r="AU198" s="256" t="str">
        <f t="shared" si="112"/>
        <v/>
      </c>
      <c r="AV198" s="256" t="str">
        <f t="shared" si="113"/>
        <v/>
      </c>
      <c r="AW198" s="267"/>
      <c r="AX198" s="255"/>
      <c r="AY198" s="259" t="str">
        <f>IF(AX198&lt;&gt;"",AX198/VLOOKUP($V198,Setup!$C$30:$D$41,2,0),"")</f>
        <v/>
      </c>
      <c r="AZ198" s="268"/>
      <c r="BA198" s="258" t="str">
        <f t="shared" si="114"/>
        <v/>
      </c>
      <c r="BB198" s="268"/>
      <c r="BC198" s="258" t="str">
        <f t="shared" si="115"/>
        <v/>
      </c>
      <c r="BD198" s="268"/>
      <c r="BE198" s="258" t="str">
        <f t="shared" si="116"/>
        <v/>
      </c>
      <c r="BF198" s="268"/>
      <c r="BG198" s="256" t="str">
        <f t="shared" si="117"/>
        <v/>
      </c>
      <c r="BH198" s="256" t="str">
        <f t="shared" si="118"/>
        <v/>
      </c>
      <c r="BI198" s="256" t="str">
        <f t="shared" si="119"/>
        <v/>
      </c>
      <c r="BJ198" s="267"/>
      <c r="BK198" s="255"/>
      <c r="BL198" s="259" t="str">
        <f>IF(BK198&lt;&gt;"",BK198/VLOOKUP($V198,Setup!$C$30:$D$41,2,0),"")</f>
        <v/>
      </c>
      <c r="BM198" s="268"/>
      <c r="BN198" s="258" t="str">
        <f t="shared" si="120"/>
        <v/>
      </c>
      <c r="BO198" s="268"/>
      <c r="BP198" s="258" t="str">
        <f t="shared" si="121"/>
        <v/>
      </c>
      <c r="BQ198" s="268"/>
      <c r="BR198" s="258" t="str">
        <f t="shared" si="122"/>
        <v/>
      </c>
      <c r="BS198" s="268"/>
      <c r="BT198" s="256" t="str">
        <f t="shared" si="123"/>
        <v/>
      </c>
      <c r="BU198" s="256" t="str">
        <f t="shared" si="124"/>
        <v/>
      </c>
      <c r="BV198" s="256" t="str">
        <f t="shared" si="125"/>
        <v/>
      </c>
      <c r="BW198" s="267"/>
      <c r="BX198" s="256" t="str">
        <f t="shared" si="126"/>
        <v/>
      </c>
      <c r="BY198" s="256" t="str">
        <f t="shared" si="127"/>
        <v/>
      </c>
      <c r="BZ198" s="281"/>
      <c r="CA198" s="282"/>
      <c r="CC198" s="112" t="str">
        <f t="shared" ca="1" si="128"/>
        <v/>
      </c>
      <c r="CF198" s="284"/>
      <c r="CG198" s="284"/>
      <c r="CH198" s="284"/>
      <c r="CI198" s="284"/>
      <c r="CL198" s="356" t="str">
        <f>IFERROR(VLOOKUP(C198,'Data Sheet'!$A$3:$B$26,2,FALSE),"")</f>
        <v/>
      </c>
    </row>
    <row r="199" spans="1:90" s="98" customFormat="1" ht="15.75" x14ac:dyDescent="0.2">
      <c r="A199" s="97"/>
      <c r="B199" s="105" t="str">
        <f t="shared" si="101"/>
        <v>--</v>
      </c>
      <c r="C199" s="276"/>
      <c r="D199" s="101" t="str">
        <f>IFERROR(IF(VLOOKUP(C199,'Data Sheet'!$A$3:$D$26,4,FALSE)=0,"",VLOOKUP(C199,'Data Sheet'!$A$3:$D$26,4,FALSE)),"")</f>
        <v/>
      </c>
      <c r="E199" s="279"/>
      <c r="F199" s="103" t="str">
        <f>IFERROR(IF(VLOOKUP(E199,'Data Sheet'!$C$29:$E$174,3,FALSE)=0,"",VLOOKUP(E199,'Data Sheet'!$C$29:$E$174,3,FALSE)),"")</f>
        <v/>
      </c>
      <c r="G199" s="106" t="str">
        <f t="shared" si="129"/>
        <v>-</v>
      </c>
      <c r="H199" s="273"/>
      <c r="I199" s="107"/>
      <c r="J199" s="249" t="e">
        <f t="shared" si="130"/>
        <v>#VALUE!</v>
      </c>
      <c r="K199" s="101" t="str">
        <f>IFERROR(INDEX('Data Sheet'!$C$198:$C$275,MATCH(I199,'Data Sheet'!$F$198:$F$275,0)),"")</f>
        <v/>
      </c>
      <c r="L199" s="250" t="str">
        <f>IFERROR(INDEX('Data Sheet'!$G$198:$G$275,MATCH(I199,'Data Sheet'!$F$198:$F$275,0)),"")</f>
        <v/>
      </c>
      <c r="M199" s="194"/>
      <c r="N199" s="248"/>
      <c r="O199" s="248"/>
      <c r="P199" s="108" t="str">
        <f>IFERROR(INDEX(Setup!$D$44:$D$70,MATCH(M199,Setup!$K$44:$K$70,0))&amp;"","")</f>
        <v/>
      </c>
      <c r="Q199" s="108" t="str">
        <f>IFERROR(INDEX(Setup!$E$44:$E$70,MATCH(M199,Setup!$K$44:$K$70,0))&amp;"","")</f>
        <v/>
      </c>
      <c r="R199" s="108" t="str">
        <f>IFERROR(INDEX(Setup!$L$44:$L$70,MATCH(M199,Setup!$K$44:$K$70,0))&amp;"","")</f>
        <v/>
      </c>
      <c r="S199" s="108" t="str">
        <f>Setup!$C$30</f>
        <v>USD</v>
      </c>
      <c r="T199" s="109" t="str">
        <f>IFERROR(INDEX('Data Sheet'!$B$198:$B$275,MATCH(I199,'Data Sheet'!$F$198:$F$275,0)),"")</f>
        <v/>
      </c>
      <c r="U199" s="110" t="str">
        <f>IFERROR(INDEX('Data Sheet'!$D$198:$D$275,MATCH(I199,'Data Sheet'!$F$198:$F$275,0)),"")</f>
        <v/>
      </c>
      <c r="V199" s="99"/>
      <c r="W199" s="195" t="str">
        <f>IF(V199=Setup!$C$30,"Grant",IF(V199=Setup!$C$31,"Local",IF(V199=Setup!$C$32,"Other",IF(ISBLANK(V199),"","Other"))))</f>
        <v/>
      </c>
      <c r="X199" s="255"/>
      <c r="Y199" s="259" t="str">
        <f>IF(X199&lt;&gt;"",X199/VLOOKUP($V199,Setup!$C$30:$D$41,2,0),"")</f>
        <v/>
      </c>
      <c r="Z199" s="262"/>
      <c r="AA199" s="256" t="str">
        <f t="shared" si="102"/>
        <v/>
      </c>
      <c r="AB199" s="262"/>
      <c r="AC199" s="258" t="str">
        <f t="shared" si="103"/>
        <v/>
      </c>
      <c r="AD199" s="262"/>
      <c r="AE199" s="258" t="str">
        <f t="shared" si="104"/>
        <v/>
      </c>
      <c r="AF199" s="262"/>
      <c r="AG199" s="256" t="str">
        <f t="shared" si="105"/>
        <v/>
      </c>
      <c r="AH199" s="256" t="str">
        <f t="shared" si="106"/>
        <v/>
      </c>
      <c r="AI199" s="256" t="str">
        <f t="shared" si="107"/>
        <v/>
      </c>
      <c r="AJ199" s="111"/>
      <c r="AK199" s="255"/>
      <c r="AL199" s="259" t="str">
        <f>IF(AK199&lt;&gt;"",AK199/VLOOKUP($V199,Setup!$C$30:$D$41,2,0),"")</f>
        <v/>
      </c>
      <c r="AM199" s="266"/>
      <c r="AN199" s="258" t="str">
        <f t="shared" si="108"/>
        <v/>
      </c>
      <c r="AO199" s="266"/>
      <c r="AP199" s="258" t="str">
        <f t="shared" si="109"/>
        <v/>
      </c>
      <c r="AQ199" s="266"/>
      <c r="AR199" s="258" t="str">
        <f t="shared" si="110"/>
        <v/>
      </c>
      <c r="AS199" s="266"/>
      <c r="AT199" s="256" t="str">
        <f t="shared" si="111"/>
        <v/>
      </c>
      <c r="AU199" s="256" t="str">
        <f t="shared" si="112"/>
        <v/>
      </c>
      <c r="AV199" s="256" t="str">
        <f t="shared" si="113"/>
        <v/>
      </c>
      <c r="AW199" s="267"/>
      <c r="AX199" s="255"/>
      <c r="AY199" s="259" t="str">
        <f>IF(AX199&lt;&gt;"",AX199/VLOOKUP($V199,Setup!$C$30:$D$41,2,0),"")</f>
        <v/>
      </c>
      <c r="AZ199" s="268"/>
      <c r="BA199" s="258" t="str">
        <f t="shared" si="114"/>
        <v/>
      </c>
      <c r="BB199" s="268"/>
      <c r="BC199" s="258" t="str">
        <f t="shared" si="115"/>
        <v/>
      </c>
      <c r="BD199" s="268"/>
      <c r="BE199" s="258" t="str">
        <f t="shared" si="116"/>
        <v/>
      </c>
      <c r="BF199" s="268"/>
      <c r="BG199" s="256" t="str">
        <f t="shared" si="117"/>
        <v/>
      </c>
      <c r="BH199" s="256" t="str">
        <f t="shared" si="118"/>
        <v/>
      </c>
      <c r="BI199" s="256" t="str">
        <f t="shared" si="119"/>
        <v/>
      </c>
      <c r="BJ199" s="267"/>
      <c r="BK199" s="255"/>
      <c r="BL199" s="259" t="str">
        <f>IF(BK199&lt;&gt;"",BK199/VLOOKUP($V199,Setup!$C$30:$D$41,2,0),"")</f>
        <v/>
      </c>
      <c r="BM199" s="268"/>
      <c r="BN199" s="258" t="str">
        <f t="shared" si="120"/>
        <v/>
      </c>
      <c r="BO199" s="268"/>
      <c r="BP199" s="258" t="str">
        <f t="shared" si="121"/>
        <v/>
      </c>
      <c r="BQ199" s="268"/>
      <c r="BR199" s="258" t="str">
        <f t="shared" si="122"/>
        <v/>
      </c>
      <c r="BS199" s="268"/>
      <c r="BT199" s="256" t="str">
        <f t="shared" si="123"/>
        <v/>
      </c>
      <c r="BU199" s="256" t="str">
        <f t="shared" si="124"/>
        <v/>
      </c>
      <c r="BV199" s="256" t="str">
        <f t="shared" si="125"/>
        <v/>
      </c>
      <c r="BW199" s="267"/>
      <c r="BX199" s="256" t="str">
        <f t="shared" si="126"/>
        <v/>
      </c>
      <c r="BY199" s="256" t="str">
        <f t="shared" si="127"/>
        <v/>
      </c>
      <c r="BZ199" s="281"/>
      <c r="CA199" s="282"/>
      <c r="CC199" s="112" t="str">
        <f t="shared" ca="1" si="128"/>
        <v/>
      </c>
      <c r="CF199" s="284"/>
      <c r="CG199" s="284"/>
      <c r="CH199" s="284"/>
      <c r="CI199" s="284"/>
      <c r="CL199" s="356" t="str">
        <f>IFERROR(VLOOKUP(C199,'Data Sheet'!$A$3:$B$26,2,FALSE),"")</f>
        <v/>
      </c>
    </row>
    <row r="200" spans="1:90" s="98" customFormat="1" ht="15.75" x14ac:dyDescent="0.2">
      <c r="A200" s="97"/>
      <c r="B200" s="105" t="str">
        <f t="shared" si="101"/>
        <v>--</v>
      </c>
      <c r="C200" s="276"/>
      <c r="D200" s="101" t="str">
        <f>IFERROR(IF(VLOOKUP(C200,'Data Sheet'!$A$3:$D$26,4,FALSE)=0,"",VLOOKUP(C200,'Data Sheet'!$A$3:$D$26,4,FALSE)),"")</f>
        <v/>
      </c>
      <c r="E200" s="279"/>
      <c r="F200" s="103" t="str">
        <f>IFERROR(IF(VLOOKUP(E200,'Data Sheet'!$C$29:$E$174,3,FALSE)=0,"",VLOOKUP(E200,'Data Sheet'!$C$29:$E$174,3,FALSE)),"")</f>
        <v/>
      </c>
      <c r="G200" s="106" t="str">
        <f t="shared" si="129"/>
        <v>-</v>
      </c>
      <c r="H200" s="273"/>
      <c r="I200" s="107"/>
      <c r="J200" s="249" t="e">
        <f t="shared" si="130"/>
        <v>#VALUE!</v>
      </c>
      <c r="K200" s="101" t="str">
        <f>IFERROR(INDEX('Data Sheet'!$C$198:$C$275,MATCH(I200,'Data Sheet'!$F$198:$F$275,0)),"")</f>
        <v/>
      </c>
      <c r="L200" s="250" t="str">
        <f>IFERROR(INDEX('Data Sheet'!$G$198:$G$275,MATCH(I200,'Data Sheet'!$F$198:$F$275,0)),"")</f>
        <v/>
      </c>
      <c r="M200" s="194"/>
      <c r="N200" s="248"/>
      <c r="O200" s="248"/>
      <c r="P200" s="108" t="str">
        <f>IFERROR(INDEX(Setup!$D$44:$D$70,MATCH(M200,Setup!$K$44:$K$70,0))&amp;"","")</f>
        <v/>
      </c>
      <c r="Q200" s="108" t="str">
        <f>IFERROR(INDEX(Setup!$E$44:$E$70,MATCH(M200,Setup!$K$44:$K$70,0))&amp;"","")</f>
        <v/>
      </c>
      <c r="R200" s="108" t="str">
        <f>IFERROR(INDEX(Setup!$L$44:$L$70,MATCH(M200,Setup!$K$44:$K$70,0))&amp;"","")</f>
        <v/>
      </c>
      <c r="S200" s="108" t="str">
        <f>Setup!$C$30</f>
        <v>USD</v>
      </c>
      <c r="T200" s="109" t="str">
        <f>IFERROR(INDEX('Data Sheet'!$B$198:$B$275,MATCH(I200,'Data Sheet'!$F$198:$F$275,0)),"")</f>
        <v/>
      </c>
      <c r="U200" s="110" t="str">
        <f>IFERROR(INDEX('Data Sheet'!$D$198:$D$275,MATCH(I200,'Data Sheet'!$F$198:$F$275,0)),"")</f>
        <v/>
      </c>
      <c r="V200" s="99"/>
      <c r="W200" s="195" t="str">
        <f>IF(V200=Setup!$C$30,"Grant",IF(V200=Setup!$C$31,"Local",IF(V200=Setup!$C$32,"Other",IF(ISBLANK(V200),"","Other"))))</f>
        <v/>
      </c>
      <c r="X200" s="255"/>
      <c r="Y200" s="259" t="str">
        <f>IF(X200&lt;&gt;"",X200/VLOOKUP($V200,Setup!$C$30:$D$41,2,0),"")</f>
        <v/>
      </c>
      <c r="Z200" s="262"/>
      <c r="AA200" s="256" t="str">
        <f t="shared" si="102"/>
        <v/>
      </c>
      <c r="AB200" s="262"/>
      <c r="AC200" s="258" t="str">
        <f t="shared" si="103"/>
        <v/>
      </c>
      <c r="AD200" s="262"/>
      <c r="AE200" s="258" t="str">
        <f t="shared" si="104"/>
        <v/>
      </c>
      <c r="AF200" s="262"/>
      <c r="AG200" s="256" t="str">
        <f t="shared" si="105"/>
        <v/>
      </c>
      <c r="AH200" s="256" t="str">
        <f t="shared" si="106"/>
        <v/>
      </c>
      <c r="AI200" s="256" t="str">
        <f t="shared" si="107"/>
        <v/>
      </c>
      <c r="AJ200" s="111"/>
      <c r="AK200" s="255"/>
      <c r="AL200" s="259" t="str">
        <f>IF(AK200&lt;&gt;"",AK200/VLOOKUP($V200,Setup!$C$30:$D$41,2,0),"")</f>
        <v/>
      </c>
      <c r="AM200" s="266"/>
      <c r="AN200" s="258" t="str">
        <f t="shared" si="108"/>
        <v/>
      </c>
      <c r="AO200" s="266"/>
      <c r="AP200" s="258" t="str">
        <f t="shared" si="109"/>
        <v/>
      </c>
      <c r="AQ200" s="266"/>
      <c r="AR200" s="258" t="str">
        <f t="shared" si="110"/>
        <v/>
      </c>
      <c r="AS200" s="266"/>
      <c r="AT200" s="256" t="str">
        <f t="shared" si="111"/>
        <v/>
      </c>
      <c r="AU200" s="256" t="str">
        <f t="shared" si="112"/>
        <v/>
      </c>
      <c r="AV200" s="256" t="str">
        <f t="shared" si="113"/>
        <v/>
      </c>
      <c r="AW200" s="267"/>
      <c r="AX200" s="255"/>
      <c r="AY200" s="259" t="str">
        <f>IF(AX200&lt;&gt;"",AX200/VLOOKUP($V200,Setup!$C$30:$D$41,2,0),"")</f>
        <v/>
      </c>
      <c r="AZ200" s="268"/>
      <c r="BA200" s="258" t="str">
        <f t="shared" si="114"/>
        <v/>
      </c>
      <c r="BB200" s="268"/>
      <c r="BC200" s="258" t="str">
        <f t="shared" si="115"/>
        <v/>
      </c>
      <c r="BD200" s="268"/>
      <c r="BE200" s="258" t="str">
        <f t="shared" si="116"/>
        <v/>
      </c>
      <c r="BF200" s="268"/>
      <c r="BG200" s="256" t="str">
        <f t="shared" si="117"/>
        <v/>
      </c>
      <c r="BH200" s="256" t="str">
        <f t="shared" si="118"/>
        <v/>
      </c>
      <c r="BI200" s="256" t="str">
        <f t="shared" si="119"/>
        <v/>
      </c>
      <c r="BJ200" s="267"/>
      <c r="BK200" s="255"/>
      <c r="BL200" s="259" t="str">
        <f>IF(BK200&lt;&gt;"",BK200/VLOOKUP($V200,Setup!$C$30:$D$41,2,0),"")</f>
        <v/>
      </c>
      <c r="BM200" s="268"/>
      <c r="BN200" s="258" t="str">
        <f t="shared" si="120"/>
        <v/>
      </c>
      <c r="BO200" s="268"/>
      <c r="BP200" s="258" t="str">
        <f t="shared" si="121"/>
        <v/>
      </c>
      <c r="BQ200" s="268"/>
      <c r="BR200" s="258" t="str">
        <f t="shared" si="122"/>
        <v/>
      </c>
      <c r="BS200" s="268"/>
      <c r="BT200" s="256" t="str">
        <f t="shared" si="123"/>
        <v/>
      </c>
      <c r="BU200" s="256" t="str">
        <f t="shared" si="124"/>
        <v/>
      </c>
      <c r="BV200" s="256" t="str">
        <f t="shared" si="125"/>
        <v/>
      </c>
      <c r="BW200" s="267"/>
      <c r="BX200" s="256" t="str">
        <f t="shared" si="126"/>
        <v/>
      </c>
      <c r="BY200" s="256" t="str">
        <f t="shared" si="127"/>
        <v/>
      </c>
      <c r="BZ200" s="281"/>
      <c r="CA200" s="282"/>
      <c r="CC200" s="112" t="str">
        <f t="shared" ca="1" si="128"/>
        <v/>
      </c>
      <c r="CF200" s="284"/>
      <c r="CG200" s="284"/>
      <c r="CH200" s="284"/>
      <c r="CI200" s="284"/>
      <c r="CL200" s="356" t="str">
        <f>IFERROR(VLOOKUP(C200,'Data Sheet'!$A$3:$B$26,2,FALSE),"")</f>
        <v/>
      </c>
    </row>
    <row r="201" spans="1:90" s="98" customFormat="1" ht="15.75" x14ac:dyDescent="0.2">
      <c r="A201" s="97"/>
      <c r="B201" s="105" t="str">
        <f t="shared" si="101"/>
        <v>--</v>
      </c>
      <c r="C201" s="276"/>
      <c r="D201" s="101" t="str">
        <f>IFERROR(IF(VLOOKUP(C201,'Data Sheet'!$A$3:$D$26,4,FALSE)=0,"",VLOOKUP(C201,'Data Sheet'!$A$3:$D$26,4,FALSE)),"")</f>
        <v/>
      </c>
      <c r="E201" s="279"/>
      <c r="F201" s="103" t="str">
        <f>IFERROR(IF(VLOOKUP(E201,'Data Sheet'!$C$29:$E$174,3,FALSE)=0,"",VLOOKUP(E201,'Data Sheet'!$C$29:$E$174,3,FALSE)),"")</f>
        <v/>
      </c>
      <c r="G201" s="106" t="str">
        <f t="shared" si="129"/>
        <v>-</v>
      </c>
      <c r="H201" s="273"/>
      <c r="I201" s="107"/>
      <c r="J201" s="249" t="e">
        <f t="shared" si="130"/>
        <v>#VALUE!</v>
      </c>
      <c r="K201" s="101" t="str">
        <f>IFERROR(INDEX('Data Sheet'!$C$198:$C$275,MATCH(I201,'Data Sheet'!$F$198:$F$275,0)),"")</f>
        <v/>
      </c>
      <c r="L201" s="250" t="str">
        <f>IFERROR(INDEX('Data Sheet'!$G$198:$G$275,MATCH(I201,'Data Sheet'!$F$198:$F$275,0)),"")</f>
        <v/>
      </c>
      <c r="M201" s="194"/>
      <c r="N201" s="248"/>
      <c r="O201" s="248"/>
      <c r="P201" s="108" t="str">
        <f>IFERROR(INDEX(Setup!$D$44:$D$70,MATCH(M201,Setup!$K$44:$K$70,0))&amp;"","")</f>
        <v/>
      </c>
      <c r="Q201" s="108" t="str">
        <f>IFERROR(INDEX(Setup!$E$44:$E$70,MATCH(M201,Setup!$K$44:$K$70,0))&amp;"","")</f>
        <v/>
      </c>
      <c r="R201" s="108" t="str">
        <f>IFERROR(INDEX(Setup!$L$44:$L$70,MATCH(M201,Setup!$K$44:$K$70,0))&amp;"","")</f>
        <v/>
      </c>
      <c r="S201" s="108" t="str">
        <f>Setup!$C$30</f>
        <v>USD</v>
      </c>
      <c r="T201" s="109" t="str">
        <f>IFERROR(INDEX('Data Sheet'!$B$198:$B$275,MATCH(I201,'Data Sheet'!$F$198:$F$275,0)),"")</f>
        <v/>
      </c>
      <c r="U201" s="110" t="str">
        <f>IFERROR(INDEX('Data Sheet'!$D$198:$D$275,MATCH(I201,'Data Sheet'!$F$198:$F$275,0)),"")</f>
        <v/>
      </c>
      <c r="V201" s="99"/>
      <c r="W201" s="195" t="str">
        <f>IF(V201=Setup!$C$30,"Grant",IF(V201=Setup!$C$31,"Local",IF(V201=Setup!$C$32,"Other",IF(ISBLANK(V201),"","Other"))))</f>
        <v/>
      </c>
      <c r="X201" s="255"/>
      <c r="Y201" s="259" t="str">
        <f>IF(X201&lt;&gt;"",X201/VLOOKUP($V201,Setup!$C$30:$D$41,2,0),"")</f>
        <v/>
      </c>
      <c r="Z201" s="262"/>
      <c r="AA201" s="256" t="str">
        <f t="shared" si="102"/>
        <v/>
      </c>
      <c r="AB201" s="262"/>
      <c r="AC201" s="258" t="str">
        <f t="shared" si="103"/>
        <v/>
      </c>
      <c r="AD201" s="262"/>
      <c r="AE201" s="258" t="str">
        <f t="shared" si="104"/>
        <v/>
      </c>
      <c r="AF201" s="262"/>
      <c r="AG201" s="256" t="str">
        <f t="shared" si="105"/>
        <v/>
      </c>
      <c r="AH201" s="256" t="str">
        <f t="shared" si="106"/>
        <v/>
      </c>
      <c r="AI201" s="256" t="str">
        <f t="shared" si="107"/>
        <v/>
      </c>
      <c r="AJ201" s="111"/>
      <c r="AK201" s="255"/>
      <c r="AL201" s="259" t="str">
        <f>IF(AK201&lt;&gt;"",AK201/VLOOKUP($V201,Setup!$C$30:$D$41,2,0),"")</f>
        <v/>
      </c>
      <c r="AM201" s="266"/>
      <c r="AN201" s="258" t="str">
        <f t="shared" si="108"/>
        <v/>
      </c>
      <c r="AO201" s="266"/>
      <c r="AP201" s="258" t="str">
        <f t="shared" si="109"/>
        <v/>
      </c>
      <c r="AQ201" s="266"/>
      <c r="AR201" s="258" t="str">
        <f t="shared" si="110"/>
        <v/>
      </c>
      <c r="AS201" s="266"/>
      <c r="AT201" s="256" t="str">
        <f t="shared" si="111"/>
        <v/>
      </c>
      <c r="AU201" s="256" t="str">
        <f t="shared" si="112"/>
        <v/>
      </c>
      <c r="AV201" s="256" t="str">
        <f t="shared" si="113"/>
        <v/>
      </c>
      <c r="AW201" s="267"/>
      <c r="AX201" s="255"/>
      <c r="AY201" s="259" t="str">
        <f>IF(AX201&lt;&gt;"",AX201/VLOOKUP($V201,Setup!$C$30:$D$41,2,0),"")</f>
        <v/>
      </c>
      <c r="AZ201" s="268"/>
      <c r="BA201" s="258" t="str">
        <f t="shared" si="114"/>
        <v/>
      </c>
      <c r="BB201" s="268"/>
      <c r="BC201" s="258" t="str">
        <f t="shared" si="115"/>
        <v/>
      </c>
      <c r="BD201" s="268"/>
      <c r="BE201" s="258" t="str">
        <f t="shared" si="116"/>
        <v/>
      </c>
      <c r="BF201" s="268"/>
      <c r="BG201" s="256" t="str">
        <f t="shared" si="117"/>
        <v/>
      </c>
      <c r="BH201" s="256" t="str">
        <f t="shared" si="118"/>
        <v/>
      </c>
      <c r="BI201" s="256" t="str">
        <f t="shared" si="119"/>
        <v/>
      </c>
      <c r="BJ201" s="267"/>
      <c r="BK201" s="255"/>
      <c r="BL201" s="259" t="str">
        <f>IF(BK201&lt;&gt;"",BK201/VLOOKUP($V201,Setup!$C$30:$D$41,2,0),"")</f>
        <v/>
      </c>
      <c r="BM201" s="268"/>
      <c r="BN201" s="258" t="str">
        <f t="shared" si="120"/>
        <v/>
      </c>
      <c r="BO201" s="268"/>
      <c r="BP201" s="258" t="str">
        <f t="shared" si="121"/>
        <v/>
      </c>
      <c r="BQ201" s="268"/>
      <c r="BR201" s="258" t="str">
        <f t="shared" si="122"/>
        <v/>
      </c>
      <c r="BS201" s="268"/>
      <c r="BT201" s="256" t="str">
        <f t="shared" si="123"/>
        <v/>
      </c>
      <c r="BU201" s="256" t="str">
        <f t="shared" si="124"/>
        <v/>
      </c>
      <c r="BV201" s="256" t="str">
        <f t="shared" si="125"/>
        <v/>
      </c>
      <c r="BW201" s="267"/>
      <c r="BX201" s="256" t="str">
        <f t="shared" si="126"/>
        <v/>
      </c>
      <c r="BY201" s="256" t="str">
        <f t="shared" si="127"/>
        <v/>
      </c>
      <c r="BZ201" s="281"/>
      <c r="CA201" s="282"/>
      <c r="CC201" s="112" t="str">
        <f t="shared" ca="1" si="128"/>
        <v/>
      </c>
      <c r="CF201" s="284"/>
      <c r="CG201" s="284"/>
      <c r="CH201" s="284"/>
      <c r="CI201" s="284"/>
      <c r="CL201" s="356" t="str">
        <f>IFERROR(VLOOKUP(C201,'Data Sheet'!$A$3:$B$26,2,FALSE),"")</f>
        <v/>
      </c>
    </row>
    <row r="202" spans="1:90" s="98" customFormat="1" ht="15.75" x14ac:dyDescent="0.2">
      <c r="A202" s="97"/>
      <c r="B202" s="105" t="str">
        <f t="shared" si="101"/>
        <v>--</v>
      </c>
      <c r="C202" s="276"/>
      <c r="D202" s="101" t="str">
        <f>IFERROR(IF(VLOOKUP(C202,'Data Sheet'!$A$3:$D$26,4,FALSE)=0,"",VLOOKUP(C202,'Data Sheet'!$A$3:$D$26,4,FALSE)),"")</f>
        <v/>
      </c>
      <c r="E202" s="279"/>
      <c r="F202" s="103" t="str">
        <f>IFERROR(IF(VLOOKUP(E202,'Data Sheet'!$C$29:$E$174,3,FALSE)=0,"",VLOOKUP(E202,'Data Sheet'!$C$29:$E$174,3,FALSE)),"")</f>
        <v/>
      </c>
      <c r="G202" s="106" t="str">
        <f t="shared" si="129"/>
        <v>-</v>
      </c>
      <c r="H202" s="273"/>
      <c r="I202" s="107"/>
      <c r="J202" s="249" t="e">
        <f t="shared" si="130"/>
        <v>#VALUE!</v>
      </c>
      <c r="K202" s="101" t="str">
        <f>IFERROR(INDEX('Data Sheet'!$C$198:$C$275,MATCH(I202,'Data Sheet'!$F$198:$F$275,0)),"")</f>
        <v/>
      </c>
      <c r="L202" s="250" t="str">
        <f>IFERROR(INDEX('Data Sheet'!$G$198:$G$275,MATCH(I202,'Data Sheet'!$F$198:$F$275,0)),"")</f>
        <v/>
      </c>
      <c r="M202" s="194"/>
      <c r="N202" s="248"/>
      <c r="O202" s="248"/>
      <c r="P202" s="108" t="str">
        <f>IFERROR(INDEX(Setup!$D$44:$D$70,MATCH(M202,Setup!$K$44:$K$70,0))&amp;"","")</f>
        <v/>
      </c>
      <c r="Q202" s="108" t="str">
        <f>IFERROR(INDEX(Setup!$E$44:$E$70,MATCH(M202,Setup!$K$44:$K$70,0))&amp;"","")</f>
        <v/>
      </c>
      <c r="R202" s="108" t="str">
        <f>IFERROR(INDEX(Setup!$L$44:$L$70,MATCH(M202,Setup!$K$44:$K$70,0))&amp;"","")</f>
        <v/>
      </c>
      <c r="S202" s="108" t="str">
        <f>Setup!$C$30</f>
        <v>USD</v>
      </c>
      <c r="T202" s="109" t="str">
        <f>IFERROR(INDEX('Data Sheet'!$B$198:$B$275,MATCH(I202,'Data Sheet'!$F$198:$F$275,0)),"")</f>
        <v/>
      </c>
      <c r="U202" s="110" t="str">
        <f>IFERROR(INDEX('Data Sheet'!$D$198:$D$275,MATCH(I202,'Data Sheet'!$F$198:$F$275,0)),"")</f>
        <v/>
      </c>
      <c r="V202" s="99"/>
      <c r="W202" s="195" t="str">
        <f>IF(V202=Setup!$C$30,"Grant",IF(V202=Setup!$C$31,"Local",IF(V202=Setup!$C$32,"Other",IF(ISBLANK(V202),"","Other"))))</f>
        <v/>
      </c>
      <c r="X202" s="255"/>
      <c r="Y202" s="259" t="str">
        <f>IF(X202&lt;&gt;"",X202/VLOOKUP($V202,Setup!$C$30:$D$41,2,0),"")</f>
        <v/>
      </c>
      <c r="Z202" s="262"/>
      <c r="AA202" s="256" t="str">
        <f t="shared" si="102"/>
        <v/>
      </c>
      <c r="AB202" s="262"/>
      <c r="AC202" s="258" t="str">
        <f t="shared" si="103"/>
        <v/>
      </c>
      <c r="AD202" s="262"/>
      <c r="AE202" s="258" t="str">
        <f t="shared" si="104"/>
        <v/>
      </c>
      <c r="AF202" s="262"/>
      <c r="AG202" s="256" t="str">
        <f t="shared" si="105"/>
        <v/>
      </c>
      <c r="AH202" s="256" t="str">
        <f t="shared" si="106"/>
        <v/>
      </c>
      <c r="AI202" s="256" t="str">
        <f t="shared" si="107"/>
        <v/>
      </c>
      <c r="AJ202" s="111"/>
      <c r="AK202" s="255"/>
      <c r="AL202" s="259" t="str">
        <f>IF(AK202&lt;&gt;"",AK202/VLOOKUP($V202,Setup!$C$30:$D$41,2,0),"")</f>
        <v/>
      </c>
      <c r="AM202" s="266"/>
      <c r="AN202" s="258" t="str">
        <f t="shared" si="108"/>
        <v/>
      </c>
      <c r="AO202" s="266"/>
      <c r="AP202" s="258" t="str">
        <f t="shared" si="109"/>
        <v/>
      </c>
      <c r="AQ202" s="266"/>
      <c r="AR202" s="258" t="str">
        <f t="shared" si="110"/>
        <v/>
      </c>
      <c r="AS202" s="266"/>
      <c r="AT202" s="256" t="str">
        <f t="shared" si="111"/>
        <v/>
      </c>
      <c r="AU202" s="256" t="str">
        <f t="shared" si="112"/>
        <v/>
      </c>
      <c r="AV202" s="256" t="str">
        <f t="shared" si="113"/>
        <v/>
      </c>
      <c r="AW202" s="267"/>
      <c r="AX202" s="255"/>
      <c r="AY202" s="259" t="str">
        <f>IF(AX202&lt;&gt;"",AX202/VLOOKUP($V202,Setup!$C$30:$D$41,2,0),"")</f>
        <v/>
      </c>
      <c r="AZ202" s="268"/>
      <c r="BA202" s="258" t="str">
        <f t="shared" si="114"/>
        <v/>
      </c>
      <c r="BB202" s="268"/>
      <c r="BC202" s="258" t="str">
        <f t="shared" si="115"/>
        <v/>
      </c>
      <c r="BD202" s="268"/>
      <c r="BE202" s="258" t="str">
        <f t="shared" si="116"/>
        <v/>
      </c>
      <c r="BF202" s="268"/>
      <c r="BG202" s="256" t="str">
        <f t="shared" si="117"/>
        <v/>
      </c>
      <c r="BH202" s="256" t="str">
        <f t="shared" si="118"/>
        <v/>
      </c>
      <c r="BI202" s="256" t="str">
        <f t="shared" si="119"/>
        <v/>
      </c>
      <c r="BJ202" s="267"/>
      <c r="BK202" s="255"/>
      <c r="BL202" s="259" t="str">
        <f>IF(BK202&lt;&gt;"",BK202/VLOOKUP($V202,Setup!$C$30:$D$41,2,0),"")</f>
        <v/>
      </c>
      <c r="BM202" s="268"/>
      <c r="BN202" s="258" t="str">
        <f t="shared" si="120"/>
        <v/>
      </c>
      <c r="BO202" s="268"/>
      <c r="BP202" s="258" t="str">
        <f t="shared" si="121"/>
        <v/>
      </c>
      <c r="BQ202" s="268"/>
      <c r="BR202" s="258" t="str">
        <f t="shared" si="122"/>
        <v/>
      </c>
      <c r="BS202" s="268"/>
      <c r="BT202" s="256" t="str">
        <f t="shared" si="123"/>
        <v/>
      </c>
      <c r="BU202" s="256" t="str">
        <f t="shared" si="124"/>
        <v/>
      </c>
      <c r="BV202" s="256" t="str">
        <f t="shared" si="125"/>
        <v/>
      </c>
      <c r="BW202" s="267"/>
      <c r="BX202" s="256" t="str">
        <f t="shared" si="126"/>
        <v/>
      </c>
      <c r="BY202" s="256" t="str">
        <f t="shared" si="127"/>
        <v/>
      </c>
      <c r="BZ202" s="281"/>
      <c r="CA202" s="282"/>
      <c r="CC202" s="112" t="str">
        <f t="shared" ca="1" si="128"/>
        <v/>
      </c>
      <c r="CF202" s="284"/>
      <c r="CG202" s="284"/>
      <c r="CH202" s="284"/>
      <c r="CI202" s="284"/>
      <c r="CL202" s="356" t="str">
        <f>IFERROR(VLOOKUP(C202,'Data Sheet'!$A$3:$B$26,2,FALSE),"")</f>
        <v/>
      </c>
    </row>
    <row r="203" spans="1:90" s="98" customFormat="1" ht="15.75" x14ac:dyDescent="0.2">
      <c r="A203" s="97"/>
      <c r="B203" s="105" t="str">
        <f t="shared" si="101"/>
        <v>--</v>
      </c>
      <c r="C203" s="276"/>
      <c r="D203" s="101" t="str">
        <f>IFERROR(IF(VLOOKUP(C203,'Data Sheet'!$A$3:$D$26,4,FALSE)=0,"",VLOOKUP(C203,'Data Sheet'!$A$3:$D$26,4,FALSE)),"")</f>
        <v/>
      </c>
      <c r="E203" s="279"/>
      <c r="F203" s="103" t="str">
        <f>IFERROR(IF(VLOOKUP(E203,'Data Sheet'!$C$29:$E$174,3,FALSE)=0,"",VLOOKUP(E203,'Data Sheet'!$C$29:$E$174,3,FALSE)),"")</f>
        <v/>
      </c>
      <c r="G203" s="106" t="str">
        <f t="shared" si="129"/>
        <v>-</v>
      </c>
      <c r="H203" s="273"/>
      <c r="I203" s="107"/>
      <c r="J203" s="249" t="e">
        <f t="shared" si="130"/>
        <v>#VALUE!</v>
      </c>
      <c r="K203" s="101" t="str">
        <f>IFERROR(INDEX('Data Sheet'!$C$198:$C$275,MATCH(I203,'Data Sheet'!$F$198:$F$275,0)),"")</f>
        <v/>
      </c>
      <c r="L203" s="250" t="str">
        <f>IFERROR(INDEX('Data Sheet'!$G$198:$G$275,MATCH(I203,'Data Sheet'!$F$198:$F$275,0)),"")</f>
        <v/>
      </c>
      <c r="M203" s="194"/>
      <c r="N203" s="248"/>
      <c r="O203" s="248"/>
      <c r="P203" s="108" t="str">
        <f>IFERROR(INDEX(Setup!$D$44:$D$70,MATCH(M203,Setup!$K$44:$K$70,0))&amp;"","")</f>
        <v/>
      </c>
      <c r="Q203" s="108" t="str">
        <f>IFERROR(INDEX(Setup!$E$44:$E$70,MATCH(M203,Setup!$K$44:$K$70,0))&amp;"","")</f>
        <v/>
      </c>
      <c r="R203" s="108" t="str">
        <f>IFERROR(INDEX(Setup!$L$44:$L$70,MATCH(M203,Setup!$K$44:$K$70,0))&amp;"","")</f>
        <v/>
      </c>
      <c r="S203" s="108" t="str">
        <f>Setup!$C$30</f>
        <v>USD</v>
      </c>
      <c r="T203" s="109" t="str">
        <f>IFERROR(INDEX('Data Sheet'!$B$198:$B$275,MATCH(I203,'Data Sheet'!$F$198:$F$275,0)),"")</f>
        <v/>
      </c>
      <c r="U203" s="110" t="str">
        <f>IFERROR(INDEX('Data Sheet'!$D$198:$D$275,MATCH(I203,'Data Sheet'!$F$198:$F$275,0)),"")</f>
        <v/>
      </c>
      <c r="V203" s="99"/>
      <c r="W203" s="195" t="str">
        <f>IF(V203=Setup!$C$30,"Grant",IF(V203=Setup!$C$31,"Local",IF(V203=Setup!$C$32,"Other",IF(ISBLANK(V203),"","Other"))))</f>
        <v/>
      </c>
      <c r="X203" s="255"/>
      <c r="Y203" s="259" t="str">
        <f>IF(X203&lt;&gt;"",X203/VLOOKUP($V203,Setup!$C$30:$D$41,2,0),"")</f>
        <v/>
      </c>
      <c r="Z203" s="262"/>
      <c r="AA203" s="256" t="str">
        <f t="shared" si="102"/>
        <v/>
      </c>
      <c r="AB203" s="262"/>
      <c r="AC203" s="258" t="str">
        <f t="shared" si="103"/>
        <v/>
      </c>
      <c r="AD203" s="262"/>
      <c r="AE203" s="258" t="str">
        <f t="shared" si="104"/>
        <v/>
      </c>
      <c r="AF203" s="262"/>
      <c r="AG203" s="256" t="str">
        <f t="shared" si="105"/>
        <v/>
      </c>
      <c r="AH203" s="256" t="str">
        <f t="shared" si="106"/>
        <v/>
      </c>
      <c r="AI203" s="256" t="str">
        <f t="shared" si="107"/>
        <v/>
      </c>
      <c r="AJ203" s="111"/>
      <c r="AK203" s="255"/>
      <c r="AL203" s="259" t="str">
        <f>IF(AK203&lt;&gt;"",AK203/VLOOKUP($V203,Setup!$C$30:$D$41,2,0),"")</f>
        <v/>
      </c>
      <c r="AM203" s="266"/>
      <c r="AN203" s="258" t="str">
        <f t="shared" si="108"/>
        <v/>
      </c>
      <c r="AO203" s="266"/>
      <c r="AP203" s="258" t="str">
        <f t="shared" si="109"/>
        <v/>
      </c>
      <c r="AQ203" s="266"/>
      <c r="AR203" s="258" t="str">
        <f t="shared" si="110"/>
        <v/>
      </c>
      <c r="AS203" s="266"/>
      <c r="AT203" s="256" t="str">
        <f t="shared" si="111"/>
        <v/>
      </c>
      <c r="AU203" s="256" t="str">
        <f t="shared" si="112"/>
        <v/>
      </c>
      <c r="AV203" s="256" t="str">
        <f t="shared" si="113"/>
        <v/>
      </c>
      <c r="AW203" s="267"/>
      <c r="AX203" s="255"/>
      <c r="AY203" s="259" t="str">
        <f>IF(AX203&lt;&gt;"",AX203/VLOOKUP($V203,Setup!$C$30:$D$41,2,0),"")</f>
        <v/>
      </c>
      <c r="AZ203" s="268"/>
      <c r="BA203" s="258" t="str">
        <f t="shared" si="114"/>
        <v/>
      </c>
      <c r="BB203" s="268"/>
      <c r="BC203" s="258" t="str">
        <f t="shared" si="115"/>
        <v/>
      </c>
      <c r="BD203" s="268"/>
      <c r="BE203" s="258" t="str">
        <f t="shared" si="116"/>
        <v/>
      </c>
      <c r="BF203" s="268"/>
      <c r="BG203" s="256" t="str">
        <f t="shared" si="117"/>
        <v/>
      </c>
      <c r="BH203" s="256" t="str">
        <f t="shared" si="118"/>
        <v/>
      </c>
      <c r="BI203" s="256" t="str">
        <f t="shared" si="119"/>
        <v/>
      </c>
      <c r="BJ203" s="267"/>
      <c r="BK203" s="255"/>
      <c r="BL203" s="259" t="str">
        <f>IF(BK203&lt;&gt;"",BK203/VLOOKUP($V203,Setup!$C$30:$D$41,2,0),"")</f>
        <v/>
      </c>
      <c r="BM203" s="268"/>
      <c r="BN203" s="258" t="str">
        <f t="shared" si="120"/>
        <v/>
      </c>
      <c r="BO203" s="268"/>
      <c r="BP203" s="258" t="str">
        <f t="shared" si="121"/>
        <v/>
      </c>
      <c r="BQ203" s="268"/>
      <c r="BR203" s="258" t="str">
        <f t="shared" si="122"/>
        <v/>
      </c>
      <c r="BS203" s="268"/>
      <c r="BT203" s="256" t="str">
        <f t="shared" si="123"/>
        <v/>
      </c>
      <c r="BU203" s="256" t="str">
        <f t="shared" si="124"/>
        <v/>
      </c>
      <c r="BV203" s="256" t="str">
        <f t="shared" si="125"/>
        <v/>
      </c>
      <c r="BW203" s="267"/>
      <c r="BX203" s="256" t="str">
        <f t="shared" si="126"/>
        <v/>
      </c>
      <c r="BY203" s="256" t="str">
        <f t="shared" si="127"/>
        <v/>
      </c>
      <c r="BZ203" s="281"/>
      <c r="CA203" s="282"/>
      <c r="CC203" s="112" t="str">
        <f t="shared" ca="1" si="128"/>
        <v/>
      </c>
      <c r="CF203" s="284"/>
      <c r="CG203" s="284"/>
      <c r="CH203" s="284"/>
      <c r="CI203" s="284"/>
      <c r="CL203" s="356" t="str">
        <f>IFERROR(VLOOKUP(C203,'Data Sheet'!$A$3:$B$26,2,FALSE),"")</f>
        <v/>
      </c>
    </row>
    <row r="204" spans="1:90" s="98" customFormat="1" ht="15.75" x14ac:dyDescent="0.2">
      <c r="A204" s="97"/>
      <c r="B204" s="105" t="str">
        <f t="shared" si="101"/>
        <v>--</v>
      </c>
      <c r="C204" s="276"/>
      <c r="D204" s="101" t="str">
        <f>IFERROR(IF(VLOOKUP(C204,'Data Sheet'!$A$3:$D$26,4,FALSE)=0,"",VLOOKUP(C204,'Data Sheet'!$A$3:$D$26,4,FALSE)),"")</f>
        <v/>
      </c>
      <c r="E204" s="279"/>
      <c r="F204" s="103" t="str">
        <f>IFERROR(IF(VLOOKUP(E204,'Data Sheet'!$C$29:$E$174,3,FALSE)=0,"",VLOOKUP(E204,'Data Sheet'!$C$29:$E$174,3,FALSE)),"")</f>
        <v/>
      </c>
      <c r="G204" s="106" t="str">
        <f t="shared" si="129"/>
        <v>-</v>
      </c>
      <c r="H204" s="273"/>
      <c r="I204" s="107"/>
      <c r="J204" s="249" t="e">
        <f t="shared" si="130"/>
        <v>#VALUE!</v>
      </c>
      <c r="K204" s="101" t="str">
        <f>IFERROR(INDEX('Data Sheet'!$C$198:$C$275,MATCH(I204,'Data Sheet'!$F$198:$F$275,0)),"")</f>
        <v/>
      </c>
      <c r="L204" s="250" t="str">
        <f>IFERROR(INDEX('Data Sheet'!$G$198:$G$275,MATCH(I204,'Data Sheet'!$F$198:$F$275,0)),"")</f>
        <v/>
      </c>
      <c r="M204" s="194"/>
      <c r="N204" s="248"/>
      <c r="O204" s="248"/>
      <c r="P204" s="108" t="str">
        <f>IFERROR(INDEX(Setup!$D$44:$D$70,MATCH(M204,Setup!$K$44:$K$70,0))&amp;"","")</f>
        <v/>
      </c>
      <c r="Q204" s="108" t="str">
        <f>IFERROR(INDEX(Setup!$E$44:$E$70,MATCH(M204,Setup!$K$44:$K$70,0))&amp;"","")</f>
        <v/>
      </c>
      <c r="R204" s="108" t="str">
        <f>IFERROR(INDEX(Setup!$L$44:$L$70,MATCH(M204,Setup!$K$44:$K$70,0))&amp;"","")</f>
        <v/>
      </c>
      <c r="S204" s="108" t="str">
        <f>Setup!$C$30</f>
        <v>USD</v>
      </c>
      <c r="T204" s="109" t="str">
        <f>IFERROR(INDEX('Data Sheet'!$B$198:$B$275,MATCH(I204,'Data Sheet'!$F$198:$F$275,0)),"")</f>
        <v/>
      </c>
      <c r="U204" s="110" t="str">
        <f>IFERROR(INDEX('Data Sheet'!$D$198:$D$275,MATCH(I204,'Data Sheet'!$F$198:$F$275,0)),"")</f>
        <v/>
      </c>
      <c r="V204" s="99"/>
      <c r="W204" s="195" t="str">
        <f>IF(V204=Setup!$C$30,"Grant",IF(V204=Setup!$C$31,"Local",IF(V204=Setup!$C$32,"Other",IF(ISBLANK(V204),"","Other"))))</f>
        <v/>
      </c>
      <c r="X204" s="255"/>
      <c r="Y204" s="259" t="str">
        <f>IF(X204&lt;&gt;"",X204/VLOOKUP($V204,Setup!$C$30:$D$41,2,0),"")</f>
        <v/>
      </c>
      <c r="Z204" s="262"/>
      <c r="AA204" s="256" t="str">
        <f t="shared" si="102"/>
        <v/>
      </c>
      <c r="AB204" s="262"/>
      <c r="AC204" s="258" t="str">
        <f t="shared" si="103"/>
        <v/>
      </c>
      <c r="AD204" s="262"/>
      <c r="AE204" s="258" t="str">
        <f t="shared" si="104"/>
        <v/>
      </c>
      <c r="AF204" s="262"/>
      <c r="AG204" s="256" t="str">
        <f t="shared" si="105"/>
        <v/>
      </c>
      <c r="AH204" s="256" t="str">
        <f t="shared" si="106"/>
        <v/>
      </c>
      <c r="AI204" s="256" t="str">
        <f t="shared" si="107"/>
        <v/>
      </c>
      <c r="AJ204" s="111"/>
      <c r="AK204" s="255"/>
      <c r="AL204" s="259" t="str">
        <f>IF(AK204&lt;&gt;"",AK204/VLOOKUP($V204,Setup!$C$30:$D$41,2,0),"")</f>
        <v/>
      </c>
      <c r="AM204" s="266"/>
      <c r="AN204" s="258" t="str">
        <f t="shared" si="108"/>
        <v/>
      </c>
      <c r="AO204" s="266"/>
      <c r="AP204" s="258" t="str">
        <f t="shared" si="109"/>
        <v/>
      </c>
      <c r="AQ204" s="266"/>
      <c r="AR204" s="258" t="str">
        <f t="shared" si="110"/>
        <v/>
      </c>
      <c r="AS204" s="266"/>
      <c r="AT204" s="256" t="str">
        <f t="shared" si="111"/>
        <v/>
      </c>
      <c r="AU204" s="256" t="str">
        <f t="shared" si="112"/>
        <v/>
      </c>
      <c r="AV204" s="256" t="str">
        <f t="shared" si="113"/>
        <v/>
      </c>
      <c r="AW204" s="267"/>
      <c r="AX204" s="255"/>
      <c r="AY204" s="259" t="str">
        <f>IF(AX204&lt;&gt;"",AX204/VLOOKUP($V204,Setup!$C$30:$D$41,2,0),"")</f>
        <v/>
      </c>
      <c r="AZ204" s="268"/>
      <c r="BA204" s="258" t="str">
        <f t="shared" si="114"/>
        <v/>
      </c>
      <c r="BB204" s="268"/>
      <c r="BC204" s="258" t="str">
        <f t="shared" si="115"/>
        <v/>
      </c>
      <c r="BD204" s="268"/>
      <c r="BE204" s="258" t="str">
        <f t="shared" si="116"/>
        <v/>
      </c>
      <c r="BF204" s="268"/>
      <c r="BG204" s="256" t="str">
        <f t="shared" si="117"/>
        <v/>
      </c>
      <c r="BH204" s="256" t="str">
        <f t="shared" si="118"/>
        <v/>
      </c>
      <c r="BI204" s="256" t="str">
        <f t="shared" si="119"/>
        <v/>
      </c>
      <c r="BJ204" s="267"/>
      <c r="BK204" s="255"/>
      <c r="BL204" s="259" t="str">
        <f>IF(BK204&lt;&gt;"",BK204/VLOOKUP($V204,Setup!$C$30:$D$41,2,0),"")</f>
        <v/>
      </c>
      <c r="BM204" s="268"/>
      <c r="BN204" s="258" t="str">
        <f t="shared" si="120"/>
        <v/>
      </c>
      <c r="BO204" s="268"/>
      <c r="BP204" s="258" t="str">
        <f t="shared" si="121"/>
        <v/>
      </c>
      <c r="BQ204" s="268"/>
      <c r="BR204" s="258" t="str">
        <f t="shared" si="122"/>
        <v/>
      </c>
      <c r="BS204" s="268"/>
      <c r="BT204" s="256" t="str">
        <f t="shared" si="123"/>
        <v/>
      </c>
      <c r="BU204" s="256" t="str">
        <f t="shared" si="124"/>
        <v/>
      </c>
      <c r="BV204" s="256" t="str">
        <f t="shared" si="125"/>
        <v/>
      </c>
      <c r="BW204" s="267"/>
      <c r="BX204" s="256" t="str">
        <f t="shared" si="126"/>
        <v/>
      </c>
      <c r="BY204" s="256" t="str">
        <f t="shared" si="127"/>
        <v/>
      </c>
      <c r="BZ204" s="281"/>
      <c r="CA204" s="282"/>
      <c r="CC204" s="112" t="str">
        <f t="shared" ca="1" si="128"/>
        <v/>
      </c>
      <c r="CF204" s="284"/>
      <c r="CG204" s="284"/>
      <c r="CH204" s="284"/>
      <c r="CI204" s="284"/>
      <c r="CL204" s="356" t="str">
        <f>IFERROR(VLOOKUP(C204,'Data Sheet'!$A$3:$B$26,2,FALSE),"")</f>
        <v/>
      </c>
    </row>
    <row r="205" spans="1:90" s="98" customFormat="1" ht="15.75" x14ac:dyDescent="0.2">
      <c r="A205" s="97"/>
      <c r="B205" s="105" t="str">
        <f t="shared" si="101"/>
        <v>--</v>
      </c>
      <c r="C205" s="276"/>
      <c r="D205" s="101" t="str">
        <f>IFERROR(IF(VLOOKUP(C205,'Data Sheet'!$A$3:$D$26,4,FALSE)=0,"",VLOOKUP(C205,'Data Sheet'!$A$3:$D$26,4,FALSE)),"")</f>
        <v/>
      </c>
      <c r="E205" s="279"/>
      <c r="F205" s="103" t="str">
        <f>IFERROR(IF(VLOOKUP(E205,'Data Sheet'!$C$29:$E$174,3,FALSE)=0,"",VLOOKUP(E205,'Data Sheet'!$C$29:$E$174,3,FALSE)),"")</f>
        <v/>
      </c>
      <c r="G205" s="106" t="str">
        <f t="shared" si="129"/>
        <v>-</v>
      </c>
      <c r="H205" s="273"/>
      <c r="I205" s="107"/>
      <c r="J205" s="249" t="e">
        <f t="shared" si="130"/>
        <v>#VALUE!</v>
      </c>
      <c r="K205" s="101" t="str">
        <f>IFERROR(INDEX('Data Sheet'!$C$198:$C$275,MATCH(I205,'Data Sheet'!$F$198:$F$275,0)),"")</f>
        <v/>
      </c>
      <c r="L205" s="250" t="str">
        <f>IFERROR(INDEX('Data Sheet'!$G$198:$G$275,MATCH(I205,'Data Sheet'!$F$198:$F$275,0)),"")</f>
        <v/>
      </c>
      <c r="M205" s="194"/>
      <c r="N205" s="248"/>
      <c r="O205" s="248"/>
      <c r="P205" s="108" t="str">
        <f>IFERROR(INDEX(Setup!$D$44:$D$70,MATCH(M205,Setup!$K$44:$K$70,0))&amp;"","")</f>
        <v/>
      </c>
      <c r="Q205" s="108" t="str">
        <f>IFERROR(INDEX(Setup!$E$44:$E$70,MATCH(M205,Setup!$K$44:$K$70,0))&amp;"","")</f>
        <v/>
      </c>
      <c r="R205" s="108" t="str">
        <f>IFERROR(INDEX(Setup!$L$44:$L$70,MATCH(M205,Setup!$K$44:$K$70,0))&amp;"","")</f>
        <v/>
      </c>
      <c r="S205" s="108" t="str">
        <f>Setup!$C$30</f>
        <v>USD</v>
      </c>
      <c r="T205" s="109" t="str">
        <f>IFERROR(INDEX('Data Sheet'!$B$198:$B$275,MATCH(I205,'Data Sheet'!$F$198:$F$275,0)),"")</f>
        <v/>
      </c>
      <c r="U205" s="110" t="str">
        <f>IFERROR(INDEX('Data Sheet'!$D$198:$D$275,MATCH(I205,'Data Sheet'!$F$198:$F$275,0)),"")</f>
        <v/>
      </c>
      <c r="V205" s="99"/>
      <c r="W205" s="195" t="str">
        <f>IF(V205=Setup!$C$30,"Grant",IF(V205=Setup!$C$31,"Local",IF(V205=Setup!$C$32,"Other",IF(ISBLANK(V205),"","Other"))))</f>
        <v/>
      </c>
      <c r="X205" s="255"/>
      <c r="Y205" s="259" t="str">
        <f>IF(X205&lt;&gt;"",X205/VLOOKUP($V205,Setup!$C$30:$D$41,2,0),"")</f>
        <v/>
      </c>
      <c r="Z205" s="262"/>
      <c r="AA205" s="256" t="str">
        <f t="shared" si="102"/>
        <v/>
      </c>
      <c r="AB205" s="262"/>
      <c r="AC205" s="258" t="str">
        <f t="shared" si="103"/>
        <v/>
      </c>
      <c r="AD205" s="262"/>
      <c r="AE205" s="258" t="str">
        <f t="shared" si="104"/>
        <v/>
      </c>
      <c r="AF205" s="262"/>
      <c r="AG205" s="256" t="str">
        <f t="shared" si="105"/>
        <v/>
      </c>
      <c r="AH205" s="256" t="str">
        <f t="shared" si="106"/>
        <v/>
      </c>
      <c r="AI205" s="256" t="str">
        <f t="shared" si="107"/>
        <v/>
      </c>
      <c r="AJ205" s="111"/>
      <c r="AK205" s="255"/>
      <c r="AL205" s="259" t="str">
        <f>IF(AK205&lt;&gt;"",AK205/VLOOKUP($V205,Setup!$C$30:$D$41,2,0),"")</f>
        <v/>
      </c>
      <c r="AM205" s="266"/>
      <c r="AN205" s="258" t="str">
        <f t="shared" si="108"/>
        <v/>
      </c>
      <c r="AO205" s="266"/>
      <c r="AP205" s="258" t="str">
        <f t="shared" si="109"/>
        <v/>
      </c>
      <c r="AQ205" s="266"/>
      <c r="AR205" s="258" t="str">
        <f t="shared" si="110"/>
        <v/>
      </c>
      <c r="AS205" s="266"/>
      <c r="AT205" s="256" t="str">
        <f t="shared" si="111"/>
        <v/>
      </c>
      <c r="AU205" s="256" t="str">
        <f t="shared" si="112"/>
        <v/>
      </c>
      <c r="AV205" s="256" t="str">
        <f t="shared" si="113"/>
        <v/>
      </c>
      <c r="AW205" s="267"/>
      <c r="AX205" s="255"/>
      <c r="AY205" s="259" t="str">
        <f>IF(AX205&lt;&gt;"",AX205/VLOOKUP($V205,Setup!$C$30:$D$41,2,0),"")</f>
        <v/>
      </c>
      <c r="AZ205" s="268"/>
      <c r="BA205" s="258" t="str">
        <f t="shared" si="114"/>
        <v/>
      </c>
      <c r="BB205" s="268"/>
      <c r="BC205" s="258" t="str">
        <f t="shared" si="115"/>
        <v/>
      </c>
      <c r="BD205" s="268"/>
      <c r="BE205" s="258" t="str">
        <f t="shared" si="116"/>
        <v/>
      </c>
      <c r="BF205" s="268"/>
      <c r="BG205" s="256" t="str">
        <f t="shared" si="117"/>
        <v/>
      </c>
      <c r="BH205" s="256" t="str">
        <f t="shared" si="118"/>
        <v/>
      </c>
      <c r="BI205" s="256" t="str">
        <f t="shared" si="119"/>
        <v/>
      </c>
      <c r="BJ205" s="267"/>
      <c r="BK205" s="255"/>
      <c r="BL205" s="259" t="str">
        <f>IF(BK205&lt;&gt;"",BK205/VLOOKUP($V205,Setup!$C$30:$D$41,2,0),"")</f>
        <v/>
      </c>
      <c r="BM205" s="268"/>
      <c r="BN205" s="258" t="str">
        <f t="shared" si="120"/>
        <v/>
      </c>
      <c r="BO205" s="268"/>
      <c r="BP205" s="258" t="str">
        <f t="shared" si="121"/>
        <v/>
      </c>
      <c r="BQ205" s="268"/>
      <c r="BR205" s="258" t="str">
        <f t="shared" si="122"/>
        <v/>
      </c>
      <c r="BS205" s="268"/>
      <c r="BT205" s="256" t="str">
        <f t="shared" si="123"/>
        <v/>
      </c>
      <c r="BU205" s="256" t="str">
        <f t="shared" si="124"/>
        <v/>
      </c>
      <c r="BV205" s="256" t="str">
        <f t="shared" si="125"/>
        <v/>
      </c>
      <c r="BW205" s="267"/>
      <c r="BX205" s="256" t="str">
        <f t="shared" si="126"/>
        <v/>
      </c>
      <c r="BY205" s="256" t="str">
        <f t="shared" si="127"/>
        <v/>
      </c>
      <c r="BZ205" s="281"/>
      <c r="CA205" s="282"/>
      <c r="CC205" s="112" t="str">
        <f t="shared" ca="1" si="128"/>
        <v/>
      </c>
      <c r="CF205" s="284"/>
      <c r="CG205" s="284"/>
      <c r="CH205" s="284"/>
      <c r="CI205" s="284"/>
      <c r="CL205" s="356" t="str">
        <f>IFERROR(VLOOKUP(C205,'Data Sheet'!$A$3:$B$26,2,FALSE),"")</f>
        <v/>
      </c>
    </row>
    <row r="206" spans="1:90" s="98" customFormat="1" ht="15.75" x14ac:dyDescent="0.2">
      <c r="A206" s="97"/>
      <c r="B206" s="105" t="str">
        <f t="shared" ref="B206:B269" si="131">CONCATENATE(D206,"-",F206,"-",N206)</f>
        <v>--</v>
      </c>
      <c r="C206" s="276"/>
      <c r="D206" s="101" t="str">
        <f>IFERROR(IF(VLOOKUP(C206,'Data Sheet'!$A$3:$D$26,4,FALSE)=0,"",VLOOKUP(C206,'Data Sheet'!$A$3:$D$26,4,FALSE)),"")</f>
        <v/>
      </c>
      <c r="E206" s="279"/>
      <c r="F206" s="103" t="str">
        <f>IFERROR(IF(VLOOKUP(E206,'Data Sheet'!$C$29:$E$174,3,FALSE)=0,"",VLOOKUP(E206,'Data Sheet'!$C$29:$E$174,3,FALSE)),"")</f>
        <v/>
      </c>
      <c r="G206" s="106" t="str">
        <f t="shared" si="129"/>
        <v>-</v>
      </c>
      <c r="H206" s="273"/>
      <c r="I206" s="107"/>
      <c r="J206" s="249" t="e">
        <f t="shared" si="130"/>
        <v>#VALUE!</v>
      </c>
      <c r="K206" s="101" t="str">
        <f>IFERROR(INDEX('Data Sheet'!$C$198:$C$275,MATCH(I206,'Data Sheet'!$F$198:$F$275,0)),"")</f>
        <v/>
      </c>
      <c r="L206" s="250" t="str">
        <f>IFERROR(INDEX('Data Sheet'!$G$198:$G$275,MATCH(I206,'Data Sheet'!$F$198:$F$275,0)),"")</f>
        <v/>
      </c>
      <c r="M206" s="194"/>
      <c r="N206" s="248"/>
      <c r="O206" s="248"/>
      <c r="P206" s="108" t="str">
        <f>IFERROR(INDEX(Setup!$D$44:$D$70,MATCH(M206,Setup!$K$44:$K$70,0))&amp;"","")</f>
        <v/>
      </c>
      <c r="Q206" s="108" t="str">
        <f>IFERROR(INDEX(Setup!$E$44:$E$70,MATCH(M206,Setup!$K$44:$K$70,0))&amp;"","")</f>
        <v/>
      </c>
      <c r="R206" s="108" t="str">
        <f>IFERROR(INDEX(Setup!$L$44:$L$70,MATCH(M206,Setup!$K$44:$K$70,0))&amp;"","")</f>
        <v/>
      </c>
      <c r="S206" s="108" t="str">
        <f>Setup!$C$30</f>
        <v>USD</v>
      </c>
      <c r="T206" s="109" t="str">
        <f>IFERROR(INDEX('Data Sheet'!$B$198:$B$275,MATCH(I206,'Data Sheet'!$F$198:$F$275,0)),"")</f>
        <v/>
      </c>
      <c r="U206" s="110" t="str">
        <f>IFERROR(INDEX('Data Sheet'!$D$198:$D$275,MATCH(I206,'Data Sheet'!$F$198:$F$275,0)),"")</f>
        <v/>
      </c>
      <c r="V206" s="99"/>
      <c r="W206" s="195" t="str">
        <f>IF(V206=Setup!$C$30,"Grant",IF(V206=Setup!$C$31,"Local",IF(V206=Setup!$C$32,"Other",IF(ISBLANK(V206),"","Other"))))</f>
        <v/>
      </c>
      <c r="X206" s="255"/>
      <c r="Y206" s="259" t="str">
        <f>IF(X206&lt;&gt;"",X206/VLOOKUP($V206,Setup!$C$30:$D$41,2,0),"")</f>
        <v/>
      </c>
      <c r="Z206" s="262"/>
      <c r="AA206" s="256" t="str">
        <f t="shared" si="102"/>
        <v/>
      </c>
      <c r="AB206" s="262"/>
      <c r="AC206" s="258" t="str">
        <f t="shared" si="103"/>
        <v/>
      </c>
      <c r="AD206" s="262"/>
      <c r="AE206" s="258" t="str">
        <f t="shared" si="104"/>
        <v/>
      </c>
      <c r="AF206" s="262"/>
      <c r="AG206" s="256" t="str">
        <f t="shared" si="105"/>
        <v/>
      </c>
      <c r="AH206" s="256" t="str">
        <f t="shared" si="106"/>
        <v/>
      </c>
      <c r="AI206" s="256" t="str">
        <f t="shared" si="107"/>
        <v/>
      </c>
      <c r="AJ206" s="111"/>
      <c r="AK206" s="255"/>
      <c r="AL206" s="259" t="str">
        <f>IF(AK206&lt;&gt;"",AK206/VLOOKUP($V206,Setup!$C$30:$D$41,2,0),"")</f>
        <v/>
      </c>
      <c r="AM206" s="266"/>
      <c r="AN206" s="258" t="str">
        <f t="shared" si="108"/>
        <v/>
      </c>
      <c r="AO206" s="266"/>
      <c r="AP206" s="258" t="str">
        <f t="shared" si="109"/>
        <v/>
      </c>
      <c r="AQ206" s="266"/>
      <c r="AR206" s="258" t="str">
        <f t="shared" si="110"/>
        <v/>
      </c>
      <c r="AS206" s="266"/>
      <c r="AT206" s="256" t="str">
        <f t="shared" si="111"/>
        <v/>
      </c>
      <c r="AU206" s="256" t="str">
        <f t="shared" si="112"/>
        <v/>
      </c>
      <c r="AV206" s="256" t="str">
        <f t="shared" si="113"/>
        <v/>
      </c>
      <c r="AW206" s="267"/>
      <c r="AX206" s="255"/>
      <c r="AY206" s="259" t="str">
        <f>IF(AX206&lt;&gt;"",AX206/VLOOKUP($V206,Setup!$C$30:$D$41,2,0),"")</f>
        <v/>
      </c>
      <c r="AZ206" s="268"/>
      <c r="BA206" s="258" t="str">
        <f t="shared" si="114"/>
        <v/>
      </c>
      <c r="BB206" s="268"/>
      <c r="BC206" s="258" t="str">
        <f t="shared" si="115"/>
        <v/>
      </c>
      <c r="BD206" s="268"/>
      <c r="BE206" s="258" t="str">
        <f t="shared" si="116"/>
        <v/>
      </c>
      <c r="BF206" s="268"/>
      <c r="BG206" s="256" t="str">
        <f t="shared" si="117"/>
        <v/>
      </c>
      <c r="BH206" s="256" t="str">
        <f t="shared" si="118"/>
        <v/>
      </c>
      <c r="BI206" s="256" t="str">
        <f t="shared" si="119"/>
        <v/>
      </c>
      <c r="BJ206" s="267"/>
      <c r="BK206" s="255"/>
      <c r="BL206" s="259" t="str">
        <f>IF(BK206&lt;&gt;"",BK206/VLOOKUP($V206,Setup!$C$30:$D$41,2,0),"")</f>
        <v/>
      </c>
      <c r="BM206" s="268"/>
      <c r="BN206" s="258" t="str">
        <f t="shared" si="120"/>
        <v/>
      </c>
      <c r="BO206" s="268"/>
      <c r="BP206" s="258" t="str">
        <f t="shared" si="121"/>
        <v/>
      </c>
      <c r="BQ206" s="268"/>
      <c r="BR206" s="258" t="str">
        <f t="shared" si="122"/>
        <v/>
      </c>
      <c r="BS206" s="268"/>
      <c r="BT206" s="256" t="str">
        <f t="shared" si="123"/>
        <v/>
      </c>
      <c r="BU206" s="256" t="str">
        <f t="shared" si="124"/>
        <v/>
      </c>
      <c r="BV206" s="256" t="str">
        <f t="shared" si="125"/>
        <v/>
      </c>
      <c r="BW206" s="267"/>
      <c r="BX206" s="256" t="str">
        <f t="shared" si="126"/>
        <v/>
      </c>
      <c r="BY206" s="256" t="str">
        <f t="shared" si="127"/>
        <v/>
      </c>
      <c r="BZ206" s="281"/>
      <c r="CA206" s="282"/>
      <c r="CC206" s="112" t="str">
        <f t="shared" ca="1" si="128"/>
        <v/>
      </c>
      <c r="CF206" s="284"/>
      <c r="CG206" s="284"/>
      <c r="CH206" s="284"/>
      <c r="CI206" s="284"/>
      <c r="CL206" s="356" t="str">
        <f>IFERROR(VLOOKUP(C206,'Data Sheet'!$A$3:$B$26,2,FALSE),"")</f>
        <v/>
      </c>
    </row>
    <row r="207" spans="1:90" s="98" customFormat="1" ht="15.75" x14ac:dyDescent="0.2">
      <c r="A207" s="97"/>
      <c r="B207" s="105" t="str">
        <f t="shared" si="131"/>
        <v>--</v>
      </c>
      <c r="C207" s="276"/>
      <c r="D207" s="101" t="str">
        <f>IFERROR(IF(VLOOKUP(C207,'Data Sheet'!$A$3:$D$26,4,FALSE)=0,"",VLOOKUP(C207,'Data Sheet'!$A$3:$D$26,4,FALSE)),"")</f>
        <v/>
      </c>
      <c r="E207" s="279"/>
      <c r="F207" s="103" t="str">
        <f>IFERROR(IF(VLOOKUP(E207,'Data Sheet'!$C$29:$E$174,3,FALSE)=0,"",VLOOKUP(E207,'Data Sheet'!$C$29:$E$174,3,FALSE)),"")</f>
        <v/>
      </c>
      <c r="G207" s="106" t="str">
        <f t="shared" si="129"/>
        <v>-</v>
      </c>
      <c r="H207" s="273"/>
      <c r="I207" s="107"/>
      <c r="J207" s="249" t="e">
        <f t="shared" si="130"/>
        <v>#VALUE!</v>
      </c>
      <c r="K207" s="101" t="str">
        <f>IFERROR(INDEX('Data Sheet'!$C$198:$C$275,MATCH(I207,'Data Sheet'!$F$198:$F$275,0)),"")</f>
        <v/>
      </c>
      <c r="L207" s="250" t="str">
        <f>IFERROR(INDEX('Data Sheet'!$G$198:$G$275,MATCH(I207,'Data Sheet'!$F$198:$F$275,0)),"")</f>
        <v/>
      </c>
      <c r="M207" s="194"/>
      <c r="N207" s="248"/>
      <c r="O207" s="248"/>
      <c r="P207" s="108" t="str">
        <f>IFERROR(INDEX(Setup!$D$44:$D$70,MATCH(M207,Setup!$K$44:$K$70,0))&amp;"","")</f>
        <v/>
      </c>
      <c r="Q207" s="108" t="str">
        <f>IFERROR(INDEX(Setup!$E$44:$E$70,MATCH(M207,Setup!$K$44:$K$70,0))&amp;"","")</f>
        <v/>
      </c>
      <c r="R207" s="108" t="str">
        <f>IFERROR(INDEX(Setup!$L$44:$L$70,MATCH(M207,Setup!$K$44:$K$70,0))&amp;"","")</f>
        <v/>
      </c>
      <c r="S207" s="108" t="str">
        <f>Setup!$C$30</f>
        <v>USD</v>
      </c>
      <c r="T207" s="109" t="str">
        <f>IFERROR(INDEX('Data Sheet'!$B$198:$B$275,MATCH(I207,'Data Sheet'!$F$198:$F$275,0)),"")</f>
        <v/>
      </c>
      <c r="U207" s="110" t="str">
        <f>IFERROR(INDEX('Data Sheet'!$D$198:$D$275,MATCH(I207,'Data Sheet'!$F$198:$F$275,0)),"")</f>
        <v/>
      </c>
      <c r="V207" s="99"/>
      <c r="W207" s="195" t="str">
        <f>IF(V207=Setup!$C$30,"Grant",IF(V207=Setup!$C$31,"Local",IF(V207=Setup!$C$32,"Other",IF(ISBLANK(V207),"","Other"))))</f>
        <v/>
      </c>
      <c r="X207" s="255"/>
      <c r="Y207" s="259" t="str">
        <f>IF(X207&lt;&gt;"",X207/VLOOKUP($V207,Setup!$C$30:$D$41,2,0),"")</f>
        <v/>
      </c>
      <c r="Z207" s="262"/>
      <c r="AA207" s="256" t="str">
        <f t="shared" si="102"/>
        <v/>
      </c>
      <c r="AB207" s="262"/>
      <c r="AC207" s="258" t="str">
        <f t="shared" si="103"/>
        <v/>
      </c>
      <c r="AD207" s="262"/>
      <c r="AE207" s="258" t="str">
        <f t="shared" si="104"/>
        <v/>
      </c>
      <c r="AF207" s="262"/>
      <c r="AG207" s="256" t="str">
        <f t="shared" si="105"/>
        <v/>
      </c>
      <c r="AH207" s="256" t="str">
        <f t="shared" si="106"/>
        <v/>
      </c>
      <c r="AI207" s="256" t="str">
        <f t="shared" si="107"/>
        <v/>
      </c>
      <c r="AJ207" s="111"/>
      <c r="AK207" s="255"/>
      <c r="AL207" s="259" t="str">
        <f>IF(AK207&lt;&gt;"",AK207/VLOOKUP($V207,Setup!$C$30:$D$41,2,0),"")</f>
        <v/>
      </c>
      <c r="AM207" s="266"/>
      <c r="AN207" s="258" t="str">
        <f t="shared" si="108"/>
        <v/>
      </c>
      <c r="AO207" s="266"/>
      <c r="AP207" s="258" t="str">
        <f t="shared" si="109"/>
        <v/>
      </c>
      <c r="AQ207" s="266"/>
      <c r="AR207" s="258" t="str">
        <f t="shared" si="110"/>
        <v/>
      </c>
      <c r="AS207" s="266"/>
      <c r="AT207" s="256" t="str">
        <f t="shared" si="111"/>
        <v/>
      </c>
      <c r="AU207" s="256" t="str">
        <f t="shared" si="112"/>
        <v/>
      </c>
      <c r="AV207" s="256" t="str">
        <f t="shared" si="113"/>
        <v/>
      </c>
      <c r="AW207" s="267"/>
      <c r="AX207" s="255"/>
      <c r="AY207" s="259" t="str">
        <f>IF(AX207&lt;&gt;"",AX207/VLOOKUP($V207,Setup!$C$30:$D$41,2,0),"")</f>
        <v/>
      </c>
      <c r="AZ207" s="268"/>
      <c r="BA207" s="258" t="str">
        <f t="shared" si="114"/>
        <v/>
      </c>
      <c r="BB207" s="268"/>
      <c r="BC207" s="258" t="str">
        <f t="shared" si="115"/>
        <v/>
      </c>
      <c r="BD207" s="268"/>
      <c r="BE207" s="258" t="str">
        <f t="shared" si="116"/>
        <v/>
      </c>
      <c r="BF207" s="268"/>
      <c r="BG207" s="256" t="str">
        <f t="shared" si="117"/>
        <v/>
      </c>
      <c r="BH207" s="256" t="str">
        <f t="shared" si="118"/>
        <v/>
      </c>
      <c r="BI207" s="256" t="str">
        <f t="shared" si="119"/>
        <v/>
      </c>
      <c r="BJ207" s="267"/>
      <c r="BK207" s="255"/>
      <c r="BL207" s="259" t="str">
        <f>IF(BK207&lt;&gt;"",BK207/VLOOKUP($V207,Setup!$C$30:$D$41,2,0),"")</f>
        <v/>
      </c>
      <c r="BM207" s="268"/>
      <c r="BN207" s="258" t="str">
        <f t="shared" si="120"/>
        <v/>
      </c>
      <c r="BO207" s="268"/>
      <c r="BP207" s="258" t="str">
        <f t="shared" si="121"/>
        <v/>
      </c>
      <c r="BQ207" s="268"/>
      <c r="BR207" s="258" t="str">
        <f t="shared" si="122"/>
        <v/>
      </c>
      <c r="BS207" s="268"/>
      <c r="BT207" s="256" t="str">
        <f t="shared" si="123"/>
        <v/>
      </c>
      <c r="BU207" s="256" t="str">
        <f t="shared" si="124"/>
        <v/>
      </c>
      <c r="BV207" s="256" t="str">
        <f t="shared" si="125"/>
        <v/>
      </c>
      <c r="BW207" s="267"/>
      <c r="BX207" s="256" t="str">
        <f t="shared" si="126"/>
        <v/>
      </c>
      <c r="BY207" s="256" t="str">
        <f t="shared" si="127"/>
        <v/>
      </c>
      <c r="BZ207" s="281"/>
      <c r="CA207" s="282"/>
      <c r="CC207" s="112" t="str">
        <f t="shared" ca="1" si="128"/>
        <v/>
      </c>
      <c r="CF207" s="284"/>
      <c r="CG207" s="284"/>
      <c r="CH207" s="284"/>
      <c r="CI207" s="284"/>
      <c r="CL207" s="356" t="str">
        <f>IFERROR(VLOOKUP(C207,'Data Sheet'!$A$3:$B$26,2,FALSE),"")</f>
        <v/>
      </c>
    </row>
    <row r="208" spans="1:90" s="98" customFormat="1" ht="15.75" x14ac:dyDescent="0.2">
      <c r="A208" s="97"/>
      <c r="B208" s="105" t="str">
        <f t="shared" si="131"/>
        <v>--</v>
      </c>
      <c r="C208" s="276"/>
      <c r="D208" s="101" t="str">
        <f>IFERROR(IF(VLOOKUP(C208,'Data Sheet'!$A$3:$D$26,4,FALSE)=0,"",VLOOKUP(C208,'Data Sheet'!$A$3:$D$26,4,FALSE)),"")</f>
        <v/>
      </c>
      <c r="E208" s="279"/>
      <c r="F208" s="103" t="str">
        <f>IFERROR(IF(VLOOKUP(E208,'Data Sheet'!$C$29:$E$174,3,FALSE)=0,"",VLOOKUP(E208,'Data Sheet'!$C$29:$E$174,3,FALSE)),"")</f>
        <v/>
      </c>
      <c r="G208" s="106" t="str">
        <f t="shared" si="129"/>
        <v>-</v>
      </c>
      <c r="H208" s="273"/>
      <c r="I208" s="107"/>
      <c r="J208" s="249" t="e">
        <f t="shared" si="130"/>
        <v>#VALUE!</v>
      </c>
      <c r="K208" s="101" t="str">
        <f>IFERROR(INDEX('Data Sheet'!$C$198:$C$275,MATCH(I208,'Data Sheet'!$F$198:$F$275,0)),"")</f>
        <v/>
      </c>
      <c r="L208" s="250" t="str">
        <f>IFERROR(INDEX('Data Sheet'!$G$198:$G$275,MATCH(I208,'Data Sheet'!$F$198:$F$275,0)),"")</f>
        <v/>
      </c>
      <c r="M208" s="194"/>
      <c r="N208" s="248"/>
      <c r="O208" s="248"/>
      <c r="P208" s="108" t="str">
        <f>IFERROR(INDEX(Setup!$D$44:$D$70,MATCH(M208,Setup!$K$44:$K$70,0))&amp;"","")</f>
        <v/>
      </c>
      <c r="Q208" s="108" t="str">
        <f>IFERROR(INDEX(Setup!$E$44:$E$70,MATCH(M208,Setup!$K$44:$K$70,0))&amp;"","")</f>
        <v/>
      </c>
      <c r="R208" s="108" t="str">
        <f>IFERROR(INDEX(Setup!$L$44:$L$70,MATCH(M208,Setup!$K$44:$K$70,0))&amp;"","")</f>
        <v/>
      </c>
      <c r="S208" s="108" t="str">
        <f>Setup!$C$30</f>
        <v>USD</v>
      </c>
      <c r="T208" s="109" t="str">
        <f>IFERROR(INDEX('Data Sheet'!$B$198:$B$275,MATCH(I208,'Data Sheet'!$F$198:$F$275,0)),"")</f>
        <v/>
      </c>
      <c r="U208" s="110" t="str">
        <f>IFERROR(INDEX('Data Sheet'!$D$198:$D$275,MATCH(I208,'Data Sheet'!$F$198:$F$275,0)),"")</f>
        <v/>
      </c>
      <c r="V208" s="99"/>
      <c r="W208" s="195" t="str">
        <f>IF(V208=Setup!$C$30,"Grant",IF(V208=Setup!$C$31,"Local",IF(V208=Setup!$C$32,"Other",IF(ISBLANK(V208),"","Other"))))</f>
        <v/>
      </c>
      <c r="X208" s="255"/>
      <c r="Y208" s="259" t="str">
        <f>IF(X208&lt;&gt;"",X208/VLOOKUP($V208,Setup!$C$30:$D$41,2,0),"")</f>
        <v/>
      </c>
      <c r="Z208" s="262"/>
      <c r="AA208" s="256" t="str">
        <f t="shared" si="102"/>
        <v/>
      </c>
      <c r="AB208" s="262"/>
      <c r="AC208" s="258" t="str">
        <f t="shared" si="103"/>
        <v/>
      </c>
      <c r="AD208" s="262"/>
      <c r="AE208" s="258" t="str">
        <f t="shared" si="104"/>
        <v/>
      </c>
      <c r="AF208" s="262"/>
      <c r="AG208" s="256" t="str">
        <f t="shared" si="105"/>
        <v/>
      </c>
      <c r="AH208" s="256" t="str">
        <f t="shared" si="106"/>
        <v/>
      </c>
      <c r="AI208" s="256" t="str">
        <f t="shared" si="107"/>
        <v/>
      </c>
      <c r="AJ208" s="111"/>
      <c r="AK208" s="255"/>
      <c r="AL208" s="259" t="str">
        <f>IF(AK208&lt;&gt;"",AK208/VLOOKUP($V208,Setup!$C$30:$D$41,2,0),"")</f>
        <v/>
      </c>
      <c r="AM208" s="266"/>
      <c r="AN208" s="258" t="str">
        <f t="shared" si="108"/>
        <v/>
      </c>
      <c r="AO208" s="266"/>
      <c r="AP208" s="258" t="str">
        <f t="shared" si="109"/>
        <v/>
      </c>
      <c r="AQ208" s="266"/>
      <c r="AR208" s="258" t="str">
        <f t="shared" si="110"/>
        <v/>
      </c>
      <c r="AS208" s="266"/>
      <c r="AT208" s="256" t="str">
        <f t="shared" si="111"/>
        <v/>
      </c>
      <c r="AU208" s="256" t="str">
        <f t="shared" si="112"/>
        <v/>
      </c>
      <c r="AV208" s="256" t="str">
        <f t="shared" si="113"/>
        <v/>
      </c>
      <c r="AW208" s="267"/>
      <c r="AX208" s="255"/>
      <c r="AY208" s="259" t="str">
        <f>IF(AX208&lt;&gt;"",AX208/VLOOKUP($V208,Setup!$C$30:$D$41,2,0),"")</f>
        <v/>
      </c>
      <c r="AZ208" s="268"/>
      <c r="BA208" s="258" t="str">
        <f t="shared" si="114"/>
        <v/>
      </c>
      <c r="BB208" s="268"/>
      <c r="BC208" s="258" t="str">
        <f t="shared" si="115"/>
        <v/>
      </c>
      <c r="BD208" s="268"/>
      <c r="BE208" s="258" t="str">
        <f t="shared" si="116"/>
        <v/>
      </c>
      <c r="BF208" s="268"/>
      <c r="BG208" s="256" t="str">
        <f t="shared" si="117"/>
        <v/>
      </c>
      <c r="BH208" s="256" t="str">
        <f t="shared" si="118"/>
        <v/>
      </c>
      <c r="BI208" s="256" t="str">
        <f t="shared" si="119"/>
        <v/>
      </c>
      <c r="BJ208" s="267"/>
      <c r="BK208" s="255"/>
      <c r="BL208" s="259" t="str">
        <f>IF(BK208&lt;&gt;"",BK208/VLOOKUP($V208,Setup!$C$30:$D$41,2,0),"")</f>
        <v/>
      </c>
      <c r="BM208" s="268"/>
      <c r="BN208" s="258" t="str">
        <f t="shared" si="120"/>
        <v/>
      </c>
      <c r="BO208" s="268"/>
      <c r="BP208" s="258" t="str">
        <f t="shared" si="121"/>
        <v/>
      </c>
      <c r="BQ208" s="268"/>
      <c r="BR208" s="258" t="str">
        <f t="shared" si="122"/>
        <v/>
      </c>
      <c r="BS208" s="268"/>
      <c r="BT208" s="256" t="str">
        <f t="shared" si="123"/>
        <v/>
      </c>
      <c r="BU208" s="256" t="str">
        <f t="shared" si="124"/>
        <v/>
      </c>
      <c r="BV208" s="256" t="str">
        <f t="shared" si="125"/>
        <v/>
      </c>
      <c r="BW208" s="267"/>
      <c r="BX208" s="256" t="str">
        <f t="shared" si="126"/>
        <v/>
      </c>
      <c r="BY208" s="256" t="str">
        <f t="shared" si="127"/>
        <v/>
      </c>
      <c r="BZ208" s="281"/>
      <c r="CA208" s="282"/>
      <c r="CC208" s="112" t="str">
        <f t="shared" ca="1" si="128"/>
        <v/>
      </c>
      <c r="CF208" s="284"/>
      <c r="CG208" s="284"/>
      <c r="CH208" s="284"/>
      <c r="CI208" s="284"/>
      <c r="CL208" s="356" t="str">
        <f>IFERROR(VLOOKUP(C208,'Data Sheet'!$A$3:$B$26,2,FALSE),"")</f>
        <v/>
      </c>
    </row>
    <row r="209" spans="1:90" s="98" customFormat="1" ht="15.75" x14ac:dyDescent="0.2">
      <c r="A209" s="97"/>
      <c r="B209" s="105" t="str">
        <f t="shared" si="131"/>
        <v>--</v>
      </c>
      <c r="C209" s="276"/>
      <c r="D209" s="101" t="str">
        <f>IFERROR(IF(VLOOKUP(C209,'Data Sheet'!$A$3:$D$26,4,FALSE)=0,"",VLOOKUP(C209,'Data Sheet'!$A$3:$D$26,4,FALSE)),"")</f>
        <v/>
      </c>
      <c r="E209" s="279"/>
      <c r="F209" s="103" t="str">
        <f>IFERROR(IF(VLOOKUP(E209,'Data Sheet'!$C$29:$E$174,3,FALSE)=0,"",VLOOKUP(E209,'Data Sheet'!$C$29:$E$174,3,FALSE)),"")</f>
        <v/>
      </c>
      <c r="G209" s="106" t="str">
        <f t="shared" si="129"/>
        <v>-</v>
      </c>
      <c r="H209" s="273"/>
      <c r="I209" s="107"/>
      <c r="J209" s="249" t="e">
        <f t="shared" si="130"/>
        <v>#VALUE!</v>
      </c>
      <c r="K209" s="101" t="str">
        <f>IFERROR(INDEX('Data Sheet'!$C$198:$C$275,MATCH(I209,'Data Sheet'!$F$198:$F$275,0)),"")</f>
        <v/>
      </c>
      <c r="L209" s="250" t="str">
        <f>IFERROR(INDEX('Data Sheet'!$G$198:$G$275,MATCH(I209,'Data Sheet'!$F$198:$F$275,0)),"")</f>
        <v/>
      </c>
      <c r="M209" s="194"/>
      <c r="N209" s="248"/>
      <c r="O209" s="248"/>
      <c r="P209" s="108" t="str">
        <f>IFERROR(INDEX(Setup!$D$44:$D$70,MATCH(M209,Setup!$K$44:$K$70,0))&amp;"","")</f>
        <v/>
      </c>
      <c r="Q209" s="108" t="str">
        <f>IFERROR(INDEX(Setup!$E$44:$E$70,MATCH(M209,Setup!$K$44:$K$70,0))&amp;"","")</f>
        <v/>
      </c>
      <c r="R209" s="108" t="str">
        <f>IFERROR(INDEX(Setup!$L$44:$L$70,MATCH(M209,Setup!$K$44:$K$70,0))&amp;"","")</f>
        <v/>
      </c>
      <c r="S209" s="108" t="str">
        <f>Setup!$C$30</f>
        <v>USD</v>
      </c>
      <c r="T209" s="109" t="str">
        <f>IFERROR(INDEX('Data Sheet'!$B$198:$B$275,MATCH(I209,'Data Sheet'!$F$198:$F$275,0)),"")</f>
        <v/>
      </c>
      <c r="U209" s="110" t="str">
        <f>IFERROR(INDEX('Data Sheet'!$D$198:$D$275,MATCH(I209,'Data Sheet'!$F$198:$F$275,0)),"")</f>
        <v/>
      </c>
      <c r="V209" s="99"/>
      <c r="W209" s="195" t="str">
        <f>IF(V209=Setup!$C$30,"Grant",IF(V209=Setup!$C$31,"Local",IF(V209=Setup!$C$32,"Other",IF(ISBLANK(V209),"","Other"))))</f>
        <v/>
      </c>
      <c r="X209" s="255"/>
      <c r="Y209" s="259" t="str">
        <f>IF(X209&lt;&gt;"",X209/VLOOKUP($V209,Setup!$C$30:$D$41,2,0),"")</f>
        <v/>
      </c>
      <c r="Z209" s="262"/>
      <c r="AA209" s="256" t="str">
        <f t="shared" si="102"/>
        <v/>
      </c>
      <c r="AB209" s="262"/>
      <c r="AC209" s="258" t="str">
        <f t="shared" si="103"/>
        <v/>
      </c>
      <c r="AD209" s="262"/>
      <c r="AE209" s="258" t="str">
        <f t="shared" si="104"/>
        <v/>
      </c>
      <c r="AF209" s="262"/>
      <c r="AG209" s="256" t="str">
        <f t="shared" si="105"/>
        <v/>
      </c>
      <c r="AH209" s="256" t="str">
        <f t="shared" si="106"/>
        <v/>
      </c>
      <c r="AI209" s="256" t="str">
        <f t="shared" si="107"/>
        <v/>
      </c>
      <c r="AJ209" s="111"/>
      <c r="AK209" s="255"/>
      <c r="AL209" s="259" t="str">
        <f>IF(AK209&lt;&gt;"",AK209/VLOOKUP($V209,Setup!$C$30:$D$41,2,0),"")</f>
        <v/>
      </c>
      <c r="AM209" s="266"/>
      <c r="AN209" s="258" t="str">
        <f t="shared" si="108"/>
        <v/>
      </c>
      <c r="AO209" s="266"/>
      <c r="AP209" s="258" t="str">
        <f t="shared" si="109"/>
        <v/>
      </c>
      <c r="AQ209" s="266"/>
      <c r="AR209" s="258" t="str">
        <f t="shared" si="110"/>
        <v/>
      </c>
      <c r="AS209" s="266"/>
      <c r="AT209" s="256" t="str">
        <f t="shared" si="111"/>
        <v/>
      </c>
      <c r="AU209" s="256" t="str">
        <f t="shared" si="112"/>
        <v/>
      </c>
      <c r="AV209" s="256" t="str">
        <f t="shared" si="113"/>
        <v/>
      </c>
      <c r="AW209" s="267"/>
      <c r="AX209" s="255"/>
      <c r="AY209" s="259" t="str">
        <f>IF(AX209&lt;&gt;"",AX209/VLOOKUP($V209,Setup!$C$30:$D$41,2,0),"")</f>
        <v/>
      </c>
      <c r="AZ209" s="268"/>
      <c r="BA209" s="258" t="str">
        <f t="shared" si="114"/>
        <v/>
      </c>
      <c r="BB209" s="268"/>
      <c r="BC209" s="258" t="str">
        <f t="shared" si="115"/>
        <v/>
      </c>
      <c r="BD209" s="268"/>
      <c r="BE209" s="258" t="str">
        <f t="shared" si="116"/>
        <v/>
      </c>
      <c r="BF209" s="268"/>
      <c r="BG209" s="256" t="str">
        <f t="shared" si="117"/>
        <v/>
      </c>
      <c r="BH209" s="256" t="str">
        <f t="shared" si="118"/>
        <v/>
      </c>
      <c r="BI209" s="256" t="str">
        <f t="shared" si="119"/>
        <v/>
      </c>
      <c r="BJ209" s="267"/>
      <c r="BK209" s="255"/>
      <c r="BL209" s="259" t="str">
        <f>IF(BK209&lt;&gt;"",BK209/VLOOKUP($V209,Setup!$C$30:$D$41,2,0),"")</f>
        <v/>
      </c>
      <c r="BM209" s="268"/>
      <c r="BN209" s="258" t="str">
        <f t="shared" si="120"/>
        <v/>
      </c>
      <c r="BO209" s="268"/>
      <c r="BP209" s="258" t="str">
        <f t="shared" si="121"/>
        <v/>
      </c>
      <c r="BQ209" s="268"/>
      <c r="BR209" s="258" t="str">
        <f t="shared" si="122"/>
        <v/>
      </c>
      <c r="BS209" s="268"/>
      <c r="BT209" s="256" t="str">
        <f t="shared" si="123"/>
        <v/>
      </c>
      <c r="BU209" s="256" t="str">
        <f t="shared" si="124"/>
        <v/>
      </c>
      <c r="BV209" s="256" t="str">
        <f t="shared" si="125"/>
        <v/>
      </c>
      <c r="BW209" s="267"/>
      <c r="BX209" s="256" t="str">
        <f t="shared" si="126"/>
        <v/>
      </c>
      <c r="BY209" s="256" t="str">
        <f t="shared" si="127"/>
        <v/>
      </c>
      <c r="BZ209" s="281"/>
      <c r="CA209" s="282"/>
      <c r="CC209" s="112" t="str">
        <f t="shared" ca="1" si="128"/>
        <v/>
      </c>
      <c r="CF209" s="284"/>
      <c r="CG209" s="284"/>
      <c r="CH209" s="284"/>
      <c r="CI209" s="284"/>
      <c r="CL209" s="356" t="str">
        <f>IFERROR(VLOOKUP(C209,'Data Sheet'!$A$3:$B$26,2,FALSE),"")</f>
        <v/>
      </c>
    </row>
    <row r="210" spans="1:90" s="98" customFormat="1" ht="15.75" x14ac:dyDescent="0.2">
      <c r="A210" s="97"/>
      <c r="B210" s="105" t="str">
        <f t="shared" si="131"/>
        <v>--</v>
      </c>
      <c r="C210" s="276"/>
      <c r="D210" s="101" t="str">
        <f>IFERROR(IF(VLOOKUP(C210,'Data Sheet'!$A$3:$D$26,4,FALSE)=0,"",VLOOKUP(C210,'Data Sheet'!$A$3:$D$26,4,FALSE)),"")</f>
        <v/>
      </c>
      <c r="E210" s="279"/>
      <c r="F210" s="103" t="str">
        <f>IFERROR(IF(VLOOKUP(E210,'Data Sheet'!$C$29:$E$174,3,FALSE)=0,"",VLOOKUP(E210,'Data Sheet'!$C$29:$E$174,3,FALSE)),"")</f>
        <v/>
      </c>
      <c r="G210" s="106" t="str">
        <f t="shared" si="129"/>
        <v>-</v>
      </c>
      <c r="H210" s="273"/>
      <c r="I210" s="107"/>
      <c r="J210" s="249" t="e">
        <f t="shared" si="130"/>
        <v>#VALUE!</v>
      </c>
      <c r="K210" s="101" t="str">
        <f>IFERROR(INDEX('Data Sheet'!$C$198:$C$275,MATCH(I210,'Data Sheet'!$F$198:$F$275,0)),"")</f>
        <v/>
      </c>
      <c r="L210" s="250" t="str">
        <f>IFERROR(INDEX('Data Sheet'!$G$198:$G$275,MATCH(I210,'Data Sheet'!$F$198:$F$275,0)),"")</f>
        <v/>
      </c>
      <c r="M210" s="194"/>
      <c r="N210" s="248"/>
      <c r="O210" s="248"/>
      <c r="P210" s="108" t="str">
        <f>IFERROR(INDEX(Setup!$D$44:$D$70,MATCH(M210,Setup!$K$44:$K$70,0))&amp;"","")</f>
        <v/>
      </c>
      <c r="Q210" s="108" t="str">
        <f>IFERROR(INDEX(Setup!$E$44:$E$70,MATCH(M210,Setup!$K$44:$K$70,0))&amp;"","")</f>
        <v/>
      </c>
      <c r="R210" s="108" t="str">
        <f>IFERROR(INDEX(Setup!$L$44:$L$70,MATCH(M210,Setup!$K$44:$K$70,0))&amp;"","")</f>
        <v/>
      </c>
      <c r="S210" s="108" t="str">
        <f>Setup!$C$30</f>
        <v>USD</v>
      </c>
      <c r="T210" s="109" t="str">
        <f>IFERROR(INDEX('Data Sheet'!$B$198:$B$275,MATCH(I210,'Data Sheet'!$F$198:$F$275,0)),"")</f>
        <v/>
      </c>
      <c r="U210" s="110" t="str">
        <f>IFERROR(INDEX('Data Sheet'!$D$198:$D$275,MATCH(I210,'Data Sheet'!$F$198:$F$275,0)),"")</f>
        <v/>
      </c>
      <c r="V210" s="99"/>
      <c r="W210" s="195" t="str">
        <f>IF(V210=Setup!$C$30,"Grant",IF(V210=Setup!$C$31,"Local",IF(V210=Setup!$C$32,"Other",IF(ISBLANK(V210),"","Other"))))</f>
        <v/>
      </c>
      <c r="X210" s="255"/>
      <c r="Y210" s="259" t="str">
        <f>IF(X210&lt;&gt;"",X210/VLOOKUP($V210,Setup!$C$30:$D$41,2,0),"")</f>
        <v/>
      </c>
      <c r="Z210" s="262"/>
      <c r="AA210" s="256" t="str">
        <f t="shared" si="102"/>
        <v/>
      </c>
      <c r="AB210" s="262"/>
      <c r="AC210" s="258" t="str">
        <f t="shared" si="103"/>
        <v/>
      </c>
      <c r="AD210" s="262"/>
      <c r="AE210" s="258" t="str">
        <f t="shared" si="104"/>
        <v/>
      </c>
      <c r="AF210" s="262"/>
      <c r="AG210" s="256" t="str">
        <f t="shared" si="105"/>
        <v/>
      </c>
      <c r="AH210" s="256" t="str">
        <f t="shared" si="106"/>
        <v/>
      </c>
      <c r="AI210" s="256" t="str">
        <f t="shared" si="107"/>
        <v/>
      </c>
      <c r="AJ210" s="111"/>
      <c r="AK210" s="255"/>
      <c r="AL210" s="259" t="str">
        <f>IF(AK210&lt;&gt;"",AK210/VLOOKUP($V210,Setup!$C$30:$D$41,2,0),"")</f>
        <v/>
      </c>
      <c r="AM210" s="266"/>
      <c r="AN210" s="258" t="str">
        <f t="shared" si="108"/>
        <v/>
      </c>
      <c r="AO210" s="266"/>
      <c r="AP210" s="258" t="str">
        <f t="shared" si="109"/>
        <v/>
      </c>
      <c r="AQ210" s="266"/>
      <c r="AR210" s="258" t="str">
        <f t="shared" si="110"/>
        <v/>
      </c>
      <c r="AS210" s="266"/>
      <c r="AT210" s="256" t="str">
        <f t="shared" si="111"/>
        <v/>
      </c>
      <c r="AU210" s="256" t="str">
        <f t="shared" si="112"/>
        <v/>
      </c>
      <c r="AV210" s="256" t="str">
        <f t="shared" si="113"/>
        <v/>
      </c>
      <c r="AW210" s="267"/>
      <c r="AX210" s="255"/>
      <c r="AY210" s="259" t="str">
        <f>IF(AX210&lt;&gt;"",AX210/VLOOKUP($V210,Setup!$C$30:$D$41,2,0),"")</f>
        <v/>
      </c>
      <c r="AZ210" s="268"/>
      <c r="BA210" s="258" t="str">
        <f t="shared" si="114"/>
        <v/>
      </c>
      <c r="BB210" s="268"/>
      <c r="BC210" s="258" t="str">
        <f t="shared" si="115"/>
        <v/>
      </c>
      <c r="BD210" s="268"/>
      <c r="BE210" s="258" t="str">
        <f t="shared" si="116"/>
        <v/>
      </c>
      <c r="BF210" s="268"/>
      <c r="BG210" s="256" t="str">
        <f t="shared" si="117"/>
        <v/>
      </c>
      <c r="BH210" s="256" t="str">
        <f t="shared" si="118"/>
        <v/>
      </c>
      <c r="BI210" s="256" t="str">
        <f t="shared" si="119"/>
        <v/>
      </c>
      <c r="BJ210" s="267"/>
      <c r="BK210" s="255"/>
      <c r="BL210" s="259" t="str">
        <f>IF(BK210&lt;&gt;"",BK210/VLOOKUP($V210,Setup!$C$30:$D$41,2,0),"")</f>
        <v/>
      </c>
      <c r="BM210" s="268"/>
      <c r="BN210" s="258" t="str">
        <f t="shared" si="120"/>
        <v/>
      </c>
      <c r="BO210" s="268"/>
      <c r="BP210" s="258" t="str">
        <f t="shared" si="121"/>
        <v/>
      </c>
      <c r="BQ210" s="268"/>
      <c r="BR210" s="258" t="str">
        <f t="shared" si="122"/>
        <v/>
      </c>
      <c r="BS210" s="268"/>
      <c r="BT210" s="256" t="str">
        <f t="shared" si="123"/>
        <v/>
      </c>
      <c r="BU210" s="256" t="str">
        <f t="shared" si="124"/>
        <v/>
      </c>
      <c r="BV210" s="256" t="str">
        <f t="shared" si="125"/>
        <v/>
      </c>
      <c r="BW210" s="267"/>
      <c r="BX210" s="256" t="str">
        <f t="shared" si="126"/>
        <v/>
      </c>
      <c r="BY210" s="256" t="str">
        <f t="shared" si="127"/>
        <v/>
      </c>
      <c r="BZ210" s="281"/>
      <c r="CA210" s="282"/>
      <c r="CC210" s="112" t="str">
        <f t="shared" ca="1" si="128"/>
        <v/>
      </c>
      <c r="CF210" s="284"/>
      <c r="CG210" s="284"/>
      <c r="CH210" s="284"/>
      <c r="CI210" s="284"/>
      <c r="CL210" s="356" t="str">
        <f>IFERROR(VLOOKUP(C210,'Data Sheet'!$A$3:$B$26,2,FALSE),"")</f>
        <v/>
      </c>
    </row>
    <row r="211" spans="1:90" s="98" customFormat="1" ht="15.75" x14ac:dyDescent="0.2">
      <c r="A211" s="97"/>
      <c r="B211" s="105" t="str">
        <f t="shared" si="131"/>
        <v>--</v>
      </c>
      <c r="C211" s="276"/>
      <c r="D211" s="101" t="str">
        <f>IFERROR(IF(VLOOKUP(C211,'Data Sheet'!$A$3:$D$26,4,FALSE)=0,"",VLOOKUP(C211,'Data Sheet'!$A$3:$D$26,4,FALSE)),"")</f>
        <v/>
      </c>
      <c r="E211" s="279"/>
      <c r="F211" s="103" t="str">
        <f>IFERROR(IF(VLOOKUP(E211,'Data Sheet'!$C$29:$E$174,3,FALSE)=0,"",VLOOKUP(E211,'Data Sheet'!$C$29:$E$174,3,FALSE)),"")</f>
        <v/>
      </c>
      <c r="G211" s="106" t="str">
        <f t="shared" si="129"/>
        <v>-</v>
      </c>
      <c r="H211" s="273"/>
      <c r="I211" s="107"/>
      <c r="J211" s="249" t="e">
        <f t="shared" si="130"/>
        <v>#VALUE!</v>
      </c>
      <c r="K211" s="101" t="str">
        <f>IFERROR(INDEX('Data Sheet'!$C$198:$C$275,MATCH(I211,'Data Sheet'!$F$198:$F$275,0)),"")</f>
        <v/>
      </c>
      <c r="L211" s="250" t="str">
        <f>IFERROR(INDEX('Data Sheet'!$G$198:$G$275,MATCH(I211,'Data Sheet'!$F$198:$F$275,0)),"")</f>
        <v/>
      </c>
      <c r="M211" s="194"/>
      <c r="N211" s="248"/>
      <c r="O211" s="248"/>
      <c r="P211" s="108" t="str">
        <f>IFERROR(INDEX(Setup!$D$44:$D$70,MATCH(M211,Setup!$K$44:$K$70,0))&amp;"","")</f>
        <v/>
      </c>
      <c r="Q211" s="108" t="str">
        <f>IFERROR(INDEX(Setup!$E$44:$E$70,MATCH(M211,Setup!$K$44:$K$70,0))&amp;"","")</f>
        <v/>
      </c>
      <c r="R211" s="108" t="str">
        <f>IFERROR(INDEX(Setup!$L$44:$L$70,MATCH(M211,Setup!$K$44:$K$70,0))&amp;"","")</f>
        <v/>
      </c>
      <c r="S211" s="108" t="str">
        <f>Setup!$C$30</f>
        <v>USD</v>
      </c>
      <c r="T211" s="109" t="str">
        <f>IFERROR(INDEX('Data Sheet'!$B$198:$B$275,MATCH(I211,'Data Sheet'!$F$198:$F$275,0)),"")</f>
        <v/>
      </c>
      <c r="U211" s="110" t="str">
        <f>IFERROR(INDEX('Data Sheet'!$D$198:$D$275,MATCH(I211,'Data Sheet'!$F$198:$F$275,0)),"")</f>
        <v/>
      </c>
      <c r="V211" s="99"/>
      <c r="W211" s="195" t="str">
        <f>IF(V211=Setup!$C$30,"Grant",IF(V211=Setup!$C$31,"Local",IF(V211=Setup!$C$32,"Other",IF(ISBLANK(V211),"","Other"))))</f>
        <v/>
      </c>
      <c r="X211" s="255"/>
      <c r="Y211" s="259" t="str">
        <f>IF(X211&lt;&gt;"",X211/VLOOKUP($V211,Setup!$C$30:$D$41,2,0),"")</f>
        <v/>
      </c>
      <c r="Z211" s="262"/>
      <c r="AA211" s="256" t="str">
        <f t="shared" si="102"/>
        <v/>
      </c>
      <c r="AB211" s="262"/>
      <c r="AC211" s="258" t="str">
        <f t="shared" si="103"/>
        <v/>
      </c>
      <c r="AD211" s="262"/>
      <c r="AE211" s="258" t="str">
        <f t="shared" si="104"/>
        <v/>
      </c>
      <c r="AF211" s="262"/>
      <c r="AG211" s="256" t="str">
        <f t="shared" si="105"/>
        <v/>
      </c>
      <c r="AH211" s="256" t="str">
        <f t="shared" si="106"/>
        <v/>
      </c>
      <c r="AI211" s="256" t="str">
        <f t="shared" si="107"/>
        <v/>
      </c>
      <c r="AJ211" s="111"/>
      <c r="AK211" s="255"/>
      <c r="AL211" s="259" t="str">
        <f>IF(AK211&lt;&gt;"",AK211/VLOOKUP($V211,Setup!$C$30:$D$41,2,0),"")</f>
        <v/>
      </c>
      <c r="AM211" s="266"/>
      <c r="AN211" s="258" t="str">
        <f t="shared" si="108"/>
        <v/>
      </c>
      <c r="AO211" s="266"/>
      <c r="AP211" s="258" t="str">
        <f t="shared" si="109"/>
        <v/>
      </c>
      <c r="AQ211" s="266"/>
      <c r="AR211" s="258" t="str">
        <f t="shared" si="110"/>
        <v/>
      </c>
      <c r="AS211" s="266"/>
      <c r="AT211" s="256" t="str">
        <f t="shared" si="111"/>
        <v/>
      </c>
      <c r="AU211" s="256" t="str">
        <f t="shared" si="112"/>
        <v/>
      </c>
      <c r="AV211" s="256" t="str">
        <f t="shared" si="113"/>
        <v/>
      </c>
      <c r="AW211" s="267"/>
      <c r="AX211" s="255"/>
      <c r="AY211" s="259" t="str">
        <f>IF(AX211&lt;&gt;"",AX211/VLOOKUP($V211,Setup!$C$30:$D$41,2,0),"")</f>
        <v/>
      </c>
      <c r="AZ211" s="268"/>
      <c r="BA211" s="258" t="str">
        <f t="shared" si="114"/>
        <v/>
      </c>
      <c r="BB211" s="268"/>
      <c r="BC211" s="258" t="str">
        <f t="shared" si="115"/>
        <v/>
      </c>
      <c r="BD211" s="268"/>
      <c r="BE211" s="258" t="str">
        <f t="shared" si="116"/>
        <v/>
      </c>
      <c r="BF211" s="268"/>
      <c r="BG211" s="256" t="str">
        <f t="shared" si="117"/>
        <v/>
      </c>
      <c r="BH211" s="256" t="str">
        <f t="shared" si="118"/>
        <v/>
      </c>
      <c r="BI211" s="256" t="str">
        <f t="shared" si="119"/>
        <v/>
      </c>
      <c r="BJ211" s="267"/>
      <c r="BK211" s="255"/>
      <c r="BL211" s="259" t="str">
        <f>IF(BK211&lt;&gt;"",BK211/VLOOKUP($V211,Setup!$C$30:$D$41,2,0),"")</f>
        <v/>
      </c>
      <c r="BM211" s="268"/>
      <c r="BN211" s="258" t="str">
        <f t="shared" si="120"/>
        <v/>
      </c>
      <c r="BO211" s="268"/>
      <c r="BP211" s="258" t="str">
        <f t="shared" si="121"/>
        <v/>
      </c>
      <c r="BQ211" s="268"/>
      <c r="BR211" s="258" t="str">
        <f t="shared" si="122"/>
        <v/>
      </c>
      <c r="BS211" s="268"/>
      <c r="BT211" s="256" t="str">
        <f t="shared" si="123"/>
        <v/>
      </c>
      <c r="BU211" s="256" t="str">
        <f t="shared" si="124"/>
        <v/>
      </c>
      <c r="BV211" s="256" t="str">
        <f t="shared" si="125"/>
        <v/>
      </c>
      <c r="BW211" s="267"/>
      <c r="BX211" s="256" t="str">
        <f t="shared" si="126"/>
        <v/>
      </c>
      <c r="BY211" s="256" t="str">
        <f t="shared" si="127"/>
        <v/>
      </c>
      <c r="BZ211" s="281"/>
      <c r="CA211" s="282"/>
      <c r="CC211" s="112" t="str">
        <f t="shared" ca="1" si="128"/>
        <v/>
      </c>
      <c r="CF211" s="284"/>
      <c r="CG211" s="284"/>
      <c r="CH211" s="284"/>
      <c r="CI211" s="284"/>
      <c r="CL211" s="356" t="str">
        <f>IFERROR(VLOOKUP(C211,'Data Sheet'!$A$3:$B$26,2,FALSE),"")</f>
        <v/>
      </c>
    </row>
    <row r="212" spans="1:90" s="98" customFormat="1" ht="15.75" x14ac:dyDescent="0.2">
      <c r="A212" s="97"/>
      <c r="B212" s="105" t="str">
        <f t="shared" si="131"/>
        <v>--</v>
      </c>
      <c r="C212" s="276"/>
      <c r="D212" s="101" t="str">
        <f>IFERROR(IF(VLOOKUP(C212,'Data Sheet'!$A$3:$D$26,4,FALSE)=0,"",VLOOKUP(C212,'Data Sheet'!$A$3:$D$26,4,FALSE)),"")</f>
        <v/>
      </c>
      <c r="E212" s="279"/>
      <c r="F212" s="103" t="str">
        <f>IFERROR(IF(VLOOKUP(E212,'Data Sheet'!$C$29:$E$174,3,FALSE)=0,"",VLOOKUP(E212,'Data Sheet'!$C$29:$E$174,3,FALSE)),"")</f>
        <v/>
      </c>
      <c r="G212" s="106" t="str">
        <f t="shared" si="129"/>
        <v>-</v>
      </c>
      <c r="H212" s="273"/>
      <c r="I212" s="107"/>
      <c r="J212" s="249" t="e">
        <f t="shared" si="130"/>
        <v>#VALUE!</v>
      </c>
      <c r="K212" s="101" t="str">
        <f>IFERROR(INDEX('Data Sheet'!$C$198:$C$275,MATCH(I212,'Data Sheet'!$F$198:$F$275,0)),"")</f>
        <v/>
      </c>
      <c r="L212" s="250" t="str">
        <f>IFERROR(INDEX('Data Sheet'!$G$198:$G$275,MATCH(I212,'Data Sheet'!$F$198:$F$275,0)),"")</f>
        <v/>
      </c>
      <c r="M212" s="194"/>
      <c r="N212" s="248"/>
      <c r="O212" s="248"/>
      <c r="P212" s="108" t="str">
        <f>IFERROR(INDEX(Setup!$D$44:$D$70,MATCH(M212,Setup!$K$44:$K$70,0))&amp;"","")</f>
        <v/>
      </c>
      <c r="Q212" s="108" t="str">
        <f>IFERROR(INDEX(Setup!$E$44:$E$70,MATCH(M212,Setup!$K$44:$K$70,0))&amp;"","")</f>
        <v/>
      </c>
      <c r="R212" s="108" t="str">
        <f>IFERROR(INDEX(Setup!$L$44:$L$70,MATCH(M212,Setup!$K$44:$K$70,0))&amp;"","")</f>
        <v/>
      </c>
      <c r="S212" s="108" t="str">
        <f>Setup!$C$30</f>
        <v>USD</v>
      </c>
      <c r="T212" s="109" t="str">
        <f>IFERROR(INDEX('Data Sheet'!$B$198:$B$275,MATCH(I212,'Data Sheet'!$F$198:$F$275,0)),"")</f>
        <v/>
      </c>
      <c r="U212" s="110" t="str">
        <f>IFERROR(INDEX('Data Sheet'!$D$198:$D$275,MATCH(I212,'Data Sheet'!$F$198:$F$275,0)),"")</f>
        <v/>
      </c>
      <c r="V212" s="99"/>
      <c r="W212" s="195" t="str">
        <f>IF(V212=Setup!$C$30,"Grant",IF(V212=Setup!$C$31,"Local",IF(V212=Setup!$C$32,"Other",IF(ISBLANK(V212),"","Other"))))</f>
        <v/>
      </c>
      <c r="X212" s="255"/>
      <c r="Y212" s="259" t="str">
        <f>IF(X212&lt;&gt;"",X212/VLOOKUP($V212,Setup!$C$30:$D$41,2,0),"")</f>
        <v/>
      </c>
      <c r="Z212" s="262"/>
      <c r="AA212" s="256" t="str">
        <f t="shared" si="102"/>
        <v/>
      </c>
      <c r="AB212" s="262"/>
      <c r="AC212" s="258" t="str">
        <f t="shared" si="103"/>
        <v/>
      </c>
      <c r="AD212" s="262"/>
      <c r="AE212" s="258" t="str">
        <f t="shared" si="104"/>
        <v/>
      </c>
      <c r="AF212" s="262"/>
      <c r="AG212" s="256" t="str">
        <f t="shared" si="105"/>
        <v/>
      </c>
      <c r="AH212" s="256" t="str">
        <f t="shared" si="106"/>
        <v/>
      </c>
      <c r="AI212" s="256" t="str">
        <f t="shared" si="107"/>
        <v/>
      </c>
      <c r="AJ212" s="111"/>
      <c r="AK212" s="255"/>
      <c r="AL212" s="259" t="str">
        <f>IF(AK212&lt;&gt;"",AK212/VLOOKUP($V212,Setup!$C$30:$D$41,2,0),"")</f>
        <v/>
      </c>
      <c r="AM212" s="266"/>
      <c r="AN212" s="258" t="str">
        <f t="shared" si="108"/>
        <v/>
      </c>
      <c r="AO212" s="266"/>
      <c r="AP212" s="258" t="str">
        <f t="shared" si="109"/>
        <v/>
      </c>
      <c r="AQ212" s="266"/>
      <c r="AR212" s="258" t="str">
        <f t="shared" si="110"/>
        <v/>
      </c>
      <c r="AS212" s="266"/>
      <c r="AT212" s="256" t="str">
        <f t="shared" si="111"/>
        <v/>
      </c>
      <c r="AU212" s="256" t="str">
        <f t="shared" si="112"/>
        <v/>
      </c>
      <c r="AV212" s="256" t="str">
        <f t="shared" si="113"/>
        <v/>
      </c>
      <c r="AW212" s="267"/>
      <c r="AX212" s="255"/>
      <c r="AY212" s="259" t="str">
        <f>IF(AX212&lt;&gt;"",AX212/VLOOKUP($V212,Setup!$C$30:$D$41,2,0),"")</f>
        <v/>
      </c>
      <c r="AZ212" s="268"/>
      <c r="BA212" s="258" t="str">
        <f t="shared" si="114"/>
        <v/>
      </c>
      <c r="BB212" s="268"/>
      <c r="BC212" s="258" t="str">
        <f t="shared" si="115"/>
        <v/>
      </c>
      <c r="BD212" s="268"/>
      <c r="BE212" s="258" t="str">
        <f t="shared" si="116"/>
        <v/>
      </c>
      <c r="BF212" s="268"/>
      <c r="BG212" s="256" t="str">
        <f t="shared" si="117"/>
        <v/>
      </c>
      <c r="BH212" s="256" t="str">
        <f t="shared" si="118"/>
        <v/>
      </c>
      <c r="BI212" s="256" t="str">
        <f t="shared" si="119"/>
        <v/>
      </c>
      <c r="BJ212" s="267"/>
      <c r="BK212" s="255"/>
      <c r="BL212" s="259" t="str">
        <f>IF(BK212&lt;&gt;"",BK212/VLOOKUP($V212,Setup!$C$30:$D$41,2,0),"")</f>
        <v/>
      </c>
      <c r="BM212" s="268"/>
      <c r="BN212" s="258" t="str">
        <f t="shared" si="120"/>
        <v/>
      </c>
      <c r="BO212" s="268"/>
      <c r="BP212" s="258" t="str">
        <f t="shared" si="121"/>
        <v/>
      </c>
      <c r="BQ212" s="268"/>
      <c r="BR212" s="258" t="str">
        <f t="shared" si="122"/>
        <v/>
      </c>
      <c r="BS212" s="268"/>
      <c r="BT212" s="256" t="str">
        <f t="shared" si="123"/>
        <v/>
      </c>
      <c r="BU212" s="256" t="str">
        <f t="shared" si="124"/>
        <v/>
      </c>
      <c r="BV212" s="256" t="str">
        <f t="shared" si="125"/>
        <v/>
      </c>
      <c r="BW212" s="267"/>
      <c r="BX212" s="256" t="str">
        <f t="shared" si="126"/>
        <v/>
      </c>
      <c r="BY212" s="256" t="str">
        <f t="shared" si="127"/>
        <v/>
      </c>
      <c r="BZ212" s="281"/>
      <c r="CA212" s="282"/>
      <c r="CC212" s="112" t="str">
        <f t="shared" ca="1" si="128"/>
        <v/>
      </c>
      <c r="CF212" s="284"/>
      <c r="CG212" s="284"/>
      <c r="CH212" s="284"/>
      <c r="CI212" s="284"/>
      <c r="CL212" s="356" t="str">
        <f>IFERROR(VLOOKUP(C212,'Data Sheet'!$A$3:$B$26,2,FALSE),"")</f>
        <v/>
      </c>
    </row>
    <row r="213" spans="1:90" s="98" customFormat="1" ht="15.75" x14ac:dyDescent="0.2">
      <c r="A213" s="97"/>
      <c r="B213" s="105" t="str">
        <f t="shared" si="131"/>
        <v>--</v>
      </c>
      <c r="C213" s="276"/>
      <c r="D213" s="101" t="str">
        <f>IFERROR(IF(VLOOKUP(C213,'Data Sheet'!$A$3:$D$26,4,FALSE)=0,"",VLOOKUP(C213,'Data Sheet'!$A$3:$D$26,4,FALSE)),"")</f>
        <v/>
      </c>
      <c r="E213" s="279"/>
      <c r="F213" s="103" t="str">
        <f>IFERROR(IF(VLOOKUP(E213,'Data Sheet'!$C$29:$E$174,3,FALSE)=0,"",VLOOKUP(E213,'Data Sheet'!$C$29:$E$174,3,FALSE)),"")</f>
        <v/>
      </c>
      <c r="G213" s="106" t="str">
        <f t="shared" si="129"/>
        <v>-</v>
      </c>
      <c r="H213" s="273"/>
      <c r="I213" s="107"/>
      <c r="J213" s="249" t="e">
        <f t="shared" si="130"/>
        <v>#VALUE!</v>
      </c>
      <c r="K213" s="101" t="str">
        <f>IFERROR(INDEX('Data Sheet'!$C$198:$C$275,MATCH(I213,'Data Sheet'!$F$198:$F$275,0)),"")</f>
        <v/>
      </c>
      <c r="L213" s="250" t="str">
        <f>IFERROR(INDEX('Data Sheet'!$G$198:$G$275,MATCH(I213,'Data Sheet'!$F$198:$F$275,0)),"")</f>
        <v/>
      </c>
      <c r="M213" s="194"/>
      <c r="N213" s="248"/>
      <c r="O213" s="248"/>
      <c r="P213" s="108" t="str">
        <f>IFERROR(INDEX(Setup!$D$44:$D$70,MATCH(M213,Setup!$K$44:$K$70,0))&amp;"","")</f>
        <v/>
      </c>
      <c r="Q213" s="108" t="str">
        <f>IFERROR(INDEX(Setup!$E$44:$E$70,MATCH(M213,Setup!$K$44:$K$70,0))&amp;"","")</f>
        <v/>
      </c>
      <c r="R213" s="108" t="str">
        <f>IFERROR(INDEX(Setup!$L$44:$L$70,MATCH(M213,Setup!$K$44:$K$70,0))&amp;"","")</f>
        <v/>
      </c>
      <c r="S213" s="108" t="str">
        <f>Setup!$C$30</f>
        <v>USD</v>
      </c>
      <c r="T213" s="109" t="str">
        <f>IFERROR(INDEX('Data Sheet'!$B$198:$B$275,MATCH(I213,'Data Sheet'!$F$198:$F$275,0)),"")</f>
        <v/>
      </c>
      <c r="U213" s="110" t="str">
        <f>IFERROR(INDEX('Data Sheet'!$D$198:$D$275,MATCH(I213,'Data Sheet'!$F$198:$F$275,0)),"")</f>
        <v/>
      </c>
      <c r="V213" s="99"/>
      <c r="W213" s="195" t="str">
        <f>IF(V213=Setup!$C$30,"Grant",IF(V213=Setup!$C$31,"Local",IF(V213=Setup!$C$32,"Other",IF(ISBLANK(V213),"","Other"))))</f>
        <v/>
      </c>
      <c r="X213" s="255"/>
      <c r="Y213" s="259" t="str">
        <f>IF(X213&lt;&gt;"",X213/VLOOKUP($V213,Setup!$C$30:$D$41,2,0),"")</f>
        <v/>
      </c>
      <c r="Z213" s="262"/>
      <c r="AA213" s="256" t="str">
        <f t="shared" si="102"/>
        <v/>
      </c>
      <c r="AB213" s="262"/>
      <c r="AC213" s="258" t="str">
        <f t="shared" si="103"/>
        <v/>
      </c>
      <c r="AD213" s="262"/>
      <c r="AE213" s="258" t="str">
        <f t="shared" si="104"/>
        <v/>
      </c>
      <c r="AF213" s="262"/>
      <c r="AG213" s="256" t="str">
        <f t="shared" si="105"/>
        <v/>
      </c>
      <c r="AH213" s="256" t="str">
        <f t="shared" si="106"/>
        <v/>
      </c>
      <c r="AI213" s="256" t="str">
        <f t="shared" si="107"/>
        <v/>
      </c>
      <c r="AJ213" s="111"/>
      <c r="AK213" s="255"/>
      <c r="AL213" s="259" t="str">
        <f>IF(AK213&lt;&gt;"",AK213/VLOOKUP($V213,Setup!$C$30:$D$41,2,0),"")</f>
        <v/>
      </c>
      <c r="AM213" s="266"/>
      <c r="AN213" s="258" t="str">
        <f t="shared" si="108"/>
        <v/>
      </c>
      <c r="AO213" s="266"/>
      <c r="AP213" s="258" t="str">
        <f t="shared" si="109"/>
        <v/>
      </c>
      <c r="AQ213" s="266"/>
      <c r="AR213" s="258" t="str">
        <f t="shared" si="110"/>
        <v/>
      </c>
      <c r="AS213" s="266"/>
      <c r="AT213" s="256" t="str">
        <f t="shared" si="111"/>
        <v/>
      </c>
      <c r="AU213" s="256" t="str">
        <f t="shared" si="112"/>
        <v/>
      </c>
      <c r="AV213" s="256" t="str">
        <f t="shared" si="113"/>
        <v/>
      </c>
      <c r="AW213" s="267"/>
      <c r="AX213" s="255"/>
      <c r="AY213" s="259" t="str">
        <f>IF(AX213&lt;&gt;"",AX213/VLOOKUP($V213,Setup!$C$30:$D$41,2,0),"")</f>
        <v/>
      </c>
      <c r="AZ213" s="268"/>
      <c r="BA213" s="258" t="str">
        <f t="shared" si="114"/>
        <v/>
      </c>
      <c r="BB213" s="268"/>
      <c r="BC213" s="258" t="str">
        <f t="shared" si="115"/>
        <v/>
      </c>
      <c r="BD213" s="268"/>
      <c r="BE213" s="258" t="str">
        <f t="shared" si="116"/>
        <v/>
      </c>
      <c r="BF213" s="268"/>
      <c r="BG213" s="256" t="str">
        <f t="shared" si="117"/>
        <v/>
      </c>
      <c r="BH213" s="256" t="str">
        <f t="shared" si="118"/>
        <v/>
      </c>
      <c r="BI213" s="256" t="str">
        <f t="shared" si="119"/>
        <v/>
      </c>
      <c r="BJ213" s="267"/>
      <c r="BK213" s="255"/>
      <c r="BL213" s="259" t="str">
        <f>IF(BK213&lt;&gt;"",BK213/VLOOKUP($V213,Setup!$C$30:$D$41,2,0),"")</f>
        <v/>
      </c>
      <c r="BM213" s="268"/>
      <c r="BN213" s="258" t="str">
        <f t="shared" si="120"/>
        <v/>
      </c>
      <c r="BO213" s="268"/>
      <c r="BP213" s="258" t="str">
        <f t="shared" si="121"/>
        <v/>
      </c>
      <c r="BQ213" s="268"/>
      <c r="BR213" s="258" t="str">
        <f t="shared" si="122"/>
        <v/>
      </c>
      <c r="BS213" s="268"/>
      <c r="BT213" s="256" t="str">
        <f t="shared" si="123"/>
        <v/>
      </c>
      <c r="BU213" s="256" t="str">
        <f t="shared" si="124"/>
        <v/>
      </c>
      <c r="BV213" s="256" t="str">
        <f t="shared" si="125"/>
        <v/>
      </c>
      <c r="BW213" s="267"/>
      <c r="BX213" s="256" t="str">
        <f t="shared" si="126"/>
        <v/>
      </c>
      <c r="BY213" s="256" t="str">
        <f t="shared" si="127"/>
        <v/>
      </c>
      <c r="BZ213" s="281"/>
      <c r="CA213" s="282"/>
      <c r="CC213" s="112" t="str">
        <f t="shared" ca="1" si="128"/>
        <v/>
      </c>
      <c r="CF213" s="284"/>
      <c r="CG213" s="284"/>
      <c r="CH213" s="284"/>
      <c r="CI213" s="284"/>
      <c r="CL213" s="356" t="str">
        <f>IFERROR(VLOOKUP(C213,'Data Sheet'!$A$3:$B$26,2,FALSE),"")</f>
        <v/>
      </c>
    </row>
    <row r="214" spans="1:90" s="98" customFormat="1" ht="15.75" x14ac:dyDescent="0.2">
      <c r="A214" s="97"/>
      <c r="B214" s="105" t="str">
        <f t="shared" si="131"/>
        <v>--</v>
      </c>
      <c r="C214" s="276"/>
      <c r="D214" s="101" t="str">
        <f>IFERROR(IF(VLOOKUP(C214,'Data Sheet'!$A$3:$D$26,4,FALSE)=0,"",VLOOKUP(C214,'Data Sheet'!$A$3:$D$26,4,FALSE)),"")</f>
        <v/>
      </c>
      <c r="E214" s="279"/>
      <c r="F214" s="103" t="str">
        <f>IFERROR(IF(VLOOKUP(E214,'Data Sheet'!$C$29:$E$174,3,FALSE)=0,"",VLOOKUP(E214,'Data Sheet'!$C$29:$E$174,3,FALSE)),"")</f>
        <v/>
      </c>
      <c r="G214" s="106" t="str">
        <f t="shared" si="129"/>
        <v>-</v>
      </c>
      <c r="H214" s="273"/>
      <c r="I214" s="107"/>
      <c r="J214" s="249" t="e">
        <f t="shared" si="130"/>
        <v>#VALUE!</v>
      </c>
      <c r="K214" s="101" t="str">
        <f>IFERROR(INDEX('Data Sheet'!$C$198:$C$275,MATCH(I214,'Data Sheet'!$F$198:$F$275,0)),"")</f>
        <v/>
      </c>
      <c r="L214" s="250" t="str">
        <f>IFERROR(INDEX('Data Sheet'!$G$198:$G$275,MATCH(I214,'Data Sheet'!$F$198:$F$275,0)),"")</f>
        <v/>
      </c>
      <c r="M214" s="194"/>
      <c r="N214" s="248"/>
      <c r="O214" s="248"/>
      <c r="P214" s="108" t="str">
        <f>IFERROR(INDEX(Setup!$D$44:$D$70,MATCH(M214,Setup!$K$44:$K$70,0))&amp;"","")</f>
        <v/>
      </c>
      <c r="Q214" s="108" t="str">
        <f>IFERROR(INDEX(Setup!$E$44:$E$70,MATCH(M214,Setup!$K$44:$K$70,0))&amp;"","")</f>
        <v/>
      </c>
      <c r="R214" s="108" t="str">
        <f>IFERROR(INDEX(Setup!$L$44:$L$70,MATCH(M214,Setup!$K$44:$K$70,0))&amp;"","")</f>
        <v/>
      </c>
      <c r="S214" s="108" t="str">
        <f>Setup!$C$30</f>
        <v>USD</v>
      </c>
      <c r="T214" s="109" t="str">
        <f>IFERROR(INDEX('Data Sheet'!$B$198:$B$275,MATCH(I214,'Data Sheet'!$F$198:$F$275,0)),"")</f>
        <v/>
      </c>
      <c r="U214" s="110" t="str">
        <f>IFERROR(INDEX('Data Sheet'!$D$198:$D$275,MATCH(I214,'Data Sheet'!$F$198:$F$275,0)),"")</f>
        <v/>
      </c>
      <c r="V214" s="99"/>
      <c r="W214" s="195" t="str">
        <f>IF(V214=Setup!$C$30,"Grant",IF(V214=Setup!$C$31,"Local",IF(V214=Setup!$C$32,"Other",IF(ISBLANK(V214),"","Other"))))</f>
        <v/>
      </c>
      <c r="X214" s="255"/>
      <c r="Y214" s="259" t="str">
        <f>IF(X214&lt;&gt;"",X214/VLOOKUP($V214,Setup!$C$30:$D$41,2,0),"")</f>
        <v/>
      </c>
      <c r="Z214" s="262"/>
      <c r="AA214" s="256" t="str">
        <f t="shared" si="102"/>
        <v/>
      </c>
      <c r="AB214" s="262"/>
      <c r="AC214" s="258" t="str">
        <f t="shared" si="103"/>
        <v/>
      </c>
      <c r="AD214" s="262"/>
      <c r="AE214" s="258" t="str">
        <f t="shared" si="104"/>
        <v/>
      </c>
      <c r="AF214" s="262"/>
      <c r="AG214" s="256" t="str">
        <f t="shared" si="105"/>
        <v/>
      </c>
      <c r="AH214" s="256" t="str">
        <f t="shared" si="106"/>
        <v/>
      </c>
      <c r="AI214" s="256" t="str">
        <f t="shared" si="107"/>
        <v/>
      </c>
      <c r="AJ214" s="111"/>
      <c r="AK214" s="255"/>
      <c r="AL214" s="259" t="str">
        <f>IF(AK214&lt;&gt;"",AK214/VLOOKUP($V214,Setup!$C$30:$D$41,2,0),"")</f>
        <v/>
      </c>
      <c r="AM214" s="266"/>
      <c r="AN214" s="258" t="str">
        <f t="shared" si="108"/>
        <v/>
      </c>
      <c r="AO214" s="266"/>
      <c r="AP214" s="258" t="str">
        <f t="shared" si="109"/>
        <v/>
      </c>
      <c r="AQ214" s="266"/>
      <c r="AR214" s="258" t="str">
        <f t="shared" si="110"/>
        <v/>
      </c>
      <c r="AS214" s="266"/>
      <c r="AT214" s="256" t="str">
        <f t="shared" si="111"/>
        <v/>
      </c>
      <c r="AU214" s="256" t="str">
        <f t="shared" si="112"/>
        <v/>
      </c>
      <c r="AV214" s="256" t="str">
        <f t="shared" si="113"/>
        <v/>
      </c>
      <c r="AW214" s="267"/>
      <c r="AX214" s="255"/>
      <c r="AY214" s="259" t="str">
        <f>IF(AX214&lt;&gt;"",AX214/VLOOKUP($V214,Setup!$C$30:$D$41,2,0),"")</f>
        <v/>
      </c>
      <c r="AZ214" s="268"/>
      <c r="BA214" s="258" t="str">
        <f t="shared" si="114"/>
        <v/>
      </c>
      <c r="BB214" s="268"/>
      <c r="BC214" s="258" t="str">
        <f t="shared" si="115"/>
        <v/>
      </c>
      <c r="BD214" s="268"/>
      <c r="BE214" s="258" t="str">
        <f t="shared" si="116"/>
        <v/>
      </c>
      <c r="BF214" s="268"/>
      <c r="BG214" s="256" t="str">
        <f t="shared" si="117"/>
        <v/>
      </c>
      <c r="BH214" s="256" t="str">
        <f t="shared" si="118"/>
        <v/>
      </c>
      <c r="BI214" s="256" t="str">
        <f t="shared" si="119"/>
        <v/>
      </c>
      <c r="BJ214" s="267"/>
      <c r="BK214" s="255"/>
      <c r="BL214" s="259" t="str">
        <f>IF(BK214&lt;&gt;"",BK214/VLOOKUP($V214,Setup!$C$30:$D$41,2,0),"")</f>
        <v/>
      </c>
      <c r="BM214" s="268"/>
      <c r="BN214" s="258" t="str">
        <f t="shared" si="120"/>
        <v/>
      </c>
      <c r="BO214" s="268"/>
      <c r="BP214" s="258" t="str">
        <f t="shared" si="121"/>
        <v/>
      </c>
      <c r="BQ214" s="268"/>
      <c r="BR214" s="258" t="str">
        <f t="shared" si="122"/>
        <v/>
      </c>
      <c r="BS214" s="268"/>
      <c r="BT214" s="256" t="str">
        <f t="shared" si="123"/>
        <v/>
      </c>
      <c r="BU214" s="256" t="str">
        <f t="shared" si="124"/>
        <v/>
      </c>
      <c r="BV214" s="256" t="str">
        <f t="shared" si="125"/>
        <v/>
      </c>
      <c r="BW214" s="267"/>
      <c r="BX214" s="256" t="str">
        <f t="shared" si="126"/>
        <v/>
      </c>
      <c r="BY214" s="256" t="str">
        <f t="shared" si="127"/>
        <v/>
      </c>
      <c r="BZ214" s="281"/>
      <c r="CA214" s="282"/>
      <c r="CC214" s="112" t="str">
        <f t="shared" ca="1" si="128"/>
        <v/>
      </c>
      <c r="CF214" s="284"/>
      <c r="CG214" s="284"/>
      <c r="CH214" s="284"/>
      <c r="CI214" s="284"/>
      <c r="CL214" s="356" t="str">
        <f>IFERROR(VLOOKUP(C214,'Data Sheet'!$A$3:$B$26,2,FALSE),"")</f>
        <v/>
      </c>
    </row>
    <row r="215" spans="1:90" s="98" customFormat="1" ht="15.75" x14ac:dyDescent="0.2">
      <c r="A215" s="97"/>
      <c r="B215" s="105" t="str">
        <f t="shared" si="131"/>
        <v>--</v>
      </c>
      <c r="C215" s="276"/>
      <c r="D215" s="101" t="str">
        <f>IFERROR(IF(VLOOKUP(C215,'Data Sheet'!$A$3:$D$26,4,FALSE)=0,"",VLOOKUP(C215,'Data Sheet'!$A$3:$D$26,4,FALSE)),"")</f>
        <v/>
      </c>
      <c r="E215" s="279"/>
      <c r="F215" s="103" t="str">
        <f>IFERROR(IF(VLOOKUP(E215,'Data Sheet'!$C$29:$E$174,3,FALSE)=0,"",VLOOKUP(E215,'Data Sheet'!$C$29:$E$174,3,FALSE)),"")</f>
        <v/>
      </c>
      <c r="G215" s="106" t="str">
        <f t="shared" si="129"/>
        <v>-</v>
      </c>
      <c r="H215" s="273"/>
      <c r="I215" s="107"/>
      <c r="J215" s="249" t="e">
        <f t="shared" si="130"/>
        <v>#VALUE!</v>
      </c>
      <c r="K215" s="101" t="str">
        <f>IFERROR(INDEX('Data Sheet'!$C$198:$C$275,MATCH(I215,'Data Sheet'!$F$198:$F$275,0)),"")</f>
        <v/>
      </c>
      <c r="L215" s="250" t="str">
        <f>IFERROR(INDEX('Data Sheet'!$G$198:$G$275,MATCH(I215,'Data Sheet'!$F$198:$F$275,0)),"")</f>
        <v/>
      </c>
      <c r="M215" s="194"/>
      <c r="N215" s="248"/>
      <c r="O215" s="248"/>
      <c r="P215" s="108" t="str">
        <f>IFERROR(INDEX(Setup!$D$44:$D$70,MATCH(M215,Setup!$K$44:$K$70,0))&amp;"","")</f>
        <v/>
      </c>
      <c r="Q215" s="108" t="str">
        <f>IFERROR(INDEX(Setup!$E$44:$E$70,MATCH(M215,Setup!$K$44:$K$70,0))&amp;"","")</f>
        <v/>
      </c>
      <c r="R215" s="108" t="str">
        <f>IFERROR(INDEX(Setup!$L$44:$L$70,MATCH(M215,Setup!$K$44:$K$70,0))&amp;"","")</f>
        <v/>
      </c>
      <c r="S215" s="108" t="str">
        <f>Setup!$C$30</f>
        <v>USD</v>
      </c>
      <c r="T215" s="109" t="str">
        <f>IFERROR(INDEX('Data Sheet'!$B$198:$B$275,MATCH(I215,'Data Sheet'!$F$198:$F$275,0)),"")</f>
        <v/>
      </c>
      <c r="U215" s="110" t="str">
        <f>IFERROR(INDEX('Data Sheet'!$D$198:$D$275,MATCH(I215,'Data Sheet'!$F$198:$F$275,0)),"")</f>
        <v/>
      </c>
      <c r="V215" s="99"/>
      <c r="W215" s="195" t="str">
        <f>IF(V215=Setup!$C$30,"Grant",IF(V215=Setup!$C$31,"Local",IF(V215=Setup!$C$32,"Other",IF(ISBLANK(V215),"","Other"))))</f>
        <v/>
      </c>
      <c r="X215" s="255"/>
      <c r="Y215" s="259" t="str">
        <f>IF(X215&lt;&gt;"",X215/VLOOKUP($V215,Setup!$C$30:$D$41,2,0),"")</f>
        <v/>
      </c>
      <c r="Z215" s="262"/>
      <c r="AA215" s="256" t="str">
        <f t="shared" si="102"/>
        <v/>
      </c>
      <c r="AB215" s="262"/>
      <c r="AC215" s="258" t="str">
        <f t="shared" si="103"/>
        <v/>
      </c>
      <c r="AD215" s="262"/>
      <c r="AE215" s="258" t="str">
        <f t="shared" si="104"/>
        <v/>
      </c>
      <c r="AF215" s="262"/>
      <c r="AG215" s="256" t="str">
        <f t="shared" si="105"/>
        <v/>
      </c>
      <c r="AH215" s="256" t="str">
        <f t="shared" si="106"/>
        <v/>
      </c>
      <c r="AI215" s="256" t="str">
        <f t="shared" si="107"/>
        <v/>
      </c>
      <c r="AJ215" s="111"/>
      <c r="AK215" s="255"/>
      <c r="AL215" s="259" t="str">
        <f>IF(AK215&lt;&gt;"",AK215/VLOOKUP($V215,Setup!$C$30:$D$41,2,0),"")</f>
        <v/>
      </c>
      <c r="AM215" s="266"/>
      <c r="AN215" s="258" t="str">
        <f t="shared" si="108"/>
        <v/>
      </c>
      <c r="AO215" s="266"/>
      <c r="AP215" s="258" t="str">
        <f t="shared" si="109"/>
        <v/>
      </c>
      <c r="AQ215" s="266"/>
      <c r="AR215" s="258" t="str">
        <f t="shared" si="110"/>
        <v/>
      </c>
      <c r="AS215" s="266"/>
      <c r="AT215" s="256" t="str">
        <f t="shared" si="111"/>
        <v/>
      </c>
      <c r="AU215" s="256" t="str">
        <f t="shared" si="112"/>
        <v/>
      </c>
      <c r="AV215" s="256" t="str">
        <f t="shared" si="113"/>
        <v/>
      </c>
      <c r="AW215" s="267"/>
      <c r="AX215" s="255"/>
      <c r="AY215" s="259" t="str">
        <f>IF(AX215&lt;&gt;"",AX215/VLOOKUP($V215,Setup!$C$30:$D$41,2,0),"")</f>
        <v/>
      </c>
      <c r="AZ215" s="268"/>
      <c r="BA215" s="258" t="str">
        <f t="shared" si="114"/>
        <v/>
      </c>
      <c r="BB215" s="268"/>
      <c r="BC215" s="258" t="str">
        <f t="shared" si="115"/>
        <v/>
      </c>
      <c r="BD215" s="268"/>
      <c r="BE215" s="258" t="str">
        <f t="shared" si="116"/>
        <v/>
      </c>
      <c r="BF215" s="268"/>
      <c r="BG215" s="256" t="str">
        <f t="shared" si="117"/>
        <v/>
      </c>
      <c r="BH215" s="256" t="str">
        <f t="shared" si="118"/>
        <v/>
      </c>
      <c r="BI215" s="256" t="str">
        <f t="shared" si="119"/>
        <v/>
      </c>
      <c r="BJ215" s="267"/>
      <c r="BK215" s="255"/>
      <c r="BL215" s="259" t="str">
        <f>IF(BK215&lt;&gt;"",BK215/VLOOKUP($V215,Setup!$C$30:$D$41,2,0),"")</f>
        <v/>
      </c>
      <c r="BM215" s="268"/>
      <c r="BN215" s="258" t="str">
        <f t="shared" si="120"/>
        <v/>
      </c>
      <c r="BO215" s="268"/>
      <c r="BP215" s="258" t="str">
        <f t="shared" si="121"/>
        <v/>
      </c>
      <c r="BQ215" s="268"/>
      <c r="BR215" s="258" t="str">
        <f t="shared" si="122"/>
        <v/>
      </c>
      <c r="BS215" s="268"/>
      <c r="BT215" s="256" t="str">
        <f t="shared" si="123"/>
        <v/>
      </c>
      <c r="BU215" s="256" t="str">
        <f t="shared" si="124"/>
        <v/>
      </c>
      <c r="BV215" s="256" t="str">
        <f t="shared" si="125"/>
        <v/>
      </c>
      <c r="BW215" s="267"/>
      <c r="BX215" s="256" t="str">
        <f t="shared" si="126"/>
        <v/>
      </c>
      <c r="BY215" s="256" t="str">
        <f t="shared" si="127"/>
        <v/>
      </c>
      <c r="BZ215" s="281"/>
      <c r="CA215" s="282"/>
      <c r="CC215" s="112" t="str">
        <f t="shared" ca="1" si="128"/>
        <v/>
      </c>
      <c r="CF215" s="284"/>
      <c r="CG215" s="284"/>
      <c r="CH215" s="284"/>
      <c r="CI215" s="284"/>
      <c r="CL215" s="356" t="str">
        <f>IFERROR(VLOOKUP(C215,'Data Sheet'!$A$3:$B$26,2,FALSE),"")</f>
        <v/>
      </c>
    </row>
    <row r="216" spans="1:90" s="98" customFormat="1" ht="15.75" x14ac:dyDescent="0.2">
      <c r="A216" s="97"/>
      <c r="B216" s="105" t="str">
        <f t="shared" si="131"/>
        <v>--</v>
      </c>
      <c r="C216" s="276"/>
      <c r="D216" s="101" t="str">
        <f>IFERROR(IF(VLOOKUP(C216,'Data Sheet'!$A$3:$D$26,4,FALSE)=0,"",VLOOKUP(C216,'Data Sheet'!$A$3:$D$26,4,FALSE)),"")</f>
        <v/>
      </c>
      <c r="E216" s="279"/>
      <c r="F216" s="103" t="str">
        <f>IFERROR(IF(VLOOKUP(E216,'Data Sheet'!$C$29:$E$174,3,FALSE)=0,"",VLOOKUP(E216,'Data Sheet'!$C$29:$E$174,3,FALSE)),"")</f>
        <v/>
      </c>
      <c r="G216" s="106" t="str">
        <f t="shared" si="129"/>
        <v>-</v>
      </c>
      <c r="H216" s="273"/>
      <c r="I216" s="107"/>
      <c r="J216" s="249" t="e">
        <f t="shared" si="130"/>
        <v>#VALUE!</v>
      </c>
      <c r="K216" s="101" t="str">
        <f>IFERROR(INDEX('Data Sheet'!$C$198:$C$275,MATCH(I216,'Data Sheet'!$F$198:$F$275,0)),"")</f>
        <v/>
      </c>
      <c r="L216" s="250" t="str">
        <f>IFERROR(INDEX('Data Sheet'!$G$198:$G$275,MATCH(I216,'Data Sheet'!$F$198:$F$275,0)),"")</f>
        <v/>
      </c>
      <c r="M216" s="194"/>
      <c r="N216" s="248"/>
      <c r="O216" s="248"/>
      <c r="P216" s="108" t="str">
        <f>IFERROR(INDEX(Setup!$D$44:$D$70,MATCH(M216,Setup!$K$44:$K$70,0))&amp;"","")</f>
        <v/>
      </c>
      <c r="Q216" s="108" t="str">
        <f>IFERROR(INDEX(Setup!$E$44:$E$70,MATCH(M216,Setup!$K$44:$K$70,0))&amp;"","")</f>
        <v/>
      </c>
      <c r="R216" s="108" t="str">
        <f>IFERROR(INDEX(Setup!$L$44:$L$70,MATCH(M216,Setup!$K$44:$K$70,0))&amp;"","")</f>
        <v/>
      </c>
      <c r="S216" s="108" t="str">
        <f>Setup!$C$30</f>
        <v>USD</v>
      </c>
      <c r="T216" s="109" t="str">
        <f>IFERROR(INDEX('Data Sheet'!$B$198:$B$275,MATCH(I216,'Data Sheet'!$F$198:$F$275,0)),"")</f>
        <v/>
      </c>
      <c r="U216" s="110" t="str">
        <f>IFERROR(INDEX('Data Sheet'!$D$198:$D$275,MATCH(I216,'Data Sheet'!$F$198:$F$275,0)),"")</f>
        <v/>
      </c>
      <c r="V216" s="99"/>
      <c r="W216" s="195" t="str">
        <f>IF(V216=Setup!$C$30,"Grant",IF(V216=Setup!$C$31,"Local",IF(V216=Setup!$C$32,"Other",IF(ISBLANK(V216),"","Other"))))</f>
        <v/>
      </c>
      <c r="X216" s="255"/>
      <c r="Y216" s="259" t="str">
        <f>IF(X216&lt;&gt;"",X216/VLOOKUP($V216,Setup!$C$30:$D$41,2,0),"")</f>
        <v/>
      </c>
      <c r="Z216" s="262"/>
      <c r="AA216" s="256" t="str">
        <f t="shared" si="102"/>
        <v/>
      </c>
      <c r="AB216" s="262"/>
      <c r="AC216" s="258" t="str">
        <f t="shared" si="103"/>
        <v/>
      </c>
      <c r="AD216" s="262"/>
      <c r="AE216" s="258" t="str">
        <f t="shared" si="104"/>
        <v/>
      </c>
      <c r="AF216" s="262"/>
      <c r="AG216" s="256" t="str">
        <f t="shared" si="105"/>
        <v/>
      </c>
      <c r="AH216" s="256" t="str">
        <f t="shared" si="106"/>
        <v/>
      </c>
      <c r="AI216" s="256" t="str">
        <f t="shared" si="107"/>
        <v/>
      </c>
      <c r="AJ216" s="111"/>
      <c r="AK216" s="255"/>
      <c r="AL216" s="259" t="str">
        <f>IF(AK216&lt;&gt;"",AK216/VLOOKUP($V216,Setup!$C$30:$D$41,2,0),"")</f>
        <v/>
      </c>
      <c r="AM216" s="266"/>
      <c r="AN216" s="258" t="str">
        <f t="shared" si="108"/>
        <v/>
      </c>
      <c r="AO216" s="266"/>
      <c r="AP216" s="258" t="str">
        <f t="shared" si="109"/>
        <v/>
      </c>
      <c r="AQ216" s="266"/>
      <c r="AR216" s="258" t="str">
        <f t="shared" si="110"/>
        <v/>
      </c>
      <c r="AS216" s="266"/>
      <c r="AT216" s="256" t="str">
        <f t="shared" si="111"/>
        <v/>
      </c>
      <c r="AU216" s="256" t="str">
        <f t="shared" si="112"/>
        <v/>
      </c>
      <c r="AV216" s="256" t="str">
        <f t="shared" si="113"/>
        <v/>
      </c>
      <c r="AW216" s="267"/>
      <c r="AX216" s="255"/>
      <c r="AY216" s="259" t="str">
        <f>IF(AX216&lt;&gt;"",AX216/VLOOKUP($V216,Setup!$C$30:$D$41,2,0),"")</f>
        <v/>
      </c>
      <c r="AZ216" s="268"/>
      <c r="BA216" s="258" t="str">
        <f t="shared" si="114"/>
        <v/>
      </c>
      <c r="BB216" s="268"/>
      <c r="BC216" s="258" t="str">
        <f t="shared" si="115"/>
        <v/>
      </c>
      <c r="BD216" s="268"/>
      <c r="BE216" s="258" t="str">
        <f t="shared" si="116"/>
        <v/>
      </c>
      <c r="BF216" s="268"/>
      <c r="BG216" s="256" t="str">
        <f t="shared" si="117"/>
        <v/>
      </c>
      <c r="BH216" s="256" t="str">
        <f t="shared" si="118"/>
        <v/>
      </c>
      <c r="BI216" s="256" t="str">
        <f t="shared" si="119"/>
        <v/>
      </c>
      <c r="BJ216" s="267"/>
      <c r="BK216" s="255"/>
      <c r="BL216" s="259" t="str">
        <f>IF(BK216&lt;&gt;"",BK216/VLOOKUP($V216,Setup!$C$30:$D$41,2,0),"")</f>
        <v/>
      </c>
      <c r="BM216" s="268"/>
      <c r="BN216" s="258" t="str">
        <f t="shared" si="120"/>
        <v/>
      </c>
      <c r="BO216" s="268"/>
      <c r="BP216" s="258" t="str">
        <f t="shared" si="121"/>
        <v/>
      </c>
      <c r="BQ216" s="268"/>
      <c r="BR216" s="258" t="str">
        <f t="shared" si="122"/>
        <v/>
      </c>
      <c r="BS216" s="268"/>
      <c r="BT216" s="256" t="str">
        <f t="shared" si="123"/>
        <v/>
      </c>
      <c r="BU216" s="256" t="str">
        <f t="shared" si="124"/>
        <v/>
      </c>
      <c r="BV216" s="256" t="str">
        <f t="shared" si="125"/>
        <v/>
      </c>
      <c r="BW216" s="267"/>
      <c r="BX216" s="256" t="str">
        <f t="shared" si="126"/>
        <v/>
      </c>
      <c r="BY216" s="256" t="str">
        <f t="shared" si="127"/>
        <v/>
      </c>
      <c r="BZ216" s="281"/>
      <c r="CA216" s="282"/>
      <c r="CC216" s="112" t="str">
        <f t="shared" ca="1" si="128"/>
        <v/>
      </c>
      <c r="CF216" s="284"/>
      <c r="CG216" s="284"/>
      <c r="CH216" s="284"/>
      <c r="CI216" s="284"/>
      <c r="CL216" s="356" t="str">
        <f>IFERROR(VLOOKUP(C216,'Data Sheet'!$A$3:$B$26,2,FALSE),"")</f>
        <v/>
      </c>
    </row>
    <row r="217" spans="1:90" s="98" customFormat="1" ht="15.75" x14ac:dyDescent="0.2">
      <c r="A217" s="97"/>
      <c r="B217" s="105" t="str">
        <f t="shared" si="131"/>
        <v>--</v>
      </c>
      <c r="C217" s="276"/>
      <c r="D217" s="101" t="str">
        <f>IFERROR(IF(VLOOKUP(C217,'Data Sheet'!$A$3:$D$26,4,FALSE)=0,"",VLOOKUP(C217,'Data Sheet'!$A$3:$D$26,4,FALSE)),"")</f>
        <v/>
      </c>
      <c r="E217" s="279"/>
      <c r="F217" s="103" t="str">
        <f>IFERROR(IF(VLOOKUP(E217,'Data Sheet'!$C$29:$E$174,3,FALSE)=0,"",VLOOKUP(E217,'Data Sheet'!$C$29:$E$174,3,FALSE)),"")</f>
        <v/>
      </c>
      <c r="G217" s="106" t="str">
        <f t="shared" si="129"/>
        <v>-</v>
      </c>
      <c r="H217" s="273"/>
      <c r="I217" s="107"/>
      <c r="J217" s="249" t="e">
        <f t="shared" si="130"/>
        <v>#VALUE!</v>
      </c>
      <c r="K217" s="101" t="str">
        <f>IFERROR(INDEX('Data Sheet'!$C$198:$C$275,MATCH(I217,'Data Sheet'!$F$198:$F$275,0)),"")</f>
        <v/>
      </c>
      <c r="L217" s="250" t="str">
        <f>IFERROR(INDEX('Data Sheet'!$G$198:$G$275,MATCH(I217,'Data Sheet'!$F$198:$F$275,0)),"")</f>
        <v/>
      </c>
      <c r="M217" s="194"/>
      <c r="N217" s="248"/>
      <c r="O217" s="248"/>
      <c r="P217" s="108" t="str">
        <f>IFERROR(INDEX(Setup!$D$44:$D$70,MATCH(M217,Setup!$K$44:$K$70,0))&amp;"","")</f>
        <v/>
      </c>
      <c r="Q217" s="108" t="str">
        <f>IFERROR(INDEX(Setup!$E$44:$E$70,MATCH(M217,Setup!$K$44:$K$70,0))&amp;"","")</f>
        <v/>
      </c>
      <c r="R217" s="108" t="str">
        <f>IFERROR(INDEX(Setup!$L$44:$L$70,MATCH(M217,Setup!$K$44:$K$70,0))&amp;"","")</f>
        <v/>
      </c>
      <c r="S217" s="108" t="str">
        <f>Setup!$C$30</f>
        <v>USD</v>
      </c>
      <c r="T217" s="109" t="str">
        <f>IFERROR(INDEX('Data Sheet'!$B$198:$B$275,MATCH(I217,'Data Sheet'!$F$198:$F$275,0)),"")</f>
        <v/>
      </c>
      <c r="U217" s="110" t="str">
        <f>IFERROR(INDEX('Data Sheet'!$D$198:$D$275,MATCH(I217,'Data Sheet'!$F$198:$F$275,0)),"")</f>
        <v/>
      </c>
      <c r="V217" s="99"/>
      <c r="W217" s="195" t="str">
        <f>IF(V217=Setup!$C$30,"Grant",IF(V217=Setup!$C$31,"Local",IF(V217=Setup!$C$32,"Other",IF(ISBLANK(V217),"","Other"))))</f>
        <v/>
      </c>
      <c r="X217" s="255"/>
      <c r="Y217" s="259" t="str">
        <f>IF(X217&lt;&gt;"",X217/VLOOKUP($V217,Setup!$C$30:$D$41,2,0),"")</f>
        <v/>
      </c>
      <c r="Z217" s="262"/>
      <c r="AA217" s="256" t="str">
        <f t="shared" si="102"/>
        <v/>
      </c>
      <c r="AB217" s="262"/>
      <c r="AC217" s="258" t="str">
        <f t="shared" si="103"/>
        <v/>
      </c>
      <c r="AD217" s="262"/>
      <c r="AE217" s="258" t="str">
        <f t="shared" si="104"/>
        <v/>
      </c>
      <c r="AF217" s="262"/>
      <c r="AG217" s="256" t="str">
        <f t="shared" si="105"/>
        <v/>
      </c>
      <c r="AH217" s="256" t="str">
        <f t="shared" si="106"/>
        <v/>
      </c>
      <c r="AI217" s="256" t="str">
        <f t="shared" si="107"/>
        <v/>
      </c>
      <c r="AJ217" s="111"/>
      <c r="AK217" s="255"/>
      <c r="AL217" s="259" t="str">
        <f>IF(AK217&lt;&gt;"",AK217/VLOOKUP($V217,Setup!$C$30:$D$41,2,0),"")</f>
        <v/>
      </c>
      <c r="AM217" s="266"/>
      <c r="AN217" s="258" t="str">
        <f t="shared" si="108"/>
        <v/>
      </c>
      <c r="AO217" s="266"/>
      <c r="AP217" s="258" t="str">
        <f t="shared" si="109"/>
        <v/>
      </c>
      <c r="AQ217" s="266"/>
      <c r="AR217" s="258" t="str">
        <f t="shared" si="110"/>
        <v/>
      </c>
      <c r="AS217" s="266"/>
      <c r="AT217" s="256" t="str">
        <f t="shared" si="111"/>
        <v/>
      </c>
      <c r="AU217" s="256" t="str">
        <f t="shared" si="112"/>
        <v/>
      </c>
      <c r="AV217" s="256" t="str">
        <f t="shared" si="113"/>
        <v/>
      </c>
      <c r="AW217" s="267"/>
      <c r="AX217" s="255"/>
      <c r="AY217" s="259" t="str">
        <f>IF(AX217&lt;&gt;"",AX217/VLOOKUP($V217,Setup!$C$30:$D$41,2,0),"")</f>
        <v/>
      </c>
      <c r="AZ217" s="268"/>
      <c r="BA217" s="258" t="str">
        <f t="shared" si="114"/>
        <v/>
      </c>
      <c r="BB217" s="268"/>
      <c r="BC217" s="258" t="str">
        <f t="shared" si="115"/>
        <v/>
      </c>
      <c r="BD217" s="268"/>
      <c r="BE217" s="258" t="str">
        <f t="shared" si="116"/>
        <v/>
      </c>
      <c r="BF217" s="268"/>
      <c r="BG217" s="256" t="str">
        <f t="shared" si="117"/>
        <v/>
      </c>
      <c r="BH217" s="256" t="str">
        <f t="shared" si="118"/>
        <v/>
      </c>
      <c r="BI217" s="256" t="str">
        <f t="shared" si="119"/>
        <v/>
      </c>
      <c r="BJ217" s="267"/>
      <c r="BK217" s="255"/>
      <c r="BL217" s="259" t="str">
        <f>IF(BK217&lt;&gt;"",BK217/VLOOKUP($V217,Setup!$C$30:$D$41,2,0),"")</f>
        <v/>
      </c>
      <c r="BM217" s="268"/>
      <c r="BN217" s="258" t="str">
        <f t="shared" si="120"/>
        <v/>
      </c>
      <c r="BO217" s="268"/>
      <c r="BP217" s="258" t="str">
        <f t="shared" si="121"/>
        <v/>
      </c>
      <c r="BQ217" s="268"/>
      <c r="BR217" s="258" t="str">
        <f t="shared" si="122"/>
        <v/>
      </c>
      <c r="BS217" s="268"/>
      <c r="BT217" s="256" t="str">
        <f t="shared" si="123"/>
        <v/>
      </c>
      <c r="BU217" s="256" t="str">
        <f t="shared" si="124"/>
        <v/>
      </c>
      <c r="BV217" s="256" t="str">
        <f t="shared" si="125"/>
        <v/>
      </c>
      <c r="BW217" s="267"/>
      <c r="BX217" s="256" t="str">
        <f t="shared" si="126"/>
        <v/>
      </c>
      <c r="BY217" s="256" t="str">
        <f t="shared" si="127"/>
        <v/>
      </c>
      <c r="BZ217" s="281"/>
      <c r="CA217" s="282"/>
      <c r="CC217" s="112" t="str">
        <f t="shared" ca="1" si="128"/>
        <v/>
      </c>
      <c r="CF217" s="284"/>
      <c r="CG217" s="284"/>
      <c r="CH217" s="284"/>
      <c r="CI217" s="284"/>
      <c r="CL217" s="356" t="str">
        <f>IFERROR(VLOOKUP(C217,'Data Sheet'!$A$3:$B$26,2,FALSE),"")</f>
        <v/>
      </c>
    </row>
    <row r="218" spans="1:90" s="98" customFormat="1" ht="15.75" x14ac:dyDescent="0.2">
      <c r="A218" s="97"/>
      <c r="B218" s="105" t="str">
        <f t="shared" si="131"/>
        <v>--</v>
      </c>
      <c r="C218" s="276"/>
      <c r="D218" s="101" t="str">
        <f>IFERROR(IF(VLOOKUP(C218,'Data Sheet'!$A$3:$D$26,4,FALSE)=0,"",VLOOKUP(C218,'Data Sheet'!$A$3:$D$26,4,FALSE)),"")</f>
        <v/>
      </c>
      <c r="E218" s="279"/>
      <c r="F218" s="103" t="str">
        <f>IFERROR(IF(VLOOKUP(E218,'Data Sheet'!$C$29:$E$174,3,FALSE)=0,"",VLOOKUP(E218,'Data Sheet'!$C$29:$E$174,3,FALSE)),"")</f>
        <v/>
      </c>
      <c r="G218" s="106" t="str">
        <f t="shared" si="129"/>
        <v>-</v>
      </c>
      <c r="H218" s="273"/>
      <c r="I218" s="107"/>
      <c r="J218" s="249" t="e">
        <f t="shared" si="130"/>
        <v>#VALUE!</v>
      </c>
      <c r="K218" s="101" t="str">
        <f>IFERROR(INDEX('Data Sheet'!$C$198:$C$275,MATCH(I218,'Data Sheet'!$F$198:$F$275,0)),"")</f>
        <v/>
      </c>
      <c r="L218" s="250" t="str">
        <f>IFERROR(INDEX('Data Sheet'!$G$198:$G$275,MATCH(I218,'Data Sheet'!$F$198:$F$275,0)),"")</f>
        <v/>
      </c>
      <c r="M218" s="194"/>
      <c r="N218" s="248"/>
      <c r="O218" s="248"/>
      <c r="P218" s="108" t="str">
        <f>IFERROR(INDEX(Setup!$D$44:$D$70,MATCH(M218,Setup!$K$44:$K$70,0))&amp;"","")</f>
        <v/>
      </c>
      <c r="Q218" s="108" t="str">
        <f>IFERROR(INDEX(Setup!$E$44:$E$70,MATCH(M218,Setup!$K$44:$K$70,0))&amp;"","")</f>
        <v/>
      </c>
      <c r="R218" s="108" t="str">
        <f>IFERROR(INDEX(Setup!$L$44:$L$70,MATCH(M218,Setup!$K$44:$K$70,0))&amp;"","")</f>
        <v/>
      </c>
      <c r="S218" s="108" t="str">
        <f>Setup!$C$30</f>
        <v>USD</v>
      </c>
      <c r="T218" s="109" t="str">
        <f>IFERROR(INDEX('Data Sheet'!$B$198:$B$275,MATCH(I218,'Data Sheet'!$F$198:$F$275,0)),"")</f>
        <v/>
      </c>
      <c r="U218" s="110" t="str">
        <f>IFERROR(INDEX('Data Sheet'!$D$198:$D$275,MATCH(I218,'Data Sheet'!$F$198:$F$275,0)),"")</f>
        <v/>
      </c>
      <c r="V218" s="99"/>
      <c r="W218" s="195" t="str">
        <f>IF(V218=Setup!$C$30,"Grant",IF(V218=Setup!$C$31,"Local",IF(V218=Setup!$C$32,"Other",IF(ISBLANK(V218),"","Other"))))</f>
        <v/>
      </c>
      <c r="X218" s="255"/>
      <c r="Y218" s="259" t="str">
        <f>IF(X218&lt;&gt;"",X218/VLOOKUP($V218,Setup!$C$30:$D$41,2,0),"")</f>
        <v/>
      </c>
      <c r="Z218" s="262"/>
      <c r="AA218" s="256" t="str">
        <f t="shared" si="102"/>
        <v/>
      </c>
      <c r="AB218" s="262"/>
      <c r="AC218" s="258" t="str">
        <f t="shared" si="103"/>
        <v/>
      </c>
      <c r="AD218" s="262"/>
      <c r="AE218" s="258" t="str">
        <f t="shared" si="104"/>
        <v/>
      </c>
      <c r="AF218" s="262"/>
      <c r="AG218" s="256" t="str">
        <f t="shared" si="105"/>
        <v/>
      </c>
      <c r="AH218" s="256" t="str">
        <f t="shared" si="106"/>
        <v/>
      </c>
      <c r="AI218" s="256" t="str">
        <f t="shared" si="107"/>
        <v/>
      </c>
      <c r="AJ218" s="111"/>
      <c r="AK218" s="255"/>
      <c r="AL218" s="259" t="str">
        <f>IF(AK218&lt;&gt;"",AK218/VLOOKUP($V218,Setup!$C$30:$D$41,2,0),"")</f>
        <v/>
      </c>
      <c r="AM218" s="266"/>
      <c r="AN218" s="258" t="str">
        <f t="shared" si="108"/>
        <v/>
      </c>
      <c r="AO218" s="266"/>
      <c r="AP218" s="258" t="str">
        <f t="shared" si="109"/>
        <v/>
      </c>
      <c r="AQ218" s="266"/>
      <c r="AR218" s="258" t="str">
        <f t="shared" si="110"/>
        <v/>
      </c>
      <c r="AS218" s="266"/>
      <c r="AT218" s="256" t="str">
        <f t="shared" si="111"/>
        <v/>
      </c>
      <c r="AU218" s="256" t="str">
        <f t="shared" si="112"/>
        <v/>
      </c>
      <c r="AV218" s="256" t="str">
        <f t="shared" si="113"/>
        <v/>
      </c>
      <c r="AW218" s="267"/>
      <c r="AX218" s="255"/>
      <c r="AY218" s="259" t="str">
        <f>IF(AX218&lt;&gt;"",AX218/VLOOKUP($V218,Setup!$C$30:$D$41,2,0),"")</f>
        <v/>
      </c>
      <c r="AZ218" s="268"/>
      <c r="BA218" s="258" t="str">
        <f t="shared" si="114"/>
        <v/>
      </c>
      <c r="BB218" s="268"/>
      <c r="BC218" s="258" t="str">
        <f t="shared" si="115"/>
        <v/>
      </c>
      <c r="BD218" s="268"/>
      <c r="BE218" s="258" t="str">
        <f t="shared" si="116"/>
        <v/>
      </c>
      <c r="BF218" s="268"/>
      <c r="BG218" s="256" t="str">
        <f t="shared" si="117"/>
        <v/>
      </c>
      <c r="BH218" s="256" t="str">
        <f t="shared" si="118"/>
        <v/>
      </c>
      <c r="BI218" s="256" t="str">
        <f t="shared" si="119"/>
        <v/>
      </c>
      <c r="BJ218" s="267"/>
      <c r="BK218" s="255"/>
      <c r="BL218" s="259" t="str">
        <f>IF(BK218&lt;&gt;"",BK218/VLOOKUP($V218,Setup!$C$30:$D$41,2,0),"")</f>
        <v/>
      </c>
      <c r="BM218" s="268"/>
      <c r="BN218" s="258" t="str">
        <f t="shared" si="120"/>
        <v/>
      </c>
      <c r="BO218" s="268"/>
      <c r="BP218" s="258" t="str">
        <f t="shared" si="121"/>
        <v/>
      </c>
      <c r="BQ218" s="268"/>
      <c r="BR218" s="258" t="str">
        <f t="shared" si="122"/>
        <v/>
      </c>
      <c r="BS218" s="268"/>
      <c r="BT218" s="256" t="str">
        <f t="shared" si="123"/>
        <v/>
      </c>
      <c r="BU218" s="256" t="str">
        <f t="shared" si="124"/>
        <v/>
      </c>
      <c r="BV218" s="256" t="str">
        <f t="shared" si="125"/>
        <v/>
      </c>
      <c r="BW218" s="267"/>
      <c r="BX218" s="256" t="str">
        <f t="shared" si="126"/>
        <v/>
      </c>
      <c r="BY218" s="256" t="str">
        <f t="shared" si="127"/>
        <v/>
      </c>
      <c r="BZ218" s="281"/>
      <c r="CA218" s="282"/>
      <c r="CC218" s="112" t="str">
        <f t="shared" ca="1" si="128"/>
        <v/>
      </c>
      <c r="CF218" s="284"/>
      <c r="CG218" s="284"/>
      <c r="CH218" s="284"/>
      <c r="CI218" s="284"/>
      <c r="CL218" s="356" t="str">
        <f>IFERROR(VLOOKUP(C218,'Data Sheet'!$A$3:$B$26,2,FALSE),"")</f>
        <v/>
      </c>
    </row>
    <row r="219" spans="1:90" s="98" customFormat="1" ht="15.75" x14ac:dyDescent="0.2">
      <c r="A219" s="97"/>
      <c r="B219" s="105" t="str">
        <f t="shared" si="131"/>
        <v>--</v>
      </c>
      <c r="C219" s="276"/>
      <c r="D219" s="101" t="str">
        <f>IFERROR(IF(VLOOKUP(C219,'Data Sheet'!$A$3:$D$26,4,FALSE)=0,"",VLOOKUP(C219,'Data Sheet'!$A$3:$D$26,4,FALSE)),"")</f>
        <v/>
      </c>
      <c r="E219" s="279"/>
      <c r="F219" s="103" t="str">
        <f>IFERROR(IF(VLOOKUP(E219,'Data Sheet'!$C$29:$E$174,3,FALSE)=0,"",VLOOKUP(E219,'Data Sheet'!$C$29:$E$174,3,FALSE)),"")</f>
        <v/>
      </c>
      <c r="G219" s="106" t="str">
        <f t="shared" si="129"/>
        <v>-</v>
      </c>
      <c r="H219" s="273"/>
      <c r="I219" s="107"/>
      <c r="J219" s="249" t="e">
        <f t="shared" si="130"/>
        <v>#VALUE!</v>
      </c>
      <c r="K219" s="101" t="str">
        <f>IFERROR(INDEX('Data Sheet'!$C$198:$C$275,MATCH(I219,'Data Sheet'!$F$198:$F$275,0)),"")</f>
        <v/>
      </c>
      <c r="L219" s="250" t="str">
        <f>IFERROR(INDEX('Data Sheet'!$G$198:$G$275,MATCH(I219,'Data Sheet'!$F$198:$F$275,0)),"")</f>
        <v/>
      </c>
      <c r="M219" s="194"/>
      <c r="N219" s="248"/>
      <c r="O219" s="248"/>
      <c r="P219" s="108" t="str">
        <f>IFERROR(INDEX(Setup!$D$44:$D$70,MATCH(M219,Setup!$K$44:$K$70,0))&amp;"","")</f>
        <v/>
      </c>
      <c r="Q219" s="108" t="str">
        <f>IFERROR(INDEX(Setup!$E$44:$E$70,MATCH(M219,Setup!$K$44:$K$70,0))&amp;"","")</f>
        <v/>
      </c>
      <c r="R219" s="108" t="str">
        <f>IFERROR(INDEX(Setup!$L$44:$L$70,MATCH(M219,Setup!$K$44:$K$70,0))&amp;"","")</f>
        <v/>
      </c>
      <c r="S219" s="108" t="str">
        <f>Setup!$C$30</f>
        <v>USD</v>
      </c>
      <c r="T219" s="109" t="str">
        <f>IFERROR(INDEX('Data Sheet'!$B$198:$B$275,MATCH(I219,'Data Sheet'!$F$198:$F$275,0)),"")</f>
        <v/>
      </c>
      <c r="U219" s="110" t="str">
        <f>IFERROR(INDEX('Data Sheet'!$D$198:$D$275,MATCH(I219,'Data Sheet'!$F$198:$F$275,0)),"")</f>
        <v/>
      </c>
      <c r="V219" s="99"/>
      <c r="W219" s="195" t="str">
        <f>IF(V219=Setup!$C$30,"Grant",IF(V219=Setup!$C$31,"Local",IF(V219=Setup!$C$32,"Other",IF(ISBLANK(V219),"","Other"))))</f>
        <v/>
      </c>
      <c r="X219" s="255"/>
      <c r="Y219" s="259" t="str">
        <f>IF(X219&lt;&gt;"",X219/VLOOKUP($V219,Setup!$C$30:$D$41,2,0),"")</f>
        <v/>
      </c>
      <c r="Z219" s="262"/>
      <c r="AA219" s="256" t="str">
        <f t="shared" si="102"/>
        <v/>
      </c>
      <c r="AB219" s="262"/>
      <c r="AC219" s="258" t="str">
        <f t="shared" si="103"/>
        <v/>
      </c>
      <c r="AD219" s="262"/>
      <c r="AE219" s="258" t="str">
        <f t="shared" si="104"/>
        <v/>
      </c>
      <c r="AF219" s="262"/>
      <c r="AG219" s="256" t="str">
        <f t="shared" si="105"/>
        <v/>
      </c>
      <c r="AH219" s="256" t="str">
        <f t="shared" si="106"/>
        <v/>
      </c>
      <c r="AI219" s="256" t="str">
        <f t="shared" si="107"/>
        <v/>
      </c>
      <c r="AJ219" s="111"/>
      <c r="AK219" s="255"/>
      <c r="AL219" s="259" t="str">
        <f>IF(AK219&lt;&gt;"",AK219/VLOOKUP($V219,Setup!$C$30:$D$41,2,0),"")</f>
        <v/>
      </c>
      <c r="AM219" s="266"/>
      <c r="AN219" s="258" t="str">
        <f t="shared" si="108"/>
        <v/>
      </c>
      <c r="AO219" s="266"/>
      <c r="AP219" s="258" t="str">
        <f t="shared" si="109"/>
        <v/>
      </c>
      <c r="AQ219" s="266"/>
      <c r="AR219" s="258" t="str">
        <f t="shared" si="110"/>
        <v/>
      </c>
      <c r="AS219" s="266"/>
      <c r="AT219" s="256" t="str">
        <f t="shared" si="111"/>
        <v/>
      </c>
      <c r="AU219" s="256" t="str">
        <f t="shared" si="112"/>
        <v/>
      </c>
      <c r="AV219" s="256" t="str">
        <f t="shared" si="113"/>
        <v/>
      </c>
      <c r="AW219" s="267"/>
      <c r="AX219" s="255"/>
      <c r="AY219" s="259" t="str">
        <f>IF(AX219&lt;&gt;"",AX219/VLOOKUP($V219,Setup!$C$30:$D$41,2,0),"")</f>
        <v/>
      </c>
      <c r="AZ219" s="268"/>
      <c r="BA219" s="258" t="str">
        <f t="shared" si="114"/>
        <v/>
      </c>
      <c r="BB219" s="268"/>
      <c r="BC219" s="258" t="str">
        <f t="shared" si="115"/>
        <v/>
      </c>
      <c r="BD219" s="268"/>
      <c r="BE219" s="258" t="str">
        <f t="shared" si="116"/>
        <v/>
      </c>
      <c r="BF219" s="268"/>
      <c r="BG219" s="256" t="str">
        <f t="shared" si="117"/>
        <v/>
      </c>
      <c r="BH219" s="256" t="str">
        <f t="shared" si="118"/>
        <v/>
      </c>
      <c r="BI219" s="256" t="str">
        <f t="shared" si="119"/>
        <v/>
      </c>
      <c r="BJ219" s="267"/>
      <c r="BK219" s="255"/>
      <c r="BL219" s="259" t="str">
        <f>IF(BK219&lt;&gt;"",BK219/VLOOKUP($V219,Setup!$C$30:$D$41,2,0),"")</f>
        <v/>
      </c>
      <c r="BM219" s="268"/>
      <c r="BN219" s="258" t="str">
        <f t="shared" si="120"/>
        <v/>
      </c>
      <c r="BO219" s="268"/>
      <c r="BP219" s="258" t="str">
        <f t="shared" si="121"/>
        <v/>
      </c>
      <c r="BQ219" s="268"/>
      <c r="BR219" s="258" t="str">
        <f t="shared" si="122"/>
        <v/>
      </c>
      <c r="BS219" s="268"/>
      <c r="BT219" s="256" t="str">
        <f t="shared" si="123"/>
        <v/>
      </c>
      <c r="BU219" s="256" t="str">
        <f t="shared" si="124"/>
        <v/>
      </c>
      <c r="BV219" s="256" t="str">
        <f t="shared" si="125"/>
        <v/>
      </c>
      <c r="BW219" s="267"/>
      <c r="BX219" s="256" t="str">
        <f t="shared" si="126"/>
        <v/>
      </c>
      <c r="BY219" s="256" t="str">
        <f t="shared" si="127"/>
        <v/>
      </c>
      <c r="BZ219" s="281"/>
      <c r="CA219" s="282"/>
      <c r="CC219" s="112" t="str">
        <f t="shared" ca="1" si="128"/>
        <v/>
      </c>
      <c r="CF219" s="284"/>
      <c r="CG219" s="284"/>
      <c r="CH219" s="284"/>
      <c r="CI219" s="284"/>
      <c r="CL219" s="356" t="str">
        <f>IFERROR(VLOOKUP(C219,'Data Sheet'!$A$3:$B$26,2,FALSE),"")</f>
        <v/>
      </c>
    </row>
    <row r="220" spans="1:90" s="98" customFormat="1" ht="15.75" x14ac:dyDescent="0.2">
      <c r="A220" s="97"/>
      <c r="B220" s="105" t="str">
        <f t="shared" si="131"/>
        <v>--</v>
      </c>
      <c r="C220" s="276"/>
      <c r="D220" s="101" t="str">
        <f>IFERROR(IF(VLOOKUP(C220,'Data Sheet'!$A$3:$D$26,4,FALSE)=0,"",VLOOKUP(C220,'Data Sheet'!$A$3:$D$26,4,FALSE)),"")</f>
        <v/>
      </c>
      <c r="E220" s="279"/>
      <c r="F220" s="103" t="str">
        <f>IFERROR(IF(VLOOKUP(E220,'Data Sheet'!$C$29:$E$174,3,FALSE)=0,"",VLOOKUP(E220,'Data Sheet'!$C$29:$E$174,3,FALSE)),"")</f>
        <v/>
      </c>
      <c r="G220" s="106" t="str">
        <f t="shared" si="129"/>
        <v>-</v>
      </c>
      <c r="H220" s="273"/>
      <c r="I220" s="107"/>
      <c r="J220" s="249" t="e">
        <f t="shared" si="130"/>
        <v>#VALUE!</v>
      </c>
      <c r="K220" s="101" t="str">
        <f>IFERROR(INDEX('Data Sheet'!$C$198:$C$275,MATCH(I220,'Data Sheet'!$F$198:$F$275,0)),"")</f>
        <v/>
      </c>
      <c r="L220" s="250" t="str">
        <f>IFERROR(INDEX('Data Sheet'!$G$198:$G$275,MATCH(I220,'Data Sheet'!$F$198:$F$275,0)),"")</f>
        <v/>
      </c>
      <c r="M220" s="194"/>
      <c r="N220" s="248"/>
      <c r="O220" s="248"/>
      <c r="P220" s="108" t="str">
        <f>IFERROR(INDEX(Setup!$D$44:$D$70,MATCH(M220,Setup!$K$44:$K$70,0))&amp;"","")</f>
        <v/>
      </c>
      <c r="Q220" s="108" t="str">
        <f>IFERROR(INDEX(Setup!$E$44:$E$70,MATCH(M220,Setup!$K$44:$K$70,0))&amp;"","")</f>
        <v/>
      </c>
      <c r="R220" s="108" t="str">
        <f>IFERROR(INDEX(Setup!$L$44:$L$70,MATCH(M220,Setup!$K$44:$K$70,0))&amp;"","")</f>
        <v/>
      </c>
      <c r="S220" s="108" t="str">
        <f>Setup!$C$30</f>
        <v>USD</v>
      </c>
      <c r="T220" s="109" t="str">
        <f>IFERROR(INDEX('Data Sheet'!$B$198:$B$275,MATCH(I220,'Data Sheet'!$F$198:$F$275,0)),"")</f>
        <v/>
      </c>
      <c r="U220" s="110" t="str">
        <f>IFERROR(INDEX('Data Sheet'!$D$198:$D$275,MATCH(I220,'Data Sheet'!$F$198:$F$275,0)),"")</f>
        <v/>
      </c>
      <c r="V220" s="99"/>
      <c r="W220" s="195" t="str">
        <f>IF(V220=Setup!$C$30,"Grant",IF(V220=Setup!$C$31,"Local",IF(V220=Setup!$C$32,"Other",IF(ISBLANK(V220),"","Other"))))</f>
        <v/>
      </c>
      <c r="X220" s="255"/>
      <c r="Y220" s="259" t="str">
        <f>IF(X220&lt;&gt;"",X220/VLOOKUP($V220,Setup!$C$30:$D$41,2,0),"")</f>
        <v/>
      </c>
      <c r="Z220" s="262"/>
      <c r="AA220" s="256" t="str">
        <f t="shared" si="102"/>
        <v/>
      </c>
      <c r="AB220" s="262"/>
      <c r="AC220" s="258" t="str">
        <f t="shared" si="103"/>
        <v/>
      </c>
      <c r="AD220" s="262"/>
      <c r="AE220" s="258" t="str">
        <f t="shared" si="104"/>
        <v/>
      </c>
      <c r="AF220" s="262"/>
      <c r="AG220" s="256" t="str">
        <f t="shared" si="105"/>
        <v/>
      </c>
      <c r="AH220" s="256" t="str">
        <f t="shared" si="106"/>
        <v/>
      </c>
      <c r="AI220" s="256" t="str">
        <f t="shared" si="107"/>
        <v/>
      </c>
      <c r="AJ220" s="111"/>
      <c r="AK220" s="255"/>
      <c r="AL220" s="259" t="str">
        <f>IF(AK220&lt;&gt;"",AK220/VLOOKUP($V220,Setup!$C$30:$D$41,2,0),"")</f>
        <v/>
      </c>
      <c r="AM220" s="266"/>
      <c r="AN220" s="258" t="str">
        <f t="shared" si="108"/>
        <v/>
      </c>
      <c r="AO220" s="266"/>
      <c r="AP220" s="258" t="str">
        <f t="shared" si="109"/>
        <v/>
      </c>
      <c r="AQ220" s="266"/>
      <c r="AR220" s="258" t="str">
        <f t="shared" si="110"/>
        <v/>
      </c>
      <c r="AS220" s="266"/>
      <c r="AT220" s="256" t="str">
        <f t="shared" si="111"/>
        <v/>
      </c>
      <c r="AU220" s="256" t="str">
        <f t="shared" si="112"/>
        <v/>
      </c>
      <c r="AV220" s="256" t="str">
        <f t="shared" si="113"/>
        <v/>
      </c>
      <c r="AW220" s="267"/>
      <c r="AX220" s="255"/>
      <c r="AY220" s="259" t="str">
        <f>IF(AX220&lt;&gt;"",AX220/VLOOKUP($V220,Setup!$C$30:$D$41,2,0),"")</f>
        <v/>
      </c>
      <c r="AZ220" s="268"/>
      <c r="BA220" s="258" t="str">
        <f t="shared" si="114"/>
        <v/>
      </c>
      <c r="BB220" s="268"/>
      <c r="BC220" s="258" t="str">
        <f t="shared" si="115"/>
        <v/>
      </c>
      <c r="BD220" s="268"/>
      <c r="BE220" s="258" t="str">
        <f t="shared" si="116"/>
        <v/>
      </c>
      <c r="BF220" s="268"/>
      <c r="BG220" s="256" t="str">
        <f t="shared" si="117"/>
        <v/>
      </c>
      <c r="BH220" s="256" t="str">
        <f t="shared" si="118"/>
        <v/>
      </c>
      <c r="BI220" s="256" t="str">
        <f t="shared" si="119"/>
        <v/>
      </c>
      <c r="BJ220" s="267"/>
      <c r="BK220" s="255"/>
      <c r="BL220" s="259" t="str">
        <f>IF(BK220&lt;&gt;"",BK220/VLOOKUP($V220,Setup!$C$30:$D$41,2,0),"")</f>
        <v/>
      </c>
      <c r="BM220" s="268"/>
      <c r="BN220" s="258" t="str">
        <f t="shared" si="120"/>
        <v/>
      </c>
      <c r="BO220" s="268"/>
      <c r="BP220" s="258" t="str">
        <f t="shared" si="121"/>
        <v/>
      </c>
      <c r="BQ220" s="268"/>
      <c r="BR220" s="258" t="str">
        <f t="shared" si="122"/>
        <v/>
      </c>
      <c r="BS220" s="268"/>
      <c r="BT220" s="256" t="str">
        <f t="shared" si="123"/>
        <v/>
      </c>
      <c r="BU220" s="256" t="str">
        <f t="shared" si="124"/>
        <v/>
      </c>
      <c r="BV220" s="256" t="str">
        <f t="shared" si="125"/>
        <v/>
      </c>
      <c r="BW220" s="267"/>
      <c r="BX220" s="256" t="str">
        <f t="shared" si="126"/>
        <v/>
      </c>
      <c r="BY220" s="256" t="str">
        <f t="shared" si="127"/>
        <v/>
      </c>
      <c r="BZ220" s="281"/>
      <c r="CA220" s="282"/>
      <c r="CC220" s="112" t="str">
        <f t="shared" ca="1" si="128"/>
        <v/>
      </c>
      <c r="CF220" s="284"/>
      <c r="CG220" s="284"/>
      <c r="CH220" s="284"/>
      <c r="CI220" s="284"/>
      <c r="CL220" s="356" t="str">
        <f>IFERROR(VLOOKUP(C220,'Data Sheet'!$A$3:$B$26,2,FALSE),"")</f>
        <v/>
      </c>
    </row>
    <row r="221" spans="1:90" s="98" customFormat="1" ht="15.75" x14ac:dyDescent="0.2">
      <c r="A221" s="97"/>
      <c r="B221" s="105" t="str">
        <f t="shared" si="131"/>
        <v>--</v>
      </c>
      <c r="C221" s="276"/>
      <c r="D221" s="101" t="str">
        <f>IFERROR(IF(VLOOKUP(C221,'Data Sheet'!$A$3:$D$26,4,FALSE)=0,"",VLOOKUP(C221,'Data Sheet'!$A$3:$D$26,4,FALSE)),"")</f>
        <v/>
      </c>
      <c r="E221" s="279"/>
      <c r="F221" s="103" t="str">
        <f>IFERROR(IF(VLOOKUP(E221,'Data Sheet'!$C$29:$E$174,3,FALSE)=0,"",VLOOKUP(E221,'Data Sheet'!$C$29:$E$174,3,FALSE)),"")</f>
        <v/>
      </c>
      <c r="G221" s="106" t="str">
        <f t="shared" si="129"/>
        <v>-</v>
      </c>
      <c r="H221" s="273"/>
      <c r="I221" s="107"/>
      <c r="J221" s="249" t="e">
        <f t="shared" si="130"/>
        <v>#VALUE!</v>
      </c>
      <c r="K221" s="101" t="str">
        <f>IFERROR(INDEX('Data Sheet'!$C$198:$C$275,MATCH(I221,'Data Sheet'!$F$198:$F$275,0)),"")</f>
        <v/>
      </c>
      <c r="L221" s="250" t="str">
        <f>IFERROR(INDEX('Data Sheet'!$G$198:$G$275,MATCH(I221,'Data Sheet'!$F$198:$F$275,0)),"")</f>
        <v/>
      </c>
      <c r="M221" s="194"/>
      <c r="N221" s="248"/>
      <c r="O221" s="248"/>
      <c r="P221" s="108" t="str">
        <f>IFERROR(INDEX(Setup!$D$44:$D$70,MATCH(M221,Setup!$K$44:$K$70,0))&amp;"","")</f>
        <v/>
      </c>
      <c r="Q221" s="108" t="str">
        <f>IFERROR(INDEX(Setup!$E$44:$E$70,MATCH(M221,Setup!$K$44:$K$70,0))&amp;"","")</f>
        <v/>
      </c>
      <c r="R221" s="108" t="str">
        <f>IFERROR(INDEX(Setup!$L$44:$L$70,MATCH(M221,Setup!$K$44:$K$70,0))&amp;"","")</f>
        <v/>
      </c>
      <c r="S221" s="108" t="str">
        <f>Setup!$C$30</f>
        <v>USD</v>
      </c>
      <c r="T221" s="109" t="str">
        <f>IFERROR(INDEX('Data Sheet'!$B$198:$B$275,MATCH(I221,'Data Sheet'!$F$198:$F$275,0)),"")</f>
        <v/>
      </c>
      <c r="U221" s="110" t="str">
        <f>IFERROR(INDEX('Data Sheet'!$D$198:$D$275,MATCH(I221,'Data Sheet'!$F$198:$F$275,0)),"")</f>
        <v/>
      </c>
      <c r="V221" s="99"/>
      <c r="W221" s="195" t="str">
        <f>IF(V221=Setup!$C$30,"Grant",IF(V221=Setup!$C$31,"Local",IF(V221=Setup!$C$32,"Other",IF(ISBLANK(V221),"","Other"))))</f>
        <v/>
      </c>
      <c r="X221" s="255"/>
      <c r="Y221" s="259" t="str">
        <f>IF(X221&lt;&gt;"",X221/VLOOKUP($V221,Setup!$C$30:$D$41,2,0),"")</f>
        <v/>
      </c>
      <c r="Z221" s="262"/>
      <c r="AA221" s="256" t="str">
        <f t="shared" si="102"/>
        <v/>
      </c>
      <c r="AB221" s="262"/>
      <c r="AC221" s="258" t="str">
        <f t="shared" si="103"/>
        <v/>
      </c>
      <c r="AD221" s="262"/>
      <c r="AE221" s="258" t="str">
        <f t="shared" si="104"/>
        <v/>
      </c>
      <c r="AF221" s="262"/>
      <c r="AG221" s="256" t="str">
        <f t="shared" si="105"/>
        <v/>
      </c>
      <c r="AH221" s="256" t="str">
        <f t="shared" si="106"/>
        <v/>
      </c>
      <c r="AI221" s="256" t="str">
        <f t="shared" si="107"/>
        <v/>
      </c>
      <c r="AJ221" s="111"/>
      <c r="AK221" s="255"/>
      <c r="AL221" s="259" t="str">
        <f>IF(AK221&lt;&gt;"",AK221/VLOOKUP($V221,Setup!$C$30:$D$41,2,0),"")</f>
        <v/>
      </c>
      <c r="AM221" s="266"/>
      <c r="AN221" s="258" t="str">
        <f t="shared" si="108"/>
        <v/>
      </c>
      <c r="AO221" s="266"/>
      <c r="AP221" s="258" t="str">
        <f t="shared" si="109"/>
        <v/>
      </c>
      <c r="AQ221" s="266"/>
      <c r="AR221" s="258" t="str">
        <f t="shared" si="110"/>
        <v/>
      </c>
      <c r="AS221" s="266"/>
      <c r="AT221" s="256" t="str">
        <f t="shared" si="111"/>
        <v/>
      </c>
      <c r="AU221" s="256" t="str">
        <f t="shared" si="112"/>
        <v/>
      </c>
      <c r="AV221" s="256" t="str">
        <f t="shared" si="113"/>
        <v/>
      </c>
      <c r="AW221" s="267"/>
      <c r="AX221" s="255"/>
      <c r="AY221" s="259" t="str">
        <f>IF(AX221&lt;&gt;"",AX221/VLOOKUP($V221,Setup!$C$30:$D$41,2,0),"")</f>
        <v/>
      </c>
      <c r="AZ221" s="268"/>
      <c r="BA221" s="258" t="str">
        <f t="shared" si="114"/>
        <v/>
      </c>
      <c r="BB221" s="268"/>
      <c r="BC221" s="258" t="str">
        <f t="shared" si="115"/>
        <v/>
      </c>
      <c r="BD221" s="268"/>
      <c r="BE221" s="258" t="str">
        <f t="shared" si="116"/>
        <v/>
      </c>
      <c r="BF221" s="268"/>
      <c r="BG221" s="256" t="str">
        <f t="shared" si="117"/>
        <v/>
      </c>
      <c r="BH221" s="256" t="str">
        <f t="shared" si="118"/>
        <v/>
      </c>
      <c r="BI221" s="256" t="str">
        <f t="shared" si="119"/>
        <v/>
      </c>
      <c r="BJ221" s="267"/>
      <c r="BK221" s="255"/>
      <c r="BL221" s="259" t="str">
        <f>IF(BK221&lt;&gt;"",BK221/VLOOKUP($V221,Setup!$C$30:$D$41,2,0),"")</f>
        <v/>
      </c>
      <c r="BM221" s="268"/>
      <c r="BN221" s="258" t="str">
        <f t="shared" si="120"/>
        <v/>
      </c>
      <c r="BO221" s="268"/>
      <c r="BP221" s="258" t="str">
        <f t="shared" si="121"/>
        <v/>
      </c>
      <c r="BQ221" s="268"/>
      <c r="BR221" s="258" t="str">
        <f t="shared" si="122"/>
        <v/>
      </c>
      <c r="BS221" s="268"/>
      <c r="BT221" s="256" t="str">
        <f t="shared" si="123"/>
        <v/>
      </c>
      <c r="BU221" s="256" t="str">
        <f t="shared" si="124"/>
        <v/>
      </c>
      <c r="BV221" s="256" t="str">
        <f t="shared" si="125"/>
        <v/>
      </c>
      <c r="BW221" s="267"/>
      <c r="BX221" s="256" t="str">
        <f t="shared" si="126"/>
        <v/>
      </c>
      <c r="BY221" s="256" t="str">
        <f t="shared" si="127"/>
        <v/>
      </c>
      <c r="BZ221" s="281"/>
      <c r="CA221" s="282"/>
      <c r="CC221" s="112" t="str">
        <f t="shared" ca="1" si="128"/>
        <v/>
      </c>
      <c r="CF221" s="284"/>
      <c r="CG221" s="284"/>
      <c r="CH221" s="284"/>
      <c r="CI221" s="284"/>
      <c r="CL221" s="356" t="str">
        <f>IFERROR(VLOOKUP(C221,'Data Sheet'!$A$3:$B$26,2,FALSE),"")</f>
        <v/>
      </c>
    </row>
    <row r="222" spans="1:90" s="98" customFormat="1" ht="15.75" x14ac:dyDescent="0.2">
      <c r="A222" s="97"/>
      <c r="B222" s="105" t="str">
        <f t="shared" si="131"/>
        <v>--</v>
      </c>
      <c r="C222" s="276"/>
      <c r="D222" s="101" t="str">
        <f>IFERROR(IF(VLOOKUP(C222,'Data Sheet'!$A$3:$D$26,4,FALSE)=0,"",VLOOKUP(C222,'Data Sheet'!$A$3:$D$26,4,FALSE)),"")</f>
        <v/>
      </c>
      <c r="E222" s="279"/>
      <c r="F222" s="103" t="str">
        <f>IFERROR(IF(VLOOKUP(E222,'Data Sheet'!$C$29:$E$174,3,FALSE)=0,"",VLOOKUP(E222,'Data Sheet'!$C$29:$E$174,3,FALSE)),"")</f>
        <v/>
      </c>
      <c r="G222" s="106" t="str">
        <f t="shared" si="129"/>
        <v>-</v>
      </c>
      <c r="H222" s="273"/>
      <c r="I222" s="107"/>
      <c r="J222" s="249" t="e">
        <f t="shared" si="130"/>
        <v>#VALUE!</v>
      </c>
      <c r="K222" s="101" t="str">
        <f>IFERROR(INDEX('Data Sheet'!$C$198:$C$275,MATCH(I222,'Data Sheet'!$F$198:$F$275,0)),"")</f>
        <v/>
      </c>
      <c r="L222" s="250" t="str">
        <f>IFERROR(INDEX('Data Sheet'!$G$198:$G$275,MATCH(I222,'Data Sheet'!$F$198:$F$275,0)),"")</f>
        <v/>
      </c>
      <c r="M222" s="194"/>
      <c r="N222" s="248"/>
      <c r="O222" s="248"/>
      <c r="P222" s="108" t="str">
        <f>IFERROR(INDEX(Setup!$D$44:$D$70,MATCH(M222,Setup!$K$44:$K$70,0))&amp;"","")</f>
        <v/>
      </c>
      <c r="Q222" s="108" t="str">
        <f>IFERROR(INDEX(Setup!$E$44:$E$70,MATCH(M222,Setup!$K$44:$K$70,0))&amp;"","")</f>
        <v/>
      </c>
      <c r="R222" s="108" t="str">
        <f>IFERROR(INDEX(Setup!$L$44:$L$70,MATCH(M222,Setup!$K$44:$K$70,0))&amp;"","")</f>
        <v/>
      </c>
      <c r="S222" s="108" t="str">
        <f>Setup!$C$30</f>
        <v>USD</v>
      </c>
      <c r="T222" s="109" t="str">
        <f>IFERROR(INDEX('Data Sheet'!$B$198:$B$275,MATCH(I222,'Data Sheet'!$F$198:$F$275,0)),"")</f>
        <v/>
      </c>
      <c r="U222" s="110" t="str">
        <f>IFERROR(INDEX('Data Sheet'!$D$198:$D$275,MATCH(I222,'Data Sheet'!$F$198:$F$275,0)),"")</f>
        <v/>
      </c>
      <c r="V222" s="99"/>
      <c r="W222" s="195" t="str">
        <f>IF(V222=Setup!$C$30,"Grant",IF(V222=Setup!$C$31,"Local",IF(V222=Setup!$C$32,"Other",IF(ISBLANK(V222),"","Other"))))</f>
        <v/>
      </c>
      <c r="X222" s="255"/>
      <c r="Y222" s="259" t="str">
        <f>IF(X222&lt;&gt;"",X222/VLOOKUP($V222,Setup!$C$30:$D$41,2,0),"")</f>
        <v/>
      </c>
      <c r="Z222" s="262"/>
      <c r="AA222" s="256" t="str">
        <f t="shared" si="102"/>
        <v/>
      </c>
      <c r="AB222" s="262"/>
      <c r="AC222" s="258" t="str">
        <f t="shared" si="103"/>
        <v/>
      </c>
      <c r="AD222" s="262"/>
      <c r="AE222" s="258" t="str">
        <f t="shared" si="104"/>
        <v/>
      </c>
      <c r="AF222" s="262"/>
      <c r="AG222" s="256" t="str">
        <f t="shared" si="105"/>
        <v/>
      </c>
      <c r="AH222" s="256" t="str">
        <f t="shared" si="106"/>
        <v/>
      </c>
      <c r="AI222" s="256" t="str">
        <f t="shared" si="107"/>
        <v/>
      </c>
      <c r="AJ222" s="111"/>
      <c r="AK222" s="255"/>
      <c r="AL222" s="259" t="str">
        <f>IF(AK222&lt;&gt;"",AK222/VLOOKUP($V222,Setup!$C$30:$D$41,2,0),"")</f>
        <v/>
      </c>
      <c r="AM222" s="266"/>
      <c r="AN222" s="258" t="str">
        <f t="shared" si="108"/>
        <v/>
      </c>
      <c r="AO222" s="266"/>
      <c r="AP222" s="258" t="str">
        <f t="shared" si="109"/>
        <v/>
      </c>
      <c r="AQ222" s="266"/>
      <c r="AR222" s="258" t="str">
        <f t="shared" si="110"/>
        <v/>
      </c>
      <c r="AS222" s="266"/>
      <c r="AT222" s="256" t="str">
        <f t="shared" si="111"/>
        <v/>
      </c>
      <c r="AU222" s="256" t="str">
        <f t="shared" si="112"/>
        <v/>
      </c>
      <c r="AV222" s="256" t="str">
        <f t="shared" si="113"/>
        <v/>
      </c>
      <c r="AW222" s="267"/>
      <c r="AX222" s="255"/>
      <c r="AY222" s="259" t="str">
        <f>IF(AX222&lt;&gt;"",AX222/VLOOKUP($V222,Setup!$C$30:$D$41,2,0),"")</f>
        <v/>
      </c>
      <c r="AZ222" s="268"/>
      <c r="BA222" s="258" t="str">
        <f t="shared" si="114"/>
        <v/>
      </c>
      <c r="BB222" s="268"/>
      <c r="BC222" s="258" t="str">
        <f t="shared" si="115"/>
        <v/>
      </c>
      <c r="BD222" s="268"/>
      <c r="BE222" s="258" t="str">
        <f t="shared" si="116"/>
        <v/>
      </c>
      <c r="BF222" s="268"/>
      <c r="BG222" s="256" t="str">
        <f t="shared" si="117"/>
        <v/>
      </c>
      <c r="BH222" s="256" t="str">
        <f t="shared" si="118"/>
        <v/>
      </c>
      <c r="BI222" s="256" t="str">
        <f t="shared" si="119"/>
        <v/>
      </c>
      <c r="BJ222" s="267"/>
      <c r="BK222" s="255"/>
      <c r="BL222" s="259" t="str">
        <f>IF(BK222&lt;&gt;"",BK222/VLOOKUP($V222,Setup!$C$30:$D$41,2,0),"")</f>
        <v/>
      </c>
      <c r="BM222" s="268"/>
      <c r="BN222" s="258" t="str">
        <f t="shared" si="120"/>
        <v/>
      </c>
      <c r="BO222" s="268"/>
      <c r="BP222" s="258" t="str">
        <f t="shared" si="121"/>
        <v/>
      </c>
      <c r="BQ222" s="268"/>
      <c r="BR222" s="258" t="str">
        <f t="shared" si="122"/>
        <v/>
      </c>
      <c r="BS222" s="268"/>
      <c r="BT222" s="256" t="str">
        <f t="shared" si="123"/>
        <v/>
      </c>
      <c r="BU222" s="256" t="str">
        <f t="shared" si="124"/>
        <v/>
      </c>
      <c r="BV222" s="256" t="str">
        <f t="shared" si="125"/>
        <v/>
      </c>
      <c r="BW222" s="267"/>
      <c r="BX222" s="256" t="str">
        <f t="shared" si="126"/>
        <v/>
      </c>
      <c r="BY222" s="256" t="str">
        <f t="shared" si="127"/>
        <v/>
      </c>
      <c r="BZ222" s="281"/>
      <c r="CA222" s="282"/>
      <c r="CC222" s="112" t="str">
        <f t="shared" ca="1" si="128"/>
        <v/>
      </c>
      <c r="CF222" s="284"/>
      <c r="CG222" s="284"/>
      <c r="CH222" s="284"/>
      <c r="CI222" s="284"/>
      <c r="CL222" s="356" t="str">
        <f>IFERROR(VLOOKUP(C222,'Data Sheet'!$A$3:$B$26,2,FALSE),"")</f>
        <v/>
      </c>
    </row>
    <row r="223" spans="1:90" s="98" customFormat="1" ht="15.75" x14ac:dyDescent="0.2">
      <c r="A223" s="97"/>
      <c r="B223" s="105" t="str">
        <f t="shared" si="131"/>
        <v>--</v>
      </c>
      <c r="C223" s="276"/>
      <c r="D223" s="101" t="str">
        <f>IFERROR(IF(VLOOKUP(C223,'Data Sheet'!$A$3:$D$26,4,FALSE)=0,"",VLOOKUP(C223,'Data Sheet'!$A$3:$D$26,4,FALSE)),"")</f>
        <v/>
      </c>
      <c r="E223" s="279"/>
      <c r="F223" s="103" t="str">
        <f>IFERROR(IF(VLOOKUP(E223,'Data Sheet'!$C$29:$E$174,3,FALSE)=0,"",VLOOKUP(E223,'Data Sheet'!$C$29:$E$174,3,FALSE)),"")</f>
        <v/>
      </c>
      <c r="G223" s="106" t="str">
        <f t="shared" si="129"/>
        <v>-</v>
      </c>
      <c r="H223" s="273"/>
      <c r="I223" s="107"/>
      <c r="J223" s="249" t="e">
        <f t="shared" si="130"/>
        <v>#VALUE!</v>
      </c>
      <c r="K223" s="101" t="str">
        <f>IFERROR(INDEX('Data Sheet'!$C$198:$C$275,MATCH(I223,'Data Sheet'!$F$198:$F$275,0)),"")</f>
        <v/>
      </c>
      <c r="L223" s="250" t="str">
        <f>IFERROR(INDEX('Data Sheet'!$G$198:$G$275,MATCH(I223,'Data Sheet'!$F$198:$F$275,0)),"")</f>
        <v/>
      </c>
      <c r="M223" s="194"/>
      <c r="N223" s="248"/>
      <c r="O223" s="248"/>
      <c r="P223" s="108" t="str">
        <f>IFERROR(INDEX(Setup!$D$44:$D$70,MATCH(M223,Setup!$K$44:$K$70,0))&amp;"","")</f>
        <v/>
      </c>
      <c r="Q223" s="108" t="str">
        <f>IFERROR(INDEX(Setup!$E$44:$E$70,MATCH(M223,Setup!$K$44:$K$70,0))&amp;"","")</f>
        <v/>
      </c>
      <c r="R223" s="108" t="str">
        <f>IFERROR(INDEX(Setup!$L$44:$L$70,MATCH(M223,Setup!$K$44:$K$70,0))&amp;"","")</f>
        <v/>
      </c>
      <c r="S223" s="108" t="str">
        <f>Setup!$C$30</f>
        <v>USD</v>
      </c>
      <c r="T223" s="109" t="str">
        <f>IFERROR(INDEX('Data Sheet'!$B$198:$B$275,MATCH(I223,'Data Sheet'!$F$198:$F$275,0)),"")</f>
        <v/>
      </c>
      <c r="U223" s="110" t="str">
        <f>IFERROR(INDEX('Data Sheet'!$D$198:$D$275,MATCH(I223,'Data Sheet'!$F$198:$F$275,0)),"")</f>
        <v/>
      </c>
      <c r="V223" s="99"/>
      <c r="W223" s="195" t="str">
        <f>IF(V223=Setup!$C$30,"Grant",IF(V223=Setup!$C$31,"Local",IF(V223=Setup!$C$32,"Other",IF(ISBLANK(V223),"","Other"))))</f>
        <v/>
      </c>
      <c r="X223" s="255"/>
      <c r="Y223" s="259" t="str">
        <f>IF(X223&lt;&gt;"",X223/VLOOKUP($V223,Setup!$C$30:$D$41,2,0),"")</f>
        <v/>
      </c>
      <c r="Z223" s="262"/>
      <c r="AA223" s="256" t="str">
        <f t="shared" si="102"/>
        <v/>
      </c>
      <c r="AB223" s="262"/>
      <c r="AC223" s="258" t="str">
        <f t="shared" si="103"/>
        <v/>
      </c>
      <c r="AD223" s="262"/>
      <c r="AE223" s="258" t="str">
        <f t="shared" si="104"/>
        <v/>
      </c>
      <c r="AF223" s="262"/>
      <c r="AG223" s="256" t="str">
        <f t="shared" si="105"/>
        <v/>
      </c>
      <c r="AH223" s="256" t="str">
        <f t="shared" si="106"/>
        <v/>
      </c>
      <c r="AI223" s="256" t="str">
        <f t="shared" si="107"/>
        <v/>
      </c>
      <c r="AJ223" s="111"/>
      <c r="AK223" s="255"/>
      <c r="AL223" s="259" t="str">
        <f>IF(AK223&lt;&gt;"",AK223/VLOOKUP($V223,Setup!$C$30:$D$41,2,0),"")</f>
        <v/>
      </c>
      <c r="AM223" s="266"/>
      <c r="AN223" s="258" t="str">
        <f t="shared" si="108"/>
        <v/>
      </c>
      <c r="AO223" s="266"/>
      <c r="AP223" s="258" t="str">
        <f t="shared" si="109"/>
        <v/>
      </c>
      <c r="AQ223" s="266"/>
      <c r="AR223" s="258" t="str">
        <f t="shared" si="110"/>
        <v/>
      </c>
      <c r="AS223" s="266"/>
      <c r="AT223" s="256" t="str">
        <f t="shared" si="111"/>
        <v/>
      </c>
      <c r="AU223" s="256" t="str">
        <f t="shared" si="112"/>
        <v/>
      </c>
      <c r="AV223" s="256" t="str">
        <f t="shared" si="113"/>
        <v/>
      </c>
      <c r="AW223" s="267"/>
      <c r="AX223" s="255"/>
      <c r="AY223" s="259" t="str">
        <f>IF(AX223&lt;&gt;"",AX223/VLOOKUP($V223,Setup!$C$30:$D$41,2,0),"")</f>
        <v/>
      </c>
      <c r="AZ223" s="268"/>
      <c r="BA223" s="258" t="str">
        <f t="shared" si="114"/>
        <v/>
      </c>
      <c r="BB223" s="268"/>
      <c r="BC223" s="258" t="str">
        <f t="shared" si="115"/>
        <v/>
      </c>
      <c r="BD223" s="268"/>
      <c r="BE223" s="258" t="str">
        <f t="shared" si="116"/>
        <v/>
      </c>
      <c r="BF223" s="268"/>
      <c r="BG223" s="256" t="str">
        <f t="shared" si="117"/>
        <v/>
      </c>
      <c r="BH223" s="256" t="str">
        <f t="shared" si="118"/>
        <v/>
      </c>
      <c r="BI223" s="256" t="str">
        <f t="shared" si="119"/>
        <v/>
      </c>
      <c r="BJ223" s="267"/>
      <c r="BK223" s="255"/>
      <c r="BL223" s="259" t="str">
        <f>IF(BK223&lt;&gt;"",BK223/VLOOKUP($V223,Setup!$C$30:$D$41,2,0),"")</f>
        <v/>
      </c>
      <c r="BM223" s="268"/>
      <c r="BN223" s="258" t="str">
        <f t="shared" si="120"/>
        <v/>
      </c>
      <c r="BO223" s="268"/>
      <c r="BP223" s="258" t="str">
        <f t="shared" si="121"/>
        <v/>
      </c>
      <c r="BQ223" s="268"/>
      <c r="BR223" s="258" t="str">
        <f t="shared" si="122"/>
        <v/>
      </c>
      <c r="BS223" s="268"/>
      <c r="BT223" s="256" t="str">
        <f t="shared" si="123"/>
        <v/>
      </c>
      <c r="BU223" s="256" t="str">
        <f t="shared" si="124"/>
        <v/>
      </c>
      <c r="BV223" s="256" t="str">
        <f t="shared" si="125"/>
        <v/>
      </c>
      <c r="BW223" s="267"/>
      <c r="BX223" s="256" t="str">
        <f t="shared" si="126"/>
        <v/>
      </c>
      <c r="BY223" s="256" t="str">
        <f t="shared" si="127"/>
        <v/>
      </c>
      <c r="BZ223" s="281"/>
      <c r="CA223" s="282"/>
      <c r="CC223" s="112" t="str">
        <f t="shared" ca="1" si="128"/>
        <v/>
      </c>
      <c r="CF223" s="284"/>
      <c r="CG223" s="284"/>
      <c r="CH223" s="284"/>
      <c r="CI223" s="284"/>
      <c r="CL223" s="356" t="str">
        <f>IFERROR(VLOOKUP(C223,'Data Sheet'!$A$3:$B$26,2,FALSE),"")</f>
        <v/>
      </c>
    </row>
    <row r="224" spans="1:90" s="98" customFormat="1" ht="15.75" x14ac:dyDescent="0.2">
      <c r="A224" s="97"/>
      <c r="B224" s="105" t="str">
        <f t="shared" si="131"/>
        <v>--</v>
      </c>
      <c r="C224" s="276"/>
      <c r="D224" s="101" t="str">
        <f>IFERROR(IF(VLOOKUP(C224,'Data Sheet'!$A$3:$D$26,4,FALSE)=0,"",VLOOKUP(C224,'Data Sheet'!$A$3:$D$26,4,FALSE)),"")</f>
        <v/>
      </c>
      <c r="E224" s="279"/>
      <c r="F224" s="103" t="str">
        <f>IFERROR(IF(VLOOKUP(E224,'Data Sheet'!$C$29:$E$174,3,FALSE)=0,"",VLOOKUP(E224,'Data Sheet'!$C$29:$E$174,3,FALSE)),"")</f>
        <v/>
      </c>
      <c r="G224" s="106" t="str">
        <f t="shared" si="129"/>
        <v>-</v>
      </c>
      <c r="H224" s="273"/>
      <c r="I224" s="107"/>
      <c r="J224" s="249" t="e">
        <f t="shared" si="130"/>
        <v>#VALUE!</v>
      </c>
      <c r="K224" s="101" t="str">
        <f>IFERROR(INDEX('Data Sheet'!$C$198:$C$275,MATCH(I224,'Data Sheet'!$F$198:$F$275,0)),"")</f>
        <v/>
      </c>
      <c r="L224" s="250" t="str">
        <f>IFERROR(INDEX('Data Sheet'!$G$198:$G$275,MATCH(I224,'Data Sheet'!$F$198:$F$275,0)),"")</f>
        <v/>
      </c>
      <c r="M224" s="194"/>
      <c r="N224" s="248"/>
      <c r="O224" s="248"/>
      <c r="P224" s="108" t="str">
        <f>IFERROR(INDEX(Setup!$D$44:$D$70,MATCH(M224,Setup!$K$44:$K$70,0))&amp;"","")</f>
        <v/>
      </c>
      <c r="Q224" s="108" t="str">
        <f>IFERROR(INDEX(Setup!$E$44:$E$70,MATCH(M224,Setup!$K$44:$K$70,0))&amp;"","")</f>
        <v/>
      </c>
      <c r="R224" s="108" t="str">
        <f>IFERROR(INDEX(Setup!$L$44:$L$70,MATCH(M224,Setup!$K$44:$K$70,0))&amp;"","")</f>
        <v/>
      </c>
      <c r="S224" s="108" t="str">
        <f>Setup!$C$30</f>
        <v>USD</v>
      </c>
      <c r="T224" s="109" t="str">
        <f>IFERROR(INDEX('Data Sheet'!$B$198:$B$275,MATCH(I224,'Data Sheet'!$F$198:$F$275,0)),"")</f>
        <v/>
      </c>
      <c r="U224" s="110" t="str">
        <f>IFERROR(INDEX('Data Sheet'!$D$198:$D$275,MATCH(I224,'Data Sheet'!$F$198:$F$275,0)),"")</f>
        <v/>
      </c>
      <c r="V224" s="99"/>
      <c r="W224" s="195" t="str">
        <f>IF(V224=Setup!$C$30,"Grant",IF(V224=Setup!$C$31,"Local",IF(V224=Setup!$C$32,"Other",IF(ISBLANK(V224),"","Other"))))</f>
        <v/>
      </c>
      <c r="X224" s="255"/>
      <c r="Y224" s="259" t="str">
        <f>IF(X224&lt;&gt;"",X224/VLOOKUP($V224,Setup!$C$30:$D$41,2,0),"")</f>
        <v/>
      </c>
      <c r="Z224" s="262"/>
      <c r="AA224" s="256" t="str">
        <f t="shared" si="102"/>
        <v/>
      </c>
      <c r="AB224" s="262"/>
      <c r="AC224" s="258" t="str">
        <f t="shared" si="103"/>
        <v/>
      </c>
      <c r="AD224" s="262"/>
      <c r="AE224" s="258" t="str">
        <f t="shared" si="104"/>
        <v/>
      </c>
      <c r="AF224" s="262"/>
      <c r="AG224" s="256" t="str">
        <f t="shared" si="105"/>
        <v/>
      </c>
      <c r="AH224" s="256" t="str">
        <f t="shared" si="106"/>
        <v/>
      </c>
      <c r="AI224" s="256" t="str">
        <f t="shared" si="107"/>
        <v/>
      </c>
      <c r="AJ224" s="111"/>
      <c r="AK224" s="255"/>
      <c r="AL224" s="259" t="str">
        <f>IF(AK224&lt;&gt;"",AK224/VLOOKUP($V224,Setup!$C$30:$D$41,2,0),"")</f>
        <v/>
      </c>
      <c r="AM224" s="266"/>
      <c r="AN224" s="258" t="str">
        <f t="shared" si="108"/>
        <v/>
      </c>
      <c r="AO224" s="266"/>
      <c r="AP224" s="258" t="str">
        <f t="shared" si="109"/>
        <v/>
      </c>
      <c r="AQ224" s="266"/>
      <c r="AR224" s="258" t="str">
        <f t="shared" si="110"/>
        <v/>
      </c>
      <c r="AS224" s="266"/>
      <c r="AT224" s="256" t="str">
        <f t="shared" si="111"/>
        <v/>
      </c>
      <c r="AU224" s="256" t="str">
        <f t="shared" si="112"/>
        <v/>
      </c>
      <c r="AV224" s="256" t="str">
        <f t="shared" si="113"/>
        <v/>
      </c>
      <c r="AW224" s="267"/>
      <c r="AX224" s="255"/>
      <c r="AY224" s="259" t="str">
        <f>IF(AX224&lt;&gt;"",AX224/VLOOKUP($V224,Setup!$C$30:$D$41,2,0),"")</f>
        <v/>
      </c>
      <c r="AZ224" s="268"/>
      <c r="BA224" s="258" t="str">
        <f t="shared" si="114"/>
        <v/>
      </c>
      <c r="BB224" s="268"/>
      <c r="BC224" s="258" t="str">
        <f t="shared" si="115"/>
        <v/>
      </c>
      <c r="BD224" s="268"/>
      <c r="BE224" s="258" t="str">
        <f t="shared" si="116"/>
        <v/>
      </c>
      <c r="BF224" s="268"/>
      <c r="BG224" s="256" t="str">
        <f t="shared" si="117"/>
        <v/>
      </c>
      <c r="BH224" s="256" t="str">
        <f t="shared" si="118"/>
        <v/>
      </c>
      <c r="BI224" s="256" t="str">
        <f t="shared" si="119"/>
        <v/>
      </c>
      <c r="BJ224" s="267"/>
      <c r="BK224" s="255"/>
      <c r="BL224" s="259" t="str">
        <f>IF(BK224&lt;&gt;"",BK224/VLOOKUP($V224,Setup!$C$30:$D$41,2,0),"")</f>
        <v/>
      </c>
      <c r="BM224" s="268"/>
      <c r="BN224" s="258" t="str">
        <f t="shared" si="120"/>
        <v/>
      </c>
      <c r="BO224" s="268"/>
      <c r="BP224" s="258" t="str">
        <f t="shared" si="121"/>
        <v/>
      </c>
      <c r="BQ224" s="268"/>
      <c r="BR224" s="258" t="str">
        <f t="shared" si="122"/>
        <v/>
      </c>
      <c r="BS224" s="268"/>
      <c r="BT224" s="256" t="str">
        <f t="shared" si="123"/>
        <v/>
      </c>
      <c r="BU224" s="256" t="str">
        <f t="shared" si="124"/>
        <v/>
      </c>
      <c r="BV224" s="256" t="str">
        <f t="shared" si="125"/>
        <v/>
      </c>
      <c r="BW224" s="267"/>
      <c r="BX224" s="256" t="str">
        <f t="shared" si="126"/>
        <v/>
      </c>
      <c r="BY224" s="256" t="str">
        <f t="shared" si="127"/>
        <v/>
      </c>
      <c r="BZ224" s="281"/>
      <c r="CA224" s="282"/>
      <c r="CC224" s="112" t="str">
        <f t="shared" ca="1" si="128"/>
        <v/>
      </c>
      <c r="CF224" s="284"/>
      <c r="CG224" s="284"/>
      <c r="CH224" s="284"/>
      <c r="CI224" s="284"/>
      <c r="CL224" s="356" t="str">
        <f>IFERROR(VLOOKUP(C224,'Data Sheet'!$A$3:$B$26,2,FALSE),"")</f>
        <v/>
      </c>
    </row>
    <row r="225" spans="1:90" s="98" customFormat="1" ht="15.75" x14ac:dyDescent="0.2">
      <c r="A225" s="97"/>
      <c r="B225" s="105" t="str">
        <f t="shared" si="131"/>
        <v>--</v>
      </c>
      <c r="C225" s="276"/>
      <c r="D225" s="101" t="str">
        <f>IFERROR(IF(VLOOKUP(C225,'Data Sheet'!$A$3:$D$26,4,FALSE)=0,"",VLOOKUP(C225,'Data Sheet'!$A$3:$D$26,4,FALSE)),"")</f>
        <v/>
      </c>
      <c r="E225" s="279"/>
      <c r="F225" s="103" t="str">
        <f>IFERROR(IF(VLOOKUP(E225,'Data Sheet'!$C$29:$E$174,3,FALSE)=0,"",VLOOKUP(E225,'Data Sheet'!$C$29:$E$174,3,FALSE)),"")</f>
        <v/>
      </c>
      <c r="G225" s="106" t="str">
        <f t="shared" si="129"/>
        <v>-</v>
      </c>
      <c r="H225" s="273"/>
      <c r="I225" s="107"/>
      <c r="J225" s="249" t="e">
        <f t="shared" si="130"/>
        <v>#VALUE!</v>
      </c>
      <c r="K225" s="101" t="str">
        <f>IFERROR(INDEX('Data Sheet'!$C$198:$C$275,MATCH(I225,'Data Sheet'!$F$198:$F$275,0)),"")</f>
        <v/>
      </c>
      <c r="L225" s="250" t="str">
        <f>IFERROR(INDEX('Data Sheet'!$G$198:$G$275,MATCH(I225,'Data Sheet'!$F$198:$F$275,0)),"")</f>
        <v/>
      </c>
      <c r="M225" s="194"/>
      <c r="N225" s="248"/>
      <c r="O225" s="248"/>
      <c r="P225" s="108" t="str">
        <f>IFERROR(INDEX(Setup!$D$44:$D$70,MATCH(M225,Setup!$K$44:$K$70,0))&amp;"","")</f>
        <v/>
      </c>
      <c r="Q225" s="108" t="str">
        <f>IFERROR(INDEX(Setup!$E$44:$E$70,MATCH(M225,Setup!$K$44:$K$70,0))&amp;"","")</f>
        <v/>
      </c>
      <c r="R225" s="108" t="str">
        <f>IFERROR(INDEX(Setup!$L$44:$L$70,MATCH(M225,Setup!$K$44:$K$70,0))&amp;"","")</f>
        <v/>
      </c>
      <c r="S225" s="108" t="str">
        <f>Setup!$C$30</f>
        <v>USD</v>
      </c>
      <c r="T225" s="109" t="str">
        <f>IFERROR(INDEX('Data Sheet'!$B$198:$B$275,MATCH(I225,'Data Sheet'!$F$198:$F$275,0)),"")</f>
        <v/>
      </c>
      <c r="U225" s="110" t="str">
        <f>IFERROR(INDEX('Data Sheet'!$D$198:$D$275,MATCH(I225,'Data Sheet'!$F$198:$F$275,0)),"")</f>
        <v/>
      </c>
      <c r="V225" s="99"/>
      <c r="W225" s="195" t="str">
        <f>IF(V225=Setup!$C$30,"Grant",IF(V225=Setup!$C$31,"Local",IF(V225=Setup!$C$32,"Other",IF(ISBLANK(V225),"","Other"))))</f>
        <v/>
      </c>
      <c r="X225" s="255"/>
      <c r="Y225" s="259" t="str">
        <f>IF(X225&lt;&gt;"",X225/VLOOKUP($V225,Setup!$C$30:$D$41,2,0),"")</f>
        <v/>
      </c>
      <c r="Z225" s="262"/>
      <c r="AA225" s="256" t="str">
        <f t="shared" si="102"/>
        <v/>
      </c>
      <c r="AB225" s="262"/>
      <c r="AC225" s="258" t="str">
        <f t="shared" si="103"/>
        <v/>
      </c>
      <c r="AD225" s="262"/>
      <c r="AE225" s="258" t="str">
        <f t="shared" si="104"/>
        <v/>
      </c>
      <c r="AF225" s="262"/>
      <c r="AG225" s="256" t="str">
        <f t="shared" si="105"/>
        <v/>
      </c>
      <c r="AH225" s="256" t="str">
        <f t="shared" si="106"/>
        <v/>
      </c>
      <c r="AI225" s="256" t="str">
        <f t="shared" si="107"/>
        <v/>
      </c>
      <c r="AJ225" s="111"/>
      <c r="AK225" s="255"/>
      <c r="AL225" s="259" t="str">
        <f>IF(AK225&lt;&gt;"",AK225/VLOOKUP($V225,Setup!$C$30:$D$41,2,0),"")</f>
        <v/>
      </c>
      <c r="AM225" s="266"/>
      <c r="AN225" s="258" t="str">
        <f t="shared" si="108"/>
        <v/>
      </c>
      <c r="AO225" s="266"/>
      <c r="AP225" s="258" t="str">
        <f t="shared" si="109"/>
        <v/>
      </c>
      <c r="AQ225" s="266"/>
      <c r="AR225" s="258" t="str">
        <f t="shared" si="110"/>
        <v/>
      </c>
      <c r="AS225" s="266"/>
      <c r="AT225" s="256" t="str">
        <f t="shared" si="111"/>
        <v/>
      </c>
      <c r="AU225" s="256" t="str">
        <f t="shared" si="112"/>
        <v/>
      </c>
      <c r="AV225" s="256" t="str">
        <f t="shared" si="113"/>
        <v/>
      </c>
      <c r="AW225" s="267"/>
      <c r="AX225" s="255"/>
      <c r="AY225" s="259" t="str">
        <f>IF(AX225&lt;&gt;"",AX225/VLOOKUP($V225,Setup!$C$30:$D$41,2,0),"")</f>
        <v/>
      </c>
      <c r="AZ225" s="268"/>
      <c r="BA225" s="258" t="str">
        <f t="shared" si="114"/>
        <v/>
      </c>
      <c r="BB225" s="268"/>
      <c r="BC225" s="258" t="str">
        <f t="shared" si="115"/>
        <v/>
      </c>
      <c r="BD225" s="268"/>
      <c r="BE225" s="258" t="str">
        <f t="shared" si="116"/>
        <v/>
      </c>
      <c r="BF225" s="268"/>
      <c r="BG225" s="256" t="str">
        <f t="shared" si="117"/>
        <v/>
      </c>
      <c r="BH225" s="256" t="str">
        <f t="shared" si="118"/>
        <v/>
      </c>
      <c r="BI225" s="256" t="str">
        <f t="shared" si="119"/>
        <v/>
      </c>
      <c r="BJ225" s="267"/>
      <c r="BK225" s="255"/>
      <c r="BL225" s="259" t="str">
        <f>IF(BK225&lt;&gt;"",BK225/VLOOKUP($V225,Setup!$C$30:$D$41,2,0),"")</f>
        <v/>
      </c>
      <c r="BM225" s="268"/>
      <c r="BN225" s="258" t="str">
        <f t="shared" si="120"/>
        <v/>
      </c>
      <c r="BO225" s="268"/>
      <c r="BP225" s="258" t="str">
        <f t="shared" si="121"/>
        <v/>
      </c>
      <c r="BQ225" s="268"/>
      <c r="BR225" s="258" t="str">
        <f t="shared" si="122"/>
        <v/>
      </c>
      <c r="BS225" s="268"/>
      <c r="BT225" s="256" t="str">
        <f t="shared" si="123"/>
        <v/>
      </c>
      <c r="BU225" s="256" t="str">
        <f t="shared" si="124"/>
        <v/>
      </c>
      <c r="BV225" s="256" t="str">
        <f t="shared" si="125"/>
        <v/>
      </c>
      <c r="BW225" s="267"/>
      <c r="BX225" s="256" t="str">
        <f t="shared" si="126"/>
        <v/>
      </c>
      <c r="BY225" s="256" t="str">
        <f t="shared" si="127"/>
        <v/>
      </c>
      <c r="BZ225" s="281"/>
      <c r="CA225" s="282"/>
      <c r="CC225" s="112" t="str">
        <f t="shared" ca="1" si="128"/>
        <v/>
      </c>
      <c r="CF225" s="284"/>
      <c r="CG225" s="284"/>
      <c r="CH225" s="284"/>
      <c r="CI225" s="284"/>
      <c r="CL225" s="356" t="str">
        <f>IFERROR(VLOOKUP(C225,'Data Sheet'!$A$3:$B$26,2,FALSE),"")</f>
        <v/>
      </c>
    </row>
    <row r="226" spans="1:90" s="98" customFormat="1" ht="15.75" x14ac:dyDescent="0.2">
      <c r="A226" s="97"/>
      <c r="B226" s="105" t="str">
        <f t="shared" si="131"/>
        <v>--</v>
      </c>
      <c r="C226" s="276"/>
      <c r="D226" s="101" t="str">
        <f>IFERROR(IF(VLOOKUP(C226,'Data Sheet'!$A$3:$D$26,4,FALSE)=0,"",VLOOKUP(C226,'Data Sheet'!$A$3:$D$26,4,FALSE)),"")</f>
        <v/>
      </c>
      <c r="E226" s="279"/>
      <c r="F226" s="103" t="str">
        <f>IFERROR(IF(VLOOKUP(E226,'Data Sheet'!$C$29:$E$174,3,FALSE)=0,"",VLOOKUP(E226,'Data Sheet'!$C$29:$E$174,3,FALSE)),"")</f>
        <v/>
      </c>
      <c r="G226" s="106" t="str">
        <f t="shared" si="129"/>
        <v>-</v>
      </c>
      <c r="H226" s="273"/>
      <c r="I226" s="107"/>
      <c r="J226" s="249" t="e">
        <f t="shared" si="130"/>
        <v>#VALUE!</v>
      </c>
      <c r="K226" s="101" t="str">
        <f>IFERROR(INDEX('Data Sheet'!$C$198:$C$275,MATCH(I226,'Data Sheet'!$F$198:$F$275,0)),"")</f>
        <v/>
      </c>
      <c r="L226" s="250" t="str">
        <f>IFERROR(INDEX('Data Sheet'!$G$198:$G$275,MATCH(I226,'Data Sheet'!$F$198:$F$275,0)),"")</f>
        <v/>
      </c>
      <c r="M226" s="194"/>
      <c r="N226" s="248"/>
      <c r="O226" s="248"/>
      <c r="P226" s="108" t="str">
        <f>IFERROR(INDEX(Setup!$D$44:$D$70,MATCH(M226,Setup!$K$44:$K$70,0))&amp;"","")</f>
        <v/>
      </c>
      <c r="Q226" s="108" t="str">
        <f>IFERROR(INDEX(Setup!$E$44:$E$70,MATCH(M226,Setup!$K$44:$K$70,0))&amp;"","")</f>
        <v/>
      </c>
      <c r="R226" s="108" t="str">
        <f>IFERROR(INDEX(Setup!$L$44:$L$70,MATCH(M226,Setup!$K$44:$K$70,0))&amp;"","")</f>
        <v/>
      </c>
      <c r="S226" s="108" t="str">
        <f>Setup!$C$30</f>
        <v>USD</v>
      </c>
      <c r="T226" s="109" t="str">
        <f>IFERROR(INDEX('Data Sheet'!$B$198:$B$275,MATCH(I226,'Data Sheet'!$F$198:$F$275,0)),"")</f>
        <v/>
      </c>
      <c r="U226" s="110" t="str">
        <f>IFERROR(INDEX('Data Sheet'!$D$198:$D$275,MATCH(I226,'Data Sheet'!$F$198:$F$275,0)),"")</f>
        <v/>
      </c>
      <c r="V226" s="99"/>
      <c r="W226" s="195" t="str">
        <f>IF(V226=Setup!$C$30,"Grant",IF(V226=Setup!$C$31,"Local",IF(V226=Setup!$C$32,"Other",IF(ISBLANK(V226),"","Other"))))</f>
        <v/>
      </c>
      <c r="X226" s="255"/>
      <c r="Y226" s="259" t="str">
        <f>IF(X226&lt;&gt;"",X226/VLOOKUP($V226,Setup!$C$30:$D$41,2,0),"")</f>
        <v/>
      </c>
      <c r="Z226" s="262"/>
      <c r="AA226" s="256" t="str">
        <f t="shared" si="102"/>
        <v/>
      </c>
      <c r="AB226" s="262"/>
      <c r="AC226" s="258" t="str">
        <f t="shared" si="103"/>
        <v/>
      </c>
      <c r="AD226" s="262"/>
      <c r="AE226" s="258" t="str">
        <f t="shared" si="104"/>
        <v/>
      </c>
      <c r="AF226" s="262"/>
      <c r="AG226" s="256" t="str">
        <f t="shared" si="105"/>
        <v/>
      </c>
      <c r="AH226" s="256" t="str">
        <f t="shared" si="106"/>
        <v/>
      </c>
      <c r="AI226" s="256" t="str">
        <f t="shared" si="107"/>
        <v/>
      </c>
      <c r="AJ226" s="111"/>
      <c r="AK226" s="255"/>
      <c r="AL226" s="259" t="str">
        <f>IF(AK226&lt;&gt;"",AK226/VLOOKUP($V226,Setup!$C$30:$D$41,2,0),"")</f>
        <v/>
      </c>
      <c r="AM226" s="266"/>
      <c r="AN226" s="258" t="str">
        <f t="shared" si="108"/>
        <v/>
      </c>
      <c r="AO226" s="266"/>
      <c r="AP226" s="258" t="str">
        <f t="shared" si="109"/>
        <v/>
      </c>
      <c r="AQ226" s="266"/>
      <c r="AR226" s="258" t="str">
        <f t="shared" si="110"/>
        <v/>
      </c>
      <c r="AS226" s="266"/>
      <c r="AT226" s="256" t="str">
        <f t="shared" si="111"/>
        <v/>
      </c>
      <c r="AU226" s="256" t="str">
        <f t="shared" si="112"/>
        <v/>
      </c>
      <c r="AV226" s="256" t="str">
        <f t="shared" si="113"/>
        <v/>
      </c>
      <c r="AW226" s="267"/>
      <c r="AX226" s="255"/>
      <c r="AY226" s="259" t="str">
        <f>IF(AX226&lt;&gt;"",AX226/VLOOKUP($V226,Setup!$C$30:$D$41,2,0),"")</f>
        <v/>
      </c>
      <c r="AZ226" s="268"/>
      <c r="BA226" s="258" t="str">
        <f t="shared" si="114"/>
        <v/>
      </c>
      <c r="BB226" s="268"/>
      <c r="BC226" s="258" t="str">
        <f t="shared" si="115"/>
        <v/>
      </c>
      <c r="BD226" s="268"/>
      <c r="BE226" s="258" t="str">
        <f t="shared" si="116"/>
        <v/>
      </c>
      <c r="BF226" s="268"/>
      <c r="BG226" s="256" t="str">
        <f t="shared" si="117"/>
        <v/>
      </c>
      <c r="BH226" s="256" t="str">
        <f t="shared" si="118"/>
        <v/>
      </c>
      <c r="BI226" s="256" t="str">
        <f t="shared" si="119"/>
        <v/>
      </c>
      <c r="BJ226" s="267"/>
      <c r="BK226" s="255"/>
      <c r="BL226" s="259" t="str">
        <f>IF(BK226&lt;&gt;"",BK226/VLOOKUP($V226,Setup!$C$30:$D$41,2,0),"")</f>
        <v/>
      </c>
      <c r="BM226" s="268"/>
      <c r="BN226" s="258" t="str">
        <f t="shared" si="120"/>
        <v/>
      </c>
      <c r="BO226" s="268"/>
      <c r="BP226" s="258" t="str">
        <f t="shared" si="121"/>
        <v/>
      </c>
      <c r="BQ226" s="268"/>
      <c r="BR226" s="258" t="str">
        <f t="shared" si="122"/>
        <v/>
      </c>
      <c r="BS226" s="268"/>
      <c r="BT226" s="256" t="str">
        <f t="shared" si="123"/>
        <v/>
      </c>
      <c r="BU226" s="256" t="str">
        <f t="shared" si="124"/>
        <v/>
      </c>
      <c r="BV226" s="256" t="str">
        <f t="shared" si="125"/>
        <v/>
      </c>
      <c r="BW226" s="267"/>
      <c r="BX226" s="256" t="str">
        <f t="shared" si="126"/>
        <v/>
      </c>
      <c r="BY226" s="256" t="str">
        <f t="shared" si="127"/>
        <v/>
      </c>
      <c r="BZ226" s="281"/>
      <c r="CA226" s="282"/>
      <c r="CC226" s="112" t="str">
        <f t="shared" ca="1" si="128"/>
        <v/>
      </c>
      <c r="CF226" s="284"/>
      <c r="CG226" s="284"/>
      <c r="CH226" s="284"/>
      <c r="CI226" s="284"/>
      <c r="CL226" s="356" t="str">
        <f>IFERROR(VLOOKUP(C226,'Data Sheet'!$A$3:$B$26,2,FALSE),"")</f>
        <v/>
      </c>
    </row>
    <row r="227" spans="1:90" s="98" customFormat="1" ht="15.75" x14ac:dyDescent="0.2">
      <c r="A227" s="97"/>
      <c r="B227" s="105" t="str">
        <f t="shared" si="131"/>
        <v>--</v>
      </c>
      <c r="C227" s="276"/>
      <c r="D227" s="101" t="str">
        <f>IFERROR(IF(VLOOKUP(C227,'Data Sheet'!$A$3:$D$26,4,FALSE)=0,"",VLOOKUP(C227,'Data Sheet'!$A$3:$D$26,4,FALSE)),"")</f>
        <v/>
      </c>
      <c r="E227" s="279"/>
      <c r="F227" s="103" t="str">
        <f>IFERROR(IF(VLOOKUP(E227,'Data Sheet'!$C$29:$E$174,3,FALSE)=0,"",VLOOKUP(E227,'Data Sheet'!$C$29:$E$174,3,FALSE)),"")</f>
        <v/>
      </c>
      <c r="G227" s="106" t="str">
        <f t="shared" si="129"/>
        <v>-</v>
      </c>
      <c r="H227" s="273"/>
      <c r="I227" s="107"/>
      <c r="J227" s="249" t="e">
        <f t="shared" si="130"/>
        <v>#VALUE!</v>
      </c>
      <c r="K227" s="101" t="str">
        <f>IFERROR(INDEX('Data Sheet'!$C$198:$C$275,MATCH(I227,'Data Sheet'!$F$198:$F$275,0)),"")</f>
        <v/>
      </c>
      <c r="L227" s="250" t="str">
        <f>IFERROR(INDEX('Data Sheet'!$G$198:$G$275,MATCH(I227,'Data Sheet'!$F$198:$F$275,0)),"")</f>
        <v/>
      </c>
      <c r="M227" s="194"/>
      <c r="N227" s="248"/>
      <c r="O227" s="248"/>
      <c r="P227" s="108" t="str">
        <f>IFERROR(INDEX(Setup!$D$44:$D$70,MATCH(M227,Setup!$K$44:$K$70,0))&amp;"","")</f>
        <v/>
      </c>
      <c r="Q227" s="108" t="str">
        <f>IFERROR(INDEX(Setup!$E$44:$E$70,MATCH(M227,Setup!$K$44:$K$70,0))&amp;"","")</f>
        <v/>
      </c>
      <c r="R227" s="108" t="str">
        <f>IFERROR(INDEX(Setup!$L$44:$L$70,MATCH(M227,Setup!$K$44:$K$70,0))&amp;"","")</f>
        <v/>
      </c>
      <c r="S227" s="108" t="str">
        <f>Setup!$C$30</f>
        <v>USD</v>
      </c>
      <c r="T227" s="109" t="str">
        <f>IFERROR(INDEX('Data Sheet'!$B$198:$B$275,MATCH(I227,'Data Sheet'!$F$198:$F$275,0)),"")</f>
        <v/>
      </c>
      <c r="U227" s="110" t="str">
        <f>IFERROR(INDEX('Data Sheet'!$D$198:$D$275,MATCH(I227,'Data Sheet'!$F$198:$F$275,0)),"")</f>
        <v/>
      </c>
      <c r="V227" s="99"/>
      <c r="W227" s="195" t="str">
        <f>IF(V227=Setup!$C$30,"Grant",IF(V227=Setup!$C$31,"Local",IF(V227=Setup!$C$32,"Other",IF(ISBLANK(V227),"","Other"))))</f>
        <v/>
      </c>
      <c r="X227" s="255"/>
      <c r="Y227" s="259" t="str">
        <f>IF(X227&lt;&gt;"",X227/VLOOKUP($V227,Setup!$C$30:$D$41,2,0),"")</f>
        <v/>
      </c>
      <c r="Z227" s="262"/>
      <c r="AA227" s="256" t="str">
        <f t="shared" si="102"/>
        <v/>
      </c>
      <c r="AB227" s="262"/>
      <c r="AC227" s="258" t="str">
        <f t="shared" si="103"/>
        <v/>
      </c>
      <c r="AD227" s="262"/>
      <c r="AE227" s="258" t="str">
        <f t="shared" si="104"/>
        <v/>
      </c>
      <c r="AF227" s="262"/>
      <c r="AG227" s="256" t="str">
        <f t="shared" si="105"/>
        <v/>
      </c>
      <c r="AH227" s="256" t="str">
        <f t="shared" si="106"/>
        <v/>
      </c>
      <c r="AI227" s="256" t="str">
        <f t="shared" si="107"/>
        <v/>
      </c>
      <c r="AJ227" s="111"/>
      <c r="AK227" s="255"/>
      <c r="AL227" s="259" t="str">
        <f>IF(AK227&lt;&gt;"",AK227/VLOOKUP($V227,Setup!$C$30:$D$41,2,0),"")</f>
        <v/>
      </c>
      <c r="AM227" s="266"/>
      <c r="AN227" s="258" t="str">
        <f t="shared" si="108"/>
        <v/>
      </c>
      <c r="AO227" s="266"/>
      <c r="AP227" s="258" t="str">
        <f t="shared" si="109"/>
        <v/>
      </c>
      <c r="AQ227" s="266"/>
      <c r="AR227" s="258" t="str">
        <f t="shared" si="110"/>
        <v/>
      </c>
      <c r="AS227" s="266"/>
      <c r="AT227" s="256" t="str">
        <f t="shared" si="111"/>
        <v/>
      </c>
      <c r="AU227" s="256" t="str">
        <f t="shared" si="112"/>
        <v/>
      </c>
      <c r="AV227" s="256" t="str">
        <f t="shared" si="113"/>
        <v/>
      </c>
      <c r="AW227" s="267"/>
      <c r="AX227" s="255"/>
      <c r="AY227" s="259" t="str">
        <f>IF(AX227&lt;&gt;"",AX227/VLOOKUP($V227,Setup!$C$30:$D$41,2,0),"")</f>
        <v/>
      </c>
      <c r="AZ227" s="268"/>
      <c r="BA227" s="258" t="str">
        <f t="shared" si="114"/>
        <v/>
      </c>
      <c r="BB227" s="268"/>
      <c r="BC227" s="258" t="str">
        <f t="shared" si="115"/>
        <v/>
      </c>
      <c r="BD227" s="268"/>
      <c r="BE227" s="258" t="str">
        <f t="shared" si="116"/>
        <v/>
      </c>
      <c r="BF227" s="268"/>
      <c r="BG227" s="256" t="str">
        <f t="shared" si="117"/>
        <v/>
      </c>
      <c r="BH227" s="256" t="str">
        <f t="shared" si="118"/>
        <v/>
      </c>
      <c r="BI227" s="256" t="str">
        <f t="shared" si="119"/>
        <v/>
      </c>
      <c r="BJ227" s="267"/>
      <c r="BK227" s="255"/>
      <c r="BL227" s="259" t="str">
        <f>IF(BK227&lt;&gt;"",BK227/VLOOKUP($V227,Setup!$C$30:$D$41,2,0),"")</f>
        <v/>
      </c>
      <c r="BM227" s="268"/>
      <c r="BN227" s="258" t="str">
        <f t="shared" si="120"/>
        <v/>
      </c>
      <c r="BO227" s="268"/>
      <c r="BP227" s="258" t="str">
        <f t="shared" si="121"/>
        <v/>
      </c>
      <c r="BQ227" s="268"/>
      <c r="BR227" s="258" t="str">
        <f t="shared" si="122"/>
        <v/>
      </c>
      <c r="BS227" s="268"/>
      <c r="BT227" s="256" t="str">
        <f t="shared" si="123"/>
        <v/>
      </c>
      <c r="BU227" s="256" t="str">
        <f t="shared" si="124"/>
        <v/>
      </c>
      <c r="BV227" s="256" t="str">
        <f t="shared" si="125"/>
        <v/>
      </c>
      <c r="BW227" s="267"/>
      <c r="BX227" s="256" t="str">
        <f t="shared" si="126"/>
        <v/>
      </c>
      <c r="BY227" s="256" t="str">
        <f t="shared" si="127"/>
        <v/>
      </c>
      <c r="BZ227" s="281"/>
      <c r="CA227" s="282"/>
      <c r="CC227" s="112" t="str">
        <f t="shared" ca="1" si="128"/>
        <v/>
      </c>
      <c r="CF227" s="284"/>
      <c r="CG227" s="284"/>
      <c r="CH227" s="284"/>
      <c r="CI227" s="284"/>
      <c r="CL227" s="356" t="str">
        <f>IFERROR(VLOOKUP(C227,'Data Sheet'!$A$3:$B$26,2,FALSE),"")</f>
        <v/>
      </c>
    </row>
    <row r="228" spans="1:90" s="98" customFormat="1" ht="15.75" x14ac:dyDescent="0.2">
      <c r="A228" s="97"/>
      <c r="B228" s="105" t="str">
        <f t="shared" si="131"/>
        <v>--</v>
      </c>
      <c r="C228" s="276"/>
      <c r="D228" s="101" t="str">
        <f>IFERROR(IF(VLOOKUP(C228,'Data Sheet'!$A$3:$D$26,4,FALSE)=0,"",VLOOKUP(C228,'Data Sheet'!$A$3:$D$26,4,FALSE)),"")</f>
        <v/>
      </c>
      <c r="E228" s="279"/>
      <c r="F228" s="103" t="str">
        <f>IFERROR(IF(VLOOKUP(E228,'Data Sheet'!$C$29:$E$174,3,FALSE)=0,"",VLOOKUP(E228,'Data Sheet'!$C$29:$E$174,3,FALSE)),"")</f>
        <v/>
      </c>
      <c r="G228" s="106" t="str">
        <f t="shared" si="129"/>
        <v>-</v>
      </c>
      <c r="H228" s="273"/>
      <c r="I228" s="107"/>
      <c r="J228" s="249" t="e">
        <f t="shared" si="130"/>
        <v>#VALUE!</v>
      </c>
      <c r="K228" s="101" t="str">
        <f>IFERROR(INDEX('Data Sheet'!$C$198:$C$275,MATCH(I228,'Data Sheet'!$F$198:$F$275,0)),"")</f>
        <v/>
      </c>
      <c r="L228" s="250" t="str">
        <f>IFERROR(INDEX('Data Sheet'!$G$198:$G$275,MATCH(I228,'Data Sheet'!$F$198:$F$275,0)),"")</f>
        <v/>
      </c>
      <c r="M228" s="194"/>
      <c r="N228" s="248"/>
      <c r="O228" s="248"/>
      <c r="P228" s="108" t="str">
        <f>IFERROR(INDEX(Setup!$D$44:$D$70,MATCH(M228,Setup!$K$44:$K$70,0))&amp;"","")</f>
        <v/>
      </c>
      <c r="Q228" s="108" t="str">
        <f>IFERROR(INDEX(Setup!$E$44:$E$70,MATCH(M228,Setup!$K$44:$K$70,0))&amp;"","")</f>
        <v/>
      </c>
      <c r="R228" s="108" t="str">
        <f>IFERROR(INDEX(Setup!$L$44:$L$70,MATCH(M228,Setup!$K$44:$K$70,0))&amp;"","")</f>
        <v/>
      </c>
      <c r="S228" s="108" t="str">
        <f>Setup!$C$30</f>
        <v>USD</v>
      </c>
      <c r="T228" s="109" t="str">
        <f>IFERROR(INDEX('Data Sheet'!$B$198:$B$275,MATCH(I228,'Data Sheet'!$F$198:$F$275,0)),"")</f>
        <v/>
      </c>
      <c r="U228" s="110" t="str">
        <f>IFERROR(INDEX('Data Sheet'!$D$198:$D$275,MATCH(I228,'Data Sheet'!$F$198:$F$275,0)),"")</f>
        <v/>
      </c>
      <c r="V228" s="99"/>
      <c r="W228" s="195" t="str">
        <f>IF(V228=Setup!$C$30,"Grant",IF(V228=Setup!$C$31,"Local",IF(V228=Setup!$C$32,"Other",IF(ISBLANK(V228),"","Other"))))</f>
        <v/>
      </c>
      <c r="X228" s="255"/>
      <c r="Y228" s="259" t="str">
        <f>IF(X228&lt;&gt;"",X228/VLOOKUP($V228,Setup!$C$30:$D$41,2,0),"")</f>
        <v/>
      </c>
      <c r="Z228" s="262"/>
      <c r="AA228" s="256" t="str">
        <f t="shared" si="102"/>
        <v/>
      </c>
      <c r="AB228" s="262"/>
      <c r="AC228" s="258" t="str">
        <f t="shared" si="103"/>
        <v/>
      </c>
      <c r="AD228" s="262"/>
      <c r="AE228" s="258" t="str">
        <f t="shared" si="104"/>
        <v/>
      </c>
      <c r="AF228" s="262"/>
      <c r="AG228" s="256" t="str">
        <f t="shared" si="105"/>
        <v/>
      </c>
      <c r="AH228" s="256" t="str">
        <f t="shared" si="106"/>
        <v/>
      </c>
      <c r="AI228" s="256" t="str">
        <f t="shared" si="107"/>
        <v/>
      </c>
      <c r="AJ228" s="111"/>
      <c r="AK228" s="255"/>
      <c r="AL228" s="259" t="str">
        <f>IF(AK228&lt;&gt;"",AK228/VLOOKUP($V228,Setup!$C$30:$D$41,2,0),"")</f>
        <v/>
      </c>
      <c r="AM228" s="266"/>
      <c r="AN228" s="258" t="str">
        <f t="shared" si="108"/>
        <v/>
      </c>
      <c r="AO228" s="266"/>
      <c r="AP228" s="258" t="str">
        <f t="shared" si="109"/>
        <v/>
      </c>
      <c r="AQ228" s="266"/>
      <c r="AR228" s="258" t="str">
        <f t="shared" si="110"/>
        <v/>
      </c>
      <c r="AS228" s="266"/>
      <c r="AT228" s="256" t="str">
        <f t="shared" si="111"/>
        <v/>
      </c>
      <c r="AU228" s="256" t="str">
        <f t="shared" si="112"/>
        <v/>
      </c>
      <c r="AV228" s="256" t="str">
        <f t="shared" si="113"/>
        <v/>
      </c>
      <c r="AW228" s="267"/>
      <c r="AX228" s="255"/>
      <c r="AY228" s="259" t="str">
        <f>IF(AX228&lt;&gt;"",AX228/VLOOKUP($V228,Setup!$C$30:$D$41,2,0),"")</f>
        <v/>
      </c>
      <c r="AZ228" s="268"/>
      <c r="BA228" s="258" t="str">
        <f t="shared" si="114"/>
        <v/>
      </c>
      <c r="BB228" s="268"/>
      <c r="BC228" s="258" t="str">
        <f t="shared" si="115"/>
        <v/>
      </c>
      <c r="BD228" s="268"/>
      <c r="BE228" s="258" t="str">
        <f t="shared" si="116"/>
        <v/>
      </c>
      <c r="BF228" s="268"/>
      <c r="BG228" s="256" t="str">
        <f t="shared" si="117"/>
        <v/>
      </c>
      <c r="BH228" s="256" t="str">
        <f t="shared" si="118"/>
        <v/>
      </c>
      <c r="BI228" s="256" t="str">
        <f t="shared" si="119"/>
        <v/>
      </c>
      <c r="BJ228" s="267"/>
      <c r="BK228" s="255"/>
      <c r="BL228" s="259" t="str">
        <f>IF(BK228&lt;&gt;"",BK228/VLOOKUP($V228,Setup!$C$30:$D$41,2,0),"")</f>
        <v/>
      </c>
      <c r="BM228" s="268"/>
      <c r="BN228" s="258" t="str">
        <f t="shared" si="120"/>
        <v/>
      </c>
      <c r="BO228" s="268"/>
      <c r="BP228" s="258" t="str">
        <f t="shared" si="121"/>
        <v/>
      </c>
      <c r="BQ228" s="268"/>
      <c r="BR228" s="258" t="str">
        <f t="shared" si="122"/>
        <v/>
      </c>
      <c r="BS228" s="268"/>
      <c r="BT228" s="256" t="str">
        <f t="shared" si="123"/>
        <v/>
      </c>
      <c r="BU228" s="256" t="str">
        <f t="shared" si="124"/>
        <v/>
      </c>
      <c r="BV228" s="256" t="str">
        <f t="shared" si="125"/>
        <v/>
      </c>
      <c r="BW228" s="267"/>
      <c r="BX228" s="256" t="str">
        <f t="shared" si="126"/>
        <v/>
      </c>
      <c r="BY228" s="256" t="str">
        <f t="shared" si="127"/>
        <v/>
      </c>
      <c r="BZ228" s="281"/>
      <c r="CA228" s="282"/>
      <c r="CC228" s="112" t="str">
        <f t="shared" ca="1" si="128"/>
        <v/>
      </c>
      <c r="CF228" s="284"/>
      <c r="CG228" s="284"/>
      <c r="CH228" s="284"/>
      <c r="CI228" s="284"/>
      <c r="CL228" s="356" t="str">
        <f>IFERROR(VLOOKUP(C228,'Data Sheet'!$A$3:$B$26,2,FALSE),"")</f>
        <v/>
      </c>
    </row>
    <row r="229" spans="1:90" s="98" customFormat="1" ht="15.75" x14ac:dyDescent="0.2">
      <c r="A229" s="97"/>
      <c r="B229" s="105" t="str">
        <f t="shared" si="131"/>
        <v>--</v>
      </c>
      <c r="C229" s="276"/>
      <c r="D229" s="101" t="str">
        <f>IFERROR(IF(VLOOKUP(C229,'Data Sheet'!$A$3:$D$26,4,FALSE)=0,"",VLOOKUP(C229,'Data Sheet'!$A$3:$D$26,4,FALSE)),"")</f>
        <v/>
      </c>
      <c r="E229" s="279"/>
      <c r="F229" s="103" t="str">
        <f>IFERROR(IF(VLOOKUP(E229,'Data Sheet'!$C$29:$E$174,3,FALSE)=0,"",VLOOKUP(E229,'Data Sheet'!$C$29:$E$174,3,FALSE)),"")</f>
        <v/>
      </c>
      <c r="G229" s="106" t="str">
        <f t="shared" si="129"/>
        <v>-</v>
      </c>
      <c r="H229" s="273"/>
      <c r="I229" s="107"/>
      <c r="J229" s="249" t="e">
        <f t="shared" si="130"/>
        <v>#VALUE!</v>
      </c>
      <c r="K229" s="101" t="str">
        <f>IFERROR(INDEX('Data Sheet'!$C$198:$C$275,MATCH(I229,'Data Sheet'!$F$198:$F$275,0)),"")</f>
        <v/>
      </c>
      <c r="L229" s="250" t="str">
        <f>IFERROR(INDEX('Data Sheet'!$G$198:$G$275,MATCH(I229,'Data Sheet'!$F$198:$F$275,0)),"")</f>
        <v/>
      </c>
      <c r="M229" s="194"/>
      <c r="N229" s="248"/>
      <c r="O229" s="248"/>
      <c r="P229" s="108" t="str">
        <f>IFERROR(INDEX(Setup!$D$44:$D$70,MATCH(M229,Setup!$K$44:$K$70,0))&amp;"","")</f>
        <v/>
      </c>
      <c r="Q229" s="108" t="str">
        <f>IFERROR(INDEX(Setup!$E$44:$E$70,MATCH(M229,Setup!$K$44:$K$70,0))&amp;"","")</f>
        <v/>
      </c>
      <c r="R229" s="108" t="str">
        <f>IFERROR(INDEX(Setup!$L$44:$L$70,MATCH(M229,Setup!$K$44:$K$70,0))&amp;"","")</f>
        <v/>
      </c>
      <c r="S229" s="108" t="str">
        <f>Setup!$C$30</f>
        <v>USD</v>
      </c>
      <c r="T229" s="109" t="str">
        <f>IFERROR(INDEX('Data Sheet'!$B$198:$B$275,MATCH(I229,'Data Sheet'!$F$198:$F$275,0)),"")</f>
        <v/>
      </c>
      <c r="U229" s="110" t="str">
        <f>IFERROR(INDEX('Data Sheet'!$D$198:$D$275,MATCH(I229,'Data Sheet'!$F$198:$F$275,0)),"")</f>
        <v/>
      </c>
      <c r="V229" s="99"/>
      <c r="W229" s="195" t="str">
        <f>IF(V229=Setup!$C$30,"Grant",IF(V229=Setup!$C$31,"Local",IF(V229=Setup!$C$32,"Other",IF(ISBLANK(V229),"","Other"))))</f>
        <v/>
      </c>
      <c r="X229" s="255"/>
      <c r="Y229" s="259" t="str">
        <f>IF(X229&lt;&gt;"",X229/VLOOKUP($V229,Setup!$C$30:$D$41,2,0),"")</f>
        <v/>
      </c>
      <c r="Z229" s="262"/>
      <c r="AA229" s="256" t="str">
        <f t="shared" si="102"/>
        <v/>
      </c>
      <c r="AB229" s="262"/>
      <c r="AC229" s="258" t="str">
        <f t="shared" si="103"/>
        <v/>
      </c>
      <c r="AD229" s="262"/>
      <c r="AE229" s="258" t="str">
        <f t="shared" si="104"/>
        <v/>
      </c>
      <c r="AF229" s="262"/>
      <c r="AG229" s="256" t="str">
        <f t="shared" si="105"/>
        <v/>
      </c>
      <c r="AH229" s="256" t="str">
        <f t="shared" si="106"/>
        <v/>
      </c>
      <c r="AI229" s="256" t="str">
        <f t="shared" si="107"/>
        <v/>
      </c>
      <c r="AJ229" s="111"/>
      <c r="AK229" s="255"/>
      <c r="AL229" s="259" t="str">
        <f>IF(AK229&lt;&gt;"",AK229/VLOOKUP($V229,Setup!$C$30:$D$41,2,0),"")</f>
        <v/>
      </c>
      <c r="AM229" s="266"/>
      <c r="AN229" s="258" t="str">
        <f t="shared" si="108"/>
        <v/>
      </c>
      <c r="AO229" s="266"/>
      <c r="AP229" s="258" t="str">
        <f t="shared" si="109"/>
        <v/>
      </c>
      <c r="AQ229" s="266"/>
      <c r="AR229" s="258" t="str">
        <f t="shared" si="110"/>
        <v/>
      </c>
      <c r="AS229" s="266"/>
      <c r="AT229" s="256" t="str">
        <f t="shared" si="111"/>
        <v/>
      </c>
      <c r="AU229" s="256" t="str">
        <f t="shared" si="112"/>
        <v/>
      </c>
      <c r="AV229" s="256" t="str">
        <f t="shared" si="113"/>
        <v/>
      </c>
      <c r="AW229" s="267"/>
      <c r="AX229" s="255"/>
      <c r="AY229" s="259" t="str">
        <f>IF(AX229&lt;&gt;"",AX229/VLOOKUP($V229,Setup!$C$30:$D$41,2,0),"")</f>
        <v/>
      </c>
      <c r="AZ229" s="268"/>
      <c r="BA229" s="258" t="str">
        <f t="shared" si="114"/>
        <v/>
      </c>
      <c r="BB229" s="268"/>
      <c r="BC229" s="258" t="str">
        <f t="shared" si="115"/>
        <v/>
      </c>
      <c r="BD229" s="268"/>
      <c r="BE229" s="258" t="str">
        <f t="shared" si="116"/>
        <v/>
      </c>
      <c r="BF229" s="268"/>
      <c r="BG229" s="256" t="str">
        <f t="shared" si="117"/>
        <v/>
      </c>
      <c r="BH229" s="256" t="str">
        <f t="shared" si="118"/>
        <v/>
      </c>
      <c r="BI229" s="256" t="str">
        <f t="shared" si="119"/>
        <v/>
      </c>
      <c r="BJ229" s="267"/>
      <c r="BK229" s="255"/>
      <c r="BL229" s="259" t="str">
        <f>IF(BK229&lt;&gt;"",BK229/VLOOKUP($V229,Setup!$C$30:$D$41,2,0),"")</f>
        <v/>
      </c>
      <c r="BM229" s="268"/>
      <c r="BN229" s="258" t="str">
        <f t="shared" si="120"/>
        <v/>
      </c>
      <c r="BO229" s="268"/>
      <c r="BP229" s="258" t="str">
        <f t="shared" si="121"/>
        <v/>
      </c>
      <c r="BQ229" s="268"/>
      <c r="BR229" s="258" t="str">
        <f t="shared" si="122"/>
        <v/>
      </c>
      <c r="BS229" s="268"/>
      <c r="BT229" s="256" t="str">
        <f t="shared" si="123"/>
        <v/>
      </c>
      <c r="BU229" s="256" t="str">
        <f t="shared" si="124"/>
        <v/>
      </c>
      <c r="BV229" s="256" t="str">
        <f t="shared" si="125"/>
        <v/>
      </c>
      <c r="BW229" s="267"/>
      <c r="BX229" s="256" t="str">
        <f t="shared" si="126"/>
        <v/>
      </c>
      <c r="BY229" s="256" t="str">
        <f t="shared" si="127"/>
        <v/>
      </c>
      <c r="BZ229" s="281"/>
      <c r="CA229" s="282"/>
      <c r="CC229" s="112" t="str">
        <f t="shared" ca="1" si="128"/>
        <v/>
      </c>
      <c r="CF229" s="284"/>
      <c r="CG229" s="284"/>
      <c r="CH229" s="284"/>
      <c r="CI229" s="284"/>
      <c r="CL229" s="356" t="str">
        <f>IFERROR(VLOOKUP(C229,'Data Sheet'!$A$3:$B$26,2,FALSE),"")</f>
        <v/>
      </c>
    </row>
    <row r="230" spans="1:90" s="98" customFormat="1" ht="15.75" x14ac:dyDescent="0.2">
      <c r="A230" s="97"/>
      <c r="B230" s="105" t="str">
        <f t="shared" si="131"/>
        <v>--</v>
      </c>
      <c r="C230" s="276"/>
      <c r="D230" s="101" t="str">
        <f>IFERROR(IF(VLOOKUP(C230,'Data Sheet'!$A$3:$D$26,4,FALSE)=0,"",VLOOKUP(C230,'Data Sheet'!$A$3:$D$26,4,FALSE)),"")</f>
        <v/>
      </c>
      <c r="E230" s="279"/>
      <c r="F230" s="103" t="str">
        <f>IFERROR(IF(VLOOKUP(E230,'Data Sheet'!$C$29:$E$174,3,FALSE)=0,"",VLOOKUP(E230,'Data Sheet'!$C$29:$E$174,3,FALSE)),"")</f>
        <v/>
      </c>
      <c r="G230" s="106" t="str">
        <f t="shared" si="129"/>
        <v>-</v>
      </c>
      <c r="H230" s="273"/>
      <c r="I230" s="107"/>
      <c r="J230" s="249" t="e">
        <f t="shared" si="130"/>
        <v>#VALUE!</v>
      </c>
      <c r="K230" s="101" t="str">
        <f>IFERROR(INDEX('Data Sheet'!$C$198:$C$275,MATCH(I230,'Data Sheet'!$F$198:$F$275,0)),"")</f>
        <v/>
      </c>
      <c r="L230" s="250" t="str">
        <f>IFERROR(INDEX('Data Sheet'!$G$198:$G$275,MATCH(I230,'Data Sheet'!$F$198:$F$275,0)),"")</f>
        <v/>
      </c>
      <c r="M230" s="194"/>
      <c r="N230" s="248"/>
      <c r="O230" s="248"/>
      <c r="P230" s="108" t="str">
        <f>IFERROR(INDEX(Setup!$D$44:$D$70,MATCH(M230,Setup!$K$44:$K$70,0))&amp;"","")</f>
        <v/>
      </c>
      <c r="Q230" s="108" t="str">
        <f>IFERROR(INDEX(Setup!$E$44:$E$70,MATCH(M230,Setup!$K$44:$K$70,0))&amp;"","")</f>
        <v/>
      </c>
      <c r="R230" s="108" t="str">
        <f>IFERROR(INDEX(Setup!$L$44:$L$70,MATCH(M230,Setup!$K$44:$K$70,0))&amp;"","")</f>
        <v/>
      </c>
      <c r="S230" s="108" t="str">
        <f>Setup!$C$30</f>
        <v>USD</v>
      </c>
      <c r="T230" s="109" t="str">
        <f>IFERROR(INDEX('Data Sheet'!$B$198:$B$275,MATCH(I230,'Data Sheet'!$F$198:$F$275,0)),"")</f>
        <v/>
      </c>
      <c r="U230" s="110" t="str">
        <f>IFERROR(INDEX('Data Sheet'!$D$198:$D$275,MATCH(I230,'Data Sheet'!$F$198:$F$275,0)),"")</f>
        <v/>
      </c>
      <c r="V230" s="99"/>
      <c r="W230" s="195" t="str">
        <f>IF(V230=Setup!$C$30,"Grant",IF(V230=Setup!$C$31,"Local",IF(V230=Setup!$C$32,"Other",IF(ISBLANK(V230),"","Other"))))</f>
        <v/>
      </c>
      <c r="X230" s="255"/>
      <c r="Y230" s="259" t="str">
        <f>IF(X230&lt;&gt;"",X230/VLOOKUP($V230,Setup!$C$30:$D$41,2,0),"")</f>
        <v/>
      </c>
      <c r="Z230" s="262"/>
      <c r="AA230" s="256" t="str">
        <f t="shared" si="102"/>
        <v/>
      </c>
      <c r="AB230" s="262"/>
      <c r="AC230" s="258" t="str">
        <f t="shared" si="103"/>
        <v/>
      </c>
      <c r="AD230" s="262"/>
      <c r="AE230" s="258" t="str">
        <f t="shared" si="104"/>
        <v/>
      </c>
      <c r="AF230" s="262"/>
      <c r="AG230" s="256" t="str">
        <f t="shared" si="105"/>
        <v/>
      </c>
      <c r="AH230" s="256" t="str">
        <f t="shared" si="106"/>
        <v/>
      </c>
      <c r="AI230" s="256" t="str">
        <f t="shared" si="107"/>
        <v/>
      </c>
      <c r="AJ230" s="111"/>
      <c r="AK230" s="255"/>
      <c r="AL230" s="259" t="str">
        <f>IF(AK230&lt;&gt;"",AK230/VLOOKUP($V230,Setup!$C$30:$D$41,2,0),"")</f>
        <v/>
      </c>
      <c r="AM230" s="266"/>
      <c r="AN230" s="258" t="str">
        <f t="shared" si="108"/>
        <v/>
      </c>
      <c r="AO230" s="266"/>
      <c r="AP230" s="258" t="str">
        <f t="shared" si="109"/>
        <v/>
      </c>
      <c r="AQ230" s="266"/>
      <c r="AR230" s="258" t="str">
        <f t="shared" si="110"/>
        <v/>
      </c>
      <c r="AS230" s="266"/>
      <c r="AT230" s="256" t="str">
        <f t="shared" si="111"/>
        <v/>
      </c>
      <c r="AU230" s="256" t="str">
        <f t="shared" si="112"/>
        <v/>
      </c>
      <c r="AV230" s="256" t="str">
        <f t="shared" si="113"/>
        <v/>
      </c>
      <c r="AW230" s="267"/>
      <c r="AX230" s="255"/>
      <c r="AY230" s="259" t="str">
        <f>IF(AX230&lt;&gt;"",AX230/VLOOKUP($V230,Setup!$C$30:$D$41,2,0),"")</f>
        <v/>
      </c>
      <c r="AZ230" s="268"/>
      <c r="BA230" s="258" t="str">
        <f t="shared" si="114"/>
        <v/>
      </c>
      <c r="BB230" s="268"/>
      <c r="BC230" s="258" t="str">
        <f t="shared" si="115"/>
        <v/>
      </c>
      <c r="BD230" s="268"/>
      <c r="BE230" s="258" t="str">
        <f t="shared" si="116"/>
        <v/>
      </c>
      <c r="BF230" s="268"/>
      <c r="BG230" s="256" t="str">
        <f t="shared" si="117"/>
        <v/>
      </c>
      <c r="BH230" s="256" t="str">
        <f t="shared" si="118"/>
        <v/>
      </c>
      <c r="BI230" s="256" t="str">
        <f t="shared" si="119"/>
        <v/>
      </c>
      <c r="BJ230" s="267"/>
      <c r="BK230" s="255"/>
      <c r="BL230" s="259" t="str">
        <f>IF(BK230&lt;&gt;"",BK230/VLOOKUP($V230,Setup!$C$30:$D$41,2,0),"")</f>
        <v/>
      </c>
      <c r="BM230" s="268"/>
      <c r="BN230" s="258" t="str">
        <f t="shared" si="120"/>
        <v/>
      </c>
      <c r="BO230" s="268"/>
      <c r="BP230" s="258" t="str">
        <f t="shared" si="121"/>
        <v/>
      </c>
      <c r="BQ230" s="268"/>
      <c r="BR230" s="258" t="str">
        <f t="shared" si="122"/>
        <v/>
      </c>
      <c r="BS230" s="268"/>
      <c r="BT230" s="256" t="str">
        <f t="shared" si="123"/>
        <v/>
      </c>
      <c r="BU230" s="256" t="str">
        <f t="shared" si="124"/>
        <v/>
      </c>
      <c r="BV230" s="256" t="str">
        <f t="shared" si="125"/>
        <v/>
      </c>
      <c r="BW230" s="267"/>
      <c r="BX230" s="256" t="str">
        <f t="shared" si="126"/>
        <v/>
      </c>
      <c r="BY230" s="256" t="str">
        <f t="shared" si="127"/>
        <v/>
      </c>
      <c r="BZ230" s="281"/>
      <c r="CA230" s="282"/>
      <c r="CC230" s="112" t="str">
        <f t="shared" ca="1" si="128"/>
        <v/>
      </c>
      <c r="CF230" s="284"/>
      <c r="CG230" s="284"/>
      <c r="CH230" s="284"/>
      <c r="CI230" s="284"/>
      <c r="CL230" s="356" t="str">
        <f>IFERROR(VLOOKUP(C230,'Data Sheet'!$A$3:$B$26,2,FALSE),"")</f>
        <v/>
      </c>
    </row>
    <row r="231" spans="1:90" s="98" customFormat="1" ht="15.75" x14ac:dyDescent="0.2">
      <c r="A231" s="97"/>
      <c r="B231" s="105" t="str">
        <f t="shared" si="131"/>
        <v>--</v>
      </c>
      <c r="C231" s="276"/>
      <c r="D231" s="101" t="str">
        <f>IFERROR(IF(VLOOKUP(C231,'Data Sheet'!$A$3:$D$26,4,FALSE)=0,"",VLOOKUP(C231,'Data Sheet'!$A$3:$D$26,4,FALSE)),"")</f>
        <v/>
      </c>
      <c r="E231" s="279"/>
      <c r="F231" s="103" t="str">
        <f>IFERROR(IF(VLOOKUP(E231,'Data Sheet'!$C$29:$E$174,3,FALSE)=0,"",VLOOKUP(E231,'Data Sheet'!$C$29:$E$174,3,FALSE)),"")</f>
        <v/>
      </c>
      <c r="G231" s="106" t="str">
        <f t="shared" si="129"/>
        <v>-</v>
      </c>
      <c r="H231" s="273"/>
      <c r="I231" s="107"/>
      <c r="J231" s="249" t="e">
        <f t="shared" si="130"/>
        <v>#VALUE!</v>
      </c>
      <c r="K231" s="101" t="str">
        <f>IFERROR(INDEX('Data Sheet'!$C$198:$C$275,MATCH(I231,'Data Sheet'!$F$198:$F$275,0)),"")</f>
        <v/>
      </c>
      <c r="L231" s="250" t="str">
        <f>IFERROR(INDEX('Data Sheet'!$G$198:$G$275,MATCH(I231,'Data Sheet'!$F$198:$F$275,0)),"")</f>
        <v/>
      </c>
      <c r="M231" s="194"/>
      <c r="N231" s="248"/>
      <c r="O231" s="248"/>
      <c r="P231" s="108" t="str">
        <f>IFERROR(INDEX(Setup!$D$44:$D$70,MATCH(M231,Setup!$K$44:$K$70,0))&amp;"","")</f>
        <v/>
      </c>
      <c r="Q231" s="108" t="str">
        <f>IFERROR(INDEX(Setup!$E$44:$E$70,MATCH(M231,Setup!$K$44:$K$70,0))&amp;"","")</f>
        <v/>
      </c>
      <c r="R231" s="108" t="str">
        <f>IFERROR(INDEX(Setup!$L$44:$L$70,MATCH(M231,Setup!$K$44:$K$70,0))&amp;"","")</f>
        <v/>
      </c>
      <c r="S231" s="108" t="str">
        <f>Setup!$C$30</f>
        <v>USD</v>
      </c>
      <c r="T231" s="109" t="str">
        <f>IFERROR(INDEX('Data Sheet'!$B$198:$B$275,MATCH(I231,'Data Sheet'!$F$198:$F$275,0)),"")</f>
        <v/>
      </c>
      <c r="U231" s="110" t="str">
        <f>IFERROR(INDEX('Data Sheet'!$D$198:$D$275,MATCH(I231,'Data Sheet'!$F$198:$F$275,0)),"")</f>
        <v/>
      </c>
      <c r="V231" s="99"/>
      <c r="W231" s="195" t="str">
        <f>IF(V231=Setup!$C$30,"Grant",IF(V231=Setup!$C$31,"Local",IF(V231=Setup!$C$32,"Other",IF(ISBLANK(V231),"","Other"))))</f>
        <v/>
      </c>
      <c r="X231" s="255"/>
      <c r="Y231" s="259" t="str">
        <f>IF(X231&lt;&gt;"",X231/VLOOKUP($V231,Setup!$C$30:$D$41,2,0),"")</f>
        <v/>
      </c>
      <c r="Z231" s="262"/>
      <c r="AA231" s="256" t="str">
        <f t="shared" si="102"/>
        <v/>
      </c>
      <c r="AB231" s="262"/>
      <c r="AC231" s="258" t="str">
        <f t="shared" si="103"/>
        <v/>
      </c>
      <c r="AD231" s="262"/>
      <c r="AE231" s="258" t="str">
        <f t="shared" si="104"/>
        <v/>
      </c>
      <c r="AF231" s="262"/>
      <c r="AG231" s="256" t="str">
        <f t="shared" si="105"/>
        <v/>
      </c>
      <c r="AH231" s="256" t="str">
        <f t="shared" si="106"/>
        <v/>
      </c>
      <c r="AI231" s="256" t="str">
        <f t="shared" si="107"/>
        <v/>
      </c>
      <c r="AJ231" s="111"/>
      <c r="AK231" s="255"/>
      <c r="AL231" s="259" t="str">
        <f>IF(AK231&lt;&gt;"",AK231/VLOOKUP($V231,Setup!$C$30:$D$41,2,0),"")</f>
        <v/>
      </c>
      <c r="AM231" s="266"/>
      <c r="AN231" s="258" t="str">
        <f t="shared" si="108"/>
        <v/>
      </c>
      <c r="AO231" s="266"/>
      <c r="AP231" s="258" t="str">
        <f t="shared" si="109"/>
        <v/>
      </c>
      <c r="AQ231" s="266"/>
      <c r="AR231" s="258" t="str">
        <f t="shared" si="110"/>
        <v/>
      </c>
      <c r="AS231" s="266"/>
      <c r="AT231" s="256" t="str">
        <f t="shared" si="111"/>
        <v/>
      </c>
      <c r="AU231" s="256" t="str">
        <f t="shared" si="112"/>
        <v/>
      </c>
      <c r="AV231" s="256" t="str">
        <f t="shared" si="113"/>
        <v/>
      </c>
      <c r="AW231" s="267"/>
      <c r="AX231" s="255"/>
      <c r="AY231" s="259" t="str">
        <f>IF(AX231&lt;&gt;"",AX231/VLOOKUP($V231,Setup!$C$30:$D$41,2,0),"")</f>
        <v/>
      </c>
      <c r="AZ231" s="268"/>
      <c r="BA231" s="258" t="str">
        <f t="shared" si="114"/>
        <v/>
      </c>
      <c r="BB231" s="268"/>
      <c r="BC231" s="258" t="str">
        <f t="shared" si="115"/>
        <v/>
      </c>
      <c r="BD231" s="268"/>
      <c r="BE231" s="258" t="str">
        <f t="shared" si="116"/>
        <v/>
      </c>
      <c r="BF231" s="268"/>
      <c r="BG231" s="256" t="str">
        <f t="shared" si="117"/>
        <v/>
      </c>
      <c r="BH231" s="256" t="str">
        <f t="shared" si="118"/>
        <v/>
      </c>
      <c r="BI231" s="256" t="str">
        <f t="shared" si="119"/>
        <v/>
      </c>
      <c r="BJ231" s="267"/>
      <c r="BK231" s="255"/>
      <c r="BL231" s="259" t="str">
        <f>IF(BK231&lt;&gt;"",BK231/VLOOKUP($V231,Setup!$C$30:$D$41,2,0),"")</f>
        <v/>
      </c>
      <c r="BM231" s="268"/>
      <c r="BN231" s="258" t="str">
        <f t="shared" si="120"/>
        <v/>
      </c>
      <c r="BO231" s="268"/>
      <c r="BP231" s="258" t="str">
        <f t="shared" si="121"/>
        <v/>
      </c>
      <c r="BQ231" s="268"/>
      <c r="BR231" s="258" t="str">
        <f t="shared" si="122"/>
        <v/>
      </c>
      <c r="BS231" s="268"/>
      <c r="BT231" s="256" t="str">
        <f t="shared" si="123"/>
        <v/>
      </c>
      <c r="BU231" s="256" t="str">
        <f t="shared" si="124"/>
        <v/>
      </c>
      <c r="BV231" s="256" t="str">
        <f t="shared" si="125"/>
        <v/>
      </c>
      <c r="BW231" s="267"/>
      <c r="BX231" s="256" t="str">
        <f t="shared" si="126"/>
        <v/>
      </c>
      <c r="BY231" s="256" t="str">
        <f t="shared" si="127"/>
        <v/>
      </c>
      <c r="BZ231" s="281"/>
      <c r="CA231" s="282"/>
      <c r="CC231" s="112" t="str">
        <f t="shared" ca="1" si="128"/>
        <v/>
      </c>
      <c r="CF231" s="284"/>
      <c r="CG231" s="284"/>
      <c r="CH231" s="284"/>
      <c r="CI231" s="284"/>
      <c r="CL231" s="356" t="str">
        <f>IFERROR(VLOOKUP(C231,'Data Sheet'!$A$3:$B$26,2,FALSE),"")</f>
        <v/>
      </c>
    </row>
    <row r="232" spans="1:90" s="98" customFormat="1" ht="15.75" x14ac:dyDescent="0.2">
      <c r="A232" s="97"/>
      <c r="B232" s="105" t="str">
        <f t="shared" si="131"/>
        <v>--</v>
      </c>
      <c r="C232" s="276"/>
      <c r="D232" s="101" t="str">
        <f>IFERROR(IF(VLOOKUP(C232,'Data Sheet'!$A$3:$D$26,4,FALSE)=0,"",VLOOKUP(C232,'Data Sheet'!$A$3:$D$26,4,FALSE)),"")</f>
        <v/>
      </c>
      <c r="E232" s="279"/>
      <c r="F232" s="103" t="str">
        <f>IFERROR(IF(VLOOKUP(E232,'Data Sheet'!$C$29:$E$174,3,FALSE)=0,"",VLOOKUP(E232,'Data Sheet'!$C$29:$E$174,3,FALSE)),"")</f>
        <v/>
      </c>
      <c r="G232" s="106" t="str">
        <f t="shared" si="129"/>
        <v>-</v>
      </c>
      <c r="H232" s="273"/>
      <c r="I232" s="107"/>
      <c r="J232" s="249" t="e">
        <f t="shared" si="130"/>
        <v>#VALUE!</v>
      </c>
      <c r="K232" s="101" t="str">
        <f>IFERROR(INDEX('Data Sheet'!$C$198:$C$275,MATCH(I232,'Data Sheet'!$F$198:$F$275,0)),"")</f>
        <v/>
      </c>
      <c r="L232" s="250" t="str">
        <f>IFERROR(INDEX('Data Sheet'!$G$198:$G$275,MATCH(I232,'Data Sheet'!$F$198:$F$275,0)),"")</f>
        <v/>
      </c>
      <c r="M232" s="194"/>
      <c r="N232" s="248"/>
      <c r="O232" s="248"/>
      <c r="P232" s="108" t="str">
        <f>IFERROR(INDEX(Setup!$D$44:$D$70,MATCH(M232,Setup!$K$44:$K$70,0))&amp;"","")</f>
        <v/>
      </c>
      <c r="Q232" s="108" t="str">
        <f>IFERROR(INDEX(Setup!$E$44:$E$70,MATCH(M232,Setup!$K$44:$K$70,0))&amp;"","")</f>
        <v/>
      </c>
      <c r="R232" s="108" t="str">
        <f>IFERROR(INDEX(Setup!$L$44:$L$70,MATCH(M232,Setup!$K$44:$K$70,0))&amp;"","")</f>
        <v/>
      </c>
      <c r="S232" s="108" t="str">
        <f>Setup!$C$30</f>
        <v>USD</v>
      </c>
      <c r="T232" s="109" t="str">
        <f>IFERROR(INDEX('Data Sheet'!$B$198:$B$275,MATCH(I232,'Data Sheet'!$F$198:$F$275,0)),"")</f>
        <v/>
      </c>
      <c r="U232" s="110" t="str">
        <f>IFERROR(INDEX('Data Sheet'!$D$198:$D$275,MATCH(I232,'Data Sheet'!$F$198:$F$275,0)),"")</f>
        <v/>
      </c>
      <c r="V232" s="99"/>
      <c r="W232" s="195" t="str">
        <f>IF(V232=Setup!$C$30,"Grant",IF(V232=Setup!$C$31,"Local",IF(V232=Setup!$C$32,"Other",IF(ISBLANK(V232),"","Other"))))</f>
        <v/>
      </c>
      <c r="X232" s="255"/>
      <c r="Y232" s="259" t="str">
        <f>IF(X232&lt;&gt;"",X232/VLOOKUP($V232,Setup!$C$30:$D$41,2,0),"")</f>
        <v/>
      </c>
      <c r="Z232" s="262"/>
      <c r="AA232" s="256" t="str">
        <f t="shared" si="102"/>
        <v/>
      </c>
      <c r="AB232" s="262"/>
      <c r="AC232" s="258" t="str">
        <f t="shared" si="103"/>
        <v/>
      </c>
      <c r="AD232" s="262"/>
      <c r="AE232" s="258" t="str">
        <f t="shared" si="104"/>
        <v/>
      </c>
      <c r="AF232" s="262"/>
      <c r="AG232" s="256" t="str">
        <f t="shared" si="105"/>
        <v/>
      </c>
      <c r="AH232" s="256" t="str">
        <f t="shared" si="106"/>
        <v/>
      </c>
      <c r="AI232" s="256" t="str">
        <f t="shared" si="107"/>
        <v/>
      </c>
      <c r="AJ232" s="111"/>
      <c r="AK232" s="255"/>
      <c r="AL232" s="259" t="str">
        <f>IF(AK232&lt;&gt;"",AK232/VLOOKUP($V232,Setup!$C$30:$D$41,2,0),"")</f>
        <v/>
      </c>
      <c r="AM232" s="266"/>
      <c r="AN232" s="258" t="str">
        <f t="shared" si="108"/>
        <v/>
      </c>
      <c r="AO232" s="266"/>
      <c r="AP232" s="258" t="str">
        <f t="shared" si="109"/>
        <v/>
      </c>
      <c r="AQ232" s="266"/>
      <c r="AR232" s="258" t="str">
        <f t="shared" si="110"/>
        <v/>
      </c>
      <c r="AS232" s="266"/>
      <c r="AT232" s="256" t="str">
        <f t="shared" si="111"/>
        <v/>
      </c>
      <c r="AU232" s="256" t="str">
        <f t="shared" si="112"/>
        <v/>
      </c>
      <c r="AV232" s="256" t="str">
        <f t="shared" si="113"/>
        <v/>
      </c>
      <c r="AW232" s="267"/>
      <c r="AX232" s="255"/>
      <c r="AY232" s="259" t="str">
        <f>IF(AX232&lt;&gt;"",AX232/VLOOKUP($V232,Setup!$C$30:$D$41,2,0),"")</f>
        <v/>
      </c>
      <c r="AZ232" s="268"/>
      <c r="BA232" s="258" t="str">
        <f t="shared" si="114"/>
        <v/>
      </c>
      <c r="BB232" s="268"/>
      <c r="BC232" s="258" t="str">
        <f t="shared" si="115"/>
        <v/>
      </c>
      <c r="BD232" s="268"/>
      <c r="BE232" s="258" t="str">
        <f t="shared" si="116"/>
        <v/>
      </c>
      <c r="BF232" s="268"/>
      <c r="BG232" s="256" t="str">
        <f t="shared" si="117"/>
        <v/>
      </c>
      <c r="BH232" s="256" t="str">
        <f t="shared" si="118"/>
        <v/>
      </c>
      <c r="BI232" s="256" t="str">
        <f t="shared" si="119"/>
        <v/>
      </c>
      <c r="BJ232" s="267"/>
      <c r="BK232" s="255"/>
      <c r="BL232" s="259" t="str">
        <f>IF(BK232&lt;&gt;"",BK232/VLOOKUP($V232,Setup!$C$30:$D$41,2,0),"")</f>
        <v/>
      </c>
      <c r="BM232" s="268"/>
      <c r="BN232" s="258" t="str">
        <f t="shared" si="120"/>
        <v/>
      </c>
      <c r="BO232" s="268"/>
      <c r="BP232" s="258" t="str">
        <f t="shared" si="121"/>
        <v/>
      </c>
      <c r="BQ232" s="268"/>
      <c r="BR232" s="258" t="str">
        <f t="shared" si="122"/>
        <v/>
      </c>
      <c r="BS232" s="268"/>
      <c r="BT232" s="256" t="str">
        <f t="shared" si="123"/>
        <v/>
      </c>
      <c r="BU232" s="256" t="str">
        <f t="shared" si="124"/>
        <v/>
      </c>
      <c r="BV232" s="256" t="str">
        <f t="shared" si="125"/>
        <v/>
      </c>
      <c r="BW232" s="267"/>
      <c r="BX232" s="256" t="str">
        <f t="shared" si="126"/>
        <v/>
      </c>
      <c r="BY232" s="256" t="str">
        <f t="shared" si="127"/>
        <v/>
      </c>
      <c r="BZ232" s="281"/>
      <c r="CA232" s="282"/>
      <c r="CC232" s="112" t="str">
        <f t="shared" ca="1" si="128"/>
        <v/>
      </c>
      <c r="CF232" s="284"/>
      <c r="CG232" s="284"/>
      <c r="CH232" s="284"/>
      <c r="CI232" s="284"/>
      <c r="CL232" s="356" t="str">
        <f>IFERROR(VLOOKUP(C232,'Data Sheet'!$A$3:$B$26,2,FALSE),"")</f>
        <v/>
      </c>
    </row>
    <row r="233" spans="1:90" s="98" customFormat="1" ht="15.75" x14ac:dyDescent="0.2">
      <c r="A233" s="97"/>
      <c r="B233" s="105" t="str">
        <f t="shared" si="131"/>
        <v>--</v>
      </c>
      <c r="C233" s="276"/>
      <c r="D233" s="101" t="str">
        <f>IFERROR(IF(VLOOKUP(C233,'Data Sheet'!$A$3:$D$26,4,FALSE)=0,"",VLOOKUP(C233,'Data Sheet'!$A$3:$D$26,4,FALSE)),"")</f>
        <v/>
      </c>
      <c r="E233" s="279"/>
      <c r="F233" s="103" t="str">
        <f>IFERROR(IF(VLOOKUP(E233,'Data Sheet'!$C$29:$E$174,3,FALSE)=0,"",VLOOKUP(E233,'Data Sheet'!$C$29:$E$174,3,FALSE)),"")</f>
        <v/>
      </c>
      <c r="G233" s="106" t="str">
        <f t="shared" si="129"/>
        <v>-</v>
      </c>
      <c r="H233" s="273"/>
      <c r="I233" s="107"/>
      <c r="J233" s="249" t="e">
        <f t="shared" si="130"/>
        <v>#VALUE!</v>
      </c>
      <c r="K233" s="101" t="str">
        <f>IFERROR(INDEX('Data Sheet'!$C$198:$C$275,MATCH(I233,'Data Sheet'!$F$198:$F$275,0)),"")</f>
        <v/>
      </c>
      <c r="L233" s="250" t="str">
        <f>IFERROR(INDEX('Data Sheet'!$G$198:$G$275,MATCH(I233,'Data Sheet'!$F$198:$F$275,0)),"")</f>
        <v/>
      </c>
      <c r="M233" s="194"/>
      <c r="N233" s="248"/>
      <c r="O233" s="248"/>
      <c r="P233" s="108" t="str">
        <f>IFERROR(INDEX(Setup!$D$44:$D$70,MATCH(M233,Setup!$K$44:$K$70,0))&amp;"","")</f>
        <v/>
      </c>
      <c r="Q233" s="108" t="str">
        <f>IFERROR(INDEX(Setup!$E$44:$E$70,MATCH(M233,Setup!$K$44:$K$70,0))&amp;"","")</f>
        <v/>
      </c>
      <c r="R233" s="108" t="str">
        <f>IFERROR(INDEX(Setup!$L$44:$L$70,MATCH(M233,Setup!$K$44:$K$70,0))&amp;"","")</f>
        <v/>
      </c>
      <c r="S233" s="108" t="str">
        <f>Setup!$C$30</f>
        <v>USD</v>
      </c>
      <c r="T233" s="109" t="str">
        <f>IFERROR(INDEX('Data Sheet'!$B$198:$B$275,MATCH(I233,'Data Sheet'!$F$198:$F$275,0)),"")</f>
        <v/>
      </c>
      <c r="U233" s="110" t="str">
        <f>IFERROR(INDEX('Data Sheet'!$D$198:$D$275,MATCH(I233,'Data Sheet'!$F$198:$F$275,0)),"")</f>
        <v/>
      </c>
      <c r="V233" s="99"/>
      <c r="W233" s="195" t="str">
        <f>IF(V233=Setup!$C$30,"Grant",IF(V233=Setup!$C$31,"Local",IF(V233=Setup!$C$32,"Other",IF(ISBLANK(V233),"","Other"))))</f>
        <v/>
      </c>
      <c r="X233" s="255"/>
      <c r="Y233" s="259" t="str">
        <f>IF(X233&lt;&gt;"",X233/VLOOKUP($V233,Setup!$C$30:$D$41,2,0),"")</f>
        <v/>
      </c>
      <c r="Z233" s="262"/>
      <c r="AA233" s="256" t="str">
        <f t="shared" si="102"/>
        <v/>
      </c>
      <c r="AB233" s="262"/>
      <c r="AC233" s="258" t="str">
        <f t="shared" si="103"/>
        <v/>
      </c>
      <c r="AD233" s="262"/>
      <c r="AE233" s="258" t="str">
        <f t="shared" si="104"/>
        <v/>
      </c>
      <c r="AF233" s="262"/>
      <c r="AG233" s="256" t="str">
        <f t="shared" si="105"/>
        <v/>
      </c>
      <c r="AH233" s="256" t="str">
        <f t="shared" si="106"/>
        <v/>
      </c>
      <c r="AI233" s="256" t="str">
        <f t="shared" si="107"/>
        <v/>
      </c>
      <c r="AJ233" s="111"/>
      <c r="AK233" s="255"/>
      <c r="AL233" s="259" t="str">
        <f>IF(AK233&lt;&gt;"",AK233/VLOOKUP($V233,Setup!$C$30:$D$41,2,0),"")</f>
        <v/>
      </c>
      <c r="AM233" s="266"/>
      <c r="AN233" s="258" t="str">
        <f t="shared" si="108"/>
        <v/>
      </c>
      <c r="AO233" s="266"/>
      <c r="AP233" s="258" t="str">
        <f t="shared" si="109"/>
        <v/>
      </c>
      <c r="AQ233" s="266"/>
      <c r="AR233" s="258" t="str">
        <f t="shared" si="110"/>
        <v/>
      </c>
      <c r="AS233" s="266"/>
      <c r="AT233" s="256" t="str">
        <f t="shared" si="111"/>
        <v/>
      </c>
      <c r="AU233" s="256" t="str">
        <f t="shared" si="112"/>
        <v/>
      </c>
      <c r="AV233" s="256" t="str">
        <f t="shared" si="113"/>
        <v/>
      </c>
      <c r="AW233" s="267"/>
      <c r="AX233" s="255"/>
      <c r="AY233" s="259" t="str">
        <f>IF(AX233&lt;&gt;"",AX233/VLOOKUP($V233,Setup!$C$30:$D$41,2,0),"")</f>
        <v/>
      </c>
      <c r="AZ233" s="268"/>
      <c r="BA233" s="258" t="str">
        <f t="shared" si="114"/>
        <v/>
      </c>
      <c r="BB233" s="268"/>
      <c r="BC233" s="258" t="str">
        <f t="shared" si="115"/>
        <v/>
      </c>
      <c r="BD233" s="268"/>
      <c r="BE233" s="258" t="str">
        <f t="shared" si="116"/>
        <v/>
      </c>
      <c r="BF233" s="268"/>
      <c r="BG233" s="256" t="str">
        <f t="shared" si="117"/>
        <v/>
      </c>
      <c r="BH233" s="256" t="str">
        <f t="shared" si="118"/>
        <v/>
      </c>
      <c r="BI233" s="256" t="str">
        <f t="shared" si="119"/>
        <v/>
      </c>
      <c r="BJ233" s="267"/>
      <c r="BK233" s="255"/>
      <c r="BL233" s="259" t="str">
        <f>IF(BK233&lt;&gt;"",BK233/VLOOKUP($V233,Setup!$C$30:$D$41,2,0),"")</f>
        <v/>
      </c>
      <c r="BM233" s="268"/>
      <c r="BN233" s="258" t="str">
        <f t="shared" si="120"/>
        <v/>
      </c>
      <c r="BO233" s="268"/>
      <c r="BP233" s="258" t="str">
        <f t="shared" si="121"/>
        <v/>
      </c>
      <c r="BQ233" s="268"/>
      <c r="BR233" s="258" t="str">
        <f t="shared" si="122"/>
        <v/>
      </c>
      <c r="BS233" s="268"/>
      <c r="BT233" s="256" t="str">
        <f t="shared" si="123"/>
        <v/>
      </c>
      <c r="BU233" s="256" t="str">
        <f t="shared" si="124"/>
        <v/>
      </c>
      <c r="BV233" s="256" t="str">
        <f t="shared" si="125"/>
        <v/>
      </c>
      <c r="BW233" s="267"/>
      <c r="BX233" s="256" t="str">
        <f t="shared" si="126"/>
        <v/>
      </c>
      <c r="BY233" s="256" t="str">
        <f t="shared" si="127"/>
        <v/>
      </c>
      <c r="BZ233" s="281"/>
      <c r="CA233" s="282"/>
      <c r="CC233" s="112" t="str">
        <f t="shared" ca="1" si="128"/>
        <v/>
      </c>
      <c r="CF233" s="284"/>
      <c r="CG233" s="284"/>
      <c r="CH233" s="284"/>
      <c r="CI233" s="284"/>
      <c r="CL233" s="356" t="str">
        <f>IFERROR(VLOOKUP(C233,'Data Sheet'!$A$3:$B$26,2,FALSE),"")</f>
        <v/>
      </c>
    </row>
    <row r="234" spans="1:90" s="98" customFormat="1" ht="15.75" x14ac:dyDescent="0.2">
      <c r="A234" s="97"/>
      <c r="B234" s="105" t="str">
        <f t="shared" si="131"/>
        <v>--</v>
      </c>
      <c r="C234" s="276"/>
      <c r="D234" s="101" t="str">
        <f>IFERROR(IF(VLOOKUP(C234,'Data Sheet'!$A$3:$D$26,4,FALSE)=0,"",VLOOKUP(C234,'Data Sheet'!$A$3:$D$26,4,FALSE)),"")</f>
        <v/>
      </c>
      <c r="E234" s="279"/>
      <c r="F234" s="103" t="str">
        <f>IFERROR(IF(VLOOKUP(E234,'Data Sheet'!$C$29:$E$174,3,FALSE)=0,"",VLOOKUP(E234,'Data Sheet'!$C$29:$E$174,3,FALSE)),"")</f>
        <v/>
      </c>
      <c r="G234" s="106" t="str">
        <f t="shared" si="129"/>
        <v>-</v>
      </c>
      <c r="H234" s="273"/>
      <c r="I234" s="107"/>
      <c r="J234" s="249" t="e">
        <f t="shared" si="130"/>
        <v>#VALUE!</v>
      </c>
      <c r="K234" s="101" t="str">
        <f>IFERROR(INDEX('Data Sheet'!$C$198:$C$275,MATCH(I234,'Data Sheet'!$F$198:$F$275,0)),"")</f>
        <v/>
      </c>
      <c r="L234" s="250" t="str">
        <f>IFERROR(INDEX('Data Sheet'!$G$198:$G$275,MATCH(I234,'Data Sheet'!$F$198:$F$275,0)),"")</f>
        <v/>
      </c>
      <c r="M234" s="194"/>
      <c r="N234" s="248"/>
      <c r="O234" s="248"/>
      <c r="P234" s="108" t="str">
        <f>IFERROR(INDEX(Setup!$D$44:$D$70,MATCH(M234,Setup!$K$44:$K$70,0))&amp;"","")</f>
        <v/>
      </c>
      <c r="Q234" s="108" t="str">
        <f>IFERROR(INDEX(Setup!$E$44:$E$70,MATCH(M234,Setup!$K$44:$K$70,0))&amp;"","")</f>
        <v/>
      </c>
      <c r="R234" s="108" t="str">
        <f>IFERROR(INDEX(Setup!$L$44:$L$70,MATCH(M234,Setup!$K$44:$K$70,0))&amp;"","")</f>
        <v/>
      </c>
      <c r="S234" s="108" t="str">
        <f>Setup!$C$30</f>
        <v>USD</v>
      </c>
      <c r="T234" s="109" t="str">
        <f>IFERROR(INDEX('Data Sheet'!$B$198:$B$275,MATCH(I234,'Data Sheet'!$F$198:$F$275,0)),"")</f>
        <v/>
      </c>
      <c r="U234" s="110" t="str">
        <f>IFERROR(INDEX('Data Sheet'!$D$198:$D$275,MATCH(I234,'Data Sheet'!$F$198:$F$275,0)),"")</f>
        <v/>
      </c>
      <c r="V234" s="99"/>
      <c r="W234" s="195" t="str">
        <f>IF(V234=Setup!$C$30,"Grant",IF(V234=Setup!$C$31,"Local",IF(V234=Setup!$C$32,"Other",IF(ISBLANK(V234),"","Other"))))</f>
        <v/>
      </c>
      <c r="X234" s="255"/>
      <c r="Y234" s="259" t="str">
        <f>IF(X234&lt;&gt;"",X234/VLOOKUP($V234,Setup!$C$30:$D$41,2,0),"")</f>
        <v/>
      </c>
      <c r="Z234" s="262"/>
      <c r="AA234" s="256" t="str">
        <f t="shared" si="102"/>
        <v/>
      </c>
      <c r="AB234" s="262"/>
      <c r="AC234" s="258" t="str">
        <f t="shared" si="103"/>
        <v/>
      </c>
      <c r="AD234" s="262"/>
      <c r="AE234" s="258" t="str">
        <f t="shared" si="104"/>
        <v/>
      </c>
      <c r="AF234" s="262"/>
      <c r="AG234" s="256" t="str">
        <f t="shared" si="105"/>
        <v/>
      </c>
      <c r="AH234" s="256" t="str">
        <f t="shared" si="106"/>
        <v/>
      </c>
      <c r="AI234" s="256" t="str">
        <f t="shared" si="107"/>
        <v/>
      </c>
      <c r="AJ234" s="111"/>
      <c r="AK234" s="255"/>
      <c r="AL234" s="259" t="str">
        <f>IF(AK234&lt;&gt;"",AK234/VLOOKUP($V234,Setup!$C$30:$D$41,2,0),"")</f>
        <v/>
      </c>
      <c r="AM234" s="266"/>
      <c r="AN234" s="258" t="str">
        <f t="shared" si="108"/>
        <v/>
      </c>
      <c r="AO234" s="266"/>
      <c r="AP234" s="258" t="str">
        <f t="shared" si="109"/>
        <v/>
      </c>
      <c r="AQ234" s="266"/>
      <c r="AR234" s="258" t="str">
        <f t="shared" si="110"/>
        <v/>
      </c>
      <c r="AS234" s="266"/>
      <c r="AT234" s="256" t="str">
        <f t="shared" si="111"/>
        <v/>
      </c>
      <c r="AU234" s="256" t="str">
        <f t="shared" si="112"/>
        <v/>
      </c>
      <c r="AV234" s="256" t="str">
        <f t="shared" si="113"/>
        <v/>
      </c>
      <c r="AW234" s="267"/>
      <c r="AX234" s="255"/>
      <c r="AY234" s="259" t="str">
        <f>IF(AX234&lt;&gt;"",AX234/VLOOKUP($V234,Setup!$C$30:$D$41,2,0),"")</f>
        <v/>
      </c>
      <c r="AZ234" s="268"/>
      <c r="BA234" s="258" t="str">
        <f t="shared" si="114"/>
        <v/>
      </c>
      <c r="BB234" s="268"/>
      <c r="BC234" s="258" t="str">
        <f t="shared" si="115"/>
        <v/>
      </c>
      <c r="BD234" s="268"/>
      <c r="BE234" s="258" t="str">
        <f t="shared" si="116"/>
        <v/>
      </c>
      <c r="BF234" s="268"/>
      <c r="BG234" s="256" t="str">
        <f t="shared" si="117"/>
        <v/>
      </c>
      <c r="BH234" s="256" t="str">
        <f t="shared" si="118"/>
        <v/>
      </c>
      <c r="BI234" s="256" t="str">
        <f t="shared" si="119"/>
        <v/>
      </c>
      <c r="BJ234" s="267"/>
      <c r="BK234" s="255"/>
      <c r="BL234" s="259" t="str">
        <f>IF(BK234&lt;&gt;"",BK234/VLOOKUP($V234,Setup!$C$30:$D$41,2,0),"")</f>
        <v/>
      </c>
      <c r="BM234" s="268"/>
      <c r="BN234" s="258" t="str">
        <f t="shared" si="120"/>
        <v/>
      </c>
      <c r="BO234" s="268"/>
      <c r="BP234" s="258" t="str">
        <f t="shared" si="121"/>
        <v/>
      </c>
      <c r="BQ234" s="268"/>
      <c r="BR234" s="258" t="str">
        <f t="shared" si="122"/>
        <v/>
      </c>
      <c r="BS234" s="268"/>
      <c r="BT234" s="256" t="str">
        <f t="shared" si="123"/>
        <v/>
      </c>
      <c r="BU234" s="256" t="str">
        <f t="shared" si="124"/>
        <v/>
      </c>
      <c r="BV234" s="256" t="str">
        <f t="shared" si="125"/>
        <v/>
      </c>
      <c r="BW234" s="267"/>
      <c r="BX234" s="256" t="str">
        <f t="shared" si="126"/>
        <v/>
      </c>
      <c r="BY234" s="256" t="str">
        <f t="shared" si="127"/>
        <v/>
      </c>
      <c r="BZ234" s="281"/>
      <c r="CA234" s="282"/>
      <c r="CC234" s="112" t="str">
        <f t="shared" ca="1" si="128"/>
        <v/>
      </c>
      <c r="CF234" s="284"/>
      <c r="CG234" s="284"/>
      <c r="CH234" s="284"/>
      <c r="CI234" s="284"/>
      <c r="CL234" s="356" t="str">
        <f>IFERROR(VLOOKUP(C234,'Data Sheet'!$A$3:$B$26,2,FALSE),"")</f>
        <v/>
      </c>
    </row>
    <row r="235" spans="1:90" s="98" customFormat="1" ht="15.75" x14ac:dyDescent="0.2">
      <c r="A235" s="97"/>
      <c r="B235" s="105" t="str">
        <f t="shared" si="131"/>
        <v>--</v>
      </c>
      <c r="C235" s="276"/>
      <c r="D235" s="101" t="str">
        <f>IFERROR(IF(VLOOKUP(C235,'Data Sheet'!$A$3:$D$26,4,FALSE)=0,"",VLOOKUP(C235,'Data Sheet'!$A$3:$D$26,4,FALSE)),"")</f>
        <v/>
      </c>
      <c r="E235" s="279"/>
      <c r="F235" s="103" t="str">
        <f>IFERROR(IF(VLOOKUP(E235,'Data Sheet'!$C$29:$E$174,3,FALSE)=0,"",VLOOKUP(E235,'Data Sheet'!$C$29:$E$174,3,FALSE)),"")</f>
        <v/>
      </c>
      <c r="G235" s="106" t="str">
        <f t="shared" si="129"/>
        <v>-</v>
      </c>
      <c r="H235" s="273"/>
      <c r="I235" s="107"/>
      <c r="J235" s="249" t="e">
        <f t="shared" si="130"/>
        <v>#VALUE!</v>
      </c>
      <c r="K235" s="101" t="str">
        <f>IFERROR(INDEX('Data Sheet'!$C$198:$C$275,MATCH(I235,'Data Sheet'!$F$198:$F$275,0)),"")</f>
        <v/>
      </c>
      <c r="L235" s="250" t="str">
        <f>IFERROR(INDEX('Data Sheet'!$G$198:$G$275,MATCH(I235,'Data Sheet'!$F$198:$F$275,0)),"")</f>
        <v/>
      </c>
      <c r="M235" s="194"/>
      <c r="N235" s="248"/>
      <c r="O235" s="248"/>
      <c r="P235" s="108" t="str">
        <f>IFERROR(INDEX(Setup!$D$44:$D$70,MATCH(M235,Setup!$K$44:$K$70,0))&amp;"","")</f>
        <v/>
      </c>
      <c r="Q235" s="108" t="str">
        <f>IFERROR(INDEX(Setup!$E$44:$E$70,MATCH(M235,Setup!$K$44:$K$70,0))&amp;"","")</f>
        <v/>
      </c>
      <c r="R235" s="108" t="str">
        <f>IFERROR(INDEX(Setup!$L$44:$L$70,MATCH(M235,Setup!$K$44:$K$70,0))&amp;"","")</f>
        <v/>
      </c>
      <c r="S235" s="108" t="str">
        <f>Setup!$C$30</f>
        <v>USD</v>
      </c>
      <c r="T235" s="109" t="str">
        <f>IFERROR(INDEX('Data Sheet'!$B$198:$B$275,MATCH(I235,'Data Sheet'!$F$198:$F$275,0)),"")</f>
        <v/>
      </c>
      <c r="U235" s="110" t="str">
        <f>IFERROR(INDEX('Data Sheet'!$D$198:$D$275,MATCH(I235,'Data Sheet'!$F$198:$F$275,0)),"")</f>
        <v/>
      </c>
      <c r="V235" s="99"/>
      <c r="W235" s="195" t="str">
        <f>IF(V235=Setup!$C$30,"Grant",IF(V235=Setup!$C$31,"Local",IF(V235=Setup!$C$32,"Other",IF(ISBLANK(V235),"","Other"))))</f>
        <v/>
      </c>
      <c r="X235" s="255"/>
      <c r="Y235" s="259" t="str">
        <f>IF(X235&lt;&gt;"",X235/VLOOKUP($V235,Setup!$C$30:$D$41,2,0),"")</f>
        <v/>
      </c>
      <c r="Z235" s="262"/>
      <c r="AA235" s="256" t="str">
        <f t="shared" si="102"/>
        <v/>
      </c>
      <c r="AB235" s="262"/>
      <c r="AC235" s="258" t="str">
        <f t="shared" si="103"/>
        <v/>
      </c>
      <c r="AD235" s="262"/>
      <c r="AE235" s="258" t="str">
        <f t="shared" si="104"/>
        <v/>
      </c>
      <c r="AF235" s="262"/>
      <c r="AG235" s="256" t="str">
        <f t="shared" si="105"/>
        <v/>
      </c>
      <c r="AH235" s="256" t="str">
        <f t="shared" si="106"/>
        <v/>
      </c>
      <c r="AI235" s="256" t="str">
        <f t="shared" si="107"/>
        <v/>
      </c>
      <c r="AJ235" s="111"/>
      <c r="AK235" s="255"/>
      <c r="AL235" s="259" t="str">
        <f>IF(AK235&lt;&gt;"",AK235/VLOOKUP($V235,Setup!$C$30:$D$41,2,0),"")</f>
        <v/>
      </c>
      <c r="AM235" s="266"/>
      <c r="AN235" s="258" t="str">
        <f t="shared" si="108"/>
        <v/>
      </c>
      <c r="AO235" s="266"/>
      <c r="AP235" s="258" t="str">
        <f t="shared" si="109"/>
        <v/>
      </c>
      <c r="AQ235" s="266"/>
      <c r="AR235" s="258" t="str">
        <f t="shared" si="110"/>
        <v/>
      </c>
      <c r="AS235" s="266"/>
      <c r="AT235" s="256" t="str">
        <f t="shared" si="111"/>
        <v/>
      </c>
      <c r="AU235" s="256" t="str">
        <f t="shared" si="112"/>
        <v/>
      </c>
      <c r="AV235" s="256" t="str">
        <f t="shared" si="113"/>
        <v/>
      </c>
      <c r="AW235" s="267"/>
      <c r="AX235" s="255"/>
      <c r="AY235" s="259" t="str">
        <f>IF(AX235&lt;&gt;"",AX235/VLOOKUP($V235,Setup!$C$30:$D$41,2,0),"")</f>
        <v/>
      </c>
      <c r="AZ235" s="268"/>
      <c r="BA235" s="258" t="str">
        <f t="shared" si="114"/>
        <v/>
      </c>
      <c r="BB235" s="268"/>
      <c r="BC235" s="258" t="str">
        <f t="shared" si="115"/>
        <v/>
      </c>
      <c r="BD235" s="268"/>
      <c r="BE235" s="258" t="str">
        <f t="shared" si="116"/>
        <v/>
      </c>
      <c r="BF235" s="268"/>
      <c r="BG235" s="256" t="str">
        <f t="shared" si="117"/>
        <v/>
      </c>
      <c r="BH235" s="256" t="str">
        <f t="shared" si="118"/>
        <v/>
      </c>
      <c r="BI235" s="256" t="str">
        <f t="shared" si="119"/>
        <v/>
      </c>
      <c r="BJ235" s="267"/>
      <c r="BK235" s="255"/>
      <c r="BL235" s="259" t="str">
        <f>IF(BK235&lt;&gt;"",BK235/VLOOKUP($V235,Setup!$C$30:$D$41,2,0),"")</f>
        <v/>
      </c>
      <c r="BM235" s="268"/>
      <c r="BN235" s="258" t="str">
        <f t="shared" si="120"/>
        <v/>
      </c>
      <c r="BO235" s="268"/>
      <c r="BP235" s="258" t="str">
        <f t="shared" si="121"/>
        <v/>
      </c>
      <c r="BQ235" s="268"/>
      <c r="BR235" s="258" t="str">
        <f t="shared" si="122"/>
        <v/>
      </c>
      <c r="BS235" s="268"/>
      <c r="BT235" s="256" t="str">
        <f t="shared" si="123"/>
        <v/>
      </c>
      <c r="BU235" s="256" t="str">
        <f t="shared" si="124"/>
        <v/>
      </c>
      <c r="BV235" s="256" t="str">
        <f t="shared" si="125"/>
        <v/>
      </c>
      <c r="BW235" s="267"/>
      <c r="BX235" s="256" t="str">
        <f t="shared" si="126"/>
        <v/>
      </c>
      <c r="BY235" s="256" t="str">
        <f t="shared" si="127"/>
        <v/>
      </c>
      <c r="BZ235" s="281"/>
      <c r="CA235" s="282"/>
      <c r="CC235" s="112" t="str">
        <f t="shared" ca="1" si="128"/>
        <v/>
      </c>
      <c r="CF235" s="284"/>
      <c r="CG235" s="284"/>
      <c r="CH235" s="284"/>
      <c r="CI235" s="284"/>
      <c r="CL235" s="356" t="str">
        <f>IFERROR(VLOOKUP(C235,'Data Sheet'!$A$3:$B$26,2,FALSE),"")</f>
        <v/>
      </c>
    </row>
    <row r="236" spans="1:90" s="98" customFormat="1" ht="15.75" x14ac:dyDescent="0.2">
      <c r="A236" s="97"/>
      <c r="B236" s="105" t="str">
        <f t="shared" si="131"/>
        <v>--</v>
      </c>
      <c r="C236" s="276"/>
      <c r="D236" s="101" t="str">
        <f>IFERROR(IF(VLOOKUP(C236,'Data Sheet'!$A$3:$D$26,4,FALSE)=0,"",VLOOKUP(C236,'Data Sheet'!$A$3:$D$26,4,FALSE)),"")</f>
        <v/>
      </c>
      <c r="E236" s="279"/>
      <c r="F236" s="103" t="str">
        <f>IFERROR(IF(VLOOKUP(E236,'Data Sheet'!$C$29:$E$174,3,FALSE)=0,"",VLOOKUP(E236,'Data Sheet'!$C$29:$E$174,3,FALSE)),"")</f>
        <v/>
      </c>
      <c r="G236" s="106" t="str">
        <f t="shared" si="129"/>
        <v>-</v>
      </c>
      <c r="H236" s="273"/>
      <c r="I236" s="107"/>
      <c r="J236" s="249" t="e">
        <f t="shared" si="130"/>
        <v>#VALUE!</v>
      </c>
      <c r="K236" s="101" t="str">
        <f>IFERROR(INDEX('Data Sheet'!$C$198:$C$275,MATCH(I236,'Data Sheet'!$F$198:$F$275,0)),"")</f>
        <v/>
      </c>
      <c r="L236" s="250" t="str">
        <f>IFERROR(INDEX('Data Sheet'!$G$198:$G$275,MATCH(I236,'Data Sheet'!$F$198:$F$275,0)),"")</f>
        <v/>
      </c>
      <c r="M236" s="194"/>
      <c r="N236" s="248"/>
      <c r="O236" s="248"/>
      <c r="P236" s="108" t="str">
        <f>IFERROR(INDEX(Setup!$D$44:$D$70,MATCH(M236,Setup!$K$44:$K$70,0))&amp;"","")</f>
        <v/>
      </c>
      <c r="Q236" s="108" t="str">
        <f>IFERROR(INDEX(Setup!$E$44:$E$70,MATCH(M236,Setup!$K$44:$K$70,0))&amp;"","")</f>
        <v/>
      </c>
      <c r="R236" s="108" t="str">
        <f>IFERROR(INDEX(Setup!$L$44:$L$70,MATCH(M236,Setup!$K$44:$K$70,0))&amp;"","")</f>
        <v/>
      </c>
      <c r="S236" s="108" t="str">
        <f>Setup!$C$30</f>
        <v>USD</v>
      </c>
      <c r="T236" s="109" t="str">
        <f>IFERROR(INDEX('Data Sheet'!$B$198:$B$275,MATCH(I236,'Data Sheet'!$F$198:$F$275,0)),"")</f>
        <v/>
      </c>
      <c r="U236" s="110" t="str">
        <f>IFERROR(INDEX('Data Sheet'!$D$198:$D$275,MATCH(I236,'Data Sheet'!$F$198:$F$275,0)),"")</f>
        <v/>
      </c>
      <c r="V236" s="99"/>
      <c r="W236" s="195" t="str">
        <f>IF(V236=Setup!$C$30,"Grant",IF(V236=Setup!$C$31,"Local",IF(V236=Setup!$C$32,"Other",IF(ISBLANK(V236),"","Other"))))</f>
        <v/>
      </c>
      <c r="X236" s="255"/>
      <c r="Y236" s="259" t="str">
        <f>IF(X236&lt;&gt;"",X236/VLOOKUP($V236,Setup!$C$30:$D$41,2,0),"")</f>
        <v/>
      </c>
      <c r="Z236" s="262"/>
      <c r="AA236" s="256" t="str">
        <f t="shared" si="102"/>
        <v/>
      </c>
      <c r="AB236" s="262"/>
      <c r="AC236" s="258" t="str">
        <f t="shared" si="103"/>
        <v/>
      </c>
      <c r="AD236" s="262"/>
      <c r="AE236" s="258" t="str">
        <f t="shared" si="104"/>
        <v/>
      </c>
      <c r="AF236" s="262"/>
      <c r="AG236" s="256" t="str">
        <f t="shared" si="105"/>
        <v/>
      </c>
      <c r="AH236" s="256" t="str">
        <f t="shared" si="106"/>
        <v/>
      </c>
      <c r="AI236" s="256" t="str">
        <f t="shared" si="107"/>
        <v/>
      </c>
      <c r="AJ236" s="111"/>
      <c r="AK236" s="255"/>
      <c r="AL236" s="259" t="str">
        <f>IF(AK236&lt;&gt;"",AK236/VLOOKUP($V236,Setup!$C$30:$D$41,2,0),"")</f>
        <v/>
      </c>
      <c r="AM236" s="266"/>
      <c r="AN236" s="258" t="str">
        <f t="shared" si="108"/>
        <v/>
      </c>
      <c r="AO236" s="266"/>
      <c r="AP236" s="258" t="str">
        <f t="shared" si="109"/>
        <v/>
      </c>
      <c r="AQ236" s="266"/>
      <c r="AR236" s="258" t="str">
        <f t="shared" si="110"/>
        <v/>
      </c>
      <c r="AS236" s="266"/>
      <c r="AT236" s="256" t="str">
        <f t="shared" si="111"/>
        <v/>
      </c>
      <c r="AU236" s="256" t="str">
        <f t="shared" si="112"/>
        <v/>
      </c>
      <c r="AV236" s="256" t="str">
        <f t="shared" si="113"/>
        <v/>
      </c>
      <c r="AW236" s="267"/>
      <c r="AX236" s="255"/>
      <c r="AY236" s="259" t="str">
        <f>IF(AX236&lt;&gt;"",AX236/VLOOKUP($V236,Setup!$C$30:$D$41,2,0),"")</f>
        <v/>
      </c>
      <c r="AZ236" s="268"/>
      <c r="BA236" s="258" t="str">
        <f t="shared" si="114"/>
        <v/>
      </c>
      <c r="BB236" s="268"/>
      <c r="BC236" s="258" t="str">
        <f t="shared" si="115"/>
        <v/>
      </c>
      <c r="BD236" s="268"/>
      <c r="BE236" s="258" t="str">
        <f t="shared" si="116"/>
        <v/>
      </c>
      <c r="BF236" s="268"/>
      <c r="BG236" s="256" t="str">
        <f t="shared" si="117"/>
        <v/>
      </c>
      <c r="BH236" s="256" t="str">
        <f t="shared" si="118"/>
        <v/>
      </c>
      <c r="BI236" s="256" t="str">
        <f t="shared" si="119"/>
        <v/>
      </c>
      <c r="BJ236" s="267"/>
      <c r="BK236" s="255"/>
      <c r="BL236" s="259" t="str">
        <f>IF(BK236&lt;&gt;"",BK236/VLOOKUP($V236,Setup!$C$30:$D$41,2,0),"")</f>
        <v/>
      </c>
      <c r="BM236" s="268"/>
      <c r="BN236" s="258" t="str">
        <f t="shared" si="120"/>
        <v/>
      </c>
      <c r="BO236" s="268"/>
      <c r="BP236" s="258" t="str">
        <f t="shared" si="121"/>
        <v/>
      </c>
      <c r="BQ236" s="268"/>
      <c r="BR236" s="258" t="str">
        <f t="shared" si="122"/>
        <v/>
      </c>
      <c r="BS236" s="268"/>
      <c r="BT236" s="256" t="str">
        <f t="shared" si="123"/>
        <v/>
      </c>
      <c r="BU236" s="256" t="str">
        <f t="shared" si="124"/>
        <v/>
      </c>
      <c r="BV236" s="256" t="str">
        <f t="shared" si="125"/>
        <v/>
      </c>
      <c r="BW236" s="267"/>
      <c r="BX236" s="256" t="str">
        <f t="shared" si="126"/>
        <v/>
      </c>
      <c r="BY236" s="256" t="str">
        <f t="shared" si="127"/>
        <v/>
      </c>
      <c r="BZ236" s="281"/>
      <c r="CA236" s="282"/>
      <c r="CC236" s="112" t="str">
        <f t="shared" ca="1" si="128"/>
        <v/>
      </c>
      <c r="CF236" s="284"/>
      <c r="CG236" s="284"/>
      <c r="CH236" s="284"/>
      <c r="CI236" s="284"/>
      <c r="CL236" s="356" t="str">
        <f>IFERROR(VLOOKUP(C236,'Data Sheet'!$A$3:$B$26,2,FALSE),"")</f>
        <v/>
      </c>
    </row>
    <row r="237" spans="1:90" s="98" customFormat="1" ht="15.75" x14ac:dyDescent="0.2">
      <c r="A237" s="97"/>
      <c r="B237" s="105" t="str">
        <f t="shared" si="131"/>
        <v>--</v>
      </c>
      <c r="C237" s="276"/>
      <c r="D237" s="101" t="str">
        <f>IFERROR(IF(VLOOKUP(C237,'Data Sheet'!$A$3:$D$26,4,FALSE)=0,"",VLOOKUP(C237,'Data Sheet'!$A$3:$D$26,4,FALSE)),"")</f>
        <v/>
      </c>
      <c r="E237" s="279"/>
      <c r="F237" s="103" t="str">
        <f>IFERROR(IF(VLOOKUP(E237,'Data Sheet'!$C$29:$E$174,3,FALSE)=0,"",VLOOKUP(E237,'Data Sheet'!$C$29:$E$174,3,FALSE)),"")</f>
        <v/>
      </c>
      <c r="G237" s="106" t="str">
        <f t="shared" si="129"/>
        <v>-</v>
      </c>
      <c r="H237" s="273"/>
      <c r="I237" s="107"/>
      <c r="J237" s="249" t="e">
        <f t="shared" si="130"/>
        <v>#VALUE!</v>
      </c>
      <c r="K237" s="101" t="str">
        <f>IFERROR(INDEX('Data Sheet'!$C$198:$C$275,MATCH(I237,'Data Sheet'!$F$198:$F$275,0)),"")</f>
        <v/>
      </c>
      <c r="L237" s="250" t="str">
        <f>IFERROR(INDEX('Data Sheet'!$G$198:$G$275,MATCH(I237,'Data Sheet'!$F$198:$F$275,0)),"")</f>
        <v/>
      </c>
      <c r="M237" s="194"/>
      <c r="N237" s="248"/>
      <c r="O237" s="248"/>
      <c r="P237" s="108" t="str">
        <f>IFERROR(INDEX(Setup!$D$44:$D$70,MATCH(M237,Setup!$K$44:$K$70,0))&amp;"","")</f>
        <v/>
      </c>
      <c r="Q237" s="108" t="str">
        <f>IFERROR(INDEX(Setup!$E$44:$E$70,MATCH(M237,Setup!$K$44:$K$70,0))&amp;"","")</f>
        <v/>
      </c>
      <c r="R237" s="108" t="str">
        <f>IFERROR(INDEX(Setup!$L$44:$L$70,MATCH(M237,Setup!$K$44:$K$70,0))&amp;"","")</f>
        <v/>
      </c>
      <c r="S237" s="108" t="str">
        <f>Setup!$C$30</f>
        <v>USD</v>
      </c>
      <c r="T237" s="109" t="str">
        <f>IFERROR(INDEX('Data Sheet'!$B$198:$B$275,MATCH(I237,'Data Sheet'!$F$198:$F$275,0)),"")</f>
        <v/>
      </c>
      <c r="U237" s="110" t="str">
        <f>IFERROR(INDEX('Data Sheet'!$D$198:$D$275,MATCH(I237,'Data Sheet'!$F$198:$F$275,0)),"")</f>
        <v/>
      </c>
      <c r="V237" s="99"/>
      <c r="W237" s="195" t="str">
        <f>IF(V237=Setup!$C$30,"Grant",IF(V237=Setup!$C$31,"Local",IF(V237=Setup!$C$32,"Other",IF(ISBLANK(V237),"","Other"))))</f>
        <v/>
      </c>
      <c r="X237" s="255"/>
      <c r="Y237" s="259" t="str">
        <f>IF(X237&lt;&gt;"",X237/VLOOKUP($V237,Setup!$C$30:$D$41,2,0),"")</f>
        <v/>
      </c>
      <c r="Z237" s="262"/>
      <c r="AA237" s="256" t="str">
        <f t="shared" si="102"/>
        <v/>
      </c>
      <c r="AB237" s="262"/>
      <c r="AC237" s="258" t="str">
        <f t="shared" si="103"/>
        <v/>
      </c>
      <c r="AD237" s="262"/>
      <c r="AE237" s="258" t="str">
        <f t="shared" si="104"/>
        <v/>
      </c>
      <c r="AF237" s="262"/>
      <c r="AG237" s="256" t="str">
        <f t="shared" si="105"/>
        <v/>
      </c>
      <c r="AH237" s="256" t="str">
        <f t="shared" si="106"/>
        <v/>
      </c>
      <c r="AI237" s="256" t="str">
        <f t="shared" si="107"/>
        <v/>
      </c>
      <c r="AJ237" s="111"/>
      <c r="AK237" s="255"/>
      <c r="AL237" s="259" t="str">
        <f>IF(AK237&lt;&gt;"",AK237/VLOOKUP($V237,Setup!$C$30:$D$41,2,0),"")</f>
        <v/>
      </c>
      <c r="AM237" s="266"/>
      <c r="AN237" s="258" t="str">
        <f t="shared" si="108"/>
        <v/>
      </c>
      <c r="AO237" s="266"/>
      <c r="AP237" s="258" t="str">
        <f t="shared" si="109"/>
        <v/>
      </c>
      <c r="AQ237" s="266"/>
      <c r="AR237" s="258" t="str">
        <f t="shared" si="110"/>
        <v/>
      </c>
      <c r="AS237" s="266"/>
      <c r="AT237" s="256" t="str">
        <f t="shared" si="111"/>
        <v/>
      </c>
      <c r="AU237" s="256" t="str">
        <f t="shared" si="112"/>
        <v/>
      </c>
      <c r="AV237" s="256" t="str">
        <f t="shared" si="113"/>
        <v/>
      </c>
      <c r="AW237" s="267"/>
      <c r="AX237" s="255"/>
      <c r="AY237" s="259" t="str">
        <f>IF(AX237&lt;&gt;"",AX237/VLOOKUP($V237,Setup!$C$30:$D$41,2,0),"")</f>
        <v/>
      </c>
      <c r="AZ237" s="268"/>
      <c r="BA237" s="258" t="str">
        <f t="shared" si="114"/>
        <v/>
      </c>
      <c r="BB237" s="268"/>
      <c r="BC237" s="258" t="str">
        <f t="shared" si="115"/>
        <v/>
      </c>
      <c r="BD237" s="268"/>
      <c r="BE237" s="258" t="str">
        <f t="shared" si="116"/>
        <v/>
      </c>
      <c r="BF237" s="268"/>
      <c r="BG237" s="256" t="str">
        <f t="shared" si="117"/>
        <v/>
      </c>
      <c r="BH237" s="256" t="str">
        <f t="shared" si="118"/>
        <v/>
      </c>
      <c r="BI237" s="256" t="str">
        <f t="shared" si="119"/>
        <v/>
      </c>
      <c r="BJ237" s="267"/>
      <c r="BK237" s="255"/>
      <c r="BL237" s="259" t="str">
        <f>IF(BK237&lt;&gt;"",BK237/VLOOKUP($V237,Setup!$C$30:$D$41,2,0),"")</f>
        <v/>
      </c>
      <c r="BM237" s="268"/>
      <c r="BN237" s="258" t="str">
        <f t="shared" si="120"/>
        <v/>
      </c>
      <c r="BO237" s="268"/>
      <c r="BP237" s="258" t="str">
        <f t="shared" si="121"/>
        <v/>
      </c>
      <c r="BQ237" s="268"/>
      <c r="BR237" s="258" t="str">
        <f t="shared" si="122"/>
        <v/>
      </c>
      <c r="BS237" s="268"/>
      <c r="BT237" s="256" t="str">
        <f t="shared" si="123"/>
        <v/>
      </c>
      <c r="BU237" s="256" t="str">
        <f t="shared" si="124"/>
        <v/>
      </c>
      <c r="BV237" s="256" t="str">
        <f t="shared" si="125"/>
        <v/>
      </c>
      <c r="BW237" s="267"/>
      <c r="BX237" s="256" t="str">
        <f t="shared" si="126"/>
        <v/>
      </c>
      <c r="BY237" s="256" t="str">
        <f t="shared" si="127"/>
        <v/>
      </c>
      <c r="BZ237" s="281"/>
      <c r="CA237" s="282"/>
      <c r="CC237" s="112" t="str">
        <f t="shared" ca="1" si="128"/>
        <v/>
      </c>
      <c r="CF237" s="284"/>
      <c r="CG237" s="284"/>
      <c r="CH237" s="284"/>
      <c r="CI237" s="284"/>
      <c r="CL237" s="356" t="str">
        <f>IFERROR(VLOOKUP(C237,'Data Sheet'!$A$3:$B$26,2,FALSE),"")</f>
        <v/>
      </c>
    </row>
    <row r="238" spans="1:90" s="98" customFormat="1" ht="15.75" x14ac:dyDescent="0.2">
      <c r="A238" s="97"/>
      <c r="B238" s="105" t="str">
        <f t="shared" si="131"/>
        <v>--</v>
      </c>
      <c r="C238" s="276"/>
      <c r="D238" s="101" t="str">
        <f>IFERROR(IF(VLOOKUP(C238,'Data Sheet'!$A$3:$D$26,4,FALSE)=0,"",VLOOKUP(C238,'Data Sheet'!$A$3:$D$26,4,FALSE)),"")</f>
        <v/>
      </c>
      <c r="E238" s="279"/>
      <c r="F238" s="103" t="str">
        <f>IFERROR(IF(VLOOKUP(E238,'Data Sheet'!$C$29:$E$174,3,FALSE)=0,"",VLOOKUP(E238,'Data Sheet'!$C$29:$E$174,3,FALSE)),"")</f>
        <v/>
      </c>
      <c r="G238" s="106" t="str">
        <f t="shared" si="129"/>
        <v>-</v>
      </c>
      <c r="H238" s="273"/>
      <c r="I238" s="107"/>
      <c r="J238" s="249" t="e">
        <f t="shared" si="130"/>
        <v>#VALUE!</v>
      </c>
      <c r="K238" s="101" t="str">
        <f>IFERROR(INDEX('Data Sheet'!$C$198:$C$275,MATCH(I238,'Data Sheet'!$F$198:$F$275,0)),"")</f>
        <v/>
      </c>
      <c r="L238" s="250" t="str">
        <f>IFERROR(INDEX('Data Sheet'!$G$198:$G$275,MATCH(I238,'Data Sheet'!$F$198:$F$275,0)),"")</f>
        <v/>
      </c>
      <c r="M238" s="194"/>
      <c r="N238" s="248"/>
      <c r="O238" s="248"/>
      <c r="P238" s="108" t="str">
        <f>IFERROR(INDEX(Setup!$D$44:$D$70,MATCH(M238,Setup!$K$44:$K$70,0))&amp;"","")</f>
        <v/>
      </c>
      <c r="Q238" s="108" t="str">
        <f>IFERROR(INDEX(Setup!$E$44:$E$70,MATCH(M238,Setup!$K$44:$K$70,0))&amp;"","")</f>
        <v/>
      </c>
      <c r="R238" s="108" t="str">
        <f>IFERROR(INDEX(Setup!$L$44:$L$70,MATCH(M238,Setup!$K$44:$K$70,0))&amp;"","")</f>
        <v/>
      </c>
      <c r="S238" s="108" t="str">
        <f>Setup!$C$30</f>
        <v>USD</v>
      </c>
      <c r="T238" s="109" t="str">
        <f>IFERROR(INDEX('Data Sheet'!$B$198:$B$275,MATCH(I238,'Data Sheet'!$F$198:$F$275,0)),"")</f>
        <v/>
      </c>
      <c r="U238" s="110" t="str">
        <f>IFERROR(INDEX('Data Sheet'!$D$198:$D$275,MATCH(I238,'Data Sheet'!$F$198:$F$275,0)),"")</f>
        <v/>
      </c>
      <c r="V238" s="99"/>
      <c r="W238" s="195" t="str">
        <f>IF(V238=Setup!$C$30,"Grant",IF(V238=Setup!$C$31,"Local",IF(V238=Setup!$C$32,"Other",IF(ISBLANK(V238),"","Other"))))</f>
        <v/>
      </c>
      <c r="X238" s="255"/>
      <c r="Y238" s="259" t="str">
        <f>IF(X238&lt;&gt;"",X238/VLOOKUP($V238,Setup!$C$30:$D$41,2,0),"")</f>
        <v/>
      </c>
      <c r="Z238" s="262"/>
      <c r="AA238" s="256" t="str">
        <f t="shared" si="102"/>
        <v/>
      </c>
      <c r="AB238" s="262"/>
      <c r="AC238" s="258" t="str">
        <f t="shared" si="103"/>
        <v/>
      </c>
      <c r="AD238" s="262"/>
      <c r="AE238" s="258" t="str">
        <f t="shared" si="104"/>
        <v/>
      </c>
      <c r="AF238" s="262"/>
      <c r="AG238" s="256" t="str">
        <f t="shared" si="105"/>
        <v/>
      </c>
      <c r="AH238" s="256" t="str">
        <f t="shared" si="106"/>
        <v/>
      </c>
      <c r="AI238" s="256" t="str">
        <f t="shared" si="107"/>
        <v/>
      </c>
      <c r="AJ238" s="111"/>
      <c r="AK238" s="255"/>
      <c r="AL238" s="259" t="str">
        <f>IF(AK238&lt;&gt;"",AK238/VLOOKUP($V238,Setup!$C$30:$D$41,2,0),"")</f>
        <v/>
      </c>
      <c r="AM238" s="266"/>
      <c r="AN238" s="258" t="str">
        <f t="shared" si="108"/>
        <v/>
      </c>
      <c r="AO238" s="266"/>
      <c r="AP238" s="258" t="str">
        <f t="shared" si="109"/>
        <v/>
      </c>
      <c r="AQ238" s="266"/>
      <c r="AR238" s="258" t="str">
        <f t="shared" si="110"/>
        <v/>
      </c>
      <c r="AS238" s="266"/>
      <c r="AT238" s="256" t="str">
        <f t="shared" si="111"/>
        <v/>
      </c>
      <c r="AU238" s="256" t="str">
        <f t="shared" si="112"/>
        <v/>
      </c>
      <c r="AV238" s="256" t="str">
        <f t="shared" si="113"/>
        <v/>
      </c>
      <c r="AW238" s="267"/>
      <c r="AX238" s="255"/>
      <c r="AY238" s="259" t="str">
        <f>IF(AX238&lt;&gt;"",AX238/VLOOKUP($V238,Setup!$C$30:$D$41,2,0),"")</f>
        <v/>
      </c>
      <c r="AZ238" s="268"/>
      <c r="BA238" s="258" t="str">
        <f t="shared" si="114"/>
        <v/>
      </c>
      <c r="BB238" s="268"/>
      <c r="BC238" s="258" t="str">
        <f t="shared" si="115"/>
        <v/>
      </c>
      <c r="BD238" s="268"/>
      <c r="BE238" s="258" t="str">
        <f t="shared" si="116"/>
        <v/>
      </c>
      <c r="BF238" s="268"/>
      <c r="BG238" s="256" t="str">
        <f t="shared" si="117"/>
        <v/>
      </c>
      <c r="BH238" s="256" t="str">
        <f t="shared" si="118"/>
        <v/>
      </c>
      <c r="BI238" s="256" t="str">
        <f t="shared" si="119"/>
        <v/>
      </c>
      <c r="BJ238" s="267"/>
      <c r="BK238" s="255"/>
      <c r="BL238" s="259" t="str">
        <f>IF(BK238&lt;&gt;"",BK238/VLOOKUP($V238,Setup!$C$30:$D$41,2,0),"")</f>
        <v/>
      </c>
      <c r="BM238" s="268"/>
      <c r="BN238" s="258" t="str">
        <f t="shared" si="120"/>
        <v/>
      </c>
      <c r="BO238" s="268"/>
      <c r="BP238" s="258" t="str">
        <f t="shared" si="121"/>
        <v/>
      </c>
      <c r="BQ238" s="268"/>
      <c r="BR238" s="258" t="str">
        <f t="shared" si="122"/>
        <v/>
      </c>
      <c r="BS238" s="268"/>
      <c r="BT238" s="256" t="str">
        <f t="shared" si="123"/>
        <v/>
      </c>
      <c r="BU238" s="256" t="str">
        <f t="shared" si="124"/>
        <v/>
      </c>
      <c r="BV238" s="256" t="str">
        <f t="shared" si="125"/>
        <v/>
      </c>
      <c r="BW238" s="267"/>
      <c r="BX238" s="256" t="str">
        <f t="shared" si="126"/>
        <v/>
      </c>
      <c r="BY238" s="256" t="str">
        <f t="shared" si="127"/>
        <v/>
      </c>
      <c r="BZ238" s="281"/>
      <c r="CA238" s="282"/>
      <c r="CC238" s="112" t="str">
        <f t="shared" ca="1" si="128"/>
        <v/>
      </c>
      <c r="CF238" s="284"/>
      <c r="CG238" s="284"/>
      <c r="CH238" s="284"/>
      <c r="CI238" s="284"/>
      <c r="CL238" s="356" t="str">
        <f>IFERROR(VLOOKUP(C238,'Data Sheet'!$A$3:$B$26,2,FALSE),"")</f>
        <v/>
      </c>
    </row>
    <row r="239" spans="1:90" s="98" customFormat="1" ht="15.75" x14ac:dyDescent="0.2">
      <c r="A239" s="97"/>
      <c r="B239" s="105" t="str">
        <f t="shared" si="131"/>
        <v>--</v>
      </c>
      <c r="C239" s="276"/>
      <c r="D239" s="101" t="str">
        <f>IFERROR(IF(VLOOKUP(C239,'Data Sheet'!$A$3:$D$26,4,FALSE)=0,"",VLOOKUP(C239,'Data Sheet'!$A$3:$D$26,4,FALSE)),"")</f>
        <v/>
      </c>
      <c r="E239" s="279"/>
      <c r="F239" s="103" t="str">
        <f>IFERROR(IF(VLOOKUP(E239,'Data Sheet'!$C$29:$E$174,3,FALSE)=0,"",VLOOKUP(E239,'Data Sheet'!$C$29:$E$174,3,FALSE)),"")</f>
        <v/>
      </c>
      <c r="G239" s="106" t="str">
        <f t="shared" si="129"/>
        <v>-</v>
      </c>
      <c r="H239" s="273"/>
      <c r="I239" s="107"/>
      <c r="J239" s="249" t="e">
        <f t="shared" si="130"/>
        <v>#VALUE!</v>
      </c>
      <c r="K239" s="101" t="str">
        <f>IFERROR(INDEX('Data Sheet'!$C$198:$C$275,MATCH(I239,'Data Sheet'!$F$198:$F$275,0)),"")</f>
        <v/>
      </c>
      <c r="L239" s="250" t="str">
        <f>IFERROR(INDEX('Data Sheet'!$G$198:$G$275,MATCH(I239,'Data Sheet'!$F$198:$F$275,0)),"")</f>
        <v/>
      </c>
      <c r="M239" s="194"/>
      <c r="N239" s="248"/>
      <c r="O239" s="248"/>
      <c r="P239" s="108" t="str">
        <f>IFERROR(INDEX(Setup!$D$44:$D$70,MATCH(M239,Setup!$K$44:$K$70,0))&amp;"","")</f>
        <v/>
      </c>
      <c r="Q239" s="108" t="str">
        <f>IFERROR(INDEX(Setup!$E$44:$E$70,MATCH(M239,Setup!$K$44:$K$70,0))&amp;"","")</f>
        <v/>
      </c>
      <c r="R239" s="108" t="str">
        <f>IFERROR(INDEX(Setup!$L$44:$L$70,MATCH(M239,Setup!$K$44:$K$70,0))&amp;"","")</f>
        <v/>
      </c>
      <c r="S239" s="108" t="str">
        <f>Setup!$C$30</f>
        <v>USD</v>
      </c>
      <c r="T239" s="109" t="str">
        <f>IFERROR(INDEX('Data Sheet'!$B$198:$B$275,MATCH(I239,'Data Sheet'!$F$198:$F$275,0)),"")</f>
        <v/>
      </c>
      <c r="U239" s="110" t="str">
        <f>IFERROR(INDEX('Data Sheet'!$D$198:$D$275,MATCH(I239,'Data Sheet'!$F$198:$F$275,0)),"")</f>
        <v/>
      </c>
      <c r="V239" s="99"/>
      <c r="W239" s="195" t="str">
        <f>IF(V239=Setup!$C$30,"Grant",IF(V239=Setup!$C$31,"Local",IF(V239=Setup!$C$32,"Other",IF(ISBLANK(V239),"","Other"))))</f>
        <v/>
      </c>
      <c r="X239" s="255"/>
      <c r="Y239" s="259" t="str">
        <f>IF(X239&lt;&gt;"",X239/VLOOKUP($V239,Setup!$C$30:$D$41,2,0),"")</f>
        <v/>
      </c>
      <c r="Z239" s="262"/>
      <c r="AA239" s="256" t="str">
        <f t="shared" si="102"/>
        <v/>
      </c>
      <c r="AB239" s="262"/>
      <c r="AC239" s="258" t="str">
        <f t="shared" si="103"/>
        <v/>
      </c>
      <c r="AD239" s="262"/>
      <c r="AE239" s="258" t="str">
        <f t="shared" si="104"/>
        <v/>
      </c>
      <c r="AF239" s="262"/>
      <c r="AG239" s="256" t="str">
        <f t="shared" si="105"/>
        <v/>
      </c>
      <c r="AH239" s="256" t="str">
        <f t="shared" si="106"/>
        <v/>
      </c>
      <c r="AI239" s="256" t="str">
        <f t="shared" si="107"/>
        <v/>
      </c>
      <c r="AJ239" s="111"/>
      <c r="AK239" s="255"/>
      <c r="AL239" s="259" t="str">
        <f>IF(AK239&lt;&gt;"",AK239/VLOOKUP($V239,Setup!$C$30:$D$41,2,0),"")</f>
        <v/>
      </c>
      <c r="AM239" s="266"/>
      <c r="AN239" s="258" t="str">
        <f t="shared" si="108"/>
        <v/>
      </c>
      <c r="AO239" s="266"/>
      <c r="AP239" s="258" t="str">
        <f t="shared" si="109"/>
        <v/>
      </c>
      <c r="AQ239" s="266"/>
      <c r="AR239" s="258" t="str">
        <f t="shared" si="110"/>
        <v/>
      </c>
      <c r="AS239" s="266"/>
      <c r="AT239" s="256" t="str">
        <f t="shared" si="111"/>
        <v/>
      </c>
      <c r="AU239" s="256" t="str">
        <f t="shared" si="112"/>
        <v/>
      </c>
      <c r="AV239" s="256" t="str">
        <f t="shared" si="113"/>
        <v/>
      </c>
      <c r="AW239" s="267"/>
      <c r="AX239" s="255"/>
      <c r="AY239" s="259" t="str">
        <f>IF(AX239&lt;&gt;"",AX239/VLOOKUP($V239,Setup!$C$30:$D$41,2,0),"")</f>
        <v/>
      </c>
      <c r="AZ239" s="268"/>
      <c r="BA239" s="258" t="str">
        <f t="shared" si="114"/>
        <v/>
      </c>
      <c r="BB239" s="268"/>
      <c r="BC239" s="258" t="str">
        <f t="shared" si="115"/>
        <v/>
      </c>
      <c r="BD239" s="268"/>
      <c r="BE239" s="258" t="str">
        <f t="shared" si="116"/>
        <v/>
      </c>
      <c r="BF239" s="268"/>
      <c r="BG239" s="256" t="str">
        <f t="shared" si="117"/>
        <v/>
      </c>
      <c r="BH239" s="256" t="str">
        <f t="shared" si="118"/>
        <v/>
      </c>
      <c r="BI239" s="256" t="str">
        <f t="shared" si="119"/>
        <v/>
      </c>
      <c r="BJ239" s="267"/>
      <c r="BK239" s="255"/>
      <c r="BL239" s="259" t="str">
        <f>IF(BK239&lt;&gt;"",BK239/VLOOKUP($V239,Setup!$C$30:$D$41,2,0),"")</f>
        <v/>
      </c>
      <c r="BM239" s="268"/>
      <c r="BN239" s="258" t="str">
        <f t="shared" si="120"/>
        <v/>
      </c>
      <c r="BO239" s="268"/>
      <c r="BP239" s="258" t="str">
        <f t="shared" si="121"/>
        <v/>
      </c>
      <c r="BQ239" s="268"/>
      <c r="BR239" s="258" t="str">
        <f t="shared" si="122"/>
        <v/>
      </c>
      <c r="BS239" s="268"/>
      <c r="BT239" s="256" t="str">
        <f t="shared" si="123"/>
        <v/>
      </c>
      <c r="BU239" s="256" t="str">
        <f t="shared" si="124"/>
        <v/>
      </c>
      <c r="BV239" s="256" t="str">
        <f t="shared" si="125"/>
        <v/>
      </c>
      <c r="BW239" s="267"/>
      <c r="BX239" s="256" t="str">
        <f t="shared" si="126"/>
        <v/>
      </c>
      <c r="BY239" s="256" t="str">
        <f t="shared" si="127"/>
        <v/>
      </c>
      <c r="BZ239" s="281"/>
      <c r="CA239" s="282"/>
      <c r="CC239" s="112" t="str">
        <f t="shared" ca="1" si="128"/>
        <v/>
      </c>
      <c r="CF239" s="284"/>
      <c r="CG239" s="284"/>
      <c r="CH239" s="284"/>
      <c r="CI239" s="284"/>
      <c r="CL239" s="356" t="str">
        <f>IFERROR(VLOOKUP(C239,'Data Sheet'!$A$3:$B$26,2,FALSE),"")</f>
        <v/>
      </c>
    </row>
    <row r="240" spans="1:90" s="98" customFormat="1" ht="15.75" x14ac:dyDescent="0.2">
      <c r="A240" s="97"/>
      <c r="B240" s="105" t="str">
        <f t="shared" si="131"/>
        <v>--</v>
      </c>
      <c r="C240" s="276"/>
      <c r="D240" s="101" t="str">
        <f>IFERROR(IF(VLOOKUP(C240,'Data Sheet'!$A$3:$D$26,4,FALSE)=0,"",VLOOKUP(C240,'Data Sheet'!$A$3:$D$26,4,FALSE)),"")</f>
        <v/>
      </c>
      <c r="E240" s="279"/>
      <c r="F240" s="103" t="str">
        <f>IFERROR(IF(VLOOKUP(E240,'Data Sheet'!$C$29:$E$174,3,FALSE)=0,"",VLOOKUP(E240,'Data Sheet'!$C$29:$E$174,3,FALSE)),"")</f>
        <v/>
      </c>
      <c r="G240" s="106" t="str">
        <f t="shared" si="129"/>
        <v>-</v>
      </c>
      <c r="H240" s="273"/>
      <c r="I240" s="107"/>
      <c r="J240" s="249" t="e">
        <f t="shared" si="130"/>
        <v>#VALUE!</v>
      </c>
      <c r="K240" s="101" t="str">
        <f>IFERROR(INDEX('Data Sheet'!$C$198:$C$275,MATCH(I240,'Data Sheet'!$F$198:$F$275,0)),"")</f>
        <v/>
      </c>
      <c r="L240" s="250" t="str">
        <f>IFERROR(INDEX('Data Sheet'!$G$198:$G$275,MATCH(I240,'Data Sheet'!$F$198:$F$275,0)),"")</f>
        <v/>
      </c>
      <c r="M240" s="194"/>
      <c r="N240" s="248"/>
      <c r="O240" s="248"/>
      <c r="P240" s="108" t="str">
        <f>IFERROR(INDEX(Setup!$D$44:$D$70,MATCH(M240,Setup!$K$44:$K$70,0))&amp;"","")</f>
        <v/>
      </c>
      <c r="Q240" s="108" t="str">
        <f>IFERROR(INDEX(Setup!$E$44:$E$70,MATCH(M240,Setup!$K$44:$K$70,0))&amp;"","")</f>
        <v/>
      </c>
      <c r="R240" s="108" t="str">
        <f>IFERROR(INDEX(Setup!$L$44:$L$70,MATCH(M240,Setup!$K$44:$K$70,0))&amp;"","")</f>
        <v/>
      </c>
      <c r="S240" s="108" t="str">
        <f>Setup!$C$30</f>
        <v>USD</v>
      </c>
      <c r="T240" s="109" t="str">
        <f>IFERROR(INDEX('Data Sheet'!$B$198:$B$275,MATCH(I240,'Data Sheet'!$F$198:$F$275,0)),"")</f>
        <v/>
      </c>
      <c r="U240" s="110" t="str">
        <f>IFERROR(INDEX('Data Sheet'!$D$198:$D$275,MATCH(I240,'Data Sheet'!$F$198:$F$275,0)),"")</f>
        <v/>
      </c>
      <c r="V240" s="99"/>
      <c r="W240" s="195" t="str">
        <f>IF(V240=Setup!$C$30,"Grant",IF(V240=Setup!$C$31,"Local",IF(V240=Setup!$C$32,"Other",IF(ISBLANK(V240),"","Other"))))</f>
        <v/>
      </c>
      <c r="X240" s="255"/>
      <c r="Y240" s="259" t="str">
        <f>IF(X240&lt;&gt;"",X240/VLOOKUP($V240,Setup!$C$30:$D$41,2,0),"")</f>
        <v/>
      </c>
      <c r="Z240" s="262"/>
      <c r="AA240" s="256" t="str">
        <f t="shared" si="102"/>
        <v/>
      </c>
      <c r="AB240" s="262"/>
      <c r="AC240" s="258" t="str">
        <f t="shared" si="103"/>
        <v/>
      </c>
      <c r="AD240" s="262"/>
      <c r="AE240" s="258" t="str">
        <f t="shared" si="104"/>
        <v/>
      </c>
      <c r="AF240" s="262"/>
      <c r="AG240" s="256" t="str">
        <f t="shared" si="105"/>
        <v/>
      </c>
      <c r="AH240" s="256" t="str">
        <f t="shared" si="106"/>
        <v/>
      </c>
      <c r="AI240" s="256" t="str">
        <f t="shared" si="107"/>
        <v/>
      </c>
      <c r="AJ240" s="111"/>
      <c r="AK240" s="255"/>
      <c r="AL240" s="259" t="str">
        <f>IF(AK240&lt;&gt;"",AK240/VLOOKUP($V240,Setup!$C$30:$D$41,2,0),"")</f>
        <v/>
      </c>
      <c r="AM240" s="266"/>
      <c r="AN240" s="258" t="str">
        <f t="shared" si="108"/>
        <v/>
      </c>
      <c r="AO240" s="266"/>
      <c r="AP240" s="258" t="str">
        <f t="shared" si="109"/>
        <v/>
      </c>
      <c r="AQ240" s="266"/>
      <c r="AR240" s="258" t="str">
        <f t="shared" si="110"/>
        <v/>
      </c>
      <c r="AS240" s="266"/>
      <c r="AT240" s="256" t="str">
        <f t="shared" si="111"/>
        <v/>
      </c>
      <c r="AU240" s="256" t="str">
        <f t="shared" si="112"/>
        <v/>
      </c>
      <c r="AV240" s="256" t="str">
        <f t="shared" si="113"/>
        <v/>
      </c>
      <c r="AW240" s="267"/>
      <c r="AX240" s="255"/>
      <c r="AY240" s="259" t="str">
        <f>IF(AX240&lt;&gt;"",AX240/VLOOKUP($V240,Setup!$C$30:$D$41,2,0),"")</f>
        <v/>
      </c>
      <c r="AZ240" s="268"/>
      <c r="BA240" s="258" t="str">
        <f t="shared" si="114"/>
        <v/>
      </c>
      <c r="BB240" s="268"/>
      <c r="BC240" s="258" t="str">
        <f t="shared" si="115"/>
        <v/>
      </c>
      <c r="BD240" s="268"/>
      <c r="BE240" s="258" t="str">
        <f t="shared" si="116"/>
        <v/>
      </c>
      <c r="BF240" s="268"/>
      <c r="BG240" s="256" t="str">
        <f t="shared" si="117"/>
        <v/>
      </c>
      <c r="BH240" s="256" t="str">
        <f t="shared" si="118"/>
        <v/>
      </c>
      <c r="BI240" s="256" t="str">
        <f t="shared" si="119"/>
        <v/>
      </c>
      <c r="BJ240" s="267"/>
      <c r="BK240" s="255"/>
      <c r="BL240" s="259" t="str">
        <f>IF(BK240&lt;&gt;"",BK240/VLOOKUP($V240,Setup!$C$30:$D$41,2,0),"")</f>
        <v/>
      </c>
      <c r="BM240" s="268"/>
      <c r="BN240" s="258" t="str">
        <f t="shared" si="120"/>
        <v/>
      </c>
      <c r="BO240" s="268"/>
      <c r="BP240" s="258" t="str">
        <f t="shared" si="121"/>
        <v/>
      </c>
      <c r="BQ240" s="268"/>
      <c r="BR240" s="258" t="str">
        <f t="shared" si="122"/>
        <v/>
      </c>
      <c r="BS240" s="268"/>
      <c r="BT240" s="256" t="str">
        <f t="shared" si="123"/>
        <v/>
      </c>
      <c r="BU240" s="256" t="str">
        <f t="shared" si="124"/>
        <v/>
      </c>
      <c r="BV240" s="256" t="str">
        <f t="shared" si="125"/>
        <v/>
      </c>
      <c r="BW240" s="267"/>
      <c r="BX240" s="256" t="str">
        <f t="shared" si="126"/>
        <v/>
      </c>
      <c r="BY240" s="256" t="str">
        <f t="shared" si="127"/>
        <v/>
      </c>
      <c r="BZ240" s="281"/>
      <c r="CA240" s="282"/>
      <c r="CC240" s="112" t="str">
        <f t="shared" ca="1" si="128"/>
        <v/>
      </c>
      <c r="CF240" s="284"/>
      <c r="CG240" s="284"/>
      <c r="CH240" s="284"/>
      <c r="CI240" s="284"/>
      <c r="CL240" s="356" t="str">
        <f>IFERROR(VLOOKUP(C240,'Data Sheet'!$A$3:$B$26,2,FALSE),"")</f>
        <v/>
      </c>
    </row>
    <row r="241" spans="1:90" s="98" customFormat="1" ht="15.75" x14ac:dyDescent="0.2">
      <c r="A241" s="97"/>
      <c r="B241" s="105" t="str">
        <f t="shared" si="131"/>
        <v>--</v>
      </c>
      <c r="C241" s="276"/>
      <c r="D241" s="101" t="str">
        <f>IFERROR(IF(VLOOKUP(C241,'Data Sheet'!$A$3:$D$26,4,FALSE)=0,"",VLOOKUP(C241,'Data Sheet'!$A$3:$D$26,4,FALSE)),"")</f>
        <v/>
      </c>
      <c r="E241" s="279"/>
      <c r="F241" s="103" t="str">
        <f>IFERROR(IF(VLOOKUP(E241,'Data Sheet'!$C$29:$E$174,3,FALSE)=0,"",VLOOKUP(E241,'Data Sheet'!$C$29:$E$174,3,FALSE)),"")</f>
        <v/>
      </c>
      <c r="G241" s="106" t="str">
        <f t="shared" si="129"/>
        <v>-</v>
      </c>
      <c r="H241" s="273"/>
      <c r="I241" s="107"/>
      <c r="J241" s="249" t="e">
        <f t="shared" si="130"/>
        <v>#VALUE!</v>
      </c>
      <c r="K241" s="101" t="str">
        <f>IFERROR(INDEX('Data Sheet'!$C$198:$C$275,MATCH(I241,'Data Sheet'!$F$198:$F$275,0)),"")</f>
        <v/>
      </c>
      <c r="L241" s="250" t="str">
        <f>IFERROR(INDEX('Data Sheet'!$G$198:$G$275,MATCH(I241,'Data Sheet'!$F$198:$F$275,0)),"")</f>
        <v/>
      </c>
      <c r="M241" s="194"/>
      <c r="N241" s="248"/>
      <c r="O241" s="248"/>
      <c r="P241" s="108" t="str">
        <f>IFERROR(INDEX(Setup!$D$44:$D$70,MATCH(M241,Setup!$K$44:$K$70,0))&amp;"","")</f>
        <v/>
      </c>
      <c r="Q241" s="108" t="str">
        <f>IFERROR(INDEX(Setup!$E$44:$E$70,MATCH(M241,Setup!$K$44:$K$70,0))&amp;"","")</f>
        <v/>
      </c>
      <c r="R241" s="108" t="str">
        <f>IFERROR(INDEX(Setup!$L$44:$L$70,MATCH(M241,Setup!$K$44:$K$70,0))&amp;"","")</f>
        <v/>
      </c>
      <c r="S241" s="108" t="str">
        <f>Setup!$C$30</f>
        <v>USD</v>
      </c>
      <c r="T241" s="109" t="str">
        <f>IFERROR(INDEX('Data Sheet'!$B$198:$B$275,MATCH(I241,'Data Sheet'!$F$198:$F$275,0)),"")</f>
        <v/>
      </c>
      <c r="U241" s="110" t="str">
        <f>IFERROR(INDEX('Data Sheet'!$D$198:$D$275,MATCH(I241,'Data Sheet'!$F$198:$F$275,0)),"")</f>
        <v/>
      </c>
      <c r="V241" s="99"/>
      <c r="W241" s="195" t="str">
        <f>IF(V241=Setup!$C$30,"Grant",IF(V241=Setup!$C$31,"Local",IF(V241=Setup!$C$32,"Other",IF(ISBLANK(V241),"","Other"))))</f>
        <v/>
      </c>
      <c r="X241" s="255"/>
      <c r="Y241" s="259" t="str">
        <f>IF(X241&lt;&gt;"",X241/VLOOKUP($V241,Setup!$C$30:$D$41,2,0),"")</f>
        <v/>
      </c>
      <c r="Z241" s="262"/>
      <c r="AA241" s="256" t="str">
        <f t="shared" si="102"/>
        <v/>
      </c>
      <c r="AB241" s="262"/>
      <c r="AC241" s="258" t="str">
        <f t="shared" si="103"/>
        <v/>
      </c>
      <c r="AD241" s="262"/>
      <c r="AE241" s="258" t="str">
        <f t="shared" si="104"/>
        <v/>
      </c>
      <c r="AF241" s="262"/>
      <c r="AG241" s="256" t="str">
        <f t="shared" si="105"/>
        <v/>
      </c>
      <c r="AH241" s="256" t="str">
        <f t="shared" si="106"/>
        <v/>
      </c>
      <c r="AI241" s="256" t="str">
        <f t="shared" si="107"/>
        <v/>
      </c>
      <c r="AJ241" s="111"/>
      <c r="AK241" s="255"/>
      <c r="AL241" s="259" t="str">
        <f>IF(AK241&lt;&gt;"",AK241/VLOOKUP($V241,Setup!$C$30:$D$41,2,0),"")</f>
        <v/>
      </c>
      <c r="AM241" s="266"/>
      <c r="AN241" s="258" t="str">
        <f t="shared" si="108"/>
        <v/>
      </c>
      <c r="AO241" s="266"/>
      <c r="AP241" s="258" t="str">
        <f t="shared" si="109"/>
        <v/>
      </c>
      <c r="AQ241" s="266"/>
      <c r="AR241" s="258" t="str">
        <f t="shared" si="110"/>
        <v/>
      </c>
      <c r="AS241" s="266"/>
      <c r="AT241" s="256" t="str">
        <f t="shared" si="111"/>
        <v/>
      </c>
      <c r="AU241" s="256" t="str">
        <f t="shared" si="112"/>
        <v/>
      </c>
      <c r="AV241" s="256" t="str">
        <f t="shared" si="113"/>
        <v/>
      </c>
      <c r="AW241" s="267"/>
      <c r="AX241" s="255"/>
      <c r="AY241" s="259" t="str">
        <f>IF(AX241&lt;&gt;"",AX241/VLOOKUP($V241,Setup!$C$30:$D$41,2,0),"")</f>
        <v/>
      </c>
      <c r="AZ241" s="268"/>
      <c r="BA241" s="258" t="str">
        <f t="shared" si="114"/>
        <v/>
      </c>
      <c r="BB241" s="268"/>
      <c r="BC241" s="258" t="str">
        <f t="shared" si="115"/>
        <v/>
      </c>
      <c r="BD241" s="268"/>
      <c r="BE241" s="258" t="str">
        <f t="shared" si="116"/>
        <v/>
      </c>
      <c r="BF241" s="268"/>
      <c r="BG241" s="256" t="str">
        <f t="shared" si="117"/>
        <v/>
      </c>
      <c r="BH241" s="256" t="str">
        <f t="shared" si="118"/>
        <v/>
      </c>
      <c r="BI241" s="256" t="str">
        <f t="shared" si="119"/>
        <v/>
      </c>
      <c r="BJ241" s="267"/>
      <c r="BK241" s="255"/>
      <c r="BL241" s="259" t="str">
        <f>IF(BK241&lt;&gt;"",BK241/VLOOKUP($V241,Setup!$C$30:$D$41,2,0),"")</f>
        <v/>
      </c>
      <c r="BM241" s="268"/>
      <c r="BN241" s="258" t="str">
        <f t="shared" si="120"/>
        <v/>
      </c>
      <c r="BO241" s="268"/>
      <c r="BP241" s="258" t="str">
        <f t="shared" si="121"/>
        <v/>
      </c>
      <c r="BQ241" s="268"/>
      <c r="BR241" s="258" t="str">
        <f t="shared" si="122"/>
        <v/>
      </c>
      <c r="BS241" s="268"/>
      <c r="BT241" s="256" t="str">
        <f t="shared" si="123"/>
        <v/>
      </c>
      <c r="BU241" s="256" t="str">
        <f t="shared" si="124"/>
        <v/>
      </c>
      <c r="BV241" s="256" t="str">
        <f t="shared" si="125"/>
        <v/>
      </c>
      <c r="BW241" s="267"/>
      <c r="BX241" s="256" t="str">
        <f t="shared" si="126"/>
        <v/>
      </c>
      <c r="BY241" s="256" t="str">
        <f t="shared" si="127"/>
        <v/>
      </c>
      <c r="BZ241" s="281"/>
      <c r="CA241" s="282"/>
      <c r="CC241" s="112" t="str">
        <f t="shared" ca="1" si="128"/>
        <v/>
      </c>
      <c r="CF241" s="284"/>
      <c r="CG241" s="284"/>
      <c r="CH241" s="284"/>
      <c r="CI241" s="284"/>
      <c r="CL241" s="356" t="str">
        <f>IFERROR(VLOOKUP(C241,'Data Sheet'!$A$3:$B$26,2,FALSE),"")</f>
        <v/>
      </c>
    </row>
    <row r="242" spans="1:90" s="98" customFormat="1" ht="15.75" x14ac:dyDescent="0.2">
      <c r="A242" s="97"/>
      <c r="B242" s="105" t="str">
        <f t="shared" si="131"/>
        <v>--</v>
      </c>
      <c r="C242" s="276"/>
      <c r="D242" s="101" t="str">
        <f>IFERROR(IF(VLOOKUP(C242,'Data Sheet'!$A$3:$D$26,4,FALSE)=0,"",VLOOKUP(C242,'Data Sheet'!$A$3:$D$26,4,FALSE)),"")</f>
        <v/>
      </c>
      <c r="E242" s="279"/>
      <c r="F242" s="103" t="str">
        <f>IFERROR(IF(VLOOKUP(E242,'Data Sheet'!$C$29:$E$174,3,FALSE)=0,"",VLOOKUP(E242,'Data Sheet'!$C$29:$E$174,3,FALSE)),"")</f>
        <v/>
      </c>
      <c r="G242" s="106" t="str">
        <f t="shared" si="129"/>
        <v>-</v>
      </c>
      <c r="H242" s="273"/>
      <c r="I242" s="107"/>
      <c r="J242" s="249" t="e">
        <f t="shared" si="130"/>
        <v>#VALUE!</v>
      </c>
      <c r="K242" s="101" t="str">
        <f>IFERROR(INDEX('Data Sheet'!$C$198:$C$275,MATCH(I242,'Data Sheet'!$F$198:$F$275,0)),"")</f>
        <v/>
      </c>
      <c r="L242" s="250" t="str">
        <f>IFERROR(INDEX('Data Sheet'!$G$198:$G$275,MATCH(I242,'Data Sheet'!$F$198:$F$275,0)),"")</f>
        <v/>
      </c>
      <c r="M242" s="194"/>
      <c r="N242" s="248"/>
      <c r="O242" s="248"/>
      <c r="P242" s="108" t="str">
        <f>IFERROR(INDEX(Setup!$D$44:$D$70,MATCH(M242,Setup!$K$44:$K$70,0))&amp;"","")</f>
        <v/>
      </c>
      <c r="Q242" s="108" t="str">
        <f>IFERROR(INDEX(Setup!$E$44:$E$70,MATCH(M242,Setup!$K$44:$K$70,0))&amp;"","")</f>
        <v/>
      </c>
      <c r="R242" s="108" t="str">
        <f>IFERROR(INDEX(Setup!$L$44:$L$70,MATCH(M242,Setup!$K$44:$K$70,0))&amp;"","")</f>
        <v/>
      </c>
      <c r="S242" s="108" t="str">
        <f>Setup!$C$30</f>
        <v>USD</v>
      </c>
      <c r="T242" s="109" t="str">
        <f>IFERROR(INDEX('Data Sheet'!$B$198:$B$275,MATCH(I242,'Data Sheet'!$F$198:$F$275,0)),"")</f>
        <v/>
      </c>
      <c r="U242" s="110" t="str">
        <f>IFERROR(INDEX('Data Sheet'!$D$198:$D$275,MATCH(I242,'Data Sheet'!$F$198:$F$275,0)),"")</f>
        <v/>
      </c>
      <c r="V242" s="99"/>
      <c r="W242" s="195" t="str">
        <f>IF(V242=Setup!$C$30,"Grant",IF(V242=Setup!$C$31,"Local",IF(V242=Setup!$C$32,"Other",IF(ISBLANK(V242),"","Other"))))</f>
        <v/>
      </c>
      <c r="X242" s="255"/>
      <c r="Y242" s="259" t="str">
        <f>IF(X242&lt;&gt;"",X242/VLOOKUP($V242,Setup!$C$30:$D$41,2,0),"")</f>
        <v/>
      </c>
      <c r="Z242" s="262"/>
      <c r="AA242" s="256" t="str">
        <f t="shared" si="102"/>
        <v/>
      </c>
      <c r="AB242" s="262"/>
      <c r="AC242" s="258" t="str">
        <f t="shared" si="103"/>
        <v/>
      </c>
      <c r="AD242" s="262"/>
      <c r="AE242" s="258" t="str">
        <f t="shared" si="104"/>
        <v/>
      </c>
      <c r="AF242" s="262"/>
      <c r="AG242" s="256" t="str">
        <f t="shared" si="105"/>
        <v/>
      </c>
      <c r="AH242" s="256" t="str">
        <f t="shared" si="106"/>
        <v/>
      </c>
      <c r="AI242" s="256" t="str">
        <f t="shared" si="107"/>
        <v/>
      </c>
      <c r="AJ242" s="111"/>
      <c r="AK242" s="255"/>
      <c r="AL242" s="259" t="str">
        <f>IF(AK242&lt;&gt;"",AK242/VLOOKUP($V242,Setup!$C$30:$D$41,2,0),"")</f>
        <v/>
      </c>
      <c r="AM242" s="266"/>
      <c r="AN242" s="258" t="str">
        <f t="shared" si="108"/>
        <v/>
      </c>
      <c r="AO242" s="266"/>
      <c r="AP242" s="258" t="str">
        <f t="shared" si="109"/>
        <v/>
      </c>
      <c r="AQ242" s="266"/>
      <c r="AR242" s="258" t="str">
        <f t="shared" si="110"/>
        <v/>
      </c>
      <c r="AS242" s="266"/>
      <c r="AT242" s="256" t="str">
        <f t="shared" si="111"/>
        <v/>
      </c>
      <c r="AU242" s="256" t="str">
        <f t="shared" si="112"/>
        <v/>
      </c>
      <c r="AV242" s="256" t="str">
        <f t="shared" si="113"/>
        <v/>
      </c>
      <c r="AW242" s="267"/>
      <c r="AX242" s="255"/>
      <c r="AY242" s="259" t="str">
        <f>IF(AX242&lt;&gt;"",AX242/VLOOKUP($V242,Setup!$C$30:$D$41,2,0),"")</f>
        <v/>
      </c>
      <c r="AZ242" s="268"/>
      <c r="BA242" s="258" t="str">
        <f t="shared" si="114"/>
        <v/>
      </c>
      <c r="BB242" s="268"/>
      <c r="BC242" s="258" t="str">
        <f t="shared" si="115"/>
        <v/>
      </c>
      <c r="BD242" s="268"/>
      <c r="BE242" s="258" t="str">
        <f t="shared" si="116"/>
        <v/>
      </c>
      <c r="BF242" s="268"/>
      <c r="BG242" s="256" t="str">
        <f t="shared" si="117"/>
        <v/>
      </c>
      <c r="BH242" s="256" t="str">
        <f t="shared" si="118"/>
        <v/>
      </c>
      <c r="BI242" s="256" t="str">
        <f t="shared" si="119"/>
        <v/>
      </c>
      <c r="BJ242" s="267"/>
      <c r="BK242" s="255"/>
      <c r="BL242" s="259" t="str">
        <f>IF(BK242&lt;&gt;"",BK242/VLOOKUP($V242,Setup!$C$30:$D$41,2,0),"")</f>
        <v/>
      </c>
      <c r="BM242" s="268"/>
      <c r="BN242" s="258" t="str">
        <f t="shared" si="120"/>
        <v/>
      </c>
      <c r="BO242" s="268"/>
      <c r="BP242" s="258" t="str">
        <f t="shared" si="121"/>
        <v/>
      </c>
      <c r="BQ242" s="268"/>
      <c r="BR242" s="258" t="str">
        <f t="shared" si="122"/>
        <v/>
      </c>
      <c r="BS242" s="268"/>
      <c r="BT242" s="256" t="str">
        <f t="shared" si="123"/>
        <v/>
      </c>
      <c r="BU242" s="256" t="str">
        <f t="shared" si="124"/>
        <v/>
      </c>
      <c r="BV242" s="256" t="str">
        <f t="shared" si="125"/>
        <v/>
      </c>
      <c r="BW242" s="267"/>
      <c r="BX242" s="256" t="str">
        <f t="shared" si="126"/>
        <v/>
      </c>
      <c r="BY242" s="256" t="str">
        <f t="shared" si="127"/>
        <v/>
      </c>
      <c r="BZ242" s="281"/>
      <c r="CA242" s="282"/>
      <c r="CC242" s="112" t="str">
        <f t="shared" ca="1" si="128"/>
        <v/>
      </c>
      <c r="CF242" s="284"/>
      <c r="CG242" s="284"/>
      <c r="CH242" s="284"/>
      <c r="CI242" s="284"/>
      <c r="CL242" s="356" t="str">
        <f>IFERROR(VLOOKUP(C242,'Data Sheet'!$A$3:$B$26,2,FALSE),"")</f>
        <v/>
      </c>
    </row>
    <row r="243" spans="1:90" s="98" customFormat="1" ht="15.75" x14ac:dyDescent="0.2">
      <c r="A243" s="97"/>
      <c r="B243" s="105" t="str">
        <f t="shared" si="131"/>
        <v>--</v>
      </c>
      <c r="C243" s="276"/>
      <c r="D243" s="101" t="str">
        <f>IFERROR(IF(VLOOKUP(C243,'Data Sheet'!$A$3:$D$26,4,FALSE)=0,"",VLOOKUP(C243,'Data Sheet'!$A$3:$D$26,4,FALSE)),"")</f>
        <v/>
      </c>
      <c r="E243" s="279"/>
      <c r="F243" s="103" t="str">
        <f>IFERROR(IF(VLOOKUP(E243,'Data Sheet'!$C$29:$E$174,3,FALSE)=0,"",VLOOKUP(E243,'Data Sheet'!$C$29:$E$174,3,FALSE)),"")</f>
        <v/>
      </c>
      <c r="G243" s="106" t="str">
        <f t="shared" si="129"/>
        <v>-</v>
      </c>
      <c r="H243" s="273"/>
      <c r="I243" s="107"/>
      <c r="J243" s="249" t="e">
        <f t="shared" si="130"/>
        <v>#VALUE!</v>
      </c>
      <c r="K243" s="101" t="str">
        <f>IFERROR(INDEX('Data Sheet'!$C$198:$C$275,MATCH(I243,'Data Sheet'!$F$198:$F$275,0)),"")</f>
        <v/>
      </c>
      <c r="L243" s="250" t="str">
        <f>IFERROR(INDEX('Data Sheet'!$G$198:$G$275,MATCH(I243,'Data Sheet'!$F$198:$F$275,0)),"")</f>
        <v/>
      </c>
      <c r="M243" s="194"/>
      <c r="N243" s="248"/>
      <c r="O243" s="248"/>
      <c r="P243" s="108" t="str">
        <f>IFERROR(INDEX(Setup!$D$44:$D$70,MATCH(M243,Setup!$K$44:$K$70,0))&amp;"","")</f>
        <v/>
      </c>
      <c r="Q243" s="108" t="str">
        <f>IFERROR(INDEX(Setup!$E$44:$E$70,MATCH(M243,Setup!$K$44:$K$70,0))&amp;"","")</f>
        <v/>
      </c>
      <c r="R243" s="108" t="str">
        <f>IFERROR(INDEX(Setup!$L$44:$L$70,MATCH(M243,Setup!$K$44:$K$70,0))&amp;"","")</f>
        <v/>
      </c>
      <c r="S243" s="108" t="str">
        <f>Setup!$C$30</f>
        <v>USD</v>
      </c>
      <c r="T243" s="109" t="str">
        <f>IFERROR(INDEX('Data Sheet'!$B$198:$B$275,MATCH(I243,'Data Sheet'!$F$198:$F$275,0)),"")</f>
        <v/>
      </c>
      <c r="U243" s="110" t="str">
        <f>IFERROR(INDEX('Data Sheet'!$D$198:$D$275,MATCH(I243,'Data Sheet'!$F$198:$F$275,0)),"")</f>
        <v/>
      </c>
      <c r="V243" s="99"/>
      <c r="W243" s="195" t="str">
        <f>IF(V243=Setup!$C$30,"Grant",IF(V243=Setup!$C$31,"Local",IF(V243=Setup!$C$32,"Other",IF(ISBLANK(V243),"","Other"))))</f>
        <v/>
      </c>
      <c r="X243" s="255"/>
      <c r="Y243" s="259" t="str">
        <f>IF(X243&lt;&gt;"",X243/VLOOKUP($V243,Setup!$C$30:$D$41,2,0),"")</f>
        <v/>
      </c>
      <c r="Z243" s="262"/>
      <c r="AA243" s="256" t="str">
        <f t="shared" si="102"/>
        <v/>
      </c>
      <c r="AB243" s="262"/>
      <c r="AC243" s="258" t="str">
        <f t="shared" si="103"/>
        <v/>
      </c>
      <c r="AD243" s="262"/>
      <c r="AE243" s="258" t="str">
        <f t="shared" si="104"/>
        <v/>
      </c>
      <c r="AF243" s="262"/>
      <c r="AG243" s="256" t="str">
        <f t="shared" si="105"/>
        <v/>
      </c>
      <c r="AH243" s="256" t="str">
        <f t="shared" si="106"/>
        <v/>
      </c>
      <c r="AI243" s="256" t="str">
        <f t="shared" si="107"/>
        <v/>
      </c>
      <c r="AJ243" s="111"/>
      <c r="AK243" s="255"/>
      <c r="AL243" s="259" t="str">
        <f>IF(AK243&lt;&gt;"",AK243/VLOOKUP($V243,Setup!$C$30:$D$41,2,0),"")</f>
        <v/>
      </c>
      <c r="AM243" s="266"/>
      <c r="AN243" s="258" t="str">
        <f t="shared" si="108"/>
        <v/>
      </c>
      <c r="AO243" s="266"/>
      <c r="AP243" s="258" t="str">
        <f t="shared" si="109"/>
        <v/>
      </c>
      <c r="AQ243" s="266"/>
      <c r="AR243" s="258" t="str">
        <f t="shared" si="110"/>
        <v/>
      </c>
      <c r="AS243" s="266"/>
      <c r="AT243" s="256" t="str">
        <f t="shared" si="111"/>
        <v/>
      </c>
      <c r="AU243" s="256" t="str">
        <f t="shared" si="112"/>
        <v/>
      </c>
      <c r="AV243" s="256" t="str">
        <f t="shared" si="113"/>
        <v/>
      </c>
      <c r="AW243" s="267"/>
      <c r="AX243" s="255"/>
      <c r="AY243" s="259" t="str">
        <f>IF(AX243&lt;&gt;"",AX243/VLOOKUP($V243,Setup!$C$30:$D$41,2,0),"")</f>
        <v/>
      </c>
      <c r="AZ243" s="268"/>
      <c r="BA243" s="258" t="str">
        <f t="shared" si="114"/>
        <v/>
      </c>
      <c r="BB243" s="268"/>
      <c r="BC243" s="258" t="str">
        <f t="shared" si="115"/>
        <v/>
      </c>
      <c r="BD243" s="268"/>
      <c r="BE243" s="258" t="str">
        <f t="shared" si="116"/>
        <v/>
      </c>
      <c r="BF243" s="268"/>
      <c r="BG243" s="256" t="str">
        <f t="shared" si="117"/>
        <v/>
      </c>
      <c r="BH243" s="256" t="str">
        <f t="shared" si="118"/>
        <v/>
      </c>
      <c r="BI243" s="256" t="str">
        <f t="shared" si="119"/>
        <v/>
      </c>
      <c r="BJ243" s="267"/>
      <c r="BK243" s="255"/>
      <c r="BL243" s="259" t="str">
        <f>IF(BK243&lt;&gt;"",BK243/VLOOKUP($V243,Setup!$C$30:$D$41,2,0),"")</f>
        <v/>
      </c>
      <c r="BM243" s="268"/>
      <c r="BN243" s="258" t="str">
        <f t="shared" si="120"/>
        <v/>
      </c>
      <c r="BO243" s="268"/>
      <c r="BP243" s="258" t="str">
        <f t="shared" si="121"/>
        <v/>
      </c>
      <c r="BQ243" s="268"/>
      <c r="BR243" s="258" t="str">
        <f t="shared" si="122"/>
        <v/>
      </c>
      <c r="BS243" s="268"/>
      <c r="BT243" s="256" t="str">
        <f t="shared" si="123"/>
        <v/>
      </c>
      <c r="BU243" s="256" t="str">
        <f t="shared" si="124"/>
        <v/>
      </c>
      <c r="BV243" s="256" t="str">
        <f t="shared" si="125"/>
        <v/>
      </c>
      <c r="BW243" s="267"/>
      <c r="BX243" s="256" t="str">
        <f t="shared" si="126"/>
        <v/>
      </c>
      <c r="BY243" s="256" t="str">
        <f t="shared" si="127"/>
        <v/>
      </c>
      <c r="BZ243" s="281"/>
      <c r="CA243" s="282"/>
      <c r="CC243" s="112" t="str">
        <f t="shared" ca="1" si="128"/>
        <v/>
      </c>
      <c r="CF243" s="284"/>
      <c r="CG243" s="284"/>
      <c r="CH243" s="284"/>
      <c r="CI243" s="284"/>
      <c r="CL243" s="356" t="str">
        <f>IFERROR(VLOOKUP(C243,'Data Sheet'!$A$3:$B$26,2,FALSE),"")</f>
        <v/>
      </c>
    </row>
    <row r="244" spans="1:90" s="98" customFormat="1" ht="15.75" x14ac:dyDescent="0.2">
      <c r="A244" s="97"/>
      <c r="B244" s="105" t="str">
        <f t="shared" si="131"/>
        <v>--</v>
      </c>
      <c r="C244" s="276"/>
      <c r="D244" s="101" t="str">
        <f>IFERROR(IF(VLOOKUP(C244,'Data Sheet'!$A$3:$D$26,4,FALSE)=0,"",VLOOKUP(C244,'Data Sheet'!$A$3:$D$26,4,FALSE)),"")</f>
        <v/>
      </c>
      <c r="E244" s="279"/>
      <c r="F244" s="103" t="str">
        <f>IFERROR(IF(VLOOKUP(E244,'Data Sheet'!$C$29:$E$174,3,FALSE)=0,"",VLOOKUP(E244,'Data Sheet'!$C$29:$E$174,3,FALSE)),"")</f>
        <v/>
      </c>
      <c r="G244" s="106" t="str">
        <f t="shared" si="129"/>
        <v>-</v>
      </c>
      <c r="H244" s="273"/>
      <c r="I244" s="107"/>
      <c r="J244" s="249" t="e">
        <f t="shared" si="130"/>
        <v>#VALUE!</v>
      </c>
      <c r="K244" s="101" t="str">
        <f>IFERROR(INDEX('Data Sheet'!$C$198:$C$275,MATCH(I244,'Data Sheet'!$F$198:$F$275,0)),"")</f>
        <v/>
      </c>
      <c r="L244" s="250" t="str">
        <f>IFERROR(INDEX('Data Sheet'!$G$198:$G$275,MATCH(I244,'Data Sheet'!$F$198:$F$275,0)),"")</f>
        <v/>
      </c>
      <c r="M244" s="194"/>
      <c r="N244" s="248"/>
      <c r="O244" s="248"/>
      <c r="P244" s="108" t="str">
        <f>IFERROR(INDEX(Setup!$D$44:$D$70,MATCH(M244,Setup!$K$44:$K$70,0))&amp;"","")</f>
        <v/>
      </c>
      <c r="Q244" s="108" t="str">
        <f>IFERROR(INDEX(Setup!$E$44:$E$70,MATCH(M244,Setup!$K$44:$K$70,0))&amp;"","")</f>
        <v/>
      </c>
      <c r="R244" s="108" t="str">
        <f>IFERROR(INDEX(Setup!$L$44:$L$70,MATCH(M244,Setup!$K$44:$K$70,0))&amp;"","")</f>
        <v/>
      </c>
      <c r="S244" s="108" t="str">
        <f>Setup!$C$30</f>
        <v>USD</v>
      </c>
      <c r="T244" s="109" t="str">
        <f>IFERROR(INDEX('Data Sheet'!$B$198:$B$275,MATCH(I244,'Data Sheet'!$F$198:$F$275,0)),"")</f>
        <v/>
      </c>
      <c r="U244" s="110" t="str">
        <f>IFERROR(INDEX('Data Sheet'!$D$198:$D$275,MATCH(I244,'Data Sheet'!$F$198:$F$275,0)),"")</f>
        <v/>
      </c>
      <c r="V244" s="99"/>
      <c r="W244" s="195" t="str">
        <f>IF(V244=Setup!$C$30,"Grant",IF(V244=Setup!$C$31,"Local",IF(V244=Setup!$C$32,"Other",IF(ISBLANK(V244),"","Other"))))</f>
        <v/>
      </c>
      <c r="X244" s="255"/>
      <c r="Y244" s="259" t="str">
        <f>IF(X244&lt;&gt;"",X244/VLOOKUP($V244,Setup!$C$30:$D$41,2,0),"")</f>
        <v/>
      </c>
      <c r="Z244" s="262"/>
      <c r="AA244" s="256" t="str">
        <f t="shared" si="102"/>
        <v/>
      </c>
      <c r="AB244" s="262"/>
      <c r="AC244" s="258" t="str">
        <f t="shared" si="103"/>
        <v/>
      </c>
      <c r="AD244" s="262"/>
      <c r="AE244" s="258" t="str">
        <f t="shared" si="104"/>
        <v/>
      </c>
      <c r="AF244" s="262"/>
      <c r="AG244" s="256" t="str">
        <f t="shared" si="105"/>
        <v/>
      </c>
      <c r="AH244" s="256" t="str">
        <f t="shared" si="106"/>
        <v/>
      </c>
      <c r="AI244" s="256" t="str">
        <f t="shared" si="107"/>
        <v/>
      </c>
      <c r="AJ244" s="111"/>
      <c r="AK244" s="255"/>
      <c r="AL244" s="259" t="str">
        <f>IF(AK244&lt;&gt;"",AK244/VLOOKUP($V244,Setup!$C$30:$D$41,2,0),"")</f>
        <v/>
      </c>
      <c r="AM244" s="266"/>
      <c r="AN244" s="258" t="str">
        <f t="shared" si="108"/>
        <v/>
      </c>
      <c r="AO244" s="266"/>
      <c r="AP244" s="258" t="str">
        <f t="shared" si="109"/>
        <v/>
      </c>
      <c r="AQ244" s="266"/>
      <c r="AR244" s="258" t="str">
        <f t="shared" si="110"/>
        <v/>
      </c>
      <c r="AS244" s="266"/>
      <c r="AT244" s="256" t="str">
        <f t="shared" si="111"/>
        <v/>
      </c>
      <c r="AU244" s="256" t="str">
        <f t="shared" si="112"/>
        <v/>
      </c>
      <c r="AV244" s="256" t="str">
        <f t="shared" si="113"/>
        <v/>
      </c>
      <c r="AW244" s="267"/>
      <c r="AX244" s="255"/>
      <c r="AY244" s="259" t="str">
        <f>IF(AX244&lt;&gt;"",AX244/VLOOKUP($V244,Setup!$C$30:$D$41,2,0),"")</f>
        <v/>
      </c>
      <c r="AZ244" s="268"/>
      <c r="BA244" s="258" t="str">
        <f t="shared" si="114"/>
        <v/>
      </c>
      <c r="BB244" s="268"/>
      <c r="BC244" s="258" t="str">
        <f t="shared" si="115"/>
        <v/>
      </c>
      <c r="BD244" s="268"/>
      <c r="BE244" s="258" t="str">
        <f t="shared" si="116"/>
        <v/>
      </c>
      <c r="BF244" s="268"/>
      <c r="BG244" s="256" t="str">
        <f t="shared" si="117"/>
        <v/>
      </c>
      <c r="BH244" s="256" t="str">
        <f t="shared" si="118"/>
        <v/>
      </c>
      <c r="BI244" s="256" t="str">
        <f t="shared" si="119"/>
        <v/>
      </c>
      <c r="BJ244" s="267"/>
      <c r="BK244" s="255"/>
      <c r="BL244" s="259" t="str">
        <f>IF(BK244&lt;&gt;"",BK244/VLOOKUP($V244,Setup!$C$30:$D$41,2,0),"")</f>
        <v/>
      </c>
      <c r="BM244" s="268"/>
      <c r="BN244" s="258" t="str">
        <f t="shared" si="120"/>
        <v/>
      </c>
      <c r="BO244" s="268"/>
      <c r="BP244" s="258" t="str">
        <f t="shared" si="121"/>
        <v/>
      </c>
      <c r="BQ244" s="268"/>
      <c r="BR244" s="258" t="str">
        <f t="shared" si="122"/>
        <v/>
      </c>
      <c r="BS244" s="268"/>
      <c r="BT244" s="256" t="str">
        <f t="shared" si="123"/>
        <v/>
      </c>
      <c r="BU244" s="256" t="str">
        <f t="shared" si="124"/>
        <v/>
      </c>
      <c r="BV244" s="256" t="str">
        <f t="shared" si="125"/>
        <v/>
      </c>
      <c r="BW244" s="267"/>
      <c r="BX244" s="256" t="str">
        <f t="shared" si="126"/>
        <v/>
      </c>
      <c r="BY244" s="256" t="str">
        <f t="shared" si="127"/>
        <v/>
      </c>
      <c r="BZ244" s="281"/>
      <c r="CA244" s="282"/>
      <c r="CC244" s="112" t="str">
        <f t="shared" ca="1" si="128"/>
        <v/>
      </c>
      <c r="CF244" s="284"/>
      <c r="CG244" s="284"/>
      <c r="CH244" s="284"/>
      <c r="CI244" s="284"/>
      <c r="CL244" s="356" t="str">
        <f>IFERROR(VLOOKUP(C244,'Data Sheet'!$A$3:$B$26,2,FALSE),"")</f>
        <v/>
      </c>
    </row>
    <row r="245" spans="1:90" s="98" customFormat="1" ht="15.75" x14ac:dyDescent="0.2">
      <c r="A245" s="97"/>
      <c r="B245" s="105" t="str">
        <f t="shared" si="131"/>
        <v>--</v>
      </c>
      <c r="C245" s="276"/>
      <c r="D245" s="101" t="str">
        <f>IFERROR(IF(VLOOKUP(C245,'Data Sheet'!$A$3:$D$26,4,FALSE)=0,"",VLOOKUP(C245,'Data Sheet'!$A$3:$D$26,4,FALSE)),"")</f>
        <v/>
      </c>
      <c r="E245" s="279"/>
      <c r="F245" s="103" t="str">
        <f>IFERROR(IF(VLOOKUP(E245,'Data Sheet'!$C$29:$E$174,3,FALSE)=0,"",VLOOKUP(E245,'Data Sheet'!$C$29:$E$174,3,FALSE)),"")</f>
        <v/>
      </c>
      <c r="G245" s="106" t="str">
        <f t="shared" si="129"/>
        <v>-</v>
      </c>
      <c r="H245" s="273"/>
      <c r="I245" s="107"/>
      <c r="J245" s="249" t="e">
        <f t="shared" si="130"/>
        <v>#VALUE!</v>
      </c>
      <c r="K245" s="101" t="str">
        <f>IFERROR(INDEX('Data Sheet'!$C$198:$C$275,MATCH(I245,'Data Sheet'!$F$198:$F$275,0)),"")</f>
        <v/>
      </c>
      <c r="L245" s="250" t="str">
        <f>IFERROR(INDEX('Data Sheet'!$G$198:$G$275,MATCH(I245,'Data Sheet'!$F$198:$F$275,0)),"")</f>
        <v/>
      </c>
      <c r="M245" s="194"/>
      <c r="N245" s="248"/>
      <c r="O245" s="248"/>
      <c r="P245" s="108" t="str">
        <f>IFERROR(INDEX(Setup!$D$44:$D$70,MATCH(M245,Setup!$K$44:$K$70,0))&amp;"","")</f>
        <v/>
      </c>
      <c r="Q245" s="108" t="str">
        <f>IFERROR(INDEX(Setup!$E$44:$E$70,MATCH(M245,Setup!$K$44:$K$70,0))&amp;"","")</f>
        <v/>
      </c>
      <c r="R245" s="108" t="str">
        <f>IFERROR(INDEX(Setup!$L$44:$L$70,MATCH(M245,Setup!$K$44:$K$70,0))&amp;"","")</f>
        <v/>
      </c>
      <c r="S245" s="108" t="str">
        <f>Setup!$C$30</f>
        <v>USD</v>
      </c>
      <c r="T245" s="109" t="str">
        <f>IFERROR(INDEX('Data Sheet'!$B$198:$B$275,MATCH(I245,'Data Sheet'!$F$198:$F$275,0)),"")</f>
        <v/>
      </c>
      <c r="U245" s="110" t="str">
        <f>IFERROR(INDEX('Data Sheet'!$D$198:$D$275,MATCH(I245,'Data Sheet'!$F$198:$F$275,0)),"")</f>
        <v/>
      </c>
      <c r="V245" s="99"/>
      <c r="W245" s="195" t="str">
        <f>IF(V245=Setup!$C$30,"Grant",IF(V245=Setup!$C$31,"Local",IF(V245=Setup!$C$32,"Other",IF(ISBLANK(V245),"","Other"))))</f>
        <v/>
      </c>
      <c r="X245" s="255"/>
      <c r="Y245" s="259" t="str">
        <f>IF(X245&lt;&gt;"",X245/VLOOKUP($V245,Setup!$C$30:$D$41,2,0),"")</f>
        <v/>
      </c>
      <c r="Z245" s="262"/>
      <c r="AA245" s="256" t="str">
        <f t="shared" si="102"/>
        <v/>
      </c>
      <c r="AB245" s="262"/>
      <c r="AC245" s="258" t="str">
        <f t="shared" si="103"/>
        <v/>
      </c>
      <c r="AD245" s="262"/>
      <c r="AE245" s="258" t="str">
        <f t="shared" si="104"/>
        <v/>
      </c>
      <c r="AF245" s="262"/>
      <c r="AG245" s="256" t="str">
        <f t="shared" si="105"/>
        <v/>
      </c>
      <c r="AH245" s="256" t="str">
        <f t="shared" si="106"/>
        <v/>
      </c>
      <c r="AI245" s="256" t="str">
        <f t="shared" si="107"/>
        <v/>
      </c>
      <c r="AJ245" s="111"/>
      <c r="AK245" s="255"/>
      <c r="AL245" s="259" t="str">
        <f>IF(AK245&lt;&gt;"",AK245/VLOOKUP($V245,Setup!$C$30:$D$41,2,0),"")</f>
        <v/>
      </c>
      <c r="AM245" s="266"/>
      <c r="AN245" s="258" t="str">
        <f t="shared" si="108"/>
        <v/>
      </c>
      <c r="AO245" s="266"/>
      <c r="AP245" s="258" t="str">
        <f t="shared" si="109"/>
        <v/>
      </c>
      <c r="AQ245" s="266"/>
      <c r="AR245" s="258" t="str">
        <f t="shared" si="110"/>
        <v/>
      </c>
      <c r="AS245" s="266"/>
      <c r="AT245" s="256" t="str">
        <f t="shared" si="111"/>
        <v/>
      </c>
      <c r="AU245" s="256" t="str">
        <f t="shared" si="112"/>
        <v/>
      </c>
      <c r="AV245" s="256" t="str">
        <f t="shared" si="113"/>
        <v/>
      </c>
      <c r="AW245" s="267"/>
      <c r="AX245" s="255"/>
      <c r="AY245" s="259" t="str">
        <f>IF(AX245&lt;&gt;"",AX245/VLOOKUP($V245,Setup!$C$30:$D$41,2,0),"")</f>
        <v/>
      </c>
      <c r="AZ245" s="268"/>
      <c r="BA245" s="258" t="str">
        <f t="shared" si="114"/>
        <v/>
      </c>
      <c r="BB245" s="268"/>
      <c r="BC245" s="258" t="str">
        <f t="shared" si="115"/>
        <v/>
      </c>
      <c r="BD245" s="268"/>
      <c r="BE245" s="258" t="str">
        <f t="shared" si="116"/>
        <v/>
      </c>
      <c r="BF245" s="268"/>
      <c r="BG245" s="256" t="str">
        <f t="shared" si="117"/>
        <v/>
      </c>
      <c r="BH245" s="256" t="str">
        <f t="shared" si="118"/>
        <v/>
      </c>
      <c r="BI245" s="256" t="str">
        <f t="shared" si="119"/>
        <v/>
      </c>
      <c r="BJ245" s="267"/>
      <c r="BK245" s="255"/>
      <c r="BL245" s="259" t="str">
        <f>IF(BK245&lt;&gt;"",BK245/VLOOKUP($V245,Setup!$C$30:$D$41,2,0),"")</f>
        <v/>
      </c>
      <c r="BM245" s="268"/>
      <c r="BN245" s="258" t="str">
        <f t="shared" si="120"/>
        <v/>
      </c>
      <c r="BO245" s="268"/>
      <c r="BP245" s="258" t="str">
        <f t="shared" si="121"/>
        <v/>
      </c>
      <c r="BQ245" s="268"/>
      <c r="BR245" s="258" t="str">
        <f t="shared" si="122"/>
        <v/>
      </c>
      <c r="BS245" s="268"/>
      <c r="BT245" s="256" t="str">
        <f t="shared" si="123"/>
        <v/>
      </c>
      <c r="BU245" s="256" t="str">
        <f t="shared" si="124"/>
        <v/>
      </c>
      <c r="BV245" s="256" t="str">
        <f t="shared" si="125"/>
        <v/>
      </c>
      <c r="BW245" s="267"/>
      <c r="BX245" s="256" t="str">
        <f t="shared" si="126"/>
        <v/>
      </c>
      <c r="BY245" s="256" t="str">
        <f t="shared" si="127"/>
        <v/>
      </c>
      <c r="BZ245" s="281"/>
      <c r="CA245" s="282"/>
      <c r="CC245" s="112" t="str">
        <f t="shared" ca="1" si="128"/>
        <v/>
      </c>
      <c r="CF245" s="284"/>
      <c r="CG245" s="284"/>
      <c r="CH245" s="284"/>
      <c r="CI245" s="284"/>
      <c r="CL245" s="356" t="str">
        <f>IFERROR(VLOOKUP(C245,'Data Sheet'!$A$3:$B$26,2,FALSE),"")</f>
        <v/>
      </c>
    </row>
    <row r="246" spans="1:90" s="98" customFormat="1" ht="15.75" x14ac:dyDescent="0.2">
      <c r="A246" s="97"/>
      <c r="B246" s="105" t="str">
        <f t="shared" si="131"/>
        <v>--</v>
      </c>
      <c r="C246" s="276"/>
      <c r="D246" s="101" t="str">
        <f>IFERROR(IF(VLOOKUP(C246,'Data Sheet'!$A$3:$D$26,4,FALSE)=0,"",VLOOKUP(C246,'Data Sheet'!$A$3:$D$26,4,FALSE)),"")</f>
        <v/>
      </c>
      <c r="E246" s="279"/>
      <c r="F246" s="103" t="str">
        <f>IFERROR(IF(VLOOKUP(E246,'Data Sheet'!$C$29:$E$174,3,FALSE)=0,"",VLOOKUP(E246,'Data Sheet'!$C$29:$E$174,3,FALSE)),"")</f>
        <v/>
      </c>
      <c r="G246" s="106" t="str">
        <f t="shared" si="129"/>
        <v>-</v>
      </c>
      <c r="H246" s="273"/>
      <c r="I246" s="107"/>
      <c r="J246" s="249" t="e">
        <f t="shared" si="130"/>
        <v>#VALUE!</v>
      </c>
      <c r="K246" s="101" t="str">
        <f>IFERROR(INDEX('Data Sheet'!$C$198:$C$275,MATCH(I246,'Data Sheet'!$F$198:$F$275,0)),"")</f>
        <v/>
      </c>
      <c r="L246" s="250" t="str">
        <f>IFERROR(INDEX('Data Sheet'!$G$198:$G$275,MATCH(I246,'Data Sheet'!$F$198:$F$275,0)),"")</f>
        <v/>
      </c>
      <c r="M246" s="194"/>
      <c r="N246" s="248"/>
      <c r="O246" s="248"/>
      <c r="P246" s="108" t="str">
        <f>IFERROR(INDEX(Setup!$D$44:$D$70,MATCH(M246,Setup!$K$44:$K$70,0))&amp;"","")</f>
        <v/>
      </c>
      <c r="Q246" s="108" t="str">
        <f>IFERROR(INDEX(Setup!$E$44:$E$70,MATCH(M246,Setup!$K$44:$K$70,0))&amp;"","")</f>
        <v/>
      </c>
      <c r="R246" s="108" t="str">
        <f>IFERROR(INDEX(Setup!$L$44:$L$70,MATCH(M246,Setup!$K$44:$K$70,0))&amp;"","")</f>
        <v/>
      </c>
      <c r="S246" s="108" t="str">
        <f>Setup!$C$30</f>
        <v>USD</v>
      </c>
      <c r="T246" s="109" t="str">
        <f>IFERROR(INDEX('Data Sheet'!$B$198:$B$275,MATCH(I246,'Data Sheet'!$F$198:$F$275,0)),"")</f>
        <v/>
      </c>
      <c r="U246" s="110" t="str">
        <f>IFERROR(INDEX('Data Sheet'!$D$198:$D$275,MATCH(I246,'Data Sheet'!$F$198:$F$275,0)),"")</f>
        <v/>
      </c>
      <c r="V246" s="99"/>
      <c r="W246" s="195" t="str">
        <f>IF(V246=Setup!$C$30,"Grant",IF(V246=Setup!$C$31,"Local",IF(V246=Setup!$C$32,"Other",IF(ISBLANK(V246),"","Other"))))</f>
        <v/>
      </c>
      <c r="X246" s="255"/>
      <c r="Y246" s="259" t="str">
        <f>IF(X246&lt;&gt;"",X246/VLOOKUP($V246,Setup!$C$30:$D$41,2,0),"")</f>
        <v/>
      </c>
      <c r="Z246" s="262"/>
      <c r="AA246" s="256" t="str">
        <f t="shared" si="102"/>
        <v/>
      </c>
      <c r="AB246" s="262"/>
      <c r="AC246" s="258" t="str">
        <f t="shared" si="103"/>
        <v/>
      </c>
      <c r="AD246" s="262"/>
      <c r="AE246" s="258" t="str">
        <f t="shared" si="104"/>
        <v/>
      </c>
      <c r="AF246" s="262"/>
      <c r="AG246" s="256" t="str">
        <f t="shared" si="105"/>
        <v/>
      </c>
      <c r="AH246" s="256" t="str">
        <f t="shared" si="106"/>
        <v/>
      </c>
      <c r="AI246" s="256" t="str">
        <f t="shared" si="107"/>
        <v/>
      </c>
      <c r="AJ246" s="111"/>
      <c r="AK246" s="255"/>
      <c r="AL246" s="259" t="str">
        <f>IF(AK246&lt;&gt;"",AK246/VLOOKUP($V246,Setup!$C$30:$D$41,2,0),"")</f>
        <v/>
      </c>
      <c r="AM246" s="266"/>
      <c r="AN246" s="258" t="str">
        <f t="shared" si="108"/>
        <v/>
      </c>
      <c r="AO246" s="266"/>
      <c r="AP246" s="258" t="str">
        <f t="shared" si="109"/>
        <v/>
      </c>
      <c r="AQ246" s="266"/>
      <c r="AR246" s="258" t="str">
        <f t="shared" si="110"/>
        <v/>
      </c>
      <c r="AS246" s="266"/>
      <c r="AT246" s="256" t="str">
        <f t="shared" si="111"/>
        <v/>
      </c>
      <c r="AU246" s="256" t="str">
        <f t="shared" si="112"/>
        <v/>
      </c>
      <c r="AV246" s="256" t="str">
        <f t="shared" si="113"/>
        <v/>
      </c>
      <c r="AW246" s="267"/>
      <c r="AX246" s="255"/>
      <c r="AY246" s="259" t="str">
        <f>IF(AX246&lt;&gt;"",AX246/VLOOKUP($V246,Setup!$C$30:$D$41,2,0),"")</f>
        <v/>
      </c>
      <c r="AZ246" s="268"/>
      <c r="BA246" s="258" t="str">
        <f t="shared" si="114"/>
        <v/>
      </c>
      <c r="BB246" s="268"/>
      <c r="BC246" s="258" t="str">
        <f t="shared" si="115"/>
        <v/>
      </c>
      <c r="BD246" s="268"/>
      <c r="BE246" s="258" t="str">
        <f t="shared" si="116"/>
        <v/>
      </c>
      <c r="BF246" s="268"/>
      <c r="BG246" s="256" t="str">
        <f t="shared" si="117"/>
        <v/>
      </c>
      <c r="BH246" s="256" t="str">
        <f t="shared" si="118"/>
        <v/>
      </c>
      <c r="BI246" s="256" t="str">
        <f t="shared" si="119"/>
        <v/>
      </c>
      <c r="BJ246" s="267"/>
      <c r="BK246" s="255"/>
      <c r="BL246" s="259" t="str">
        <f>IF(BK246&lt;&gt;"",BK246/VLOOKUP($V246,Setup!$C$30:$D$41,2,0),"")</f>
        <v/>
      </c>
      <c r="BM246" s="268"/>
      <c r="BN246" s="258" t="str">
        <f t="shared" si="120"/>
        <v/>
      </c>
      <c r="BO246" s="268"/>
      <c r="BP246" s="258" t="str">
        <f t="shared" si="121"/>
        <v/>
      </c>
      <c r="BQ246" s="268"/>
      <c r="BR246" s="258" t="str">
        <f t="shared" si="122"/>
        <v/>
      </c>
      <c r="BS246" s="268"/>
      <c r="BT246" s="256" t="str">
        <f t="shared" si="123"/>
        <v/>
      </c>
      <c r="BU246" s="256" t="str">
        <f t="shared" si="124"/>
        <v/>
      </c>
      <c r="BV246" s="256" t="str">
        <f t="shared" si="125"/>
        <v/>
      </c>
      <c r="BW246" s="267"/>
      <c r="BX246" s="256" t="str">
        <f t="shared" si="126"/>
        <v/>
      </c>
      <c r="BY246" s="256" t="str">
        <f t="shared" si="127"/>
        <v/>
      </c>
      <c r="BZ246" s="281"/>
      <c r="CA246" s="282"/>
      <c r="CC246" s="112" t="str">
        <f t="shared" ca="1" si="128"/>
        <v/>
      </c>
      <c r="CF246" s="284"/>
      <c r="CG246" s="284"/>
      <c r="CH246" s="284"/>
      <c r="CI246" s="284"/>
      <c r="CL246" s="356" t="str">
        <f>IFERROR(VLOOKUP(C246,'Data Sheet'!$A$3:$B$26,2,FALSE),"")</f>
        <v/>
      </c>
    </row>
    <row r="247" spans="1:90" s="98" customFormat="1" ht="15.75" x14ac:dyDescent="0.2">
      <c r="A247" s="97"/>
      <c r="B247" s="105" t="str">
        <f t="shared" si="131"/>
        <v>--</v>
      </c>
      <c r="C247" s="276"/>
      <c r="D247" s="101" t="str">
        <f>IFERROR(IF(VLOOKUP(C247,'Data Sheet'!$A$3:$D$26,4,FALSE)=0,"",VLOOKUP(C247,'Data Sheet'!$A$3:$D$26,4,FALSE)),"")</f>
        <v/>
      </c>
      <c r="E247" s="279"/>
      <c r="F247" s="103" t="str">
        <f>IFERROR(IF(VLOOKUP(E247,'Data Sheet'!$C$29:$E$174,3,FALSE)=0,"",VLOOKUP(E247,'Data Sheet'!$C$29:$E$174,3,FALSE)),"")</f>
        <v/>
      </c>
      <c r="G247" s="106" t="str">
        <f t="shared" si="129"/>
        <v>-</v>
      </c>
      <c r="H247" s="273"/>
      <c r="I247" s="107"/>
      <c r="J247" s="249" t="e">
        <f t="shared" si="130"/>
        <v>#VALUE!</v>
      </c>
      <c r="K247" s="101" t="str">
        <f>IFERROR(INDEX('Data Sheet'!$C$198:$C$275,MATCH(I247,'Data Sheet'!$F$198:$F$275,0)),"")</f>
        <v/>
      </c>
      <c r="L247" s="250" t="str">
        <f>IFERROR(INDEX('Data Sheet'!$G$198:$G$275,MATCH(I247,'Data Sheet'!$F$198:$F$275,0)),"")</f>
        <v/>
      </c>
      <c r="M247" s="194"/>
      <c r="N247" s="248"/>
      <c r="O247" s="248"/>
      <c r="P247" s="108" t="str">
        <f>IFERROR(INDEX(Setup!$D$44:$D$70,MATCH(M247,Setup!$K$44:$K$70,0))&amp;"","")</f>
        <v/>
      </c>
      <c r="Q247" s="108" t="str">
        <f>IFERROR(INDEX(Setup!$E$44:$E$70,MATCH(M247,Setup!$K$44:$K$70,0))&amp;"","")</f>
        <v/>
      </c>
      <c r="R247" s="108" t="str">
        <f>IFERROR(INDEX(Setup!$L$44:$L$70,MATCH(M247,Setup!$K$44:$K$70,0))&amp;"","")</f>
        <v/>
      </c>
      <c r="S247" s="108" t="str">
        <f>Setup!$C$30</f>
        <v>USD</v>
      </c>
      <c r="T247" s="109" t="str">
        <f>IFERROR(INDEX('Data Sheet'!$B$198:$B$275,MATCH(I247,'Data Sheet'!$F$198:$F$275,0)),"")</f>
        <v/>
      </c>
      <c r="U247" s="110" t="str">
        <f>IFERROR(INDEX('Data Sheet'!$D$198:$D$275,MATCH(I247,'Data Sheet'!$F$198:$F$275,0)),"")</f>
        <v/>
      </c>
      <c r="V247" s="99"/>
      <c r="W247" s="195" t="str">
        <f>IF(V247=Setup!$C$30,"Grant",IF(V247=Setup!$C$31,"Local",IF(V247=Setup!$C$32,"Other",IF(ISBLANK(V247),"","Other"))))</f>
        <v/>
      </c>
      <c r="X247" s="255"/>
      <c r="Y247" s="259" t="str">
        <f>IF(X247&lt;&gt;"",X247/VLOOKUP($V247,Setup!$C$30:$D$41,2,0),"")</f>
        <v/>
      </c>
      <c r="Z247" s="262"/>
      <c r="AA247" s="256" t="str">
        <f t="shared" si="102"/>
        <v/>
      </c>
      <c r="AB247" s="262"/>
      <c r="AC247" s="258" t="str">
        <f t="shared" si="103"/>
        <v/>
      </c>
      <c r="AD247" s="262"/>
      <c r="AE247" s="258" t="str">
        <f t="shared" si="104"/>
        <v/>
      </c>
      <c r="AF247" s="262"/>
      <c r="AG247" s="256" t="str">
        <f t="shared" si="105"/>
        <v/>
      </c>
      <c r="AH247" s="256" t="str">
        <f t="shared" si="106"/>
        <v/>
      </c>
      <c r="AI247" s="256" t="str">
        <f t="shared" si="107"/>
        <v/>
      </c>
      <c r="AJ247" s="111"/>
      <c r="AK247" s="255"/>
      <c r="AL247" s="259" t="str">
        <f>IF(AK247&lt;&gt;"",AK247/VLOOKUP($V247,Setup!$C$30:$D$41,2,0),"")</f>
        <v/>
      </c>
      <c r="AM247" s="266"/>
      <c r="AN247" s="258" t="str">
        <f t="shared" si="108"/>
        <v/>
      </c>
      <c r="AO247" s="266"/>
      <c r="AP247" s="258" t="str">
        <f t="shared" si="109"/>
        <v/>
      </c>
      <c r="AQ247" s="266"/>
      <c r="AR247" s="258" t="str">
        <f t="shared" si="110"/>
        <v/>
      </c>
      <c r="AS247" s="266"/>
      <c r="AT247" s="256" t="str">
        <f t="shared" si="111"/>
        <v/>
      </c>
      <c r="AU247" s="256" t="str">
        <f t="shared" si="112"/>
        <v/>
      </c>
      <c r="AV247" s="256" t="str">
        <f t="shared" si="113"/>
        <v/>
      </c>
      <c r="AW247" s="267"/>
      <c r="AX247" s="255"/>
      <c r="AY247" s="259" t="str">
        <f>IF(AX247&lt;&gt;"",AX247/VLOOKUP($V247,Setup!$C$30:$D$41,2,0),"")</f>
        <v/>
      </c>
      <c r="AZ247" s="268"/>
      <c r="BA247" s="258" t="str">
        <f t="shared" si="114"/>
        <v/>
      </c>
      <c r="BB247" s="268"/>
      <c r="BC247" s="258" t="str">
        <f t="shared" si="115"/>
        <v/>
      </c>
      <c r="BD247" s="268"/>
      <c r="BE247" s="258" t="str">
        <f t="shared" si="116"/>
        <v/>
      </c>
      <c r="BF247" s="268"/>
      <c r="BG247" s="256" t="str">
        <f t="shared" si="117"/>
        <v/>
      </c>
      <c r="BH247" s="256" t="str">
        <f t="shared" si="118"/>
        <v/>
      </c>
      <c r="BI247" s="256" t="str">
        <f t="shared" si="119"/>
        <v/>
      </c>
      <c r="BJ247" s="267"/>
      <c r="BK247" s="255"/>
      <c r="BL247" s="259" t="str">
        <f>IF(BK247&lt;&gt;"",BK247/VLOOKUP($V247,Setup!$C$30:$D$41,2,0),"")</f>
        <v/>
      </c>
      <c r="BM247" s="268"/>
      <c r="BN247" s="258" t="str">
        <f t="shared" si="120"/>
        <v/>
      </c>
      <c r="BO247" s="268"/>
      <c r="BP247" s="258" t="str">
        <f t="shared" si="121"/>
        <v/>
      </c>
      <c r="BQ247" s="268"/>
      <c r="BR247" s="258" t="str">
        <f t="shared" si="122"/>
        <v/>
      </c>
      <c r="BS247" s="268"/>
      <c r="BT247" s="256" t="str">
        <f t="shared" si="123"/>
        <v/>
      </c>
      <c r="BU247" s="256" t="str">
        <f t="shared" si="124"/>
        <v/>
      </c>
      <c r="BV247" s="256" t="str">
        <f t="shared" si="125"/>
        <v/>
      </c>
      <c r="BW247" s="267"/>
      <c r="BX247" s="256" t="str">
        <f t="shared" si="126"/>
        <v/>
      </c>
      <c r="BY247" s="256" t="str">
        <f t="shared" si="127"/>
        <v/>
      </c>
      <c r="BZ247" s="281"/>
      <c r="CA247" s="282"/>
      <c r="CC247" s="112" t="str">
        <f t="shared" ca="1" si="128"/>
        <v/>
      </c>
      <c r="CF247" s="284"/>
      <c r="CG247" s="284"/>
      <c r="CH247" s="284"/>
      <c r="CI247" s="284"/>
      <c r="CL247" s="356" t="str">
        <f>IFERROR(VLOOKUP(C247,'Data Sheet'!$A$3:$B$26,2,FALSE),"")</f>
        <v/>
      </c>
    </row>
    <row r="248" spans="1:90" s="98" customFormat="1" ht="15.75" x14ac:dyDescent="0.2">
      <c r="A248" s="97"/>
      <c r="B248" s="105" t="str">
        <f t="shared" si="131"/>
        <v>--</v>
      </c>
      <c r="C248" s="276"/>
      <c r="D248" s="101" t="str">
        <f>IFERROR(IF(VLOOKUP(C248,'Data Sheet'!$A$3:$D$26,4,FALSE)=0,"",VLOOKUP(C248,'Data Sheet'!$A$3:$D$26,4,FALSE)),"")</f>
        <v/>
      </c>
      <c r="E248" s="279"/>
      <c r="F248" s="103" t="str">
        <f>IFERROR(IF(VLOOKUP(E248,'Data Sheet'!$C$29:$E$174,3,FALSE)=0,"",VLOOKUP(E248,'Data Sheet'!$C$29:$E$174,3,FALSE)),"")</f>
        <v/>
      </c>
      <c r="G248" s="106" t="str">
        <f t="shared" si="129"/>
        <v>-</v>
      </c>
      <c r="H248" s="273"/>
      <c r="I248" s="107"/>
      <c r="J248" s="249" t="e">
        <f t="shared" si="130"/>
        <v>#VALUE!</v>
      </c>
      <c r="K248" s="101" t="str">
        <f>IFERROR(INDEX('Data Sheet'!$C$198:$C$275,MATCH(I248,'Data Sheet'!$F$198:$F$275,0)),"")</f>
        <v/>
      </c>
      <c r="L248" s="250" t="str">
        <f>IFERROR(INDEX('Data Sheet'!$G$198:$G$275,MATCH(I248,'Data Sheet'!$F$198:$F$275,0)),"")</f>
        <v/>
      </c>
      <c r="M248" s="194"/>
      <c r="N248" s="248"/>
      <c r="O248" s="248"/>
      <c r="P248" s="108" t="str">
        <f>IFERROR(INDEX(Setup!$D$44:$D$70,MATCH(M248,Setup!$K$44:$K$70,0))&amp;"","")</f>
        <v/>
      </c>
      <c r="Q248" s="108" t="str">
        <f>IFERROR(INDEX(Setup!$E$44:$E$70,MATCH(M248,Setup!$K$44:$K$70,0))&amp;"","")</f>
        <v/>
      </c>
      <c r="R248" s="108" t="str">
        <f>IFERROR(INDEX(Setup!$L$44:$L$70,MATCH(M248,Setup!$K$44:$K$70,0))&amp;"","")</f>
        <v/>
      </c>
      <c r="S248" s="108" t="str">
        <f>Setup!$C$30</f>
        <v>USD</v>
      </c>
      <c r="T248" s="109" t="str">
        <f>IFERROR(INDEX('Data Sheet'!$B$198:$B$275,MATCH(I248,'Data Sheet'!$F$198:$F$275,0)),"")</f>
        <v/>
      </c>
      <c r="U248" s="110" t="str">
        <f>IFERROR(INDEX('Data Sheet'!$D$198:$D$275,MATCH(I248,'Data Sheet'!$F$198:$F$275,0)),"")</f>
        <v/>
      </c>
      <c r="V248" s="99"/>
      <c r="W248" s="195" t="str">
        <f>IF(V248=Setup!$C$30,"Grant",IF(V248=Setup!$C$31,"Local",IF(V248=Setup!$C$32,"Other",IF(ISBLANK(V248),"","Other"))))</f>
        <v/>
      </c>
      <c r="X248" s="255"/>
      <c r="Y248" s="259" t="str">
        <f>IF(X248&lt;&gt;"",X248/VLOOKUP($V248,Setup!$C$30:$D$41,2,0),"")</f>
        <v/>
      </c>
      <c r="Z248" s="262"/>
      <c r="AA248" s="256" t="str">
        <f t="shared" si="102"/>
        <v/>
      </c>
      <c r="AB248" s="262"/>
      <c r="AC248" s="258" t="str">
        <f t="shared" si="103"/>
        <v/>
      </c>
      <c r="AD248" s="262"/>
      <c r="AE248" s="258" t="str">
        <f t="shared" si="104"/>
        <v/>
      </c>
      <c r="AF248" s="262"/>
      <c r="AG248" s="256" t="str">
        <f t="shared" si="105"/>
        <v/>
      </c>
      <c r="AH248" s="256" t="str">
        <f t="shared" si="106"/>
        <v/>
      </c>
      <c r="AI248" s="256" t="str">
        <f t="shared" si="107"/>
        <v/>
      </c>
      <c r="AJ248" s="111"/>
      <c r="AK248" s="255"/>
      <c r="AL248" s="259" t="str">
        <f>IF(AK248&lt;&gt;"",AK248/VLOOKUP($V248,Setup!$C$30:$D$41,2,0),"")</f>
        <v/>
      </c>
      <c r="AM248" s="266"/>
      <c r="AN248" s="258" t="str">
        <f t="shared" si="108"/>
        <v/>
      </c>
      <c r="AO248" s="266"/>
      <c r="AP248" s="258" t="str">
        <f t="shared" si="109"/>
        <v/>
      </c>
      <c r="AQ248" s="266"/>
      <c r="AR248" s="258" t="str">
        <f t="shared" si="110"/>
        <v/>
      </c>
      <c r="AS248" s="266"/>
      <c r="AT248" s="256" t="str">
        <f t="shared" si="111"/>
        <v/>
      </c>
      <c r="AU248" s="256" t="str">
        <f t="shared" si="112"/>
        <v/>
      </c>
      <c r="AV248" s="256" t="str">
        <f t="shared" si="113"/>
        <v/>
      </c>
      <c r="AW248" s="267"/>
      <c r="AX248" s="255"/>
      <c r="AY248" s="259" t="str">
        <f>IF(AX248&lt;&gt;"",AX248/VLOOKUP($V248,Setup!$C$30:$D$41,2,0),"")</f>
        <v/>
      </c>
      <c r="AZ248" s="268"/>
      <c r="BA248" s="258" t="str">
        <f t="shared" si="114"/>
        <v/>
      </c>
      <c r="BB248" s="268"/>
      <c r="BC248" s="258" t="str">
        <f t="shared" si="115"/>
        <v/>
      </c>
      <c r="BD248" s="268"/>
      <c r="BE248" s="258" t="str">
        <f t="shared" si="116"/>
        <v/>
      </c>
      <c r="BF248" s="268"/>
      <c r="BG248" s="256" t="str">
        <f t="shared" si="117"/>
        <v/>
      </c>
      <c r="BH248" s="256" t="str">
        <f t="shared" si="118"/>
        <v/>
      </c>
      <c r="BI248" s="256" t="str">
        <f t="shared" si="119"/>
        <v/>
      </c>
      <c r="BJ248" s="267"/>
      <c r="BK248" s="255"/>
      <c r="BL248" s="259" t="str">
        <f>IF(BK248&lt;&gt;"",BK248/VLOOKUP($V248,Setup!$C$30:$D$41,2,0),"")</f>
        <v/>
      </c>
      <c r="BM248" s="268"/>
      <c r="BN248" s="258" t="str">
        <f t="shared" si="120"/>
        <v/>
      </c>
      <c r="BO248" s="268"/>
      <c r="BP248" s="258" t="str">
        <f t="shared" si="121"/>
        <v/>
      </c>
      <c r="BQ248" s="268"/>
      <c r="BR248" s="258" t="str">
        <f t="shared" si="122"/>
        <v/>
      </c>
      <c r="BS248" s="268"/>
      <c r="BT248" s="256" t="str">
        <f t="shared" si="123"/>
        <v/>
      </c>
      <c r="BU248" s="256" t="str">
        <f t="shared" si="124"/>
        <v/>
      </c>
      <c r="BV248" s="256" t="str">
        <f t="shared" si="125"/>
        <v/>
      </c>
      <c r="BW248" s="267"/>
      <c r="BX248" s="256" t="str">
        <f t="shared" si="126"/>
        <v/>
      </c>
      <c r="BY248" s="256" t="str">
        <f t="shared" si="127"/>
        <v/>
      </c>
      <c r="BZ248" s="281"/>
      <c r="CA248" s="282"/>
      <c r="CC248" s="112" t="str">
        <f t="shared" ca="1" si="128"/>
        <v/>
      </c>
      <c r="CF248" s="284"/>
      <c r="CG248" s="284"/>
      <c r="CH248" s="284"/>
      <c r="CI248" s="284"/>
      <c r="CL248" s="356" t="str">
        <f>IFERROR(VLOOKUP(C248,'Data Sheet'!$A$3:$B$26,2,FALSE),"")</f>
        <v/>
      </c>
    </row>
    <row r="249" spans="1:90" s="98" customFormat="1" ht="15.75" x14ac:dyDescent="0.2">
      <c r="A249" s="97"/>
      <c r="B249" s="105" t="str">
        <f t="shared" si="131"/>
        <v>--</v>
      </c>
      <c r="C249" s="276"/>
      <c r="D249" s="101" t="str">
        <f>IFERROR(IF(VLOOKUP(C249,'Data Sheet'!$A$3:$D$26,4,FALSE)=0,"",VLOOKUP(C249,'Data Sheet'!$A$3:$D$26,4,FALSE)),"")</f>
        <v/>
      </c>
      <c r="E249" s="279"/>
      <c r="F249" s="103" t="str">
        <f>IFERROR(IF(VLOOKUP(E249,'Data Sheet'!$C$29:$E$174,3,FALSE)=0,"",VLOOKUP(E249,'Data Sheet'!$C$29:$E$174,3,FALSE)),"")</f>
        <v/>
      </c>
      <c r="G249" s="106" t="str">
        <f t="shared" si="129"/>
        <v>-</v>
      </c>
      <c r="H249" s="273"/>
      <c r="I249" s="107"/>
      <c r="J249" s="249" t="e">
        <f t="shared" si="130"/>
        <v>#VALUE!</v>
      </c>
      <c r="K249" s="101" t="str">
        <f>IFERROR(INDEX('Data Sheet'!$C$198:$C$275,MATCH(I249,'Data Sheet'!$F$198:$F$275,0)),"")</f>
        <v/>
      </c>
      <c r="L249" s="250" t="str">
        <f>IFERROR(INDEX('Data Sheet'!$G$198:$G$275,MATCH(I249,'Data Sheet'!$F$198:$F$275,0)),"")</f>
        <v/>
      </c>
      <c r="M249" s="194"/>
      <c r="N249" s="248"/>
      <c r="O249" s="248"/>
      <c r="P249" s="108" t="str">
        <f>IFERROR(INDEX(Setup!$D$44:$D$70,MATCH(M249,Setup!$K$44:$K$70,0))&amp;"","")</f>
        <v/>
      </c>
      <c r="Q249" s="108" t="str">
        <f>IFERROR(INDEX(Setup!$E$44:$E$70,MATCH(M249,Setup!$K$44:$K$70,0))&amp;"","")</f>
        <v/>
      </c>
      <c r="R249" s="108" t="str">
        <f>IFERROR(INDEX(Setup!$L$44:$L$70,MATCH(M249,Setup!$K$44:$K$70,0))&amp;"","")</f>
        <v/>
      </c>
      <c r="S249" s="108" t="str">
        <f>Setup!$C$30</f>
        <v>USD</v>
      </c>
      <c r="T249" s="109" t="str">
        <f>IFERROR(INDEX('Data Sheet'!$B$198:$B$275,MATCH(I249,'Data Sheet'!$F$198:$F$275,0)),"")</f>
        <v/>
      </c>
      <c r="U249" s="110" t="str">
        <f>IFERROR(INDEX('Data Sheet'!$D$198:$D$275,MATCH(I249,'Data Sheet'!$F$198:$F$275,0)),"")</f>
        <v/>
      </c>
      <c r="V249" s="99"/>
      <c r="W249" s="195" t="str">
        <f>IF(V249=Setup!$C$30,"Grant",IF(V249=Setup!$C$31,"Local",IF(V249=Setup!$C$32,"Other",IF(ISBLANK(V249),"","Other"))))</f>
        <v/>
      </c>
      <c r="X249" s="255"/>
      <c r="Y249" s="259" t="str">
        <f>IF(X249&lt;&gt;"",X249/VLOOKUP($V249,Setup!$C$30:$D$41,2,0),"")</f>
        <v/>
      </c>
      <c r="Z249" s="262"/>
      <c r="AA249" s="256" t="str">
        <f t="shared" si="102"/>
        <v/>
      </c>
      <c r="AB249" s="262"/>
      <c r="AC249" s="258" t="str">
        <f t="shared" si="103"/>
        <v/>
      </c>
      <c r="AD249" s="262"/>
      <c r="AE249" s="258" t="str">
        <f t="shared" si="104"/>
        <v/>
      </c>
      <c r="AF249" s="262"/>
      <c r="AG249" s="256" t="str">
        <f t="shared" si="105"/>
        <v/>
      </c>
      <c r="AH249" s="256" t="str">
        <f t="shared" si="106"/>
        <v/>
      </c>
      <c r="AI249" s="256" t="str">
        <f t="shared" si="107"/>
        <v/>
      </c>
      <c r="AJ249" s="111"/>
      <c r="AK249" s="255"/>
      <c r="AL249" s="259" t="str">
        <f>IF(AK249&lt;&gt;"",AK249/VLOOKUP($V249,Setup!$C$30:$D$41,2,0),"")</f>
        <v/>
      </c>
      <c r="AM249" s="266"/>
      <c r="AN249" s="258" t="str">
        <f t="shared" si="108"/>
        <v/>
      </c>
      <c r="AO249" s="266"/>
      <c r="AP249" s="258" t="str">
        <f t="shared" si="109"/>
        <v/>
      </c>
      <c r="AQ249" s="266"/>
      <c r="AR249" s="258" t="str">
        <f t="shared" si="110"/>
        <v/>
      </c>
      <c r="AS249" s="266"/>
      <c r="AT249" s="256" t="str">
        <f t="shared" si="111"/>
        <v/>
      </c>
      <c r="AU249" s="256" t="str">
        <f t="shared" si="112"/>
        <v/>
      </c>
      <c r="AV249" s="256" t="str">
        <f t="shared" si="113"/>
        <v/>
      </c>
      <c r="AW249" s="267"/>
      <c r="AX249" s="255"/>
      <c r="AY249" s="259" t="str">
        <f>IF(AX249&lt;&gt;"",AX249/VLOOKUP($V249,Setup!$C$30:$D$41,2,0),"")</f>
        <v/>
      </c>
      <c r="AZ249" s="268"/>
      <c r="BA249" s="258" t="str">
        <f t="shared" si="114"/>
        <v/>
      </c>
      <c r="BB249" s="268"/>
      <c r="BC249" s="258" t="str">
        <f t="shared" si="115"/>
        <v/>
      </c>
      <c r="BD249" s="268"/>
      <c r="BE249" s="258" t="str">
        <f t="shared" si="116"/>
        <v/>
      </c>
      <c r="BF249" s="268"/>
      <c r="BG249" s="256" t="str">
        <f t="shared" si="117"/>
        <v/>
      </c>
      <c r="BH249" s="256" t="str">
        <f t="shared" si="118"/>
        <v/>
      </c>
      <c r="BI249" s="256" t="str">
        <f t="shared" si="119"/>
        <v/>
      </c>
      <c r="BJ249" s="267"/>
      <c r="BK249" s="255"/>
      <c r="BL249" s="259" t="str">
        <f>IF(BK249&lt;&gt;"",BK249/VLOOKUP($V249,Setup!$C$30:$D$41,2,0),"")</f>
        <v/>
      </c>
      <c r="BM249" s="268"/>
      <c r="BN249" s="258" t="str">
        <f t="shared" si="120"/>
        <v/>
      </c>
      <c r="BO249" s="268"/>
      <c r="BP249" s="258" t="str">
        <f t="shared" si="121"/>
        <v/>
      </c>
      <c r="BQ249" s="268"/>
      <c r="BR249" s="258" t="str">
        <f t="shared" si="122"/>
        <v/>
      </c>
      <c r="BS249" s="268"/>
      <c r="BT249" s="256" t="str">
        <f t="shared" si="123"/>
        <v/>
      </c>
      <c r="BU249" s="256" t="str">
        <f t="shared" si="124"/>
        <v/>
      </c>
      <c r="BV249" s="256" t="str">
        <f t="shared" si="125"/>
        <v/>
      </c>
      <c r="BW249" s="267"/>
      <c r="BX249" s="256" t="str">
        <f t="shared" si="126"/>
        <v/>
      </c>
      <c r="BY249" s="256" t="str">
        <f t="shared" si="127"/>
        <v/>
      </c>
      <c r="BZ249" s="281"/>
      <c r="CA249" s="282"/>
      <c r="CC249" s="112" t="str">
        <f t="shared" ca="1" si="128"/>
        <v/>
      </c>
      <c r="CF249" s="284"/>
      <c r="CG249" s="284"/>
      <c r="CH249" s="284"/>
      <c r="CI249" s="284"/>
      <c r="CL249" s="356" t="str">
        <f>IFERROR(VLOOKUP(C249,'Data Sheet'!$A$3:$B$26,2,FALSE),"")</f>
        <v/>
      </c>
    </row>
    <row r="250" spans="1:90" s="98" customFormat="1" ht="15.75" x14ac:dyDescent="0.2">
      <c r="A250" s="97"/>
      <c r="B250" s="105" t="str">
        <f t="shared" si="131"/>
        <v>--</v>
      </c>
      <c r="C250" s="276"/>
      <c r="D250" s="101" t="str">
        <f>IFERROR(IF(VLOOKUP(C250,'Data Sheet'!$A$3:$D$26,4,FALSE)=0,"",VLOOKUP(C250,'Data Sheet'!$A$3:$D$26,4,FALSE)),"")</f>
        <v/>
      </c>
      <c r="E250" s="279"/>
      <c r="F250" s="103" t="str">
        <f>IFERROR(IF(VLOOKUP(E250,'Data Sheet'!$C$29:$E$174,3,FALSE)=0,"",VLOOKUP(E250,'Data Sheet'!$C$29:$E$174,3,FALSE)),"")</f>
        <v/>
      </c>
      <c r="G250" s="106" t="str">
        <f t="shared" si="129"/>
        <v>-</v>
      </c>
      <c r="H250" s="273"/>
      <c r="I250" s="107"/>
      <c r="J250" s="249" t="e">
        <f t="shared" si="130"/>
        <v>#VALUE!</v>
      </c>
      <c r="K250" s="101" t="str">
        <f>IFERROR(INDEX('Data Sheet'!$C$198:$C$275,MATCH(I250,'Data Sheet'!$F$198:$F$275,0)),"")</f>
        <v/>
      </c>
      <c r="L250" s="250" t="str">
        <f>IFERROR(INDEX('Data Sheet'!$G$198:$G$275,MATCH(I250,'Data Sheet'!$F$198:$F$275,0)),"")</f>
        <v/>
      </c>
      <c r="M250" s="194"/>
      <c r="N250" s="248"/>
      <c r="O250" s="248"/>
      <c r="P250" s="108" t="str">
        <f>IFERROR(INDEX(Setup!$D$44:$D$70,MATCH(M250,Setup!$K$44:$K$70,0))&amp;"","")</f>
        <v/>
      </c>
      <c r="Q250" s="108" t="str">
        <f>IFERROR(INDEX(Setup!$E$44:$E$70,MATCH(M250,Setup!$K$44:$K$70,0))&amp;"","")</f>
        <v/>
      </c>
      <c r="R250" s="108" t="str">
        <f>IFERROR(INDEX(Setup!$L$44:$L$70,MATCH(M250,Setup!$K$44:$K$70,0))&amp;"","")</f>
        <v/>
      </c>
      <c r="S250" s="108" t="str">
        <f>Setup!$C$30</f>
        <v>USD</v>
      </c>
      <c r="T250" s="109" t="str">
        <f>IFERROR(INDEX('Data Sheet'!$B$198:$B$275,MATCH(I250,'Data Sheet'!$F$198:$F$275,0)),"")</f>
        <v/>
      </c>
      <c r="U250" s="110" t="str">
        <f>IFERROR(INDEX('Data Sheet'!$D$198:$D$275,MATCH(I250,'Data Sheet'!$F$198:$F$275,0)),"")</f>
        <v/>
      </c>
      <c r="V250" s="99"/>
      <c r="W250" s="195" t="str">
        <f>IF(V250=Setup!$C$30,"Grant",IF(V250=Setup!$C$31,"Local",IF(V250=Setup!$C$32,"Other",IF(ISBLANK(V250),"","Other"))))</f>
        <v/>
      </c>
      <c r="X250" s="255"/>
      <c r="Y250" s="259" t="str">
        <f>IF(X250&lt;&gt;"",X250/VLOOKUP($V250,Setup!$C$30:$D$41,2,0),"")</f>
        <v/>
      </c>
      <c r="Z250" s="262"/>
      <c r="AA250" s="256" t="str">
        <f t="shared" si="102"/>
        <v/>
      </c>
      <c r="AB250" s="262"/>
      <c r="AC250" s="258" t="str">
        <f t="shared" si="103"/>
        <v/>
      </c>
      <c r="AD250" s="262"/>
      <c r="AE250" s="258" t="str">
        <f t="shared" si="104"/>
        <v/>
      </c>
      <c r="AF250" s="262"/>
      <c r="AG250" s="256" t="str">
        <f t="shared" si="105"/>
        <v/>
      </c>
      <c r="AH250" s="256" t="str">
        <f t="shared" si="106"/>
        <v/>
      </c>
      <c r="AI250" s="256" t="str">
        <f t="shared" si="107"/>
        <v/>
      </c>
      <c r="AJ250" s="111"/>
      <c r="AK250" s="255"/>
      <c r="AL250" s="259" t="str">
        <f>IF(AK250&lt;&gt;"",AK250/VLOOKUP($V250,Setup!$C$30:$D$41,2,0),"")</f>
        <v/>
      </c>
      <c r="AM250" s="266"/>
      <c r="AN250" s="258" t="str">
        <f t="shared" si="108"/>
        <v/>
      </c>
      <c r="AO250" s="266"/>
      <c r="AP250" s="258" t="str">
        <f t="shared" si="109"/>
        <v/>
      </c>
      <c r="AQ250" s="266"/>
      <c r="AR250" s="258" t="str">
        <f t="shared" si="110"/>
        <v/>
      </c>
      <c r="AS250" s="266"/>
      <c r="AT250" s="256" t="str">
        <f t="shared" si="111"/>
        <v/>
      </c>
      <c r="AU250" s="256" t="str">
        <f t="shared" si="112"/>
        <v/>
      </c>
      <c r="AV250" s="256" t="str">
        <f t="shared" si="113"/>
        <v/>
      </c>
      <c r="AW250" s="267"/>
      <c r="AX250" s="255"/>
      <c r="AY250" s="259" t="str">
        <f>IF(AX250&lt;&gt;"",AX250/VLOOKUP($V250,Setup!$C$30:$D$41,2,0),"")</f>
        <v/>
      </c>
      <c r="AZ250" s="268"/>
      <c r="BA250" s="258" t="str">
        <f t="shared" si="114"/>
        <v/>
      </c>
      <c r="BB250" s="268"/>
      <c r="BC250" s="258" t="str">
        <f t="shared" si="115"/>
        <v/>
      </c>
      <c r="BD250" s="268"/>
      <c r="BE250" s="258" t="str">
        <f t="shared" si="116"/>
        <v/>
      </c>
      <c r="BF250" s="268"/>
      <c r="BG250" s="256" t="str">
        <f t="shared" si="117"/>
        <v/>
      </c>
      <c r="BH250" s="256" t="str">
        <f t="shared" si="118"/>
        <v/>
      </c>
      <c r="BI250" s="256" t="str">
        <f t="shared" si="119"/>
        <v/>
      </c>
      <c r="BJ250" s="267"/>
      <c r="BK250" s="255"/>
      <c r="BL250" s="259" t="str">
        <f>IF(BK250&lt;&gt;"",BK250/VLOOKUP($V250,Setup!$C$30:$D$41,2,0),"")</f>
        <v/>
      </c>
      <c r="BM250" s="268"/>
      <c r="BN250" s="258" t="str">
        <f t="shared" si="120"/>
        <v/>
      </c>
      <c r="BO250" s="268"/>
      <c r="BP250" s="258" t="str">
        <f t="shared" si="121"/>
        <v/>
      </c>
      <c r="BQ250" s="268"/>
      <c r="BR250" s="258" t="str">
        <f t="shared" si="122"/>
        <v/>
      </c>
      <c r="BS250" s="268"/>
      <c r="BT250" s="256" t="str">
        <f t="shared" si="123"/>
        <v/>
      </c>
      <c r="BU250" s="256" t="str">
        <f t="shared" si="124"/>
        <v/>
      </c>
      <c r="BV250" s="256" t="str">
        <f t="shared" si="125"/>
        <v/>
      </c>
      <c r="BW250" s="267"/>
      <c r="BX250" s="256" t="str">
        <f t="shared" si="126"/>
        <v/>
      </c>
      <c r="BY250" s="256" t="str">
        <f t="shared" si="127"/>
        <v/>
      </c>
      <c r="BZ250" s="281"/>
      <c r="CA250" s="282"/>
      <c r="CC250" s="112" t="str">
        <f t="shared" ca="1" si="128"/>
        <v/>
      </c>
      <c r="CF250" s="284"/>
      <c r="CG250" s="284"/>
      <c r="CH250" s="284"/>
      <c r="CI250" s="284"/>
      <c r="CL250" s="356" t="str">
        <f>IFERROR(VLOOKUP(C250,'Data Sheet'!$A$3:$B$26,2,FALSE),"")</f>
        <v/>
      </c>
    </row>
    <row r="251" spans="1:90" s="98" customFormat="1" ht="15.75" x14ac:dyDescent="0.2">
      <c r="A251" s="97"/>
      <c r="B251" s="105" t="str">
        <f t="shared" si="131"/>
        <v>--</v>
      </c>
      <c r="C251" s="276"/>
      <c r="D251" s="101" t="str">
        <f>IFERROR(IF(VLOOKUP(C251,'Data Sheet'!$A$3:$D$26,4,FALSE)=0,"",VLOOKUP(C251,'Data Sheet'!$A$3:$D$26,4,FALSE)),"")</f>
        <v/>
      </c>
      <c r="E251" s="279"/>
      <c r="F251" s="103" t="str">
        <f>IFERROR(IF(VLOOKUP(E251,'Data Sheet'!$C$29:$E$174,3,FALSE)=0,"",VLOOKUP(E251,'Data Sheet'!$C$29:$E$174,3,FALSE)),"")</f>
        <v/>
      </c>
      <c r="G251" s="106" t="str">
        <f t="shared" si="129"/>
        <v>-</v>
      </c>
      <c r="H251" s="273"/>
      <c r="I251" s="107"/>
      <c r="J251" s="249" t="e">
        <f t="shared" si="130"/>
        <v>#VALUE!</v>
      </c>
      <c r="K251" s="101" t="str">
        <f>IFERROR(INDEX('Data Sheet'!$C$198:$C$275,MATCH(I251,'Data Sheet'!$F$198:$F$275,0)),"")</f>
        <v/>
      </c>
      <c r="L251" s="250" t="str">
        <f>IFERROR(INDEX('Data Sheet'!$G$198:$G$275,MATCH(I251,'Data Sheet'!$F$198:$F$275,0)),"")</f>
        <v/>
      </c>
      <c r="M251" s="194"/>
      <c r="N251" s="248"/>
      <c r="O251" s="248"/>
      <c r="P251" s="108" t="str">
        <f>IFERROR(INDEX(Setup!$D$44:$D$70,MATCH(M251,Setup!$K$44:$K$70,0))&amp;"","")</f>
        <v/>
      </c>
      <c r="Q251" s="108" t="str">
        <f>IFERROR(INDEX(Setup!$E$44:$E$70,MATCH(M251,Setup!$K$44:$K$70,0))&amp;"","")</f>
        <v/>
      </c>
      <c r="R251" s="108" t="str">
        <f>IFERROR(INDEX(Setup!$L$44:$L$70,MATCH(M251,Setup!$K$44:$K$70,0))&amp;"","")</f>
        <v/>
      </c>
      <c r="S251" s="108" t="str">
        <f>Setup!$C$30</f>
        <v>USD</v>
      </c>
      <c r="T251" s="109" t="str">
        <f>IFERROR(INDEX('Data Sheet'!$B$198:$B$275,MATCH(I251,'Data Sheet'!$F$198:$F$275,0)),"")</f>
        <v/>
      </c>
      <c r="U251" s="110" t="str">
        <f>IFERROR(INDEX('Data Sheet'!$D$198:$D$275,MATCH(I251,'Data Sheet'!$F$198:$F$275,0)),"")</f>
        <v/>
      </c>
      <c r="V251" s="99"/>
      <c r="W251" s="195" t="str">
        <f>IF(V251=Setup!$C$30,"Grant",IF(V251=Setup!$C$31,"Local",IF(V251=Setup!$C$32,"Other",IF(ISBLANK(V251),"","Other"))))</f>
        <v/>
      </c>
      <c r="X251" s="255"/>
      <c r="Y251" s="259" t="str">
        <f>IF(X251&lt;&gt;"",X251/VLOOKUP($V251,Setup!$C$30:$D$41,2,0),"")</f>
        <v/>
      </c>
      <c r="Z251" s="262"/>
      <c r="AA251" s="256" t="str">
        <f t="shared" si="102"/>
        <v/>
      </c>
      <c r="AB251" s="262"/>
      <c r="AC251" s="258" t="str">
        <f t="shared" si="103"/>
        <v/>
      </c>
      <c r="AD251" s="262"/>
      <c r="AE251" s="258" t="str">
        <f t="shared" si="104"/>
        <v/>
      </c>
      <c r="AF251" s="262"/>
      <c r="AG251" s="256" t="str">
        <f t="shared" si="105"/>
        <v/>
      </c>
      <c r="AH251" s="256" t="str">
        <f t="shared" si="106"/>
        <v/>
      </c>
      <c r="AI251" s="256" t="str">
        <f t="shared" si="107"/>
        <v/>
      </c>
      <c r="AJ251" s="111"/>
      <c r="AK251" s="255"/>
      <c r="AL251" s="259" t="str">
        <f>IF(AK251&lt;&gt;"",AK251/VLOOKUP($V251,Setup!$C$30:$D$41,2,0),"")</f>
        <v/>
      </c>
      <c r="AM251" s="266"/>
      <c r="AN251" s="258" t="str">
        <f t="shared" si="108"/>
        <v/>
      </c>
      <c r="AO251" s="266"/>
      <c r="AP251" s="258" t="str">
        <f t="shared" si="109"/>
        <v/>
      </c>
      <c r="AQ251" s="266"/>
      <c r="AR251" s="258" t="str">
        <f t="shared" si="110"/>
        <v/>
      </c>
      <c r="AS251" s="266"/>
      <c r="AT251" s="256" t="str">
        <f t="shared" si="111"/>
        <v/>
      </c>
      <c r="AU251" s="256" t="str">
        <f t="shared" si="112"/>
        <v/>
      </c>
      <c r="AV251" s="256" t="str">
        <f t="shared" si="113"/>
        <v/>
      </c>
      <c r="AW251" s="267"/>
      <c r="AX251" s="255"/>
      <c r="AY251" s="259" t="str">
        <f>IF(AX251&lt;&gt;"",AX251/VLOOKUP($V251,Setup!$C$30:$D$41,2,0),"")</f>
        <v/>
      </c>
      <c r="AZ251" s="268"/>
      <c r="BA251" s="258" t="str">
        <f t="shared" si="114"/>
        <v/>
      </c>
      <c r="BB251" s="268"/>
      <c r="BC251" s="258" t="str">
        <f t="shared" si="115"/>
        <v/>
      </c>
      <c r="BD251" s="268"/>
      <c r="BE251" s="258" t="str">
        <f t="shared" si="116"/>
        <v/>
      </c>
      <c r="BF251" s="268"/>
      <c r="BG251" s="256" t="str">
        <f t="shared" si="117"/>
        <v/>
      </c>
      <c r="BH251" s="256" t="str">
        <f t="shared" si="118"/>
        <v/>
      </c>
      <c r="BI251" s="256" t="str">
        <f t="shared" si="119"/>
        <v/>
      </c>
      <c r="BJ251" s="267"/>
      <c r="BK251" s="255"/>
      <c r="BL251" s="259" t="str">
        <f>IF(BK251&lt;&gt;"",BK251/VLOOKUP($V251,Setup!$C$30:$D$41,2,0),"")</f>
        <v/>
      </c>
      <c r="BM251" s="268"/>
      <c r="BN251" s="258" t="str">
        <f t="shared" si="120"/>
        <v/>
      </c>
      <c r="BO251" s="268"/>
      <c r="BP251" s="258" t="str">
        <f t="shared" si="121"/>
        <v/>
      </c>
      <c r="BQ251" s="268"/>
      <c r="BR251" s="258" t="str">
        <f t="shared" si="122"/>
        <v/>
      </c>
      <c r="BS251" s="268"/>
      <c r="BT251" s="256" t="str">
        <f t="shared" si="123"/>
        <v/>
      </c>
      <c r="BU251" s="256" t="str">
        <f t="shared" si="124"/>
        <v/>
      </c>
      <c r="BV251" s="256" t="str">
        <f t="shared" si="125"/>
        <v/>
      </c>
      <c r="BW251" s="267"/>
      <c r="BX251" s="256" t="str">
        <f t="shared" si="126"/>
        <v/>
      </c>
      <c r="BY251" s="256" t="str">
        <f t="shared" si="127"/>
        <v/>
      </c>
      <c r="BZ251" s="281"/>
      <c r="CA251" s="282"/>
      <c r="CC251" s="112" t="str">
        <f t="shared" ca="1" si="128"/>
        <v/>
      </c>
      <c r="CF251" s="284"/>
      <c r="CG251" s="284"/>
      <c r="CH251" s="284"/>
      <c r="CI251" s="284"/>
      <c r="CL251" s="356" t="str">
        <f>IFERROR(VLOOKUP(C251,'Data Sheet'!$A$3:$B$26,2,FALSE),"")</f>
        <v/>
      </c>
    </row>
    <row r="252" spans="1:90" s="98" customFormat="1" ht="15.75" x14ac:dyDescent="0.2">
      <c r="A252" s="97"/>
      <c r="B252" s="105" t="str">
        <f t="shared" si="131"/>
        <v>--</v>
      </c>
      <c r="C252" s="276"/>
      <c r="D252" s="101" t="str">
        <f>IFERROR(IF(VLOOKUP(C252,'Data Sheet'!$A$3:$D$26,4,FALSE)=0,"",VLOOKUP(C252,'Data Sheet'!$A$3:$D$26,4,FALSE)),"")</f>
        <v/>
      </c>
      <c r="E252" s="279"/>
      <c r="F252" s="103" t="str">
        <f>IFERROR(IF(VLOOKUP(E252,'Data Sheet'!$C$29:$E$174,3,FALSE)=0,"",VLOOKUP(E252,'Data Sheet'!$C$29:$E$174,3,FALSE)),"")</f>
        <v/>
      </c>
      <c r="G252" s="106" t="str">
        <f t="shared" si="129"/>
        <v>-</v>
      </c>
      <c r="H252" s="273"/>
      <c r="I252" s="107"/>
      <c r="J252" s="249" t="e">
        <f t="shared" si="130"/>
        <v>#VALUE!</v>
      </c>
      <c r="K252" s="101" t="str">
        <f>IFERROR(INDEX('Data Sheet'!$C$198:$C$275,MATCH(I252,'Data Sheet'!$F$198:$F$275,0)),"")</f>
        <v/>
      </c>
      <c r="L252" s="250" t="str">
        <f>IFERROR(INDEX('Data Sheet'!$G$198:$G$275,MATCH(I252,'Data Sheet'!$F$198:$F$275,0)),"")</f>
        <v/>
      </c>
      <c r="M252" s="194"/>
      <c r="N252" s="248"/>
      <c r="O252" s="248"/>
      <c r="P252" s="108" t="str">
        <f>IFERROR(INDEX(Setup!$D$44:$D$70,MATCH(M252,Setup!$K$44:$K$70,0))&amp;"","")</f>
        <v/>
      </c>
      <c r="Q252" s="108" t="str">
        <f>IFERROR(INDEX(Setup!$E$44:$E$70,MATCH(M252,Setup!$K$44:$K$70,0))&amp;"","")</f>
        <v/>
      </c>
      <c r="R252" s="108" t="str">
        <f>IFERROR(INDEX(Setup!$L$44:$L$70,MATCH(M252,Setup!$K$44:$K$70,0))&amp;"","")</f>
        <v/>
      </c>
      <c r="S252" s="108" t="str">
        <f>Setup!$C$30</f>
        <v>USD</v>
      </c>
      <c r="T252" s="109" t="str">
        <f>IFERROR(INDEX('Data Sheet'!$B$198:$B$275,MATCH(I252,'Data Sheet'!$F$198:$F$275,0)),"")</f>
        <v/>
      </c>
      <c r="U252" s="110" t="str">
        <f>IFERROR(INDEX('Data Sheet'!$D$198:$D$275,MATCH(I252,'Data Sheet'!$F$198:$F$275,0)),"")</f>
        <v/>
      </c>
      <c r="V252" s="99"/>
      <c r="W252" s="195" t="str">
        <f>IF(V252=Setup!$C$30,"Grant",IF(V252=Setup!$C$31,"Local",IF(V252=Setup!$C$32,"Other",IF(ISBLANK(V252),"","Other"))))</f>
        <v/>
      </c>
      <c r="X252" s="255"/>
      <c r="Y252" s="259" t="str">
        <f>IF(X252&lt;&gt;"",X252/VLOOKUP($V252,Setup!$C$30:$D$41,2,0),"")</f>
        <v/>
      </c>
      <c r="Z252" s="262"/>
      <c r="AA252" s="256" t="str">
        <f t="shared" si="102"/>
        <v/>
      </c>
      <c r="AB252" s="262"/>
      <c r="AC252" s="258" t="str">
        <f t="shared" si="103"/>
        <v/>
      </c>
      <c r="AD252" s="262"/>
      <c r="AE252" s="258" t="str">
        <f t="shared" si="104"/>
        <v/>
      </c>
      <c r="AF252" s="262"/>
      <c r="AG252" s="256" t="str">
        <f t="shared" si="105"/>
        <v/>
      </c>
      <c r="AH252" s="256" t="str">
        <f t="shared" si="106"/>
        <v/>
      </c>
      <c r="AI252" s="256" t="str">
        <f t="shared" si="107"/>
        <v/>
      </c>
      <c r="AJ252" s="111"/>
      <c r="AK252" s="255"/>
      <c r="AL252" s="259" t="str">
        <f>IF(AK252&lt;&gt;"",AK252/VLOOKUP($V252,Setup!$C$30:$D$41,2,0),"")</f>
        <v/>
      </c>
      <c r="AM252" s="266"/>
      <c r="AN252" s="258" t="str">
        <f t="shared" si="108"/>
        <v/>
      </c>
      <c r="AO252" s="266"/>
      <c r="AP252" s="258" t="str">
        <f t="shared" si="109"/>
        <v/>
      </c>
      <c r="AQ252" s="266"/>
      <c r="AR252" s="258" t="str">
        <f t="shared" si="110"/>
        <v/>
      </c>
      <c r="AS252" s="266"/>
      <c r="AT252" s="256" t="str">
        <f t="shared" si="111"/>
        <v/>
      </c>
      <c r="AU252" s="256" t="str">
        <f t="shared" si="112"/>
        <v/>
      </c>
      <c r="AV252" s="256" t="str">
        <f t="shared" si="113"/>
        <v/>
      </c>
      <c r="AW252" s="267"/>
      <c r="AX252" s="255"/>
      <c r="AY252" s="259" t="str">
        <f>IF(AX252&lt;&gt;"",AX252/VLOOKUP($V252,Setup!$C$30:$D$41,2,0),"")</f>
        <v/>
      </c>
      <c r="AZ252" s="268"/>
      <c r="BA252" s="258" t="str">
        <f t="shared" si="114"/>
        <v/>
      </c>
      <c r="BB252" s="268"/>
      <c r="BC252" s="258" t="str">
        <f t="shared" si="115"/>
        <v/>
      </c>
      <c r="BD252" s="268"/>
      <c r="BE252" s="258" t="str">
        <f t="shared" si="116"/>
        <v/>
      </c>
      <c r="BF252" s="268"/>
      <c r="BG252" s="256" t="str">
        <f t="shared" si="117"/>
        <v/>
      </c>
      <c r="BH252" s="256" t="str">
        <f t="shared" si="118"/>
        <v/>
      </c>
      <c r="BI252" s="256" t="str">
        <f t="shared" si="119"/>
        <v/>
      </c>
      <c r="BJ252" s="267"/>
      <c r="BK252" s="255"/>
      <c r="BL252" s="259" t="str">
        <f>IF(BK252&lt;&gt;"",BK252/VLOOKUP($V252,Setup!$C$30:$D$41,2,0),"")</f>
        <v/>
      </c>
      <c r="BM252" s="268"/>
      <c r="BN252" s="258" t="str">
        <f t="shared" si="120"/>
        <v/>
      </c>
      <c r="BO252" s="268"/>
      <c r="BP252" s="258" t="str">
        <f t="shared" si="121"/>
        <v/>
      </c>
      <c r="BQ252" s="268"/>
      <c r="BR252" s="258" t="str">
        <f t="shared" si="122"/>
        <v/>
      </c>
      <c r="BS252" s="268"/>
      <c r="BT252" s="256" t="str">
        <f t="shared" si="123"/>
        <v/>
      </c>
      <c r="BU252" s="256" t="str">
        <f t="shared" si="124"/>
        <v/>
      </c>
      <c r="BV252" s="256" t="str">
        <f t="shared" si="125"/>
        <v/>
      </c>
      <c r="BW252" s="267"/>
      <c r="BX252" s="256" t="str">
        <f t="shared" si="126"/>
        <v/>
      </c>
      <c r="BY252" s="256" t="str">
        <f t="shared" si="127"/>
        <v/>
      </c>
      <c r="BZ252" s="281"/>
      <c r="CA252" s="282"/>
      <c r="CC252" s="112" t="str">
        <f t="shared" ca="1" si="128"/>
        <v/>
      </c>
      <c r="CF252" s="284"/>
      <c r="CG252" s="284"/>
      <c r="CH252" s="284"/>
      <c r="CI252" s="284"/>
      <c r="CL252" s="356" t="str">
        <f>IFERROR(VLOOKUP(C252,'Data Sheet'!$A$3:$B$26,2,FALSE),"")</f>
        <v/>
      </c>
    </row>
    <row r="253" spans="1:90" s="98" customFormat="1" ht="15.75" x14ac:dyDescent="0.2">
      <c r="A253" s="97"/>
      <c r="B253" s="105" t="str">
        <f t="shared" si="131"/>
        <v>--</v>
      </c>
      <c r="C253" s="276"/>
      <c r="D253" s="101" t="str">
        <f>IFERROR(IF(VLOOKUP(C253,'Data Sheet'!$A$3:$D$26,4,FALSE)=0,"",VLOOKUP(C253,'Data Sheet'!$A$3:$D$26,4,FALSE)),"")</f>
        <v/>
      </c>
      <c r="E253" s="279"/>
      <c r="F253" s="103" t="str">
        <f>IFERROR(IF(VLOOKUP(E253,'Data Sheet'!$C$29:$E$174,3,FALSE)=0,"",VLOOKUP(E253,'Data Sheet'!$C$29:$E$174,3,FALSE)),"")</f>
        <v/>
      </c>
      <c r="G253" s="106" t="str">
        <f t="shared" si="129"/>
        <v>-</v>
      </c>
      <c r="H253" s="273"/>
      <c r="I253" s="107"/>
      <c r="J253" s="249" t="e">
        <f t="shared" si="130"/>
        <v>#VALUE!</v>
      </c>
      <c r="K253" s="101" t="str">
        <f>IFERROR(INDEX('Data Sheet'!$C$198:$C$275,MATCH(I253,'Data Sheet'!$F$198:$F$275,0)),"")</f>
        <v/>
      </c>
      <c r="L253" s="250" t="str">
        <f>IFERROR(INDEX('Data Sheet'!$G$198:$G$275,MATCH(I253,'Data Sheet'!$F$198:$F$275,0)),"")</f>
        <v/>
      </c>
      <c r="M253" s="194"/>
      <c r="N253" s="248"/>
      <c r="O253" s="248"/>
      <c r="P253" s="108" t="str">
        <f>IFERROR(INDEX(Setup!$D$44:$D$70,MATCH(M253,Setup!$K$44:$K$70,0))&amp;"","")</f>
        <v/>
      </c>
      <c r="Q253" s="108" t="str">
        <f>IFERROR(INDEX(Setup!$E$44:$E$70,MATCH(M253,Setup!$K$44:$K$70,0))&amp;"","")</f>
        <v/>
      </c>
      <c r="R253" s="108" t="str">
        <f>IFERROR(INDEX(Setup!$L$44:$L$70,MATCH(M253,Setup!$K$44:$K$70,0))&amp;"","")</f>
        <v/>
      </c>
      <c r="S253" s="108" t="str">
        <f>Setup!$C$30</f>
        <v>USD</v>
      </c>
      <c r="T253" s="109" t="str">
        <f>IFERROR(INDEX('Data Sheet'!$B$198:$B$275,MATCH(I253,'Data Sheet'!$F$198:$F$275,0)),"")</f>
        <v/>
      </c>
      <c r="U253" s="110" t="str">
        <f>IFERROR(INDEX('Data Sheet'!$D$198:$D$275,MATCH(I253,'Data Sheet'!$F$198:$F$275,0)),"")</f>
        <v/>
      </c>
      <c r="V253" s="99"/>
      <c r="W253" s="195" t="str">
        <f>IF(V253=Setup!$C$30,"Grant",IF(V253=Setup!$C$31,"Local",IF(V253=Setup!$C$32,"Other",IF(ISBLANK(V253),"","Other"))))</f>
        <v/>
      </c>
      <c r="X253" s="255"/>
      <c r="Y253" s="259" t="str">
        <f>IF(X253&lt;&gt;"",X253/VLOOKUP($V253,Setup!$C$30:$D$41,2,0),"")</f>
        <v/>
      </c>
      <c r="Z253" s="262"/>
      <c r="AA253" s="256" t="str">
        <f t="shared" si="102"/>
        <v/>
      </c>
      <c r="AB253" s="262"/>
      <c r="AC253" s="258" t="str">
        <f t="shared" si="103"/>
        <v/>
      </c>
      <c r="AD253" s="262"/>
      <c r="AE253" s="258" t="str">
        <f t="shared" si="104"/>
        <v/>
      </c>
      <c r="AF253" s="262"/>
      <c r="AG253" s="256" t="str">
        <f t="shared" si="105"/>
        <v/>
      </c>
      <c r="AH253" s="256" t="str">
        <f t="shared" si="106"/>
        <v/>
      </c>
      <c r="AI253" s="256" t="str">
        <f t="shared" si="107"/>
        <v/>
      </c>
      <c r="AJ253" s="111"/>
      <c r="AK253" s="255"/>
      <c r="AL253" s="259" t="str">
        <f>IF(AK253&lt;&gt;"",AK253/VLOOKUP($V253,Setup!$C$30:$D$41,2,0),"")</f>
        <v/>
      </c>
      <c r="AM253" s="266"/>
      <c r="AN253" s="258" t="str">
        <f t="shared" si="108"/>
        <v/>
      </c>
      <c r="AO253" s="266"/>
      <c r="AP253" s="258" t="str">
        <f t="shared" si="109"/>
        <v/>
      </c>
      <c r="AQ253" s="266"/>
      <c r="AR253" s="258" t="str">
        <f t="shared" si="110"/>
        <v/>
      </c>
      <c r="AS253" s="266"/>
      <c r="AT253" s="256" t="str">
        <f t="shared" si="111"/>
        <v/>
      </c>
      <c r="AU253" s="256" t="str">
        <f t="shared" si="112"/>
        <v/>
      </c>
      <c r="AV253" s="256" t="str">
        <f t="shared" si="113"/>
        <v/>
      </c>
      <c r="AW253" s="267"/>
      <c r="AX253" s="255"/>
      <c r="AY253" s="259" t="str">
        <f>IF(AX253&lt;&gt;"",AX253/VLOOKUP($V253,Setup!$C$30:$D$41,2,0),"")</f>
        <v/>
      </c>
      <c r="AZ253" s="268"/>
      <c r="BA253" s="258" t="str">
        <f t="shared" si="114"/>
        <v/>
      </c>
      <c r="BB253" s="268"/>
      <c r="BC253" s="258" t="str">
        <f t="shared" si="115"/>
        <v/>
      </c>
      <c r="BD253" s="268"/>
      <c r="BE253" s="258" t="str">
        <f t="shared" si="116"/>
        <v/>
      </c>
      <c r="BF253" s="268"/>
      <c r="BG253" s="256" t="str">
        <f t="shared" si="117"/>
        <v/>
      </c>
      <c r="BH253" s="256" t="str">
        <f t="shared" si="118"/>
        <v/>
      </c>
      <c r="BI253" s="256" t="str">
        <f t="shared" si="119"/>
        <v/>
      </c>
      <c r="BJ253" s="267"/>
      <c r="BK253" s="255"/>
      <c r="BL253" s="259" t="str">
        <f>IF(BK253&lt;&gt;"",BK253/VLOOKUP($V253,Setup!$C$30:$D$41,2,0),"")</f>
        <v/>
      </c>
      <c r="BM253" s="268"/>
      <c r="BN253" s="258" t="str">
        <f t="shared" si="120"/>
        <v/>
      </c>
      <c r="BO253" s="268"/>
      <c r="BP253" s="258" t="str">
        <f t="shared" si="121"/>
        <v/>
      </c>
      <c r="BQ253" s="268"/>
      <c r="BR253" s="258" t="str">
        <f t="shared" si="122"/>
        <v/>
      </c>
      <c r="BS253" s="268"/>
      <c r="BT253" s="256" t="str">
        <f t="shared" si="123"/>
        <v/>
      </c>
      <c r="BU253" s="256" t="str">
        <f t="shared" si="124"/>
        <v/>
      </c>
      <c r="BV253" s="256" t="str">
        <f t="shared" si="125"/>
        <v/>
      </c>
      <c r="BW253" s="267"/>
      <c r="BX253" s="256" t="str">
        <f t="shared" si="126"/>
        <v/>
      </c>
      <c r="BY253" s="256" t="str">
        <f t="shared" si="127"/>
        <v/>
      </c>
      <c r="BZ253" s="281"/>
      <c r="CA253" s="282"/>
      <c r="CC253" s="112" t="str">
        <f t="shared" ca="1" si="128"/>
        <v/>
      </c>
      <c r="CF253" s="284"/>
      <c r="CG253" s="284"/>
      <c r="CH253" s="284"/>
      <c r="CI253" s="284"/>
      <c r="CL253" s="356" t="str">
        <f>IFERROR(VLOOKUP(C253,'Data Sheet'!$A$3:$B$26,2,FALSE),"")</f>
        <v/>
      </c>
    </row>
    <row r="254" spans="1:90" s="98" customFormat="1" ht="15.75" x14ac:dyDescent="0.2">
      <c r="A254" s="97"/>
      <c r="B254" s="105" t="str">
        <f t="shared" si="131"/>
        <v>--</v>
      </c>
      <c r="C254" s="276"/>
      <c r="D254" s="101" t="str">
        <f>IFERROR(IF(VLOOKUP(C254,'Data Sheet'!$A$3:$D$26,4,FALSE)=0,"",VLOOKUP(C254,'Data Sheet'!$A$3:$D$26,4,FALSE)),"")</f>
        <v/>
      </c>
      <c r="E254" s="279"/>
      <c r="F254" s="103" t="str">
        <f>IFERROR(IF(VLOOKUP(E254,'Data Sheet'!$C$29:$E$174,3,FALSE)=0,"",VLOOKUP(E254,'Data Sheet'!$C$29:$E$174,3,FALSE)),"")</f>
        <v/>
      </c>
      <c r="G254" s="106" t="str">
        <f t="shared" si="129"/>
        <v>-</v>
      </c>
      <c r="H254" s="273"/>
      <c r="I254" s="107"/>
      <c r="J254" s="249" t="e">
        <f t="shared" si="130"/>
        <v>#VALUE!</v>
      </c>
      <c r="K254" s="101" t="str">
        <f>IFERROR(INDEX('Data Sheet'!$C$198:$C$275,MATCH(I254,'Data Sheet'!$F$198:$F$275,0)),"")</f>
        <v/>
      </c>
      <c r="L254" s="250" t="str">
        <f>IFERROR(INDEX('Data Sheet'!$G$198:$G$275,MATCH(I254,'Data Sheet'!$F$198:$F$275,0)),"")</f>
        <v/>
      </c>
      <c r="M254" s="194"/>
      <c r="N254" s="248"/>
      <c r="O254" s="248"/>
      <c r="P254" s="108" t="str">
        <f>IFERROR(INDEX(Setup!$D$44:$D$70,MATCH(M254,Setup!$K$44:$K$70,0))&amp;"","")</f>
        <v/>
      </c>
      <c r="Q254" s="108" t="str">
        <f>IFERROR(INDEX(Setup!$E$44:$E$70,MATCH(M254,Setup!$K$44:$K$70,0))&amp;"","")</f>
        <v/>
      </c>
      <c r="R254" s="108" t="str">
        <f>IFERROR(INDEX(Setup!$L$44:$L$70,MATCH(M254,Setup!$K$44:$K$70,0))&amp;"","")</f>
        <v/>
      </c>
      <c r="S254" s="108" t="str">
        <f>Setup!$C$30</f>
        <v>USD</v>
      </c>
      <c r="T254" s="109" t="str">
        <f>IFERROR(INDEX('Data Sheet'!$B$198:$B$275,MATCH(I254,'Data Sheet'!$F$198:$F$275,0)),"")</f>
        <v/>
      </c>
      <c r="U254" s="110" t="str">
        <f>IFERROR(INDEX('Data Sheet'!$D$198:$D$275,MATCH(I254,'Data Sheet'!$F$198:$F$275,0)),"")</f>
        <v/>
      </c>
      <c r="V254" s="99"/>
      <c r="W254" s="195" t="str">
        <f>IF(V254=Setup!$C$30,"Grant",IF(V254=Setup!$C$31,"Local",IF(V254=Setup!$C$32,"Other",IF(ISBLANK(V254),"","Other"))))</f>
        <v/>
      </c>
      <c r="X254" s="255"/>
      <c r="Y254" s="259" t="str">
        <f>IF(X254&lt;&gt;"",X254/VLOOKUP($V254,Setup!$C$30:$D$41,2,0),"")</f>
        <v/>
      </c>
      <c r="Z254" s="262"/>
      <c r="AA254" s="256" t="str">
        <f t="shared" si="102"/>
        <v/>
      </c>
      <c r="AB254" s="262"/>
      <c r="AC254" s="258" t="str">
        <f t="shared" si="103"/>
        <v/>
      </c>
      <c r="AD254" s="262"/>
      <c r="AE254" s="258" t="str">
        <f t="shared" si="104"/>
        <v/>
      </c>
      <c r="AF254" s="262"/>
      <c r="AG254" s="256" t="str">
        <f t="shared" si="105"/>
        <v/>
      </c>
      <c r="AH254" s="256" t="str">
        <f t="shared" si="106"/>
        <v/>
      </c>
      <c r="AI254" s="256" t="str">
        <f t="shared" si="107"/>
        <v/>
      </c>
      <c r="AJ254" s="111"/>
      <c r="AK254" s="255"/>
      <c r="AL254" s="259" t="str">
        <f>IF(AK254&lt;&gt;"",AK254/VLOOKUP($V254,Setup!$C$30:$D$41,2,0),"")</f>
        <v/>
      </c>
      <c r="AM254" s="266"/>
      <c r="AN254" s="258" t="str">
        <f t="shared" si="108"/>
        <v/>
      </c>
      <c r="AO254" s="266"/>
      <c r="AP254" s="258" t="str">
        <f t="shared" si="109"/>
        <v/>
      </c>
      <c r="AQ254" s="266"/>
      <c r="AR254" s="258" t="str">
        <f t="shared" si="110"/>
        <v/>
      </c>
      <c r="AS254" s="266"/>
      <c r="AT254" s="256" t="str">
        <f t="shared" si="111"/>
        <v/>
      </c>
      <c r="AU254" s="256" t="str">
        <f t="shared" si="112"/>
        <v/>
      </c>
      <c r="AV254" s="256" t="str">
        <f t="shared" si="113"/>
        <v/>
      </c>
      <c r="AW254" s="267"/>
      <c r="AX254" s="255"/>
      <c r="AY254" s="259" t="str">
        <f>IF(AX254&lt;&gt;"",AX254/VLOOKUP($V254,Setup!$C$30:$D$41,2,0),"")</f>
        <v/>
      </c>
      <c r="AZ254" s="268"/>
      <c r="BA254" s="258" t="str">
        <f t="shared" si="114"/>
        <v/>
      </c>
      <c r="BB254" s="268"/>
      <c r="BC254" s="258" t="str">
        <f t="shared" si="115"/>
        <v/>
      </c>
      <c r="BD254" s="268"/>
      <c r="BE254" s="258" t="str">
        <f t="shared" si="116"/>
        <v/>
      </c>
      <c r="BF254" s="268"/>
      <c r="BG254" s="256" t="str">
        <f t="shared" si="117"/>
        <v/>
      </c>
      <c r="BH254" s="256" t="str">
        <f t="shared" si="118"/>
        <v/>
      </c>
      <c r="BI254" s="256" t="str">
        <f t="shared" si="119"/>
        <v/>
      </c>
      <c r="BJ254" s="267"/>
      <c r="BK254" s="255"/>
      <c r="BL254" s="259" t="str">
        <f>IF(BK254&lt;&gt;"",BK254/VLOOKUP($V254,Setup!$C$30:$D$41,2,0),"")</f>
        <v/>
      </c>
      <c r="BM254" s="268"/>
      <c r="BN254" s="258" t="str">
        <f t="shared" si="120"/>
        <v/>
      </c>
      <c r="BO254" s="268"/>
      <c r="BP254" s="258" t="str">
        <f t="shared" si="121"/>
        <v/>
      </c>
      <c r="BQ254" s="268"/>
      <c r="BR254" s="258" t="str">
        <f t="shared" si="122"/>
        <v/>
      </c>
      <c r="BS254" s="268"/>
      <c r="BT254" s="256" t="str">
        <f t="shared" si="123"/>
        <v/>
      </c>
      <c r="BU254" s="256" t="str">
        <f t="shared" si="124"/>
        <v/>
      </c>
      <c r="BV254" s="256" t="str">
        <f t="shared" si="125"/>
        <v/>
      </c>
      <c r="BW254" s="267"/>
      <c r="BX254" s="256" t="str">
        <f t="shared" si="126"/>
        <v/>
      </c>
      <c r="BY254" s="256" t="str">
        <f t="shared" si="127"/>
        <v/>
      </c>
      <c r="BZ254" s="281"/>
      <c r="CA254" s="282"/>
      <c r="CC254" s="112" t="str">
        <f t="shared" ca="1" si="128"/>
        <v/>
      </c>
      <c r="CF254" s="284"/>
      <c r="CG254" s="284"/>
      <c r="CH254" s="284"/>
      <c r="CI254" s="284"/>
      <c r="CL254" s="356" t="str">
        <f>IFERROR(VLOOKUP(C254,'Data Sheet'!$A$3:$B$26,2,FALSE),"")</f>
        <v/>
      </c>
    </row>
    <row r="255" spans="1:90" s="98" customFormat="1" ht="15.75" x14ac:dyDescent="0.2">
      <c r="A255" s="97"/>
      <c r="B255" s="105" t="str">
        <f t="shared" si="131"/>
        <v>--</v>
      </c>
      <c r="C255" s="276"/>
      <c r="D255" s="101" t="str">
        <f>IFERROR(IF(VLOOKUP(C255,'Data Sheet'!$A$3:$D$26,4,FALSE)=0,"",VLOOKUP(C255,'Data Sheet'!$A$3:$D$26,4,FALSE)),"")</f>
        <v/>
      </c>
      <c r="E255" s="279"/>
      <c r="F255" s="103" t="str">
        <f>IFERROR(IF(VLOOKUP(E255,'Data Sheet'!$C$29:$E$174,3,FALSE)=0,"",VLOOKUP(E255,'Data Sheet'!$C$29:$E$174,3,FALSE)),"")</f>
        <v/>
      </c>
      <c r="G255" s="106" t="str">
        <f t="shared" si="129"/>
        <v>-</v>
      </c>
      <c r="H255" s="273"/>
      <c r="I255" s="107"/>
      <c r="J255" s="249" t="e">
        <f t="shared" si="130"/>
        <v>#VALUE!</v>
      </c>
      <c r="K255" s="101" t="str">
        <f>IFERROR(INDEX('Data Sheet'!$C$198:$C$275,MATCH(I255,'Data Sheet'!$F$198:$F$275,0)),"")</f>
        <v/>
      </c>
      <c r="L255" s="250" t="str">
        <f>IFERROR(INDEX('Data Sheet'!$G$198:$G$275,MATCH(I255,'Data Sheet'!$F$198:$F$275,0)),"")</f>
        <v/>
      </c>
      <c r="M255" s="194"/>
      <c r="N255" s="248"/>
      <c r="O255" s="248"/>
      <c r="P255" s="108" t="str">
        <f>IFERROR(INDEX(Setup!$D$44:$D$70,MATCH(M255,Setup!$K$44:$K$70,0))&amp;"","")</f>
        <v/>
      </c>
      <c r="Q255" s="108" t="str">
        <f>IFERROR(INDEX(Setup!$E$44:$E$70,MATCH(M255,Setup!$K$44:$K$70,0))&amp;"","")</f>
        <v/>
      </c>
      <c r="R255" s="108" t="str">
        <f>IFERROR(INDEX(Setup!$L$44:$L$70,MATCH(M255,Setup!$K$44:$K$70,0))&amp;"","")</f>
        <v/>
      </c>
      <c r="S255" s="108" t="str">
        <f>Setup!$C$30</f>
        <v>USD</v>
      </c>
      <c r="T255" s="109" t="str">
        <f>IFERROR(INDEX('Data Sheet'!$B$198:$B$275,MATCH(I255,'Data Sheet'!$F$198:$F$275,0)),"")</f>
        <v/>
      </c>
      <c r="U255" s="110" t="str">
        <f>IFERROR(INDEX('Data Sheet'!$D$198:$D$275,MATCH(I255,'Data Sheet'!$F$198:$F$275,0)),"")</f>
        <v/>
      </c>
      <c r="V255" s="99"/>
      <c r="W255" s="195" t="str">
        <f>IF(V255=Setup!$C$30,"Grant",IF(V255=Setup!$C$31,"Local",IF(V255=Setup!$C$32,"Other",IF(ISBLANK(V255),"","Other"))))</f>
        <v/>
      </c>
      <c r="X255" s="255"/>
      <c r="Y255" s="259" t="str">
        <f>IF(X255&lt;&gt;"",X255/VLOOKUP($V255,Setup!$C$30:$D$41,2,0),"")</f>
        <v/>
      </c>
      <c r="Z255" s="262"/>
      <c r="AA255" s="256" t="str">
        <f t="shared" si="102"/>
        <v/>
      </c>
      <c r="AB255" s="262"/>
      <c r="AC255" s="258" t="str">
        <f t="shared" si="103"/>
        <v/>
      </c>
      <c r="AD255" s="262"/>
      <c r="AE255" s="258" t="str">
        <f t="shared" si="104"/>
        <v/>
      </c>
      <c r="AF255" s="262"/>
      <c r="AG255" s="256" t="str">
        <f t="shared" si="105"/>
        <v/>
      </c>
      <c r="AH255" s="256" t="str">
        <f t="shared" si="106"/>
        <v/>
      </c>
      <c r="AI255" s="256" t="str">
        <f t="shared" si="107"/>
        <v/>
      </c>
      <c r="AJ255" s="111"/>
      <c r="AK255" s="255"/>
      <c r="AL255" s="259" t="str">
        <f>IF(AK255&lt;&gt;"",AK255/VLOOKUP($V255,Setup!$C$30:$D$41,2,0),"")</f>
        <v/>
      </c>
      <c r="AM255" s="266"/>
      <c r="AN255" s="258" t="str">
        <f t="shared" si="108"/>
        <v/>
      </c>
      <c r="AO255" s="266"/>
      <c r="AP255" s="258" t="str">
        <f t="shared" si="109"/>
        <v/>
      </c>
      <c r="AQ255" s="266"/>
      <c r="AR255" s="258" t="str">
        <f t="shared" si="110"/>
        <v/>
      </c>
      <c r="AS255" s="266"/>
      <c r="AT255" s="256" t="str">
        <f t="shared" si="111"/>
        <v/>
      </c>
      <c r="AU255" s="256" t="str">
        <f t="shared" si="112"/>
        <v/>
      </c>
      <c r="AV255" s="256" t="str">
        <f t="shared" si="113"/>
        <v/>
      </c>
      <c r="AW255" s="267"/>
      <c r="AX255" s="255"/>
      <c r="AY255" s="259" t="str">
        <f>IF(AX255&lt;&gt;"",AX255/VLOOKUP($V255,Setup!$C$30:$D$41,2,0),"")</f>
        <v/>
      </c>
      <c r="AZ255" s="268"/>
      <c r="BA255" s="258" t="str">
        <f t="shared" si="114"/>
        <v/>
      </c>
      <c r="BB255" s="268"/>
      <c r="BC255" s="258" t="str">
        <f t="shared" si="115"/>
        <v/>
      </c>
      <c r="BD255" s="268"/>
      <c r="BE255" s="258" t="str">
        <f t="shared" si="116"/>
        <v/>
      </c>
      <c r="BF255" s="268"/>
      <c r="BG255" s="256" t="str">
        <f t="shared" si="117"/>
        <v/>
      </c>
      <c r="BH255" s="256" t="str">
        <f t="shared" si="118"/>
        <v/>
      </c>
      <c r="BI255" s="256" t="str">
        <f t="shared" si="119"/>
        <v/>
      </c>
      <c r="BJ255" s="267"/>
      <c r="BK255" s="255"/>
      <c r="BL255" s="259" t="str">
        <f>IF(BK255&lt;&gt;"",BK255/VLOOKUP($V255,Setup!$C$30:$D$41,2,0),"")</f>
        <v/>
      </c>
      <c r="BM255" s="268"/>
      <c r="BN255" s="258" t="str">
        <f t="shared" si="120"/>
        <v/>
      </c>
      <c r="BO255" s="268"/>
      <c r="BP255" s="258" t="str">
        <f t="shared" si="121"/>
        <v/>
      </c>
      <c r="BQ255" s="268"/>
      <c r="BR255" s="258" t="str">
        <f t="shared" si="122"/>
        <v/>
      </c>
      <c r="BS255" s="268"/>
      <c r="BT255" s="256" t="str">
        <f t="shared" si="123"/>
        <v/>
      </c>
      <c r="BU255" s="256" t="str">
        <f t="shared" si="124"/>
        <v/>
      </c>
      <c r="BV255" s="256" t="str">
        <f t="shared" si="125"/>
        <v/>
      </c>
      <c r="BW255" s="267"/>
      <c r="BX255" s="256" t="str">
        <f t="shared" si="126"/>
        <v/>
      </c>
      <c r="BY255" s="256" t="str">
        <f t="shared" si="127"/>
        <v/>
      </c>
      <c r="BZ255" s="281"/>
      <c r="CA255" s="282"/>
      <c r="CC255" s="112" t="str">
        <f t="shared" ca="1" si="128"/>
        <v/>
      </c>
      <c r="CF255" s="284"/>
      <c r="CG255" s="284"/>
      <c r="CH255" s="284"/>
      <c r="CI255" s="284"/>
      <c r="CL255" s="356" t="str">
        <f>IFERROR(VLOOKUP(C255,'Data Sheet'!$A$3:$B$26,2,FALSE),"")</f>
        <v/>
      </c>
    </row>
    <row r="256" spans="1:90" s="98" customFormat="1" ht="15.75" x14ac:dyDescent="0.2">
      <c r="A256" s="97"/>
      <c r="B256" s="105" t="str">
        <f t="shared" si="131"/>
        <v>--</v>
      </c>
      <c r="C256" s="276"/>
      <c r="D256" s="101" t="str">
        <f>IFERROR(IF(VLOOKUP(C256,'Data Sheet'!$A$3:$D$26,4,FALSE)=0,"",VLOOKUP(C256,'Data Sheet'!$A$3:$D$26,4,FALSE)),"")</f>
        <v/>
      </c>
      <c r="E256" s="279"/>
      <c r="F256" s="103" t="str">
        <f>IFERROR(IF(VLOOKUP(E256,'Data Sheet'!$C$29:$E$174,3,FALSE)=0,"",VLOOKUP(E256,'Data Sheet'!$C$29:$E$174,3,FALSE)),"")</f>
        <v/>
      </c>
      <c r="G256" s="106" t="str">
        <f t="shared" si="129"/>
        <v>-</v>
      </c>
      <c r="H256" s="273"/>
      <c r="I256" s="107"/>
      <c r="J256" s="249" t="e">
        <f t="shared" si="130"/>
        <v>#VALUE!</v>
      </c>
      <c r="K256" s="101" t="str">
        <f>IFERROR(INDEX('Data Sheet'!$C$198:$C$275,MATCH(I256,'Data Sheet'!$F$198:$F$275,0)),"")</f>
        <v/>
      </c>
      <c r="L256" s="250" t="str">
        <f>IFERROR(INDEX('Data Sheet'!$G$198:$G$275,MATCH(I256,'Data Sheet'!$F$198:$F$275,0)),"")</f>
        <v/>
      </c>
      <c r="M256" s="194"/>
      <c r="N256" s="248"/>
      <c r="O256" s="248"/>
      <c r="P256" s="108" t="str">
        <f>IFERROR(INDEX(Setup!$D$44:$D$70,MATCH(M256,Setup!$K$44:$K$70,0))&amp;"","")</f>
        <v/>
      </c>
      <c r="Q256" s="108" t="str">
        <f>IFERROR(INDEX(Setup!$E$44:$E$70,MATCH(M256,Setup!$K$44:$K$70,0))&amp;"","")</f>
        <v/>
      </c>
      <c r="R256" s="108" t="str">
        <f>IFERROR(INDEX(Setup!$L$44:$L$70,MATCH(M256,Setup!$K$44:$K$70,0))&amp;"","")</f>
        <v/>
      </c>
      <c r="S256" s="108" t="str">
        <f>Setup!$C$30</f>
        <v>USD</v>
      </c>
      <c r="T256" s="109" t="str">
        <f>IFERROR(INDEX('Data Sheet'!$B$198:$B$275,MATCH(I256,'Data Sheet'!$F$198:$F$275,0)),"")</f>
        <v/>
      </c>
      <c r="U256" s="110" t="str">
        <f>IFERROR(INDEX('Data Sheet'!$D$198:$D$275,MATCH(I256,'Data Sheet'!$F$198:$F$275,0)),"")</f>
        <v/>
      </c>
      <c r="V256" s="99"/>
      <c r="W256" s="195" t="str">
        <f>IF(V256=Setup!$C$30,"Grant",IF(V256=Setup!$C$31,"Local",IF(V256=Setup!$C$32,"Other",IF(ISBLANK(V256),"","Other"))))</f>
        <v/>
      </c>
      <c r="X256" s="255"/>
      <c r="Y256" s="259" t="str">
        <f>IF(X256&lt;&gt;"",X256/VLOOKUP($V256,Setup!$C$30:$D$41,2,0),"")</f>
        <v/>
      </c>
      <c r="Z256" s="262"/>
      <c r="AA256" s="256" t="str">
        <f t="shared" si="102"/>
        <v/>
      </c>
      <c r="AB256" s="262"/>
      <c r="AC256" s="258" t="str">
        <f t="shared" si="103"/>
        <v/>
      </c>
      <c r="AD256" s="262"/>
      <c r="AE256" s="258" t="str">
        <f t="shared" si="104"/>
        <v/>
      </c>
      <c r="AF256" s="262"/>
      <c r="AG256" s="256" t="str">
        <f t="shared" si="105"/>
        <v/>
      </c>
      <c r="AH256" s="256" t="str">
        <f t="shared" si="106"/>
        <v/>
      </c>
      <c r="AI256" s="256" t="str">
        <f t="shared" si="107"/>
        <v/>
      </c>
      <c r="AJ256" s="111"/>
      <c r="AK256" s="255"/>
      <c r="AL256" s="259" t="str">
        <f>IF(AK256&lt;&gt;"",AK256/VLOOKUP($V256,Setup!$C$30:$D$41,2,0),"")</f>
        <v/>
      </c>
      <c r="AM256" s="266"/>
      <c r="AN256" s="258" t="str">
        <f t="shared" si="108"/>
        <v/>
      </c>
      <c r="AO256" s="266"/>
      <c r="AP256" s="258" t="str">
        <f t="shared" si="109"/>
        <v/>
      </c>
      <c r="AQ256" s="266"/>
      <c r="AR256" s="258" t="str">
        <f t="shared" si="110"/>
        <v/>
      </c>
      <c r="AS256" s="266"/>
      <c r="AT256" s="256" t="str">
        <f t="shared" si="111"/>
        <v/>
      </c>
      <c r="AU256" s="256" t="str">
        <f t="shared" si="112"/>
        <v/>
      </c>
      <c r="AV256" s="256" t="str">
        <f t="shared" si="113"/>
        <v/>
      </c>
      <c r="AW256" s="267"/>
      <c r="AX256" s="255"/>
      <c r="AY256" s="259" t="str">
        <f>IF(AX256&lt;&gt;"",AX256/VLOOKUP($V256,Setup!$C$30:$D$41,2,0),"")</f>
        <v/>
      </c>
      <c r="AZ256" s="268"/>
      <c r="BA256" s="258" t="str">
        <f t="shared" si="114"/>
        <v/>
      </c>
      <c r="BB256" s="268"/>
      <c r="BC256" s="258" t="str">
        <f t="shared" si="115"/>
        <v/>
      </c>
      <c r="BD256" s="268"/>
      <c r="BE256" s="258" t="str">
        <f t="shared" si="116"/>
        <v/>
      </c>
      <c r="BF256" s="268"/>
      <c r="BG256" s="256" t="str">
        <f t="shared" si="117"/>
        <v/>
      </c>
      <c r="BH256" s="256" t="str">
        <f t="shared" si="118"/>
        <v/>
      </c>
      <c r="BI256" s="256" t="str">
        <f t="shared" si="119"/>
        <v/>
      </c>
      <c r="BJ256" s="267"/>
      <c r="BK256" s="255"/>
      <c r="BL256" s="259" t="str">
        <f>IF(BK256&lt;&gt;"",BK256/VLOOKUP($V256,Setup!$C$30:$D$41,2,0),"")</f>
        <v/>
      </c>
      <c r="BM256" s="268"/>
      <c r="BN256" s="258" t="str">
        <f t="shared" si="120"/>
        <v/>
      </c>
      <c r="BO256" s="268"/>
      <c r="BP256" s="258" t="str">
        <f t="shared" si="121"/>
        <v/>
      </c>
      <c r="BQ256" s="268"/>
      <c r="BR256" s="258" t="str">
        <f t="shared" si="122"/>
        <v/>
      </c>
      <c r="BS256" s="268"/>
      <c r="BT256" s="256" t="str">
        <f t="shared" si="123"/>
        <v/>
      </c>
      <c r="BU256" s="256" t="str">
        <f t="shared" si="124"/>
        <v/>
      </c>
      <c r="BV256" s="256" t="str">
        <f t="shared" si="125"/>
        <v/>
      </c>
      <c r="BW256" s="267"/>
      <c r="BX256" s="256" t="str">
        <f t="shared" si="126"/>
        <v/>
      </c>
      <c r="BY256" s="256" t="str">
        <f t="shared" si="127"/>
        <v/>
      </c>
      <c r="BZ256" s="281"/>
      <c r="CA256" s="282"/>
      <c r="CC256" s="112" t="str">
        <f t="shared" ca="1" si="128"/>
        <v/>
      </c>
      <c r="CF256" s="284"/>
      <c r="CG256" s="284"/>
      <c r="CH256" s="284"/>
      <c r="CI256" s="284"/>
      <c r="CL256" s="356" t="str">
        <f>IFERROR(VLOOKUP(C256,'Data Sheet'!$A$3:$B$26,2,FALSE),"")</f>
        <v/>
      </c>
    </row>
    <row r="257" spans="1:90" s="98" customFormat="1" ht="15.75" x14ac:dyDescent="0.2">
      <c r="A257" s="97"/>
      <c r="B257" s="105" t="str">
        <f t="shared" si="131"/>
        <v>--</v>
      </c>
      <c r="C257" s="276"/>
      <c r="D257" s="101" t="str">
        <f>IFERROR(IF(VLOOKUP(C257,'Data Sheet'!$A$3:$D$26,4,FALSE)=0,"",VLOOKUP(C257,'Data Sheet'!$A$3:$D$26,4,FALSE)),"")</f>
        <v/>
      </c>
      <c r="E257" s="279"/>
      <c r="F257" s="103" t="str">
        <f>IFERROR(IF(VLOOKUP(E257,'Data Sheet'!$C$29:$E$174,3,FALSE)=0,"",VLOOKUP(E257,'Data Sheet'!$C$29:$E$174,3,FALSE)),"")</f>
        <v/>
      </c>
      <c r="G257" s="106" t="str">
        <f t="shared" si="129"/>
        <v>-</v>
      </c>
      <c r="H257" s="273"/>
      <c r="I257" s="107"/>
      <c r="J257" s="249" t="e">
        <f t="shared" si="130"/>
        <v>#VALUE!</v>
      </c>
      <c r="K257" s="101" t="str">
        <f>IFERROR(INDEX('Data Sheet'!$C$198:$C$275,MATCH(I257,'Data Sheet'!$F$198:$F$275,0)),"")</f>
        <v/>
      </c>
      <c r="L257" s="250" t="str">
        <f>IFERROR(INDEX('Data Sheet'!$G$198:$G$275,MATCH(I257,'Data Sheet'!$F$198:$F$275,0)),"")</f>
        <v/>
      </c>
      <c r="M257" s="194"/>
      <c r="N257" s="248"/>
      <c r="O257" s="248"/>
      <c r="P257" s="108" t="str">
        <f>IFERROR(INDEX(Setup!$D$44:$D$70,MATCH(M257,Setup!$K$44:$K$70,0))&amp;"","")</f>
        <v/>
      </c>
      <c r="Q257" s="108" t="str">
        <f>IFERROR(INDEX(Setup!$E$44:$E$70,MATCH(M257,Setup!$K$44:$K$70,0))&amp;"","")</f>
        <v/>
      </c>
      <c r="R257" s="108" t="str">
        <f>IFERROR(INDEX(Setup!$L$44:$L$70,MATCH(M257,Setup!$K$44:$K$70,0))&amp;"","")</f>
        <v/>
      </c>
      <c r="S257" s="108" t="str">
        <f>Setup!$C$30</f>
        <v>USD</v>
      </c>
      <c r="T257" s="109" t="str">
        <f>IFERROR(INDEX('Data Sheet'!$B$198:$B$275,MATCH(I257,'Data Sheet'!$F$198:$F$275,0)),"")</f>
        <v/>
      </c>
      <c r="U257" s="110" t="str">
        <f>IFERROR(INDEX('Data Sheet'!$D$198:$D$275,MATCH(I257,'Data Sheet'!$F$198:$F$275,0)),"")</f>
        <v/>
      </c>
      <c r="V257" s="99"/>
      <c r="W257" s="195" t="str">
        <f>IF(V257=Setup!$C$30,"Grant",IF(V257=Setup!$C$31,"Local",IF(V257=Setup!$C$32,"Other",IF(ISBLANK(V257),"","Other"))))</f>
        <v/>
      </c>
      <c r="X257" s="255"/>
      <c r="Y257" s="259" t="str">
        <f>IF(X257&lt;&gt;"",X257/VLOOKUP($V257,Setup!$C$30:$D$41,2,0),"")</f>
        <v/>
      </c>
      <c r="Z257" s="262"/>
      <c r="AA257" s="256" t="str">
        <f t="shared" si="102"/>
        <v/>
      </c>
      <c r="AB257" s="262"/>
      <c r="AC257" s="258" t="str">
        <f t="shared" si="103"/>
        <v/>
      </c>
      <c r="AD257" s="262"/>
      <c r="AE257" s="258" t="str">
        <f t="shared" si="104"/>
        <v/>
      </c>
      <c r="AF257" s="262"/>
      <c r="AG257" s="256" t="str">
        <f t="shared" si="105"/>
        <v/>
      </c>
      <c r="AH257" s="256" t="str">
        <f t="shared" si="106"/>
        <v/>
      </c>
      <c r="AI257" s="256" t="str">
        <f t="shared" si="107"/>
        <v/>
      </c>
      <c r="AJ257" s="111"/>
      <c r="AK257" s="255"/>
      <c r="AL257" s="259" t="str">
        <f>IF(AK257&lt;&gt;"",AK257/VLOOKUP($V257,Setup!$C$30:$D$41,2,0),"")</f>
        <v/>
      </c>
      <c r="AM257" s="266"/>
      <c r="AN257" s="258" t="str">
        <f t="shared" si="108"/>
        <v/>
      </c>
      <c r="AO257" s="266"/>
      <c r="AP257" s="258" t="str">
        <f t="shared" si="109"/>
        <v/>
      </c>
      <c r="AQ257" s="266"/>
      <c r="AR257" s="258" t="str">
        <f t="shared" si="110"/>
        <v/>
      </c>
      <c r="AS257" s="266"/>
      <c r="AT257" s="256" t="str">
        <f t="shared" si="111"/>
        <v/>
      </c>
      <c r="AU257" s="256" t="str">
        <f t="shared" si="112"/>
        <v/>
      </c>
      <c r="AV257" s="256" t="str">
        <f t="shared" si="113"/>
        <v/>
      </c>
      <c r="AW257" s="267"/>
      <c r="AX257" s="255"/>
      <c r="AY257" s="259" t="str">
        <f>IF(AX257&lt;&gt;"",AX257/VLOOKUP($V257,Setup!$C$30:$D$41,2,0),"")</f>
        <v/>
      </c>
      <c r="AZ257" s="268"/>
      <c r="BA257" s="258" t="str">
        <f t="shared" si="114"/>
        <v/>
      </c>
      <c r="BB257" s="268"/>
      <c r="BC257" s="258" t="str">
        <f t="shared" si="115"/>
        <v/>
      </c>
      <c r="BD257" s="268"/>
      <c r="BE257" s="258" t="str">
        <f t="shared" si="116"/>
        <v/>
      </c>
      <c r="BF257" s="268"/>
      <c r="BG257" s="256" t="str">
        <f t="shared" si="117"/>
        <v/>
      </c>
      <c r="BH257" s="256" t="str">
        <f t="shared" si="118"/>
        <v/>
      </c>
      <c r="BI257" s="256" t="str">
        <f t="shared" si="119"/>
        <v/>
      </c>
      <c r="BJ257" s="267"/>
      <c r="BK257" s="255"/>
      <c r="BL257" s="259" t="str">
        <f>IF(BK257&lt;&gt;"",BK257/VLOOKUP($V257,Setup!$C$30:$D$41,2,0),"")</f>
        <v/>
      </c>
      <c r="BM257" s="268"/>
      <c r="BN257" s="258" t="str">
        <f t="shared" si="120"/>
        <v/>
      </c>
      <c r="BO257" s="268"/>
      <c r="BP257" s="258" t="str">
        <f t="shared" si="121"/>
        <v/>
      </c>
      <c r="BQ257" s="268"/>
      <c r="BR257" s="258" t="str">
        <f t="shared" si="122"/>
        <v/>
      </c>
      <c r="BS257" s="268"/>
      <c r="BT257" s="256" t="str">
        <f t="shared" si="123"/>
        <v/>
      </c>
      <c r="BU257" s="256" t="str">
        <f t="shared" si="124"/>
        <v/>
      </c>
      <c r="BV257" s="256" t="str">
        <f t="shared" si="125"/>
        <v/>
      </c>
      <c r="BW257" s="267"/>
      <c r="BX257" s="256" t="str">
        <f t="shared" si="126"/>
        <v/>
      </c>
      <c r="BY257" s="256" t="str">
        <f t="shared" si="127"/>
        <v/>
      </c>
      <c r="BZ257" s="281"/>
      <c r="CA257" s="282"/>
      <c r="CC257" s="112" t="str">
        <f t="shared" ca="1" si="128"/>
        <v/>
      </c>
      <c r="CF257" s="284"/>
      <c r="CG257" s="284"/>
      <c r="CH257" s="284"/>
      <c r="CI257" s="284"/>
      <c r="CL257" s="356" t="str">
        <f>IFERROR(VLOOKUP(C257,'Data Sheet'!$A$3:$B$26,2,FALSE),"")</f>
        <v/>
      </c>
    </row>
    <row r="258" spans="1:90" s="98" customFormat="1" ht="15.75" x14ac:dyDescent="0.2">
      <c r="A258" s="97"/>
      <c r="B258" s="105" t="str">
        <f t="shared" si="131"/>
        <v>--</v>
      </c>
      <c r="C258" s="276"/>
      <c r="D258" s="101" t="str">
        <f>IFERROR(IF(VLOOKUP(C258,'Data Sheet'!$A$3:$D$26,4,FALSE)=0,"",VLOOKUP(C258,'Data Sheet'!$A$3:$D$26,4,FALSE)),"")</f>
        <v/>
      </c>
      <c r="E258" s="279"/>
      <c r="F258" s="103" t="str">
        <f>IFERROR(IF(VLOOKUP(E258,'Data Sheet'!$C$29:$E$174,3,FALSE)=0,"",VLOOKUP(E258,'Data Sheet'!$C$29:$E$174,3,FALSE)),"")</f>
        <v/>
      </c>
      <c r="G258" s="106" t="str">
        <f t="shared" si="129"/>
        <v>-</v>
      </c>
      <c r="H258" s="273"/>
      <c r="I258" s="107"/>
      <c r="J258" s="249" t="e">
        <f t="shared" si="130"/>
        <v>#VALUE!</v>
      </c>
      <c r="K258" s="101" t="str">
        <f>IFERROR(INDEX('Data Sheet'!$C$198:$C$275,MATCH(I258,'Data Sheet'!$F$198:$F$275,0)),"")</f>
        <v/>
      </c>
      <c r="L258" s="250" t="str">
        <f>IFERROR(INDEX('Data Sheet'!$G$198:$G$275,MATCH(I258,'Data Sheet'!$F$198:$F$275,0)),"")</f>
        <v/>
      </c>
      <c r="M258" s="194"/>
      <c r="N258" s="248"/>
      <c r="O258" s="248"/>
      <c r="P258" s="108" t="str">
        <f>IFERROR(INDEX(Setup!$D$44:$D$70,MATCH(M258,Setup!$K$44:$K$70,0))&amp;"","")</f>
        <v/>
      </c>
      <c r="Q258" s="108" t="str">
        <f>IFERROR(INDEX(Setup!$E$44:$E$70,MATCH(M258,Setup!$K$44:$K$70,0))&amp;"","")</f>
        <v/>
      </c>
      <c r="R258" s="108" t="str">
        <f>IFERROR(INDEX(Setup!$L$44:$L$70,MATCH(M258,Setup!$K$44:$K$70,0))&amp;"","")</f>
        <v/>
      </c>
      <c r="S258" s="108" t="str">
        <f>Setup!$C$30</f>
        <v>USD</v>
      </c>
      <c r="T258" s="109" t="str">
        <f>IFERROR(INDEX('Data Sheet'!$B$198:$B$275,MATCH(I258,'Data Sheet'!$F$198:$F$275,0)),"")</f>
        <v/>
      </c>
      <c r="U258" s="110" t="str">
        <f>IFERROR(INDEX('Data Sheet'!$D$198:$D$275,MATCH(I258,'Data Sheet'!$F$198:$F$275,0)),"")</f>
        <v/>
      </c>
      <c r="V258" s="99"/>
      <c r="W258" s="195" t="str">
        <f>IF(V258=Setup!$C$30,"Grant",IF(V258=Setup!$C$31,"Local",IF(V258=Setup!$C$32,"Other",IF(ISBLANK(V258),"","Other"))))</f>
        <v/>
      </c>
      <c r="X258" s="255"/>
      <c r="Y258" s="259" t="str">
        <f>IF(X258&lt;&gt;"",X258/VLOOKUP($V258,Setup!$C$30:$D$41,2,0),"")</f>
        <v/>
      </c>
      <c r="Z258" s="262"/>
      <c r="AA258" s="256" t="str">
        <f t="shared" si="102"/>
        <v/>
      </c>
      <c r="AB258" s="262"/>
      <c r="AC258" s="258" t="str">
        <f t="shared" si="103"/>
        <v/>
      </c>
      <c r="AD258" s="262"/>
      <c r="AE258" s="258" t="str">
        <f t="shared" si="104"/>
        <v/>
      </c>
      <c r="AF258" s="262"/>
      <c r="AG258" s="256" t="str">
        <f t="shared" si="105"/>
        <v/>
      </c>
      <c r="AH258" s="256" t="str">
        <f t="shared" si="106"/>
        <v/>
      </c>
      <c r="AI258" s="256" t="str">
        <f t="shared" si="107"/>
        <v/>
      </c>
      <c r="AJ258" s="111"/>
      <c r="AK258" s="255"/>
      <c r="AL258" s="259" t="str">
        <f>IF(AK258&lt;&gt;"",AK258/VLOOKUP($V258,Setup!$C$30:$D$41,2,0),"")</f>
        <v/>
      </c>
      <c r="AM258" s="266"/>
      <c r="AN258" s="258" t="str">
        <f t="shared" si="108"/>
        <v/>
      </c>
      <c r="AO258" s="266"/>
      <c r="AP258" s="258" t="str">
        <f t="shared" si="109"/>
        <v/>
      </c>
      <c r="AQ258" s="266"/>
      <c r="AR258" s="258" t="str">
        <f t="shared" si="110"/>
        <v/>
      </c>
      <c r="AS258" s="266"/>
      <c r="AT258" s="256" t="str">
        <f t="shared" si="111"/>
        <v/>
      </c>
      <c r="AU258" s="256" t="str">
        <f t="shared" si="112"/>
        <v/>
      </c>
      <c r="AV258" s="256" t="str">
        <f t="shared" si="113"/>
        <v/>
      </c>
      <c r="AW258" s="267"/>
      <c r="AX258" s="255"/>
      <c r="AY258" s="259" t="str">
        <f>IF(AX258&lt;&gt;"",AX258/VLOOKUP($V258,Setup!$C$30:$D$41,2,0),"")</f>
        <v/>
      </c>
      <c r="AZ258" s="268"/>
      <c r="BA258" s="258" t="str">
        <f t="shared" si="114"/>
        <v/>
      </c>
      <c r="BB258" s="268"/>
      <c r="BC258" s="258" t="str">
        <f t="shared" si="115"/>
        <v/>
      </c>
      <c r="BD258" s="268"/>
      <c r="BE258" s="258" t="str">
        <f t="shared" si="116"/>
        <v/>
      </c>
      <c r="BF258" s="268"/>
      <c r="BG258" s="256" t="str">
        <f t="shared" si="117"/>
        <v/>
      </c>
      <c r="BH258" s="256" t="str">
        <f t="shared" si="118"/>
        <v/>
      </c>
      <c r="BI258" s="256" t="str">
        <f t="shared" si="119"/>
        <v/>
      </c>
      <c r="BJ258" s="267"/>
      <c r="BK258" s="255"/>
      <c r="BL258" s="259" t="str">
        <f>IF(BK258&lt;&gt;"",BK258/VLOOKUP($V258,Setup!$C$30:$D$41,2,0),"")</f>
        <v/>
      </c>
      <c r="BM258" s="268"/>
      <c r="BN258" s="258" t="str">
        <f t="shared" si="120"/>
        <v/>
      </c>
      <c r="BO258" s="268"/>
      <c r="BP258" s="258" t="str">
        <f t="shared" si="121"/>
        <v/>
      </c>
      <c r="BQ258" s="268"/>
      <c r="BR258" s="258" t="str">
        <f t="shared" si="122"/>
        <v/>
      </c>
      <c r="BS258" s="268"/>
      <c r="BT258" s="256" t="str">
        <f t="shared" si="123"/>
        <v/>
      </c>
      <c r="BU258" s="256" t="str">
        <f t="shared" si="124"/>
        <v/>
      </c>
      <c r="BV258" s="256" t="str">
        <f t="shared" si="125"/>
        <v/>
      </c>
      <c r="BW258" s="267"/>
      <c r="BX258" s="256" t="str">
        <f t="shared" si="126"/>
        <v/>
      </c>
      <c r="BY258" s="256" t="str">
        <f t="shared" si="127"/>
        <v/>
      </c>
      <c r="BZ258" s="281"/>
      <c r="CA258" s="282"/>
      <c r="CC258" s="112" t="str">
        <f t="shared" ca="1" si="128"/>
        <v/>
      </c>
      <c r="CF258" s="284"/>
      <c r="CG258" s="284"/>
      <c r="CH258" s="284"/>
      <c r="CI258" s="284"/>
      <c r="CL258" s="356" t="str">
        <f>IFERROR(VLOOKUP(C258,'Data Sheet'!$A$3:$B$26,2,FALSE),"")</f>
        <v/>
      </c>
    </row>
    <row r="259" spans="1:90" s="98" customFormat="1" ht="15.75" x14ac:dyDescent="0.2">
      <c r="A259" s="97"/>
      <c r="B259" s="105" t="str">
        <f t="shared" si="131"/>
        <v>--</v>
      </c>
      <c r="C259" s="276"/>
      <c r="D259" s="101" t="str">
        <f>IFERROR(IF(VLOOKUP(C259,'Data Sheet'!$A$3:$D$26,4,FALSE)=0,"",VLOOKUP(C259,'Data Sheet'!$A$3:$D$26,4,FALSE)),"")</f>
        <v/>
      </c>
      <c r="E259" s="279"/>
      <c r="F259" s="103" t="str">
        <f>IFERROR(IF(VLOOKUP(E259,'Data Sheet'!$C$29:$E$174,3,FALSE)=0,"",VLOOKUP(E259,'Data Sheet'!$C$29:$E$174,3,FALSE)),"")</f>
        <v/>
      </c>
      <c r="G259" s="106" t="str">
        <f t="shared" si="129"/>
        <v>-</v>
      </c>
      <c r="H259" s="273"/>
      <c r="I259" s="107"/>
      <c r="J259" s="249" t="e">
        <f t="shared" si="130"/>
        <v>#VALUE!</v>
      </c>
      <c r="K259" s="101" t="str">
        <f>IFERROR(INDEX('Data Sheet'!$C$198:$C$275,MATCH(I259,'Data Sheet'!$F$198:$F$275,0)),"")</f>
        <v/>
      </c>
      <c r="L259" s="250" t="str">
        <f>IFERROR(INDEX('Data Sheet'!$G$198:$G$275,MATCH(I259,'Data Sheet'!$F$198:$F$275,0)),"")</f>
        <v/>
      </c>
      <c r="M259" s="194"/>
      <c r="N259" s="248"/>
      <c r="O259" s="248"/>
      <c r="P259" s="108" t="str">
        <f>IFERROR(INDEX(Setup!$D$44:$D$70,MATCH(M259,Setup!$K$44:$K$70,0))&amp;"","")</f>
        <v/>
      </c>
      <c r="Q259" s="108" t="str">
        <f>IFERROR(INDEX(Setup!$E$44:$E$70,MATCH(M259,Setup!$K$44:$K$70,0))&amp;"","")</f>
        <v/>
      </c>
      <c r="R259" s="108" t="str">
        <f>IFERROR(INDEX(Setup!$L$44:$L$70,MATCH(M259,Setup!$K$44:$K$70,0))&amp;"","")</f>
        <v/>
      </c>
      <c r="S259" s="108" t="str">
        <f>Setup!$C$30</f>
        <v>USD</v>
      </c>
      <c r="T259" s="109" t="str">
        <f>IFERROR(INDEX('Data Sheet'!$B$198:$B$275,MATCH(I259,'Data Sheet'!$F$198:$F$275,0)),"")</f>
        <v/>
      </c>
      <c r="U259" s="110" t="str">
        <f>IFERROR(INDEX('Data Sheet'!$D$198:$D$275,MATCH(I259,'Data Sheet'!$F$198:$F$275,0)),"")</f>
        <v/>
      </c>
      <c r="V259" s="99"/>
      <c r="W259" s="195" t="str">
        <f>IF(V259=Setup!$C$30,"Grant",IF(V259=Setup!$C$31,"Local",IF(V259=Setup!$C$32,"Other",IF(ISBLANK(V259),"","Other"))))</f>
        <v/>
      </c>
      <c r="X259" s="255"/>
      <c r="Y259" s="259" t="str">
        <f>IF(X259&lt;&gt;"",X259/VLOOKUP($V259,Setup!$C$30:$D$41,2,0),"")</f>
        <v/>
      </c>
      <c r="Z259" s="262"/>
      <c r="AA259" s="256" t="str">
        <f t="shared" si="102"/>
        <v/>
      </c>
      <c r="AB259" s="262"/>
      <c r="AC259" s="258" t="str">
        <f t="shared" si="103"/>
        <v/>
      </c>
      <c r="AD259" s="262"/>
      <c r="AE259" s="258" t="str">
        <f t="shared" si="104"/>
        <v/>
      </c>
      <c r="AF259" s="262"/>
      <c r="AG259" s="256" t="str">
        <f t="shared" si="105"/>
        <v/>
      </c>
      <c r="AH259" s="256" t="str">
        <f t="shared" si="106"/>
        <v/>
      </c>
      <c r="AI259" s="256" t="str">
        <f t="shared" si="107"/>
        <v/>
      </c>
      <c r="AJ259" s="111"/>
      <c r="AK259" s="255"/>
      <c r="AL259" s="259" t="str">
        <f>IF(AK259&lt;&gt;"",AK259/VLOOKUP($V259,Setup!$C$30:$D$41,2,0),"")</f>
        <v/>
      </c>
      <c r="AM259" s="266"/>
      <c r="AN259" s="258" t="str">
        <f t="shared" si="108"/>
        <v/>
      </c>
      <c r="AO259" s="266"/>
      <c r="AP259" s="258" t="str">
        <f t="shared" si="109"/>
        <v/>
      </c>
      <c r="AQ259" s="266"/>
      <c r="AR259" s="258" t="str">
        <f t="shared" si="110"/>
        <v/>
      </c>
      <c r="AS259" s="266"/>
      <c r="AT259" s="256" t="str">
        <f t="shared" si="111"/>
        <v/>
      </c>
      <c r="AU259" s="256" t="str">
        <f t="shared" si="112"/>
        <v/>
      </c>
      <c r="AV259" s="256" t="str">
        <f t="shared" si="113"/>
        <v/>
      </c>
      <c r="AW259" s="267"/>
      <c r="AX259" s="255"/>
      <c r="AY259" s="259" t="str">
        <f>IF(AX259&lt;&gt;"",AX259/VLOOKUP($V259,Setup!$C$30:$D$41,2,0),"")</f>
        <v/>
      </c>
      <c r="AZ259" s="268"/>
      <c r="BA259" s="258" t="str">
        <f t="shared" si="114"/>
        <v/>
      </c>
      <c r="BB259" s="268"/>
      <c r="BC259" s="258" t="str">
        <f t="shared" si="115"/>
        <v/>
      </c>
      <c r="BD259" s="268"/>
      <c r="BE259" s="258" t="str">
        <f t="shared" si="116"/>
        <v/>
      </c>
      <c r="BF259" s="268"/>
      <c r="BG259" s="256" t="str">
        <f t="shared" si="117"/>
        <v/>
      </c>
      <c r="BH259" s="256" t="str">
        <f t="shared" si="118"/>
        <v/>
      </c>
      <c r="BI259" s="256" t="str">
        <f t="shared" si="119"/>
        <v/>
      </c>
      <c r="BJ259" s="267"/>
      <c r="BK259" s="255"/>
      <c r="BL259" s="259" t="str">
        <f>IF(BK259&lt;&gt;"",BK259/VLOOKUP($V259,Setup!$C$30:$D$41,2,0),"")</f>
        <v/>
      </c>
      <c r="BM259" s="268"/>
      <c r="BN259" s="258" t="str">
        <f t="shared" si="120"/>
        <v/>
      </c>
      <c r="BO259" s="268"/>
      <c r="BP259" s="258" t="str">
        <f t="shared" si="121"/>
        <v/>
      </c>
      <c r="BQ259" s="268"/>
      <c r="BR259" s="258" t="str">
        <f t="shared" si="122"/>
        <v/>
      </c>
      <c r="BS259" s="268"/>
      <c r="BT259" s="256" t="str">
        <f t="shared" si="123"/>
        <v/>
      </c>
      <c r="BU259" s="256" t="str">
        <f t="shared" si="124"/>
        <v/>
      </c>
      <c r="BV259" s="256" t="str">
        <f t="shared" si="125"/>
        <v/>
      </c>
      <c r="BW259" s="267"/>
      <c r="BX259" s="256" t="str">
        <f t="shared" si="126"/>
        <v/>
      </c>
      <c r="BY259" s="256" t="str">
        <f t="shared" si="127"/>
        <v/>
      </c>
      <c r="BZ259" s="281"/>
      <c r="CA259" s="282"/>
      <c r="CC259" s="112" t="str">
        <f t="shared" ca="1" si="128"/>
        <v/>
      </c>
      <c r="CF259" s="284"/>
      <c r="CG259" s="284"/>
      <c r="CH259" s="284"/>
      <c r="CI259" s="284"/>
      <c r="CL259" s="356" t="str">
        <f>IFERROR(VLOOKUP(C259,'Data Sheet'!$A$3:$B$26,2,FALSE),"")</f>
        <v/>
      </c>
    </row>
    <row r="260" spans="1:90" s="98" customFormat="1" ht="15.75" x14ac:dyDescent="0.2">
      <c r="A260" s="97"/>
      <c r="B260" s="105" t="str">
        <f t="shared" si="131"/>
        <v>--</v>
      </c>
      <c r="C260" s="276"/>
      <c r="D260" s="101" t="str">
        <f>IFERROR(IF(VLOOKUP(C260,'Data Sheet'!$A$3:$D$26,4,FALSE)=0,"",VLOOKUP(C260,'Data Sheet'!$A$3:$D$26,4,FALSE)),"")</f>
        <v/>
      </c>
      <c r="E260" s="279"/>
      <c r="F260" s="103" t="str">
        <f>IFERROR(IF(VLOOKUP(E260,'Data Sheet'!$C$29:$E$174,3,FALSE)=0,"",VLOOKUP(E260,'Data Sheet'!$C$29:$E$174,3,FALSE)),"")</f>
        <v/>
      </c>
      <c r="G260" s="106" t="str">
        <f t="shared" si="129"/>
        <v>-</v>
      </c>
      <c r="H260" s="273"/>
      <c r="I260" s="107"/>
      <c r="J260" s="249" t="e">
        <f t="shared" si="130"/>
        <v>#VALUE!</v>
      </c>
      <c r="K260" s="101" t="str">
        <f>IFERROR(INDEX('Data Sheet'!$C$198:$C$275,MATCH(I260,'Data Sheet'!$F$198:$F$275,0)),"")</f>
        <v/>
      </c>
      <c r="L260" s="250" t="str">
        <f>IFERROR(INDEX('Data Sheet'!$G$198:$G$275,MATCH(I260,'Data Sheet'!$F$198:$F$275,0)),"")</f>
        <v/>
      </c>
      <c r="M260" s="194"/>
      <c r="N260" s="248"/>
      <c r="O260" s="248"/>
      <c r="P260" s="108" t="str">
        <f>IFERROR(INDEX(Setup!$D$44:$D$70,MATCH(M260,Setup!$K$44:$K$70,0))&amp;"","")</f>
        <v/>
      </c>
      <c r="Q260" s="108" t="str">
        <f>IFERROR(INDEX(Setup!$E$44:$E$70,MATCH(M260,Setup!$K$44:$K$70,0))&amp;"","")</f>
        <v/>
      </c>
      <c r="R260" s="108" t="str">
        <f>IFERROR(INDEX(Setup!$L$44:$L$70,MATCH(M260,Setup!$K$44:$K$70,0))&amp;"","")</f>
        <v/>
      </c>
      <c r="S260" s="108" t="str">
        <f>Setup!$C$30</f>
        <v>USD</v>
      </c>
      <c r="T260" s="109" t="str">
        <f>IFERROR(INDEX('Data Sheet'!$B$198:$B$275,MATCH(I260,'Data Sheet'!$F$198:$F$275,0)),"")</f>
        <v/>
      </c>
      <c r="U260" s="110" t="str">
        <f>IFERROR(INDEX('Data Sheet'!$D$198:$D$275,MATCH(I260,'Data Sheet'!$F$198:$F$275,0)),"")</f>
        <v/>
      </c>
      <c r="V260" s="99"/>
      <c r="W260" s="195" t="str">
        <f>IF(V260=Setup!$C$30,"Grant",IF(V260=Setup!$C$31,"Local",IF(V260=Setup!$C$32,"Other",IF(ISBLANK(V260),"","Other"))))</f>
        <v/>
      </c>
      <c r="X260" s="255"/>
      <c r="Y260" s="259" t="str">
        <f>IF(X260&lt;&gt;"",X260/VLOOKUP($V260,Setup!$C$30:$D$41,2,0),"")</f>
        <v/>
      </c>
      <c r="Z260" s="262"/>
      <c r="AA260" s="256" t="str">
        <f t="shared" si="102"/>
        <v/>
      </c>
      <c r="AB260" s="262"/>
      <c r="AC260" s="258" t="str">
        <f t="shared" si="103"/>
        <v/>
      </c>
      <c r="AD260" s="262"/>
      <c r="AE260" s="258" t="str">
        <f t="shared" si="104"/>
        <v/>
      </c>
      <c r="AF260" s="262"/>
      <c r="AG260" s="256" t="str">
        <f t="shared" si="105"/>
        <v/>
      </c>
      <c r="AH260" s="256" t="str">
        <f t="shared" si="106"/>
        <v/>
      </c>
      <c r="AI260" s="256" t="str">
        <f t="shared" si="107"/>
        <v/>
      </c>
      <c r="AJ260" s="111"/>
      <c r="AK260" s="255"/>
      <c r="AL260" s="259" t="str">
        <f>IF(AK260&lt;&gt;"",AK260/VLOOKUP($V260,Setup!$C$30:$D$41,2,0),"")</f>
        <v/>
      </c>
      <c r="AM260" s="266"/>
      <c r="AN260" s="258" t="str">
        <f t="shared" si="108"/>
        <v/>
      </c>
      <c r="AO260" s="266"/>
      <c r="AP260" s="258" t="str">
        <f t="shared" si="109"/>
        <v/>
      </c>
      <c r="AQ260" s="266"/>
      <c r="AR260" s="258" t="str">
        <f t="shared" si="110"/>
        <v/>
      </c>
      <c r="AS260" s="266"/>
      <c r="AT260" s="256" t="str">
        <f t="shared" si="111"/>
        <v/>
      </c>
      <c r="AU260" s="256" t="str">
        <f t="shared" si="112"/>
        <v/>
      </c>
      <c r="AV260" s="256" t="str">
        <f t="shared" si="113"/>
        <v/>
      </c>
      <c r="AW260" s="267"/>
      <c r="AX260" s="255"/>
      <c r="AY260" s="259" t="str">
        <f>IF(AX260&lt;&gt;"",AX260/VLOOKUP($V260,Setup!$C$30:$D$41,2,0),"")</f>
        <v/>
      </c>
      <c r="AZ260" s="268"/>
      <c r="BA260" s="258" t="str">
        <f t="shared" si="114"/>
        <v/>
      </c>
      <c r="BB260" s="268"/>
      <c r="BC260" s="258" t="str">
        <f t="shared" si="115"/>
        <v/>
      </c>
      <c r="BD260" s="268"/>
      <c r="BE260" s="258" t="str">
        <f t="shared" si="116"/>
        <v/>
      </c>
      <c r="BF260" s="268"/>
      <c r="BG260" s="256" t="str">
        <f t="shared" si="117"/>
        <v/>
      </c>
      <c r="BH260" s="256" t="str">
        <f t="shared" si="118"/>
        <v/>
      </c>
      <c r="BI260" s="256" t="str">
        <f t="shared" si="119"/>
        <v/>
      </c>
      <c r="BJ260" s="267"/>
      <c r="BK260" s="255"/>
      <c r="BL260" s="259" t="str">
        <f>IF(BK260&lt;&gt;"",BK260/VLOOKUP($V260,Setup!$C$30:$D$41,2,0),"")</f>
        <v/>
      </c>
      <c r="BM260" s="268"/>
      <c r="BN260" s="258" t="str">
        <f t="shared" si="120"/>
        <v/>
      </c>
      <c r="BO260" s="268"/>
      <c r="BP260" s="258" t="str">
        <f t="shared" si="121"/>
        <v/>
      </c>
      <c r="BQ260" s="268"/>
      <c r="BR260" s="258" t="str">
        <f t="shared" si="122"/>
        <v/>
      </c>
      <c r="BS260" s="268"/>
      <c r="BT260" s="256" t="str">
        <f t="shared" si="123"/>
        <v/>
      </c>
      <c r="BU260" s="256" t="str">
        <f t="shared" si="124"/>
        <v/>
      </c>
      <c r="BV260" s="256" t="str">
        <f t="shared" si="125"/>
        <v/>
      </c>
      <c r="BW260" s="267"/>
      <c r="BX260" s="256" t="str">
        <f t="shared" si="126"/>
        <v/>
      </c>
      <c r="BY260" s="256" t="str">
        <f t="shared" si="127"/>
        <v/>
      </c>
      <c r="BZ260" s="281"/>
      <c r="CA260" s="282"/>
      <c r="CC260" s="112" t="str">
        <f t="shared" ca="1" si="128"/>
        <v/>
      </c>
      <c r="CF260" s="284"/>
      <c r="CG260" s="284"/>
      <c r="CH260" s="284"/>
      <c r="CI260" s="284"/>
      <c r="CL260" s="356" t="str">
        <f>IFERROR(VLOOKUP(C260,'Data Sheet'!$A$3:$B$26,2,FALSE),"")</f>
        <v/>
      </c>
    </row>
    <row r="261" spans="1:90" s="98" customFormat="1" ht="15.75" x14ac:dyDescent="0.2">
      <c r="A261" s="97"/>
      <c r="B261" s="105" t="str">
        <f t="shared" si="131"/>
        <v>--</v>
      </c>
      <c r="C261" s="276"/>
      <c r="D261" s="101" t="str">
        <f>IFERROR(IF(VLOOKUP(C261,'Data Sheet'!$A$3:$D$26,4,FALSE)=0,"",VLOOKUP(C261,'Data Sheet'!$A$3:$D$26,4,FALSE)),"")</f>
        <v/>
      </c>
      <c r="E261" s="279"/>
      <c r="F261" s="103" t="str">
        <f>IFERROR(IF(VLOOKUP(E261,'Data Sheet'!$C$29:$E$174,3,FALSE)=0,"",VLOOKUP(E261,'Data Sheet'!$C$29:$E$174,3,FALSE)),"")</f>
        <v/>
      </c>
      <c r="G261" s="106" t="str">
        <f t="shared" si="129"/>
        <v>-</v>
      </c>
      <c r="H261" s="273"/>
      <c r="I261" s="107"/>
      <c r="J261" s="249" t="e">
        <f t="shared" si="130"/>
        <v>#VALUE!</v>
      </c>
      <c r="K261" s="101" t="str">
        <f>IFERROR(INDEX('Data Sheet'!$C$198:$C$275,MATCH(I261,'Data Sheet'!$F$198:$F$275,0)),"")</f>
        <v/>
      </c>
      <c r="L261" s="250" t="str">
        <f>IFERROR(INDEX('Data Sheet'!$G$198:$G$275,MATCH(I261,'Data Sheet'!$F$198:$F$275,0)),"")</f>
        <v/>
      </c>
      <c r="M261" s="194"/>
      <c r="N261" s="248"/>
      <c r="O261" s="248"/>
      <c r="P261" s="108" t="str">
        <f>IFERROR(INDEX(Setup!$D$44:$D$70,MATCH(M261,Setup!$K$44:$K$70,0))&amp;"","")</f>
        <v/>
      </c>
      <c r="Q261" s="108" t="str">
        <f>IFERROR(INDEX(Setup!$E$44:$E$70,MATCH(M261,Setup!$K$44:$K$70,0))&amp;"","")</f>
        <v/>
      </c>
      <c r="R261" s="108" t="str">
        <f>IFERROR(INDEX(Setup!$L$44:$L$70,MATCH(M261,Setup!$K$44:$K$70,0))&amp;"","")</f>
        <v/>
      </c>
      <c r="S261" s="108" t="str">
        <f>Setup!$C$30</f>
        <v>USD</v>
      </c>
      <c r="T261" s="109" t="str">
        <f>IFERROR(INDEX('Data Sheet'!$B$198:$B$275,MATCH(I261,'Data Sheet'!$F$198:$F$275,0)),"")</f>
        <v/>
      </c>
      <c r="U261" s="110" t="str">
        <f>IFERROR(INDEX('Data Sheet'!$D$198:$D$275,MATCH(I261,'Data Sheet'!$F$198:$F$275,0)),"")</f>
        <v/>
      </c>
      <c r="V261" s="99"/>
      <c r="W261" s="195" t="str">
        <f>IF(V261=Setup!$C$30,"Grant",IF(V261=Setup!$C$31,"Local",IF(V261=Setup!$C$32,"Other",IF(ISBLANK(V261),"","Other"))))</f>
        <v/>
      </c>
      <c r="X261" s="255"/>
      <c r="Y261" s="259" t="str">
        <f>IF(X261&lt;&gt;"",X261/VLOOKUP($V261,Setup!$C$30:$D$41,2,0),"")</f>
        <v/>
      </c>
      <c r="Z261" s="262"/>
      <c r="AA261" s="256" t="str">
        <f t="shared" ref="AA261:AA324" si="132">IFERROR(IF(AND(NOT(Z261=""),NOT(Y261="")),Z261*Y261,""),"")</f>
        <v/>
      </c>
      <c r="AB261" s="262"/>
      <c r="AC261" s="258" t="str">
        <f t="shared" ref="AC261:AC324" si="133">IFERROR(IF(AND(NOT(AB261=""),NOT(Y261="")),AB261*Y261,""),"")</f>
        <v/>
      </c>
      <c r="AD261" s="262"/>
      <c r="AE261" s="258" t="str">
        <f t="shared" ref="AE261:AE324" si="134">IFERROR(IF(AND(NOT(AD261=""),NOT(Y261="")),AD261*Y261,""),"")</f>
        <v/>
      </c>
      <c r="AF261" s="262"/>
      <c r="AG261" s="256" t="str">
        <f t="shared" ref="AG261:AG324" si="135">IFERROR(IF(AND(NOT(AF261=""),NOT(Y261="")),AF261*Y261,""),"")</f>
        <v/>
      </c>
      <c r="AH261" s="256" t="str">
        <f t="shared" ref="AH261:AH324" si="136">IFERROR(IF(OR(NOT(Z261=""),NOT(AF261=""),NOT(AB261=""),NOT(AD261="")),Z261+AF261+AB261+AD261,""),"")</f>
        <v/>
      </c>
      <c r="AI261" s="256" t="str">
        <f t="shared" ref="AI261:AI324" si="137">IF(SUM(AA261,AC261,AE261,AG261)&gt;0,SUM(AA261,AC261,AE261,AG261),"")</f>
        <v/>
      </c>
      <c r="AJ261" s="111"/>
      <c r="AK261" s="255"/>
      <c r="AL261" s="259" t="str">
        <f>IF(AK261&lt;&gt;"",AK261/VLOOKUP($V261,Setup!$C$30:$D$41,2,0),"")</f>
        <v/>
      </c>
      <c r="AM261" s="266"/>
      <c r="AN261" s="258" t="str">
        <f t="shared" ref="AN261:AN324" si="138">IFERROR(IF(AND(NOT(AM261=""),NOT(AL261="")),AM261*$AL261,""),"")</f>
        <v/>
      </c>
      <c r="AO261" s="266"/>
      <c r="AP261" s="258" t="str">
        <f t="shared" ref="AP261:AP324" si="139">IFERROR(IF(AND(NOT(AO261=""),NOT(AL261="")),AO261*$AL261,""),"")</f>
        <v/>
      </c>
      <c r="AQ261" s="266"/>
      <c r="AR261" s="258" t="str">
        <f t="shared" ref="AR261:AR324" si="140">IFERROR(IF(AND(NOT(AQ261=""),NOT(AL261="")),AQ261*$AL261,""),"")</f>
        <v/>
      </c>
      <c r="AS261" s="266"/>
      <c r="AT261" s="256" t="str">
        <f t="shared" ref="AT261:AT324" si="141">IFERROR(IF(AND(NOT(AS261=""),NOT(AL261="")),AS261*$AL261,""),"")</f>
        <v/>
      </c>
      <c r="AU261" s="256" t="str">
        <f t="shared" ref="AU261:AU324" si="142">IFERROR(IF(OR(NOT(AM261=""),NOT(AS261=""),NOT(AO261=""),NOT(AQ261="")),AM261+AS261+AO261+AQ261,""),"")</f>
        <v/>
      </c>
      <c r="AV261" s="256" t="str">
        <f t="shared" ref="AV261:AV324" si="143">IF(SUM(AN261,AT261,AP261,AR261)&gt;0,SUM(AN261,AT261,AP261,AR261),"")</f>
        <v/>
      </c>
      <c r="AW261" s="267"/>
      <c r="AX261" s="255"/>
      <c r="AY261" s="259" t="str">
        <f>IF(AX261&lt;&gt;"",AX261/VLOOKUP($V261,Setup!$C$30:$D$41,2,0),"")</f>
        <v/>
      </c>
      <c r="AZ261" s="268"/>
      <c r="BA261" s="258" t="str">
        <f t="shared" ref="BA261:BA324" si="144">IFERROR(IF(AND(NOT(AZ261=""),NOT(AY261="")),AZ261*$AY261,""),"")</f>
        <v/>
      </c>
      <c r="BB261" s="268"/>
      <c r="BC261" s="258" t="str">
        <f t="shared" ref="BC261:BC324" si="145">IFERROR(IF(AND(NOT(BB261=""),NOT(AY261="")),BB261*$AY261,""),"")</f>
        <v/>
      </c>
      <c r="BD261" s="268"/>
      <c r="BE261" s="258" t="str">
        <f t="shared" ref="BE261:BE324" si="146">IFERROR(IF(AND(NOT(BD261=""),NOT(AY261="")),BD261*$AY261,""),"")</f>
        <v/>
      </c>
      <c r="BF261" s="268"/>
      <c r="BG261" s="256" t="str">
        <f t="shared" ref="BG261:BG324" si="147">IFERROR(IF(AND(NOT(BF261=""),NOT(AY261="")),BF261*$AY261,""),"")</f>
        <v/>
      </c>
      <c r="BH261" s="256" t="str">
        <f t="shared" ref="BH261:BH324" si="148">IFERROR(IF(OR(NOT(AZ261=""),NOT(BF261=""),NOT(BB261=""),NOT(BD261="")),AZ261+BF261+BB261+BD261,""),"")</f>
        <v/>
      </c>
      <c r="BI261" s="256" t="str">
        <f t="shared" ref="BI261:BI324" si="149">IF(SUM(BA261,BG261,BC261,BE261)&gt;0,SUM(BA261,BG261,BC261,BE261),"")</f>
        <v/>
      </c>
      <c r="BJ261" s="267"/>
      <c r="BK261" s="255"/>
      <c r="BL261" s="259" t="str">
        <f>IF(BK261&lt;&gt;"",BK261/VLOOKUP($V261,Setup!$C$30:$D$41,2,0),"")</f>
        <v/>
      </c>
      <c r="BM261" s="268"/>
      <c r="BN261" s="258" t="str">
        <f t="shared" ref="BN261:BN324" si="150">IFERROR(IF(AND(NOT(BM261=""),NOT(BL261="")),BM261*$BL261,""),"")</f>
        <v/>
      </c>
      <c r="BO261" s="268"/>
      <c r="BP261" s="258" t="str">
        <f t="shared" ref="BP261:BP324" si="151">IFERROR(IF(AND(NOT(BO261=""),NOT(BL261="")),BO261*$BL261,""),"")</f>
        <v/>
      </c>
      <c r="BQ261" s="268"/>
      <c r="BR261" s="258" t="str">
        <f t="shared" ref="BR261:BR324" si="152">IFERROR(IF(AND(NOT(BQ261=""),NOT(BL261="")),BQ261*$BL261,""),"")</f>
        <v/>
      </c>
      <c r="BS261" s="268"/>
      <c r="BT261" s="256" t="str">
        <f t="shared" ref="BT261:BT324" si="153">IFERROR(IF(AND(NOT(BS261=""),NOT(BL261="")),BS261*$BL261,""),"")</f>
        <v/>
      </c>
      <c r="BU261" s="256" t="str">
        <f t="shared" ref="BU261:BU324" si="154">IFERROR(IF(OR(NOT(BM261=""),NOT(BS261=""),NOT(BO261=""),NOT(BQ261="")),BM261+BS261+BO261+BQ261,""),"")</f>
        <v/>
      </c>
      <c r="BV261" s="256" t="str">
        <f t="shared" ref="BV261:BV324" si="155">IF(SUM(BN261,BT261,BP261,BR261)&gt;0,SUM(BN261,BT261,BP261,BR261),"")</f>
        <v/>
      </c>
      <c r="BW261" s="267"/>
      <c r="BX261" s="256" t="str">
        <f t="shared" ref="BX261:BX324" si="156">IF(SUM(AH261,AU261,BH261,BU261)&gt;0,SUM(AH261,AU261,BH261,BU261),"")</f>
        <v/>
      </c>
      <c r="BY261" s="256" t="str">
        <f t="shared" ref="BY261:BY324" si="157">IF(SUM(AI261,AV261,BI261,BV261)&gt;0,SUM(AI261,AV261,BI261,BV261),"")</f>
        <v/>
      </c>
      <c r="BZ261" s="281"/>
      <c r="CA261" s="282"/>
      <c r="CC261" s="112" t="str">
        <f t="shared" ref="CC261:CC324" ca="1" si="158">IF(OR(B261="--",IFERROR(MATCH(B261,OFFSET(B$4,0,0,ROW()-1,1),0),1)&lt;&gt;1),"",1)</f>
        <v/>
      </c>
      <c r="CF261" s="284"/>
      <c r="CG261" s="284"/>
      <c r="CH261" s="284"/>
      <c r="CI261" s="284"/>
      <c r="CL261" s="356" t="str">
        <f>IFERROR(VLOOKUP(C261,'Data Sheet'!$A$3:$B$26,2,FALSE),"")</f>
        <v/>
      </c>
    </row>
    <row r="262" spans="1:90" s="98" customFormat="1" ht="15.75" x14ac:dyDescent="0.2">
      <c r="A262" s="97"/>
      <c r="B262" s="105" t="str">
        <f t="shared" si="131"/>
        <v>--</v>
      </c>
      <c r="C262" s="276"/>
      <c r="D262" s="101" t="str">
        <f>IFERROR(IF(VLOOKUP(C262,'Data Sheet'!$A$3:$D$26,4,FALSE)=0,"",VLOOKUP(C262,'Data Sheet'!$A$3:$D$26,4,FALSE)),"")</f>
        <v/>
      </c>
      <c r="E262" s="279"/>
      <c r="F262" s="103" t="str">
        <f>IFERROR(IF(VLOOKUP(E262,'Data Sheet'!$C$29:$E$174,3,FALSE)=0,"",VLOOKUP(E262,'Data Sheet'!$C$29:$E$174,3,FALSE)),"")</f>
        <v/>
      </c>
      <c r="G262" s="106" t="str">
        <f t="shared" ref="G262:G325" si="159">CONCATENATE(D262,"-",F262)</f>
        <v>-</v>
      </c>
      <c r="H262" s="273"/>
      <c r="I262" s="107"/>
      <c r="J262" s="249" t="e">
        <f t="shared" ref="J262:J325" si="160">LEFT(I262,SEARCH(".",I262,1)+1)</f>
        <v>#VALUE!</v>
      </c>
      <c r="K262" s="101" t="str">
        <f>IFERROR(INDEX('Data Sheet'!$C$198:$C$275,MATCH(I262,'Data Sheet'!$F$198:$F$275,0)),"")</f>
        <v/>
      </c>
      <c r="L262" s="250" t="str">
        <f>IFERROR(INDEX('Data Sheet'!$G$198:$G$275,MATCH(I262,'Data Sheet'!$F$198:$F$275,0)),"")</f>
        <v/>
      </c>
      <c r="M262" s="194"/>
      <c r="N262" s="248"/>
      <c r="O262" s="248"/>
      <c r="P262" s="108" t="str">
        <f>IFERROR(INDEX(Setup!$D$44:$D$70,MATCH(M262,Setup!$K$44:$K$70,0))&amp;"","")</f>
        <v/>
      </c>
      <c r="Q262" s="108" t="str">
        <f>IFERROR(INDEX(Setup!$E$44:$E$70,MATCH(M262,Setup!$K$44:$K$70,0))&amp;"","")</f>
        <v/>
      </c>
      <c r="R262" s="108" t="str">
        <f>IFERROR(INDEX(Setup!$L$44:$L$70,MATCH(M262,Setup!$K$44:$K$70,0))&amp;"","")</f>
        <v/>
      </c>
      <c r="S262" s="108" t="str">
        <f>Setup!$C$30</f>
        <v>USD</v>
      </c>
      <c r="T262" s="109" t="str">
        <f>IFERROR(INDEX('Data Sheet'!$B$198:$B$275,MATCH(I262,'Data Sheet'!$F$198:$F$275,0)),"")</f>
        <v/>
      </c>
      <c r="U262" s="110" t="str">
        <f>IFERROR(INDEX('Data Sheet'!$D$198:$D$275,MATCH(I262,'Data Sheet'!$F$198:$F$275,0)),"")</f>
        <v/>
      </c>
      <c r="V262" s="99"/>
      <c r="W262" s="195" t="str">
        <f>IF(V262=Setup!$C$30,"Grant",IF(V262=Setup!$C$31,"Local",IF(V262=Setup!$C$32,"Other",IF(ISBLANK(V262),"","Other"))))</f>
        <v/>
      </c>
      <c r="X262" s="255"/>
      <c r="Y262" s="259" t="str">
        <f>IF(X262&lt;&gt;"",X262/VLOOKUP($V262,Setup!$C$30:$D$41,2,0),"")</f>
        <v/>
      </c>
      <c r="Z262" s="262"/>
      <c r="AA262" s="256" t="str">
        <f t="shared" si="132"/>
        <v/>
      </c>
      <c r="AB262" s="262"/>
      <c r="AC262" s="258" t="str">
        <f t="shared" si="133"/>
        <v/>
      </c>
      <c r="AD262" s="262"/>
      <c r="AE262" s="258" t="str">
        <f t="shared" si="134"/>
        <v/>
      </c>
      <c r="AF262" s="262"/>
      <c r="AG262" s="256" t="str">
        <f t="shared" si="135"/>
        <v/>
      </c>
      <c r="AH262" s="256" t="str">
        <f t="shared" si="136"/>
        <v/>
      </c>
      <c r="AI262" s="256" t="str">
        <f t="shared" si="137"/>
        <v/>
      </c>
      <c r="AJ262" s="111"/>
      <c r="AK262" s="255"/>
      <c r="AL262" s="259" t="str">
        <f>IF(AK262&lt;&gt;"",AK262/VLOOKUP($V262,Setup!$C$30:$D$41,2,0),"")</f>
        <v/>
      </c>
      <c r="AM262" s="266"/>
      <c r="AN262" s="258" t="str">
        <f t="shared" si="138"/>
        <v/>
      </c>
      <c r="AO262" s="266"/>
      <c r="AP262" s="258" t="str">
        <f t="shared" si="139"/>
        <v/>
      </c>
      <c r="AQ262" s="266"/>
      <c r="AR262" s="258" t="str">
        <f t="shared" si="140"/>
        <v/>
      </c>
      <c r="AS262" s="266"/>
      <c r="AT262" s="256" t="str">
        <f t="shared" si="141"/>
        <v/>
      </c>
      <c r="AU262" s="256" t="str">
        <f t="shared" si="142"/>
        <v/>
      </c>
      <c r="AV262" s="256" t="str">
        <f t="shared" si="143"/>
        <v/>
      </c>
      <c r="AW262" s="267"/>
      <c r="AX262" s="255"/>
      <c r="AY262" s="259" t="str">
        <f>IF(AX262&lt;&gt;"",AX262/VLOOKUP($V262,Setup!$C$30:$D$41,2,0),"")</f>
        <v/>
      </c>
      <c r="AZ262" s="268"/>
      <c r="BA262" s="258" t="str">
        <f t="shared" si="144"/>
        <v/>
      </c>
      <c r="BB262" s="268"/>
      <c r="BC262" s="258" t="str">
        <f t="shared" si="145"/>
        <v/>
      </c>
      <c r="BD262" s="268"/>
      <c r="BE262" s="258" t="str">
        <f t="shared" si="146"/>
        <v/>
      </c>
      <c r="BF262" s="268"/>
      <c r="BG262" s="256" t="str">
        <f t="shared" si="147"/>
        <v/>
      </c>
      <c r="BH262" s="256" t="str">
        <f t="shared" si="148"/>
        <v/>
      </c>
      <c r="BI262" s="256" t="str">
        <f t="shared" si="149"/>
        <v/>
      </c>
      <c r="BJ262" s="267"/>
      <c r="BK262" s="255"/>
      <c r="BL262" s="259" t="str">
        <f>IF(BK262&lt;&gt;"",BK262/VLOOKUP($V262,Setup!$C$30:$D$41,2,0),"")</f>
        <v/>
      </c>
      <c r="BM262" s="268"/>
      <c r="BN262" s="258" t="str">
        <f t="shared" si="150"/>
        <v/>
      </c>
      <c r="BO262" s="268"/>
      <c r="BP262" s="258" t="str">
        <f t="shared" si="151"/>
        <v/>
      </c>
      <c r="BQ262" s="268"/>
      <c r="BR262" s="258" t="str">
        <f t="shared" si="152"/>
        <v/>
      </c>
      <c r="BS262" s="268"/>
      <c r="BT262" s="256" t="str">
        <f t="shared" si="153"/>
        <v/>
      </c>
      <c r="BU262" s="256" t="str">
        <f t="shared" si="154"/>
        <v/>
      </c>
      <c r="BV262" s="256" t="str">
        <f t="shared" si="155"/>
        <v/>
      </c>
      <c r="BW262" s="267"/>
      <c r="BX262" s="256" t="str">
        <f t="shared" si="156"/>
        <v/>
      </c>
      <c r="BY262" s="256" t="str">
        <f t="shared" si="157"/>
        <v/>
      </c>
      <c r="BZ262" s="281"/>
      <c r="CA262" s="282"/>
      <c r="CC262" s="112" t="str">
        <f t="shared" ca="1" si="158"/>
        <v/>
      </c>
      <c r="CF262" s="284"/>
      <c r="CG262" s="284"/>
      <c r="CH262" s="284"/>
      <c r="CI262" s="284"/>
      <c r="CL262" s="356" t="str">
        <f>IFERROR(VLOOKUP(C262,'Data Sheet'!$A$3:$B$26,2,FALSE),"")</f>
        <v/>
      </c>
    </row>
    <row r="263" spans="1:90" s="98" customFormat="1" ht="15.75" x14ac:dyDescent="0.2">
      <c r="A263" s="97"/>
      <c r="B263" s="105" t="str">
        <f t="shared" si="131"/>
        <v>--</v>
      </c>
      <c r="C263" s="276"/>
      <c r="D263" s="101" t="str">
        <f>IFERROR(IF(VLOOKUP(C263,'Data Sheet'!$A$3:$D$26,4,FALSE)=0,"",VLOOKUP(C263,'Data Sheet'!$A$3:$D$26,4,FALSE)),"")</f>
        <v/>
      </c>
      <c r="E263" s="279"/>
      <c r="F263" s="103" t="str">
        <f>IFERROR(IF(VLOOKUP(E263,'Data Sheet'!$C$29:$E$174,3,FALSE)=0,"",VLOOKUP(E263,'Data Sheet'!$C$29:$E$174,3,FALSE)),"")</f>
        <v/>
      </c>
      <c r="G263" s="106" t="str">
        <f t="shared" si="159"/>
        <v>-</v>
      </c>
      <c r="H263" s="273"/>
      <c r="I263" s="107"/>
      <c r="J263" s="249" t="e">
        <f t="shared" si="160"/>
        <v>#VALUE!</v>
      </c>
      <c r="K263" s="101" t="str">
        <f>IFERROR(INDEX('Data Sheet'!$C$198:$C$275,MATCH(I263,'Data Sheet'!$F$198:$F$275,0)),"")</f>
        <v/>
      </c>
      <c r="L263" s="250" t="str">
        <f>IFERROR(INDEX('Data Sheet'!$G$198:$G$275,MATCH(I263,'Data Sheet'!$F$198:$F$275,0)),"")</f>
        <v/>
      </c>
      <c r="M263" s="194"/>
      <c r="N263" s="248"/>
      <c r="O263" s="248"/>
      <c r="P263" s="108" t="str">
        <f>IFERROR(INDEX(Setup!$D$44:$D$70,MATCH(M263,Setup!$K$44:$K$70,0))&amp;"","")</f>
        <v/>
      </c>
      <c r="Q263" s="108" t="str">
        <f>IFERROR(INDEX(Setup!$E$44:$E$70,MATCH(M263,Setup!$K$44:$K$70,0))&amp;"","")</f>
        <v/>
      </c>
      <c r="R263" s="108" t="str">
        <f>IFERROR(INDEX(Setup!$L$44:$L$70,MATCH(M263,Setup!$K$44:$K$70,0))&amp;"","")</f>
        <v/>
      </c>
      <c r="S263" s="108" t="str">
        <f>Setup!$C$30</f>
        <v>USD</v>
      </c>
      <c r="T263" s="109" t="str">
        <f>IFERROR(INDEX('Data Sheet'!$B$198:$B$275,MATCH(I263,'Data Sheet'!$F$198:$F$275,0)),"")</f>
        <v/>
      </c>
      <c r="U263" s="110" t="str">
        <f>IFERROR(INDEX('Data Sheet'!$D$198:$D$275,MATCH(I263,'Data Sheet'!$F$198:$F$275,0)),"")</f>
        <v/>
      </c>
      <c r="V263" s="99"/>
      <c r="W263" s="195" t="str">
        <f>IF(V263=Setup!$C$30,"Grant",IF(V263=Setup!$C$31,"Local",IF(V263=Setup!$C$32,"Other",IF(ISBLANK(V263),"","Other"))))</f>
        <v/>
      </c>
      <c r="X263" s="255"/>
      <c r="Y263" s="259" t="str">
        <f>IF(X263&lt;&gt;"",X263/VLOOKUP($V263,Setup!$C$30:$D$41,2,0),"")</f>
        <v/>
      </c>
      <c r="Z263" s="262"/>
      <c r="AA263" s="256" t="str">
        <f t="shared" si="132"/>
        <v/>
      </c>
      <c r="AB263" s="262"/>
      <c r="AC263" s="258" t="str">
        <f t="shared" si="133"/>
        <v/>
      </c>
      <c r="AD263" s="262"/>
      <c r="AE263" s="258" t="str">
        <f t="shared" si="134"/>
        <v/>
      </c>
      <c r="AF263" s="262"/>
      <c r="AG263" s="256" t="str">
        <f t="shared" si="135"/>
        <v/>
      </c>
      <c r="AH263" s="256" t="str">
        <f t="shared" si="136"/>
        <v/>
      </c>
      <c r="AI263" s="256" t="str">
        <f t="shared" si="137"/>
        <v/>
      </c>
      <c r="AJ263" s="111"/>
      <c r="AK263" s="255"/>
      <c r="AL263" s="259" t="str">
        <f>IF(AK263&lt;&gt;"",AK263/VLOOKUP($V263,Setup!$C$30:$D$41,2,0),"")</f>
        <v/>
      </c>
      <c r="AM263" s="266"/>
      <c r="AN263" s="258" t="str">
        <f t="shared" si="138"/>
        <v/>
      </c>
      <c r="AO263" s="266"/>
      <c r="AP263" s="258" t="str">
        <f t="shared" si="139"/>
        <v/>
      </c>
      <c r="AQ263" s="266"/>
      <c r="AR263" s="258" t="str">
        <f t="shared" si="140"/>
        <v/>
      </c>
      <c r="AS263" s="266"/>
      <c r="AT263" s="256" t="str">
        <f t="shared" si="141"/>
        <v/>
      </c>
      <c r="AU263" s="256" t="str">
        <f t="shared" si="142"/>
        <v/>
      </c>
      <c r="AV263" s="256" t="str">
        <f t="shared" si="143"/>
        <v/>
      </c>
      <c r="AW263" s="267"/>
      <c r="AX263" s="255"/>
      <c r="AY263" s="259" t="str">
        <f>IF(AX263&lt;&gt;"",AX263/VLOOKUP($V263,Setup!$C$30:$D$41,2,0),"")</f>
        <v/>
      </c>
      <c r="AZ263" s="268"/>
      <c r="BA263" s="258" t="str">
        <f t="shared" si="144"/>
        <v/>
      </c>
      <c r="BB263" s="268"/>
      <c r="BC263" s="258" t="str">
        <f t="shared" si="145"/>
        <v/>
      </c>
      <c r="BD263" s="268"/>
      <c r="BE263" s="258" t="str">
        <f t="shared" si="146"/>
        <v/>
      </c>
      <c r="BF263" s="268"/>
      <c r="BG263" s="256" t="str">
        <f t="shared" si="147"/>
        <v/>
      </c>
      <c r="BH263" s="256" t="str">
        <f t="shared" si="148"/>
        <v/>
      </c>
      <c r="BI263" s="256" t="str">
        <f t="shared" si="149"/>
        <v/>
      </c>
      <c r="BJ263" s="267"/>
      <c r="BK263" s="255"/>
      <c r="BL263" s="259" t="str">
        <f>IF(BK263&lt;&gt;"",BK263/VLOOKUP($V263,Setup!$C$30:$D$41,2,0),"")</f>
        <v/>
      </c>
      <c r="BM263" s="268"/>
      <c r="BN263" s="258" t="str">
        <f t="shared" si="150"/>
        <v/>
      </c>
      <c r="BO263" s="268"/>
      <c r="BP263" s="258" t="str">
        <f t="shared" si="151"/>
        <v/>
      </c>
      <c r="BQ263" s="268"/>
      <c r="BR263" s="258" t="str">
        <f t="shared" si="152"/>
        <v/>
      </c>
      <c r="BS263" s="268"/>
      <c r="BT263" s="256" t="str">
        <f t="shared" si="153"/>
        <v/>
      </c>
      <c r="BU263" s="256" t="str">
        <f t="shared" si="154"/>
        <v/>
      </c>
      <c r="BV263" s="256" t="str">
        <f t="shared" si="155"/>
        <v/>
      </c>
      <c r="BW263" s="267"/>
      <c r="BX263" s="256" t="str">
        <f t="shared" si="156"/>
        <v/>
      </c>
      <c r="BY263" s="256" t="str">
        <f t="shared" si="157"/>
        <v/>
      </c>
      <c r="BZ263" s="281"/>
      <c r="CA263" s="282"/>
      <c r="CC263" s="112" t="str">
        <f t="shared" ca="1" si="158"/>
        <v/>
      </c>
      <c r="CF263" s="284"/>
      <c r="CG263" s="284"/>
      <c r="CH263" s="284"/>
      <c r="CI263" s="284"/>
      <c r="CL263" s="356" t="str">
        <f>IFERROR(VLOOKUP(C263,'Data Sheet'!$A$3:$B$26,2,FALSE),"")</f>
        <v/>
      </c>
    </row>
    <row r="264" spans="1:90" s="98" customFormat="1" ht="15.75" x14ac:dyDescent="0.2">
      <c r="A264" s="97"/>
      <c r="B264" s="105" t="str">
        <f t="shared" si="131"/>
        <v>--</v>
      </c>
      <c r="C264" s="276"/>
      <c r="D264" s="101" t="str">
        <f>IFERROR(IF(VLOOKUP(C264,'Data Sheet'!$A$3:$D$26,4,FALSE)=0,"",VLOOKUP(C264,'Data Sheet'!$A$3:$D$26,4,FALSE)),"")</f>
        <v/>
      </c>
      <c r="E264" s="279"/>
      <c r="F264" s="103" t="str">
        <f>IFERROR(IF(VLOOKUP(E264,'Data Sheet'!$C$29:$E$174,3,FALSE)=0,"",VLOOKUP(E264,'Data Sheet'!$C$29:$E$174,3,FALSE)),"")</f>
        <v/>
      </c>
      <c r="G264" s="106" t="str">
        <f t="shared" si="159"/>
        <v>-</v>
      </c>
      <c r="H264" s="273"/>
      <c r="I264" s="107"/>
      <c r="J264" s="249" t="e">
        <f t="shared" si="160"/>
        <v>#VALUE!</v>
      </c>
      <c r="K264" s="101" t="str">
        <f>IFERROR(INDEX('Data Sheet'!$C$198:$C$275,MATCH(I264,'Data Sheet'!$F$198:$F$275,0)),"")</f>
        <v/>
      </c>
      <c r="L264" s="250" t="str">
        <f>IFERROR(INDEX('Data Sheet'!$G$198:$G$275,MATCH(I264,'Data Sheet'!$F$198:$F$275,0)),"")</f>
        <v/>
      </c>
      <c r="M264" s="194"/>
      <c r="N264" s="248"/>
      <c r="O264" s="248"/>
      <c r="P264" s="108" t="str">
        <f>IFERROR(INDEX(Setup!$D$44:$D$70,MATCH(M264,Setup!$K$44:$K$70,0))&amp;"","")</f>
        <v/>
      </c>
      <c r="Q264" s="108" t="str">
        <f>IFERROR(INDEX(Setup!$E$44:$E$70,MATCH(M264,Setup!$K$44:$K$70,0))&amp;"","")</f>
        <v/>
      </c>
      <c r="R264" s="108" t="str">
        <f>IFERROR(INDEX(Setup!$L$44:$L$70,MATCH(M264,Setup!$K$44:$K$70,0))&amp;"","")</f>
        <v/>
      </c>
      <c r="S264" s="108" t="str">
        <f>Setup!$C$30</f>
        <v>USD</v>
      </c>
      <c r="T264" s="109" t="str">
        <f>IFERROR(INDEX('Data Sheet'!$B$198:$B$275,MATCH(I264,'Data Sheet'!$F$198:$F$275,0)),"")</f>
        <v/>
      </c>
      <c r="U264" s="110" t="str">
        <f>IFERROR(INDEX('Data Sheet'!$D$198:$D$275,MATCH(I264,'Data Sheet'!$F$198:$F$275,0)),"")</f>
        <v/>
      </c>
      <c r="V264" s="99"/>
      <c r="W264" s="195" t="str">
        <f>IF(V264=Setup!$C$30,"Grant",IF(V264=Setup!$C$31,"Local",IF(V264=Setup!$C$32,"Other",IF(ISBLANK(V264),"","Other"))))</f>
        <v/>
      </c>
      <c r="X264" s="255"/>
      <c r="Y264" s="259" t="str">
        <f>IF(X264&lt;&gt;"",X264/VLOOKUP($V264,Setup!$C$30:$D$41,2,0),"")</f>
        <v/>
      </c>
      <c r="Z264" s="262"/>
      <c r="AA264" s="256" t="str">
        <f t="shared" si="132"/>
        <v/>
      </c>
      <c r="AB264" s="262"/>
      <c r="AC264" s="258" t="str">
        <f t="shared" si="133"/>
        <v/>
      </c>
      <c r="AD264" s="262"/>
      <c r="AE264" s="258" t="str">
        <f t="shared" si="134"/>
        <v/>
      </c>
      <c r="AF264" s="262"/>
      <c r="AG264" s="256" t="str">
        <f t="shared" si="135"/>
        <v/>
      </c>
      <c r="AH264" s="256" t="str">
        <f t="shared" si="136"/>
        <v/>
      </c>
      <c r="AI264" s="256" t="str">
        <f t="shared" si="137"/>
        <v/>
      </c>
      <c r="AJ264" s="111"/>
      <c r="AK264" s="255"/>
      <c r="AL264" s="259" t="str">
        <f>IF(AK264&lt;&gt;"",AK264/VLOOKUP($V264,Setup!$C$30:$D$41,2,0),"")</f>
        <v/>
      </c>
      <c r="AM264" s="266"/>
      <c r="AN264" s="258" t="str">
        <f t="shared" si="138"/>
        <v/>
      </c>
      <c r="AO264" s="266"/>
      <c r="AP264" s="258" t="str">
        <f t="shared" si="139"/>
        <v/>
      </c>
      <c r="AQ264" s="266"/>
      <c r="AR264" s="258" t="str">
        <f t="shared" si="140"/>
        <v/>
      </c>
      <c r="AS264" s="266"/>
      <c r="AT264" s="256" t="str">
        <f t="shared" si="141"/>
        <v/>
      </c>
      <c r="AU264" s="256" t="str">
        <f t="shared" si="142"/>
        <v/>
      </c>
      <c r="AV264" s="256" t="str">
        <f t="shared" si="143"/>
        <v/>
      </c>
      <c r="AW264" s="267"/>
      <c r="AX264" s="255"/>
      <c r="AY264" s="259" t="str">
        <f>IF(AX264&lt;&gt;"",AX264/VLOOKUP($V264,Setup!$C$30:$D$41,2,0),"")</f>
        <v/>
      </c>
      <c r="AZ264" s="268"/>
      <c r="BA264" s="258" t="str">
        <f t="shared" si="144"/>
        <v/>
      </c>
      <c r="BB264" s="268"/>
      <c r="BC264" s="258" t="str">
        <f t="shared" si="145"/>
        <v/>
      </c>
      <c r="BD264" s="268"/>
      <c r="BE264" s="258" t="str">
        <f t="shared" si="146"/>
        <v/>
      </c>
      <c r="BF264" s="268"/>
      <c r="BG264" s="256" t="str">
        <f t="shared" si="147"/>
        <v/>
      </c>
      <c r="BH264" s="256" t="str">
        <f t="shared" si="148"/>
        <v/>
      </c>
      <c r="BI264" s="256" t="str">
        <f t="shared" si="149"/>
        <v/>
      </c>
      <c r="BJ264" s="267"/>
      <c r="BK264" s="255"/>
      <c r="BL264" s="259" t="str">
        <f>IF(BK264&lt;&gt;"",BK264/VLOOKUP($V264,Setup!$C$30:$D$41,2,0),"")</f>
        <v/>
      </c>
      <c r="BM264" s="268"/>
      <c r="BN264" s="258" t="str">
        <f t="shared" si="150"/>
        <v/>
      </c>
      <c r="BO264" s="268"/>
      <c r="BP264" s="258" t="str">
        <f t="shared" si="151"/>
        <v/>
      </c>
      <c r="BQ264" s="268"/>
      <c r="BR264" s="258" t="str">
        <f t="shared" si="152"/>
        <v/>
      </c>
      <c r="BS264" s="268"/>
      <c r="BT264" s="256" t="str">
        <f t="shared" si="153"/>
        <v/>
      </c>
      <c r="BU264" s="256" t="str">
        <f t="shared" si="154"/>
        <v/>
      </c>
      <c r="BV264" s="256" t="str">
        <f t="shared" si="155"/>
        <v/>
      </c>
      <c r="BW264" s="267"/>
      <c r="BX264" s="256" t="str">
        <f t="shared" si="156"/>
        <v/>
      </c>
      <c r="BY264" s="256" t="str">
        <f t="shared" si="157"/>
        <v/>
      </c>
      <c r="BZ264" s="281"/>
      <c r="CA264" s="282"/>
      <c r="CC264" s="112" t="str">
        <f t="shared" ca="1" si="158"/>
        <v/>
      </c>
      <c r="CF264" s="284"/>
      <c r="CG264" s="284"/>
      <c r="CH264" s="284"/>
      <c r="CI264" s="284"/>
      <c r="CL264" s="356" t="str">
        <f>IFERROR(VLOOKUP(C264,'Data Sheet'!$A$3:$B$26,2,FALSE),"")</f>
        <v/>
      </c>
    </row>
    <row r="265" spans="1:90" s="98" customFormat="1" ht="15.75" x14ac:dyDescent="0.2">
      <c r="A265" s="97"/>
      <c r="B265" s="105" t="str">
        <f t="shared" si="131"/>
        <v>--</v>
      </c>
      <c r="C265" s="276"/>
      <c r="D265" s="101" t="str">
        <f>IFERROR(IF(VLOOKUP(C265,'Data Sheet'!$A$3:$D$26,4,FALSE)=0,"",VLOOKUP(C265,'Data Sheet'!$A$3:$D$26,4,FALSE)),"")</f>
        <v/>
      </c>
      <c r="E265" s="279"/>
      <c r="F265" s="103" t="str">
        <f>IFERROR(IF(VLOOKUP(E265,'Data Sheet'!$C$29:$E$174,3,FALSE)=0,"",VLOOKUP(E265,'Data Sheet'!$C$29:$E$174,3,FALSE)),"")</f>
        <v/>
      </c>
      <c r="G265" s="106" t="str">
        <f t="shared" si="159"/>
        <v>-</v>
      </c>
      <c r="H265" s="273"/>
      <c r="I265" s="107"/>
      <c r="J265" s="249" t="e">
        <f t="shared" si="160"/>
        <v>#VALUE!</v>
      </c>
      <c r="K265" s="101" t="str">
        <f>IFERROR(INDEX('Data Sheet'!$C$198:$C$275,MATCH(I265,'Data Sheet'!$F$198:$F$275,0)),"")</f>
        <v/>
      </c>
      <c r="L265" s="250" t="str">
        <f>IFERROR(INDEX('Data Sheet'!$G$198:$G$275,MATCH(I265,'Data Sheet'!$F$198:$F$275,0)),"")</f>
        <v/>
      </c>
      <c r="M265" s="194"/>
      <c r="N265" s="248"/>
      <c r="O265" s="248"/>
      <c r="P265" s="108" t="str">
        <f>IFERROR(INDEX(Setup!$D$44:$D$70,MATCH(M265,Setup!$K$44:$K$70,0))&amp;"","")</f>
        <v/>
      </c>
      <c r="Q265" s="108" t="str">
        <f>IFERROR(INDEX(Setup!$E$44:$E$70,MATCH(M265,Setup!$K$44:$K$70,0))&amp;"","")</f>
        <v/>
      </c>
      <c r="R265" s="108" t="str">
        <f>IFERROR(INDEX(Setup!$L$44:$L$70,MATCH(M265,Setup!$K$44:$K$70,0))&amp;"","")</f>
        <v/>
      </c>
      <c r="S265" s="108" t="str">
        <f>Setup!$C$30</f>
        <v>USD</v>
      </c>
      <c r="T265" s="109" t="str">
        <f>IFERROR(INDEX('Data Sheet'!$B$198:$B$275,MATCH(I265,'Data Sheet'!$F$198:$F$275,0)),"")</f>
        <v/>
      </c>
      <c r="U265" s="110" t="str">
        <f>IFERROR(INDEX('Data Sheet'!$D$198:$D$275,MATCH(I265,'Data Sheet'!$F$198:$F$275,0)),"")</f>
        <v/>
      </c>
      <c r="V265" s="99"/>
      <c r="W265" s="195" t="str">
        <f>IF(V265=Setup!$C$30,"Grant",IF(V265=Setup!$C$31,"Local",IF(V265=Setup!$C$32,"Other",IF(ISBLANK(V265),"","Other"))))</f>
        <v/>
      </c>
      <c r="X265" s="255"/>
      <c r="Y265" s="259" t="str">
        <f>IF(X265&lt;&gt;"",X265/VLOOKUP($V265,Setup!$C$30:$D$41,2,0),"")</f>
        <v/>
      </c>
      <c r="Z265" s="262"/>
      <c r="AA265" s="256" t="str">
        <f t="shared" si="132"/>
        <v/>
      </c>
      <c r="AB265" s="262"/>
      <c r="AC265" s="258" t="str">
        <f t="shared" si="133"/>
        <v/>
      </c>
      <c r="AD265" s="262"/>
      <c r="AE265" s="258" t="str">
        <f t="shared" si="134"/>
        <v/>
      </c>
      <c r="AF265" s="262"/>
      <c r="AG265" s="256" t="str">
        <f t="shared" si="135"/>
        <v/>
      </c>
      <c r="AH265" s="256" t="str">
        <f t="shared" si="136"/>
        <v/>
      </c>
      <c r="AI265" s="256" t="str">
        <f t="shared" si="137"/>
        <v/>
      </c>
      <c r="AJ265" s="111"/>
      <c r="AK265" s="255"/>
      <c r="AL265" s="259" t="str">
        <f>IF(AK265&lt;&gt;"",AK265/VLOOKUP($V265,Setup!$C$30:$D$41,2,0),"")</f>
        <v/>
      </c>
      <c r="AM265" s="266"/>
      <c r="AN265" s="258" t="str">
        <f t="shared" si="138"/>
        <v/>
      </c>
      <c r="AO265" s="266"/>
      <c r="AP265" s="258" t="str">
        <f t="shared" si="139"/>
        <v/>
      </c>
      <c r="AQ265" s="266"/>
      <c r="AR265" s="258" t="str">
        <f t="shared" si="140"/>
        <v/>
      </c>
      <c r="AS265" s="266"/>
      <c r="AT265" s="256" t="str">
        <f t="shared" si="141"/>
        <v/>
      </c>
      <c r="AU265" s="256" t="str">
        <f t="shared" si="142"/>
        <v/>
      </c>
      <c r="AV265" s="256" t="str">
        <f t="shared" si="143"/>
        <v/>
      </c>
      <c r="AW265" s="267"/>
      <c r="AX265" s="255"/>
      <c r="AY265" s="259" t="str">
        <f>IF(AX265&lt;&gt;"",AX265/VLOOKUP($V265,Setup!$C$30:$D$41,2,0),"")</f>
        <v/>
      </c>
      <c r="AZ265" s="268"/>
      <c r="BA265" s="258" t="str">
        <f t="shared" si="144"/>
        <v/>
      </c>
      <c r="BB265" s="268"/>
      <c r="BC265" s="258" t="str">
        <f t="shared" si="145"/>
        <v/>
      </c>
      <c r="BD265" s="268"/>
      <c r="BE265" s="258" t="str">
        <f t="shared" si="146"/>
        <v/>
      </c>
      <c r="BF265" s="268"/>
      <c r="BG265" s="256" t="str">
        <f t="shared" si="147"/>
        <v/>
      </c>
      <c r="BH265" s="256" t="str">
        <f t="shared" si="148"/>
        <v/>
      </c>
      <c r="BI265" s="256" t="str">
        <f t="shared" si="149"/>
        <v/>
      </c>
      <c r="BJ265" s="267"/>
      <c r="BK265" s="255"/>
      <c r="BL265" s="259" t="str">
        <f>IF(BK265&lt;&gt;"",BK265/VLOOKUP($V265,Setup!$C$30:$D$41,2,0),"")</f>
        <v/>
      </c>
      <c r="BM265" s="268"/>
      <c r="BN265" s="258" t="str">
        <f t="shared" si="150"/>
        <v/>
      </c>
      <c r="BO265" s="268"/>
      <c r="BP265" s="258" t="str">
        <f t="shared" si="151"/>
        <v/>
      </c>
      <c r="BQ265" s="268"/>
      <c r="BR265" s="258" t="str">
        <f t="shared" si="152"/>
        <v/>
      </c>
      <c r="BS265" s="268"/>
      <c r="BT265" s="256" t="str">
        <f t="shared" si="153"/>
        <v/>
      </c>
      <c r="BU265" s="256" t="str">
        <f t="shared" si="154"/>
        <v/>
      </c>
      <c r="BV265" s="256" t="str">
        <f t="shared" si="155"/>
        <v/>
      </c>
      <c r="BW265" s="267"/>
      <c r="BX265" s="256" t="str">
        <f t="shared" si="156"/>
        <v/>
      </c>
      <c r="BY265" s="256" t="str">
        <f t="shared" si="157"/>
        <v/>
      </c>
      <c r="BZ265" s="281"/>
      <c r="CA265" s="282"/>
      <c r="CC265" s="112" t="str">
        <f t="shared" ca="1" si="158"/>
        <v/>
      </c>
      <c r="CF265" s="284"/>
      <c r="CG265" s="284"/>
      <c r="CH265" s="284"/>
      <c r="CI265" s="284"/>
      <c r="CL265" s="356" t="str">
        <f>IFERROR(VLOOKUP(C265,'Data Sheet'!$A$3:$B$26,2,FALSE),"")</f>
        <v/>
      </c>
    </row>
    <row r="266" spans="1:90" s="98" customFormat="1" ht="15.75" x14ac:dyDescent="0.2">
      <c r="A266" s="97"/>
      <c r="B266" s="105" t="str">
        <f t="shared" si="131"/>
        <v>--</v>
      </c>
      <c r="C266" s="276"/>
      <c r="D266" s="101" t="str">
        <f>IFERROR(IF(VLOOKUP(C266,'Data Sheet'!$A$3:$D$26,4,FALSE)=0,"",VLOOKUP(C266,'Data Sheet'!$A$3:$D$26,4,FALSE)),"")</f>
        <v/>
      </c>
      <c r="E266" s="279"/>
      <c r="F266" s="103" t="str">
        <f>IFERROR(IF(VLOOKUP(E266,'Data Sheet'!$C$29:$E$174,3,FALSE)=0,"",VLOOKUP(E266,'Data Sheet'!$C$29:$E$174,3,FALSE)),"")</f>
        <v/>
      </c>
      <c r="G266" s="106" t="str">
        <f t="shared" si="159"/>
        <v>-</v>
      </c>
      <c r="H266" s="273"/>
      <c r="I266" s="107"/>
      <c r="J266" s="249" t="e">
        <f t="shared" si="160"/>
        <v>#VALUE!</v>
      </c>
      <c r="K266" s="101" t="str">
        <f>IFERROR(INDEX('Data Sheet'!$C$198:$C$275,MATCH(I266,'Data Sheet'!$F$198:$F$275,0)),"")</f>
        <v/>
      </c>
      <c r="L266" s="250" t="str">
        <f>IFERROR(INDEX('Data Sheet'!$G$198:$G$275,MATCH(I266,'Data Sheet'!$F$198:$F$275,0)),"")</f>
        <v/>
      </c>
      <c r="M266" s="194"/>
      <c r="N266" s="248"/>
      <c r="O266" s="248"/>
      <c r="P266" s="108" t="str">
        <f>IFERROR(INDEX(Setup!$D$44:$D$70,MATCH(M266,Setup!$K$44:$K$70,0))&amp;"","")</f>
        <v/>
      </c>
      <c r="Q266" s="108" t="str">
        <f>IFERROR(INDEX(Setup!$E$44:$E$70,MATCH(M266,Setup!$K$44:$K$70,0))&amp;"","")</f>
        <v/>
      </c>
      <c r="R266" s="108" t="str">
        <f>IFERROR(INDEX(Setup!$L$44:$L$70,MATCH(M266,Setup!$K$44:$K$70,0))&amp;"","")</f>
        <v/>
      </c>
      <c r="S266" s="108" t="str">
        <f>Setup!$C$30</f>
        <v>USD</v>
      </c>
      <c r="T266" s="109" t="str">
        <f>IFERROR(INDEX('Data Sheet'!$B$198:$B$275,MATCH(I266,'Data Sheet'!$F$198:$F$275,0)),"")</f>
        <v/>
      </c>
      <c r="U266" s="110" t="str">
        <f>IFERROR(INDEX('Data Sheet'!$D$198:$D$275,MATCH(I266,'Data Sheet'!$F$198:$F$275,0)),"")</f>
        <v/>
      </c>
      <c r="V266" s="99"/>
      <c r="W266" s="195" t="str">
        <f>IF(V266=Setup!$C$30,"Grant",IF(V266=Setup!$C$31,"Local",IF(V266=Setup!$C$32,"Other",IF(ISBLANK(V266),"","Other"))))</f>
        <v/>
      </c>
      <c r="X266" s="255"/>
      <c r="Y266" s="259" t="str">
        <f>IF(X266&lt;&gt;"",X266/VLOOKUP($V266,Setup!$C$30:$D$41,2,0),"")</f>
        <v/>
      </c>
      <c r="Z266" s="262"/>
      <c r="AA266" s="256" t="str">
        <f t="shared" si="132"/>
        <v/>
      </c>
      <c r="AB266" s="262"/>
      <c r="AC266" s="258" t="str">
        <f t="shared" si="133"/>
        <v/>
      </c>
      <c r="AD266" s="262"/>
      <c r="AE266" s="258" t="str">
        <f t="shared" si="134"/>
        <v/>
      </c>
      <c r="AF266" s="262"/>
      <c r="AG266" s="256" t="str">
        <f t="shared" si="135"/>
        <v/>
      </c>
      <c r="AH266" s="256" t="str">
        <f t="shared" si="136"/>
        <v/>
      </c>
      <c r="AI266" s="256" t="str">
        <f t="shared" si="137"/>
        <v/>
      </c>
      <c r="AJ266" s="111"/>
      <c r="AK266" s="255"/>
      <c r="AL266" s="259" t="str">
        <f>IF(AK266&lt;&gt;"",AK266/VLOOKUP($V266,Setup!$C$30:$D$41,2,0),"")</f>
        <v/>
      </c>
      <c r="AM266" s="266"/>
      <c r="AN266" s="258" t="str">
        <f t="shared" si="138"/>
        <v/>
      </c>
      <c r="AO266" s="266"/>
      <c r="AP266" s="258" t="str">
        <f t="shared" si="139"/>
        <v/>
      </c>
      <c r="AQ266" s="266"/>
      <c r="AR266" s="258" t="str">
        <f t="shared" si="140"/>
        <v/>
      </c>
      <c r="AS266" s="266"/>
      <c r="AT266" s="256" t="str">
        <f t="shared" si="141"/>
        <v/>
      </c>
      <c r="AU266" s="256" t="str">
        <f t="shared" si="142"/>
        <v/>
      </c>
      <c r="AV266" s="256" t="str">
        <f t="shared" si="143"/>
        <v/>
      </c>
      <c r="AW266" s="267"/>
      <c r="AX266" s="255"/>
      <c r="AY266" s="259" t="str">
        <f>IF(AX266&lt;&gt;"",AX266/VLOOKUP($V266,Setup!$C$30:$D$41,2,0),"")</f>
        <v/>
      </c>
      <c r="AZ266" s="268"/>
      <c r="BA266" s="258" t="str">
        <f t="shared" si="144"/>
        <v/>
      </c>
      <c r="BB266" s="268"/>
      <c r="BC266" s="258" t="str">
        <f t="shared" si="145"/>
        <v/>
      </c>
      <c r="BD266" s="268"/>
      <c r="BE266" s="258" t="str">
        <f t="shared" si="146"/>
        <v/>
      </c>
      <c r="BF266" s="268"/>
      <c r="BG266" s="256" t="str">
        <f t="shared" si="147"/>
        <v/>
      </c>
      <c r="BH266" s="256" t="str">
        <f t="shared" si="148"/>
        <v/>
      </c>
      <c r="BI266" s="256" t="str">
        <f t="shared" si="149"/>
        <v/>
      </c>
      <c r="BJ266" s="267"/>
      <c r="BK266" s="255"/>
      <c r="BL266" s="259" t="str">
        <f>IF(BK266&lt;&gt;"",BK266/VLOOKUP($V266,Setup!$C$30:$D$41,2,0),"")</f>
        <v/>
      </c>
      <c r="BM266" s="268"/>
      <c r="BN266" s="258" t="str">
        <f t="shared" si="150"/>
        <v/>
      </c>
      <c r="BO266" s="268"/>
      <c r="BP266" s="258" t="str">
        <f t="shared" si="151"/>
        <v/>
      </c>
      <c r="BQ266" s="268"/>
      <c r="BR266" s="258" t="str">
        <f t="shared" si="152"/>
        <v/>
      </c>
      <c r="BS266" s="268"/>
      <c r="BT266" s="256" t="str">
        <f t="shared" si="153"/>
        <v/>
      </c>
      <c r="BU266" s="256" t="str">
        <f t="shared" si="154"/>
        <v/>
      </c>
      <c r="BV266" s="256" t="str">
        <f t="shared" si="155"/>
        <v/>
      </c>
      <c r="BW266" s="267"/>
      <c r="BX266" s="256" t="str">
        <f t="shared" si="156"/>
        <v/>
      </c>
      <c r="BY266" s="256" t="str">
        <f t="shared" si="157"/>
        <v/>
      </c>
      <c r="BZ266" s="281"/>
      <c r="CA266" s="282"/>
      <c r="CC266" s="112" t="str">
        <f t="shared" ca="1" si="158"/>
        <v/>
      </c>
      <c r="CF266" s="284"/>
      <c r="CG266" s="284"/>
      <c r="CH266" s="284"/>
      <c r="CI266" s="284"/>
      <c r="CL266" s="356" t="str">
        <f>IFERROR(VLOOKUP(C266,'Data Sheet'!$A$3:$B$26,2,FALSE),"")</f>
        <v/>
      </c>
    </row>
    <row r="267" spans="1:90" s="98" customFormat="1" ht="15.75" x14ac:dyDescent="0.2">
      <c r="A267" s="97"/>
      <c r="B267" s="105" t="str">
        <f t="shared" si="131"/>
        <v>--</v>
      </c>
      <c r="C267" s="276"/>
      <c r="D267" s="101" t="str">
        <f>IFERROR(IF(VLOOKUP(C267,'Data Sheet'!$A$3:$D$26,4,FALSE)=0,"",VLOOKUP(C267,'Data Sheet'!$A$3:$D$26,4,FALSE)),"")</f>
        <v/>
      </c>
      <c r="E267" s="279"/>
      <c r="F267" s="103" t="str">
        <f>IFERROR(IF(VLOOKUP(E267,'Data Sheet'!$C$29:$E$174,3,FALSE)=0,"",VLOOKUP(E267,'Data Sheet'!$C$29:$E$174,3,FALSE)),"")</f>
        <v/>
      </c>
      <c r="G267" s="106" t="str">
        <f t="shared" si="159"/>
        <v>-</v>
      </c>
      <c r="H267" s="273"/>
      <c r="I267" s="107"/>
      <c r="J267" s="249" t="e">
        <f t="shared" si="160"/>
        <v>#VALUE!</v>
      </c>
      <c r="K267" s="101" t="str">
        <f>IFERROR(INDEX('Data Sheet'!$C$198:$C$275,MATCH(I267,'Data Sheet'!$F$198:$F$275,0)),"")</f>
        <v/>
      </c>
      <c r="L267" s="250" t="str">
        <f>IFERROR(INDEX('Data Sheet'!$G$198:$G$275,MATCH(I267,'Data Sheet'!$F$198:$F$275,0)),"")</f>
        <v/>
      </c>
      <c r="M267" s="194"/>
      <c r="N267" s="248"/>
      <c r="O267" s="248"/>
      <c r="P267" s="108" t="str">
        <f>IFERROR(INDEX(Setup!$D$44:$D$70,MATCH(M267,Setup!$K$44:$K$70,0))&amp;"","")</f>
        <v/>
      </c>
      <c r="Q267" s="108" t="str">
        <f>IFERROR(INDEX(Setup!$E$44:$E$70,MATCH(M267,Setup!$K$44:$K$70,0))&amp;"","")</f>
        <v/>
      </c>
      <c r="R267" s="108" t="str">
        <f>IFERROR(INDEX(Setup!$L$44:$L$70,MATCH(M267,Setup!$K$44:$K$70,0))&amp;"","")</f>
        <v/>
      </c>
      <c r="S267" s="108" t="str">
        <f>Setup!$C$30</f>
        <v>USD</v>
      </c>
      <c r="T267" s="109" t="str">
        <f>IFERROR(INDEX('Data Sheet'!$B$198:$B$275,MATCH(I267,'Data Sheet'!$F$198:$F$275,0)),"")</f>
        <v/>
      </c>
      <c r="U267" s="110" t="str">
        <f>IFERROR(INDEX('Data Sheet'!$D$198:$D$275,MATCH(I267,'Data Sheet'!$F$198:$F$275,0)),"")</f>
        <v/>
      </c>
      <c r="V267" s="99"/>
      <c r="W267" s="195" t="str">
        <f>IF(V267=Setup!$C$30,"Grant",IF(V267=Setup!$C$31,"Local",IF(V267=Setup!$C$32,"Other",IF(ISBLANK(V267),"","Other"))))</f>
        <v/>
      </c>
      <c r="X267" s="255"/>
      <c r="Y267" s="259" t="str">
        <f>IF(X267&lt;&gt;"",X267/VLOOKUP($V267,Setup!$C$30:$D$41,2,0),"")</f>
        <v/>
      </c>
      <c r="Z267" s="262"/>
      <c r="AA267" s="256" t="str">
        <f t="shared" si="132"/>
        <v/>
      </c>
      <c r="AB267" s="262"/>
      <c r="AC267" s="258" t="str">
        <f t="shared" si="133"/>
        <v/>
      </c>
      <c r="AD267" s="262"/>
      <c r="AE267" s="258" t="str">
        <f t="shared" si="134"/>
        <v/>
      </c>
      <c r="AF267" s="262"/>
      <c r="AG267" s="256" t="str">
        <f t="shared" si="135"/>
        <v/>
      </c>
      <c r="AH267" s="256" t="str">
        <f t="shared" si="136"/>
        <v/>
      </c>
      <c r="AI267" s="256" t="str">
        <f t="shared" si="137"/>
        <v/>
      </c>
      <c r="AJ267" s="111"/>
      <c r="AK267" s="255"/>
      <c r="AL267" s="259" t="str">
        <f>IF(AK267&lt;&gt;"",AK267/VLOOKUP($V267,Setup!$C$30:$D$41,2,0),"")</f>
        <v/>
      </c>
      <c r="AM267" s="266"/>
      <c r="AN267" s="258" t="str">
        <f t="shared" si="138"/>
        <v/>
      </c>
      <c r="AO267" s="266"/>
      <c r="AP267" s="258" t="str">
        <f t="shared" si="139"/>
        <v/>
      </c>
      <c r="AQ267" s="266"/>
      <c r="AR267" s="258" t="str">
        <f t="shared" si="140"/>
        <v/>
      </c>
      <c r="AS267" s="266"/>
      <c r="AT267" s="256" t="str">
        <f t="shared" si="141"/>
        <v/>
      </c>
      <c r="AU267" s="256" t="str">
        <f t="shared" si="142"/>
        <v/>
      </c>
      <c r="AV267" s="256" t="str">
        <f t="shared" si="143"/>
        <v/>
      </c>
      <c r="AW267" s="267"/>
      <c r="AX267" s="255"/>
      <c r="AY267" s="259" t="str">
        <f>IF(AX267&lt;&gt;"",AX267/VLOOKUP($V267,Setup!$C$30:$D$41,2,0),"")</f>
        <v/>
      </c>
      <c r="AZ267" s="268"/>
      <c r="BA267" s="258" t="str">
        <f t="shared" si="144"/>
        <v/>
      </c>
      <c r="BB267" s="268"/>
      <c r="BC267" s="258" t="str">
        <f t="shared" si="145"/>
        <v/>
      </c>
      <c r="BD267" s="268"/>
      <c r="BE267" s="258" t="str">
        <f t="shared" si="146"/>
        <v/>
      </c>
      <c r="BF267" s="268"/>
      <c r="BG267" s="256" t="str">
        <f t="shared" si="147"/>
        <v/>
      </c>
      <c r="BH267" s="256" t="str">
        <f t="shared" si="148"/>
        <v/>
      </c>
      <c r="BI267" s="256" t="str">
        <f t="shared" si="149"/>
        <v/>
      </c>
      <c r="BJ267" s="267"/>
      <c r="BK267" s="255"/>
      <c r="BL267" s="259" t="str">
        <f>IF(BK267&lt;&gt;"",BK267/VLOOKUP($V267,Setup!$C$30:$D$41,2,0),"")</f>
        <v/>
      </c>
      <c r="BM267" s="268"/>
      <c r="BN267" s="258" t="str">
        <f t="shared" si="150"/>
        <v/>
      </c>
      <c r="BO267" s="268"/>
      <c r="BP267" s="258" t="str">
        <f t="shared" si="151"/>
        <v/>
      </c>
      <c r="BQ267" s="268"/>
      <c r="BR267" s="258" t="str">
        <f t="shared" si="152"/>
        <v/>
      </c>
      <c r="BS267" s="268"/>
      <c r="BT267" s="256" t="str">
        <f t="shared" si="153"/>
        <v/>
      </c>
      <c r="BU267" s="256" t="str">
        <f t="shared" si="154"/>
        <v/>
      </c>
      <c r="BV267" s="256" t="str">
        <f t="shared" si="155"/>
        <v/>
      </c>
      <c r="BW267" s="267"/>
      <c r="BX267" s="256" t="str">
        <f t="shared" si="156"/>
        <v/>
      </c>
      <c r="BY267" s="256" t="str">
        <f t="shared" si="157"/>
        <v/>
      </c>
      <c r="BZ267" s="281"/>
      <c r="CA267" s="282"/>
      <c r="CC267" s="112" t="str">
        <f t="shared" ca="1" si="158"/>
        <v/>
      </c>
      <c r="CF267" s="284"/>
      <c r="CG267" s="284"/>
      <c r="CH267" s="284"/>
      <c r="CI267" s="284"/>
      <c r="CL267" s="356" t="str">
        <f>IFERROR(VLOOKUP(C267,'Data Sheet'!$A$3:$B$26,2,FALSE),"")</f>
        <v/>
      </c>
    </row>
    <row r="268" spans="1:90" s="98" customFormat="1" ht="15.75" x14ac:dyDescent="0.2">
      <c r="A268" s="97"/>
      <c r="B268" s="105" t="str">
        <f t="shared" si="131"/>
        <v>--</v>
      </c>
      <c r="C268" s="276"/>
      <c r="D268" s="101" t="str">
        <f>IFERROR(IF(VLOOKUP(C268,'Data Sheet'!$A$3:$D$26,4,FALSE)=0,"",VLOOKUP(C268,'Data Sheet'!$A$3:$D$26,4,FALSE)),"")</f>
        <v/>
      </c>
      <c r="E268" s="279"/>
      <c r="F268" s="103" t="str">
        <f>IFERROR(IF(VLOOKUP(E268,'Data Sheet'!$C$29:$E$174,3,FALSE)=0,"",VLOOKUP(E268,'Data Sheet'!$C$29:$E$174,3,FALSE)),"")</f>
        <v/>
      </c>
      <c r="G268" s="106" t="str">
        <f t="shared" si="159"/>
        <v>-</v>
      </c>
      <c r="H268" s="273"/>
      <c r="I268" s="107"/>
      <c r="J268" s="249" t="e">
        <f t="shared" si="160"/>
        <v>#VALUE!</v>
      </c>
      <c r="K268" s="101" t="str">
        <f>IFERROR(INDEX('Data Sheet'!$C$198:$C$275,MATCH(I268,'Data Sheet'!$F$198:$F$275,0)),"")</f>
        <v/>
      </c>
      <c r="L268" s="250" t="str">
        <f>IFERROR(INDEX('Data Sheet'!$G$198:$G$275,MATCH(I268,'Data Sheet'!$F$198:$F$275,0)),"")</f>
        <v/>
      </c>
      <c r="M268" s="194"/>
      <c r="N268" s="248"/>
      <c r="O268" s="248"/>
      <c r="P268" s="108" t="str">
        <f>IFERROR(INDEX(Setup!$D$44:$D$70,MATCH(M268,Setup!$K$44:$K$70,0))&amp;"","")</f>
        <v/>
      </c>
      <c r="Q268" s="108" t="str">
        <f>IFERROR(INDEX(Setup!$E$44:$E$70,MATCH(M268,Setup!$K$44:$K$70,0))&amp;"","")</f>
        <v/>
      </c>
      <c r="R268" s="108" t="str">
        <f>IFERROR(INDEX(Setup!$L$44:$L$70,MATCH(M268,Setup!$K$44:$K$70,0))&amp;"","")</f>
        <v/>
      </c>
      <c r="S268" s="108" t="str">
        <f>Setup!$C$30</f>
        <v>USD</v>
      </c>
      <c r="T268" s="109" t="str">
        <f>IFERROR(INDEX('Data Sheet'!$B$198:$B$275,MATCH(I268,'Data Sheet'!$F$198:$F$275,0)),"")</f>
        <v/>
      </c>
      <c r="U268" s="110" t="str">
        <f>IFERROR(INDEX('Data Sheet'!$D$198:$D$275,MATCH(I268,'Data Sheet'!$F$198:$F$275,0)),"")</f>
        <v/>
      </c>
      <c r="V268" s="99"/>
      <c r="W268" s="195" t="str">
        <f>IF(V268=Setup!$C$30,"Grant",IF(V268=Setup!$C$31,"Local",IF(V268=Setup!$C$32,"Other",IF(ISBLANK(V268),"","Other"))))</f>
        <v/>
      </c>
      <c r="X268" s="255"/>
      <c r="Y268" s="259" t="str">
        <f>IF(X268&lt;&gt;"",X268/VLOOKUP($V268,Setup!$C$30:$D$41,2,0),"")</f>
        <v/>
      </c>
      <c r="Z268" s="262"/>
      <c r="AA268" s="256" t="str">
        <f t="shared" si="132"/>
        <v/>
      </c>
      <c r="AB268" s="262"/>
      <c r="AC268" s="258" t="str">
        <f t="shared" si="133"/>
        <v/>
      </c>
      <c r="AD268" s="262"/>
      <c r="AE268" s="258" t="str">
        <f t="shared" si="134"/>
        <v/>
      </c>
      <c r="AF268" s="262"/>
      <c r="AG268" s="256" t="str">
        <f t="shared" si="135"/>
        <v/>
      </c>
      <c r="AH268" s="256" t="str">
        <f t="shared" si="136"/>
        <v/>
      </c>
      <c r="AI268" s="256" t="str">
        <f t="shared" si="137"/>
        <v/>
      </c>
      <c r="AJ268" s="111"/>
      <c r="AK268" s="255"/>
      <c r="AL268" s="259" t="str">
        <f>IF(AK268&lt;&gt;"",AK268/VLOOKUP($V268,Setup!$C$30:$D$41,2,0),"")</f>
        <v/>
      </c>
      <c r="AM268" s="266"/>
      <c r="AN268" s="258" t="str">
        <f t="shared" si="138"/>
        <v/>
      </c>
      <c r="AO268" s="266"/>
      <c r="AP268" s="258" t="str">
        <f t="shared" si="139"/>
        <v/>
      </c>
      <c r="AQ268" s="266"/>
      <c r="AR268" s="258" t="str">
        <f t="shared" si="140"/>
        <v/>
      </c>
      <c r="AS268" s="266"/>
      <c r="AT268" s="256" t="str">
        <f t="shared" si="141"/>
        <v/>
      </c>
      <c r="AU268" s="256" t="str">
        <f t="shared" si="142"/>
        <v/>
      </c>
      <c r="AV268" s="256" t="str">
        <f t="shared" si="143"/>
        <v/>
      </c>
      <c r="AW268" s="267"/>
      <c r="AX268" s="255"/>
      <c r="AY268" s="259" t="str">
        <f>IF(AX268&lt;&gt;"",AX268/VLOOKUP($V268,Setup!$C$30:$D$41,2,0),"")</f>
        <v/>
      </c>
      <c r="AZ268" s="268"/>
      <c r="BA268" s="258" t="str">
        <f t="shared" si="144"/>
        <v/>
      </c>
      <c r="BB268" s="268"/>
      <c r="BC268" s="258" t="str">
        <f t="shared" si="145"/>
        <v/>
      </c>
      <c r="BD268" s="268"/>
      <c r="BE268" s="258" t="str">
        <f t="shared" si="146"/>
        <v/>
      </c>
      <c r="BF268" s="268"/>
      <c r="BG268" s="256" t="str">
        <f t="shared" si="147"/>
        <v/>
      </c>
      <c r="BH268" s="256" t="str">
        <f t="shared" si="148"/>
        <v/>
      </c>
      <c r="BI268" s="256" t="str">
        <f t="shared" si="149"/>
        <v/>
      </c>
      <c r="BJ268" s="267"/>
      <c r="BK268" s="255"/>
      <c r="BL268" s="259" t="str">
        <f>IF(BK268&lt;&gt;"",BK268/VLOOKUP($V268,Setup!$C$30:$D$41,2,0),"")</f>
        <v/>
      </c>
      <c r="BM268" s="268"/>
      <c r="BN268" s="258" t="str">
        <f t="shared" si="150"/>
        <v/>
      </c>
      <c r="BO268" s="268"/>
      <c r="BP268" s="258" t="str">
        <f t="shared" si="151"/>
        <v/>
      </c>
      <c r="BQ268" s="268"/>
      <c r="BR268" s="258" t="str">
        <f t="shared" si="152"/>
        <v/>
      </c>
      <c r="BS268" s="268"/>
      <c r="BT268" s="256" t="str">
        <f t="shared" si="153"/>
        <v/>
      </c>
      <c r="BU268" s="256" t="str">
        <f t="shared" si="154"/>
        <v/>
      </c>
      <c r="BV268" s="256" t="str">
        <f t="shared" si="155"/>
        <v/>
      </c>
      <c r="BW268" s="267"/>
      <c r="BX268" s="256" t="str">
        <f t="shared" si="156"/>
        <v/>
      </c>
      <c r="BY268" s="256" t="str">
        <f t="shared" si="157"/>
        <v/>
      </c>
      <c r="BZ268" s="281"/>
      <c r="CA268" s="282"/>
      <c r="CC268" s="112" t="str">
        <f t="shared" ca="1" si="158"/>
        <v/>
      </c>
      <c r="CF268" s="284"/>
      <c r="CG268" s="284"/>
      <c r="CH268" s="284"/>
      <c r="CI268" s="284"/>
      <c r="CL268" s="356" t="str">
        <f>IFERROR(VLOOKUP(C268,'Data Sheet'!$A$3:$B$26,2,FALSE),"")</f>
        <v/>
      </c>
    </row>
    <row r="269" spans="1:90" s="98" customFormat="1" ht="15.75" x14ac:dyDescent="0.2">
      <c r="A269" s="97"/>
      <c r="B269" s="105" t="str">
        <f t="shared" si="131"/>
        <v>--</v>
      </c>
      <c r="C269" s="276"/>
      <c r="D269" s="101" t="str">
        <f>IFERROR(IF(VLOOKUP(C269,'Data Sheet'!$A$3:$D$26,4,FALSE)=0,"",VLOOKUP(C269,'Data Sheet'!$A$3:$D$26,4,FALSE)),"")</f>
        <v/>
      </c>
      <c r="E269" s="279"/>
      <c r="F269" s="103" t="str">
        <f>IFERROR(IF(VLOOKUP(E269,'Data Sheet'!$C$29:$E$174,3,FALSE)=0,"",VLOOKUP(E269,'Data Sheet'!$C$29:$E$174,3,FALSE)),"")</f>
        <v/>
      </c>
      <c r="G269" s="106" t="str">
        <f t="shared" si="159"/>
        <v>-</v>
      </c>
      <c r="H269" s="273"/>
      <c r="I269" s="107"/>
      <c r="J269" s="249" t="e">
        <f t="shared" si="160"/>
        <v>#VALUE!</v>
      </c>
      <c r="K269" s="101" t="str">
        <f>IFERROR(INDEX('Data Sheet'!$C$198:$C$275,MATCH(I269,'Data Sheet'!$F$198:$F$275,0)),"")</f>
        <v/>
      </c>
      <c r="L269" s="250" t="str">
        <f>IFERROR(INDEX('Data Sheet'!$G$198:$G$275,MATCH(I269,'Data Sheet'!$F$198:$F$275,0)),"")</f>
        <v/>
      </c>
      <c r="M269" s="194"/>
      <c r="N269" s="248"/>
      <c r="O269" s="248"/>
      <c r="P269" s="108" t="str">
        <f>IFERROR(INDEX(Setup!$D$44:$D$70,MATCH(M269,Setup!$K$44:$K$70,0))&amp;"","")</f>
        <v/>
      </c>
      <c r="Q269" s="108" t="str">
        <f>IFERROR(INDEX(Setup!$E$44:$E$70,MATCH(M269,Setup!$K$44:$K$70,0))&amp;"","")</f>
        <v/>
      </c>
      <c r="R269" s="108" t="str">
        <f>IFERROR(INDEX(Setup!$L$44:$L$70,MATCH(M269,Setup!$K$44:$K$70,0))&amp;"","")</f>
        <v/>
      </c>
      <c r="S269" s="108" t="str">
        <f>Setup!$C$30</f>
        <v>USD</v>
      </c>
      <c r="T269" s="109" t="str">
        <f>IFERROR(INDEX('Data Sheet'!$B$198:$B$275,MATCH(I269,'Data Sheet'!$F$198:$F$275,0)),"")</f>
        <v/>
      </c>
      <c r="U269" s="110" t="str">
        <f>IFERROR(INDEX('Data Sheet'!$D$198:$D$275,MATCH(I269,'Data Sheet'!$F$198:$F$275,0)),"")</f>
        <v/>
      </c>
      <c r="V269" s="99"/>
      <c r="W269" s="195" t="str">
        <f>IF(V269=Setup!$C$30,"Grant",IF(V269=Setup!$C$31,"Local",IF(V269=Setup!$C$32,"Other",IF(ISBLANK(V269),"","Other"))))</f>
        <v/>
      </c>
      <c r="X269" s="255"/>
      <c r="Y269" s="259" t="str">
        <f>IF(X269&lt;&gt;"",X269/VLOOKUP($V269,Setup!$C$30:$D$41,2,0),"")</f>
        <v/>
      </c>
      <c r="Z269" s="262"/>
      <c r="AA269" s="256" t="str">
        <f t="shared" si="132"/>
        <v/>
      </c>
      <c r="AB269" s="262"/>
      <c r="AC269" s="258" t="str">
        <f t="shared" si="133"/>
        <v/>
      </c>
      <c r="AD269" s="262"/>
      <c r="AE269" s="258" t="str">
        <f t="shared" si="134"/>
        <v/>
      </c>
      <c r="AF269" s="262"/>
      <c r="AG269" s="256" t="str">
        <f t="shared" si="135"/>
        <v/>
      </c>
      <c r="AH269" s="256" t="str">
        <f t="shared" si="136"/>
        <v/>
      </c>
      <c r="AI269" s="256" t="str">
        <f t="shared" si="137"/>
        <v/>
      </c>
      <c r="AJ269" s="111"/>
      <c r="AK269" s="255"/>
      <c r="AL269" s="259" t="str">
        <f>IF(AK269&lt;&gt;"",AK269/VLOOKUP($V269,Setup!$C$30:$D$41,2,0),"")</f>
        <v/>
      </c>
      <c r="AM269" s="266"/>
      <c r="AN269" s="258" t="str">
        <f t="shared" si="138"/>
        <v/>
      </c>
      <c r="AO269" s="266"/>
      <c r="AP269" s="258" t="str">
        <f t="shared" si="139"/>
        <v/>
      </c>
      <c r="AQ269" s="266"/>
      <c r="AR269" s="258" t="str">
        <f t="shared" si="140"/>
        <v/>
      </c>
      <c r="AS269" s="266"/>
      <c r="AT269" s="256" t="str">
        <f t="shared" si="141"/>
        <v/>
      </c>
      <c r="AU269" s="256" t="str">
        <f t="shared" si="142"/>
        <v/>
      </c>
      <c r="AV269" s="256" t="str">
        <f t="shared" si="143"/>
        <v/>
      </c>
      <c r="AW269" s="267"/>
      <c r="AX269" s="255"/>
      <c r="AY269" s="259" t="str">
        <f>IF(AX269&lt;&gt;"",AX269/VLOOKUP($V269,Setup!$C$30:$D$41,2,0),"")</f>
        <v/>
      </c>
      <c r="AZ269" s="268"/>
      <c r="BA269" s="258" t="str">
        <f t="shared" si="144"/>
        <v/>
      </c>
      <c r="BB269" s="268"/>
      <c r="BC269" s="258" t="str">
        <f t="shared" si="145"/>
        <v/>
      </c>
      <c r="BD269" s="268"/>
      <c r="BE269" s="258" t="str">
        <f t="shared" si="146"/>
        <v/>
      </c>
      <c r="BF269" s="268"/>
      <c r="BG269" s="256" t="str">
        <f t="shared" si="147"/>
        <v/>
      </c>
      <c r="BH269" s="256" t="str">
        <f t="shared" si="148"/>
        <v/>
      </c>
      <c r="BI269" s="256" t="str">
        <f t="shared" si="149"/>
        <v/>
      </c>
      <c r="BJ269" s="267"/>
      <c r="BK269" s="255"/>
      <c r="BL269" s="259" t="str">
        <f>IF(BK269&lt;&gt;"",BK269/VLOOKUP($V269,Setup!$C$30:$D$41,2,0),"")</f>
        <v/>
      </c>
      <c r="BM269" s="268"/>
      <c r="BN269" s="258" t="str">
        <f t="shared" si="150"/>
        <v/>
      </c>
      <c r="BO269" s="268"/>
      <c r="BP269" s="258" t="str">
        <f t="shared" si="151"/>
        <v/>
      </c>
      <c r="BQ269" s="268"/>
      <c r="BR269" s="258" t="str">
        <f t="shared" si="152"/>
        <v/>
      </c>
      <c r="BS269" s="268"/>
      <c r="BT269" s="256" t="str">
        <f t="shared" si="153"/>
        <v/>
      </c>
      <c r="BU269" s="256" t="str">
        <f t="shared" si="154"/>
        <v/>
      </c>
      <c r="BV269" s="256" t="str">
        <f t="shared" si="155"/>
        <v/>
      </c>
      <c r="BW269" s="267"/>
      <c r="BX269" s="256" t="str">
        <f t="shared" si="156"/>
        <v/>
      </c>
      <c r="BY269" s="256" t="str">
        <f t="shared" si="157"/>
        <v/>
      </c>
      <c r="BZ269" s="281"/>
      <c r="CA269" s="282"/>
      <c r="CC269" s="112" t="str">
        <f t="shared" ca="1" si="158"/>
        <v/>
      </c>
      <c r="CF269" s="284"/>
      <c r="CG269" s="284"/>
      <c r="CH269" s="284"/>
      <c r="CI269" s="284"/>
      <c r="CL269" s="356" t="str">
        <f>IFERROR(VLOOKUP(C269,'Data Sheet'!$A$3:$B$26,2,FALSE),"")</f>
        <v/>
      </c>
    </row>
    <row r="270" spans="1:90" s="98" customFormat="1" ht="15.75" x14ac:dyDescent="0.2">
      <c r="A270" s="97"/>
      <c r="B270" s="105" t="str">
        <f t="shared" ref="B270:B333" si="161">CONCATENATE(D270,"-",F270,"-",N270)</f>
        <v>--</v>
      </c>
      <c r="C270" s="276"/>
      <c r="D270" s="101" t="str">
        <f>IFERROR(IF(VLOOKUP(C270,'Data Sheet'!$A$3:$D$26,4,FALSE)=0,"",VLOOKUP(C270,'Data Sheet'!$A$3:$D$26,4,FALSE)),"")</f>
        <v/>
      </c>
      <c r="E270" s="279"/>
      <c r="F270" s="103" t="str">
        <f>IFERROR(IF(VLOOKUP(E270,'Data Sheet'!$C$29:$E$174,3,FALSE)=0,"",VLOOKUP(E270,'Data Sheet'!$C$29:$E$174,3,FALSE)),"")</f>
        <v/>
      </c>
      <c r="G270" s="106" t="str">
        <f t="shared" si="159"/>
        <v>-</v>
      </c>
      <c r="H270" s="273"/>
      <c r="I270" s="107"/>
      <c r="J270" s="249" t="e">
        <f t="shared" si="160"/>
        <v>#VALUE!</v>
      </c>
      <c r="K270" s="101" t="str">
        <f>IFERROR(INDEX('Data Sheet'!$C$198:$C$275,MATCH(I270,'Data Sheet'!$F$198:$F$275,0)),"")</f>
        <v/>
      </c>
      <c r="L270" s="250" t="str">
        <f>IFERROR(INDEX('Data Sheet'!$G$198:$G$275,MATCH(I270,'Data Sheet'!$F$198:$F$275,0)),"")</f>
        <v/>
      </c>
      <c r="M270" s="194"/>
      <c r="N270" s="248"/>
      <c r="O270" s="248"/>
      <c r="P270" s="108" t="str">
        <f>IFERROR(INDEX(Setup!$D$44:$D$70,MATCH(M270,Setup!$K$44:$K$70,0))&amp;"","")</f>
        <v/>
      </c>
      <c r="Q270" s="108" t="str">
        <f>IFERROR(INDEX(Setup!$E$44:$E$70,MATCH(M270,Setup!$K$44:$K$70,0))&amp;"","")</f>
        <v/>
      </c>
      <c r="R270" s="108" t="str">
        <f>IFERROR(INDEX(Setup!$L$44:$L$70,MATCH(M270,Setup!$K$44:$K$70,0))&amp;"","")</f>
        <v/>
      </c>
      <c r="S270" s="108" t="str">
        <f>Setup!$C$30</f>
        <v>USD</v>
      </c>
      <c r="T270" s="109" t="str">
        <f>IFERROR(INDEX('Data Sheet'!$B$198:$B$275,MATCH(I270,'Data Sheet'!$F$198:$F$275,0)),"")</f>
        <v/>
      </c>
      <c r="U270" s="110" t="str">
        <f>IFERROR(INDEX('Data Sheet'!$D$198:$D$275,MATCH(I270,'Data Sheet'!$F$198:$F$275,0)),"")</f>
        <v/>
      </c>
      <c r="V270" s="99"/>
      <c r="W270" s="195" t="str">
        <f>IF(V270=Setup!$C$30,"Grant",IF(V270=Setup!$C$31,"Local",IF(V270=Setup!$C$32,"Other",IF(ISBLANK(V270),"","Other"))))</f>
        <v/>
      </c>
      <c r="X270" s="255"/>
      <c r="Y270" s="259" t="str">
        <f>IF(X270&lt;&gt;"",X270/VLOOKUP($V270,Setup!$C$30:$D$41,2,0),"")</f>
        <v/>
      </c>
      <c r="Z270" s="262"/>
      <c r="AA270" s="256" t="str">
        <f t="shared" si="132"/>
        <v/>
      </c>
      <c r="AB270" s="262"/>
      <c r="AC270" s="258" t="str">
        <f t="shared" si="133"/>
        <v/>
      </c>
      <c r="AD270" s="262"/>
      <c r="AE270" s="258" t="str">
        <f t="shared" si="134"/>
        <v/>
      </c>
      <c r="AF270" s="262"/>
      <c r="AG270" s="256" t="str">
        <f t="shared" si="135"/>
        <v/>
      </c>
      <c r="AH270" s="256" t="str">
        <f t="shared" si="136"/>
        <v/>
      </c>
      <c r="AI270" s="256" t="str">
        <f t="shared" si="137"/>
        <v/>
      </c>
      <c r="AJ270" s="111"/>
      <c r="AK270" s="255"/>
      <c r="AL270" s="259" t="str">
        <f>IF(AK270&lt;&gt;"",AK270/VLOOKUP($V270,Setup!$C$30:$D$41,2,0),"")</f>
        <v/>
      </c>
      <c r="AM270" s="266"/>
      <c r="AN270" s="258" t="str">
        <f t="shared" si="138"/>
        <v/>
      </c>
      <c r="AO270" s="266"/>
      <c r="AP270" s="258" t="str">
        <f t="shared" si="139"/>
        <v/>
      </c>
      <c r="AQ270" s="266"/>
      <c r="AR270" s="258" t="str">
        <f t="shared" si="140"/>
        <v/>
      </c>
      <c r="AS270" s="266"/>
      <c r="AT270" s="256" t="str">
        <f t="shared" si="141"/>
        <v/>
      </c>
      <c r="AU270" s="256" t="str">
        <f t="shared" si="142"/>
        <v/>
      </c>
      <c r="AV270" s="256" t="str">
        <f t="shared" si="143"/>
        <v/>
      </c>
      <c r="AW270" s="267"/>
      <c r="AX270" s="255"/>
      <c r="AY270" s="259" t="str">
        <f>IF(AX270&lt;&gt;"",AX270/VLOOKUP($V270,Setup!$C$30:$D$41,2,0),"")</f>
        <v/>
      </c>
      <c r="AZ270" s="268"/>
      <c r="BA270" s="258" t="str">
        <f t="shared" si="144"/>
        <v/>
      </c>
      <c r="BB270" s="268"/>
      <c r="BC270" s="258" t="str">
        <f t="shared" si="145"/>
        <v/>
      </c>
      <c r="BD270" s="268"/>
      <c r="BE270" s="258" t="str">
        <f t="shared" si="146"/>
        <v/>
      </c>
      <c r="BF270" s="268"/>
      <c r="BG270" s="256" t="str">
        <f t="shared" si="147"/>
        <v/>
      </c>
      <c r="BH270" s="256" t="str">
        <f t="shared" si="148"/>
        <v/>
      </c>
      <c r="BI270" s="256" t="str">
        <f t="shared" si="149"/>
        <v/>
      </c>
      <c r="BJ270" s="267"/>
      <c r="BK270" s="255"/>
      <c r="BL270" s="259" t="str">
        <f>IF(BK270&lt;&gt;"",BK270/VLOOKUP($V270,Setup!$C$30:$D$41,2,0),"")</f>
        <v/>
      </c>
      <c r="BM270" s="268"/>
      <c r="BN270" s="258" t="str">
        <f t="shared" si="150"/>
        <v/>
      </c>
      <c r="BO270" s="268"/>
      <c r="BP270" s="258" t="str">
        <f t="shared" si="151"/>
        <v/>
      </c>
      <c r="BQ270" s="268"/>
      <c r="BR270" s="258" t="str">
        <f t="shared" si="152"/>
        <v/>
      </c>
      <c r="BS270" s="268"/>
      <c r="BT270" s="256" t="str">
        <f t="shared" si="153"/>
        <v/>
      </c>
      <c r="BU270" s="256" t="str">
        <f t="shared" si="154"/>
        <v/>
      </c>
      <c r="BV270" s="256" t="str">
        <f t="shared" si="155"/>
        <v/>
      </c>
      <c r="BW270" s="267"/>
      <c r="BX270" s="256" t="str">
        <f t="shared" si="156"/>
        <v/>
      </c>
      <c r="BY270" s="256" t="str">
        <f t="shared" si="157"/>
        <v/>
      </c>
      <c r="BZ270" s="281"/>
      <c r="CA270" s="282"/>
      <c r="CC270" s="112" t="str">
        <f t="shared" ca="1" si="158"/>
        <v/>
      </c>
      <c r="CF270" s="284"/>
      <c r="CG270" s="284"/>
      <c r="CH270" s="284"/>
      <c r="CI270" s="284"/>
      <c r="CL270" s="356" t="str">
        <f>IFERROR(VLOOKUP(C270,'Data Sheet'!$A$3:$B$26,2,FALSE),"")</f>
        <v/>
      </c>
    </row>
    <row r="271" spans="1:90" s="98" customFormat="1" ht="15.75" x14ac:dyDescent="0.2">
      <c r="A271" s="97"/>
      <c r="B271" s="105" t="str">
        <f t="shared" si="161"/>
        <v>--</v>
      </c>
      <c r="C271" s="276"/>
      <c r="D271" s="101" t="str">
        <f>IFERROR(IF(VLOOKUP(C271,'Data Sheet'!$A$3:$D$26,4,FALSE)=0,"",VLOOKUP(C271,'Data Sheet'!$A$3:$D$26,4,FALSE)),"")</f>
        <v/>
      </c>
      <c r="E271" s="279"/>
      <c r="F271" s="103" t="str">
        <f>IFERROR(IF(VLOOKUP(E271,'Data Sheet'!$C$29:$E$174,3,FALSE)=0,"",VLOOKUP(E271,'Data Sheet'!$C$29:$E$174,3,FALSE)),"")</f>
        <v/>
      </c>
      <c r="G271" s="106" t="str">
        <f t="shared" si="159"/>
        <v>-</v>
      </c>
      <c r="H271" s="273"/>
      <c r="I271" s="107"/>
      <c r="J271" s="249" t="e">
        <f t="shared" si="160"/>
        <v>#VALUE!</v>
      </c>
      <c r="K271" s="101" t="str">
        <f>IFERROR(INDEX('Data Sheet'!$C$198:$C$275,MATCH(I271,'Data Sheet'!$F$198:$F$275,0)),"")</f>
        <v/>
      </c>
      <c r="L271" s="250" t="str">
        <f>IFERROR(INDEX('Data Sheet'!$G$198:$G$275,MATCH(I271,'Data Sheet'!$F$198:$F$275,0)),"")</f>
        <v/>
      </c>
      <c r="M271" s="194"/>
      <c r="N271" s="248"/>
      <c r="O271" s="248"/>
      <c r="P271" s="108" t="str">
        <f>IFERROR(INDEX(Setup!$D$44:$D$70,MATCH(M271,Setup!$K$44:$K$70,0))&amp;"","")</f>
        <v/>
      </c>
      <c r="Q271" s="108" t="str">
        <f>IFERROR(INDEX(Setup!$E$44:$E$70,MATCH(M271,Setup!$K$44:$K$70,0))&amp;"","")</f>
        <v/>
      </c>
      <c r="R271" s="108" t="str">
        <f>IFERROR(INDEX(Setup!$L$44:$L$70,MATCH(M271,Setup!$K$44:$K$70,0))&amp;"","")</f>
        <v/>
      </c>
      <c r="S271" s="108" t="str">
        <f>Setup!$C$30</f>
        <v>USD</v>
      </c>
      <c r="T271" s="109" t="str">
        <f>IFERROR(INDEX('Data Sheet'!$B$198:$B$275,MATCH(I271,'Data Sheet'!$F$198:$F$275,0)),"")</f>
        <v/>
      </c>
      <c r="U271" s="110" t="str">
        <f>IFERROR(INDEX('Data Sheet'!$D$198:$D$275,MATCH(I271,'Data Sheet'!$F$198:$F$275,0)),"")</f>
        <v/>
      </c>
      <c r="V271" s="99"/>
      <c r="W271" s="195" t="str">
        <f>IF(V271=Setup!$C$30,"Grant",IF(V271=Setup!$C$31,"Local",IF(V271=Setup!$C$32,"Other",IF(ISBLANK(V271),"","Other"))))</f>
        <v/>
      </c>
      <c r="X271" s="255"/>
      <c r="Y271" s="259" t="str">
        <f>IF(X271&lt;&gt;"",X271/VLOOKUP($V271,Setup!$C$30:$D$41,2,0),"")</f>
        <v/>
      </c>
      <c r="Z271" s="262"/>
      <c r="AA271" s="256" t="str">
        <f t="shared" si="132"/>
        <v/>
      </c>
      <c r="AB271" s="262"/>
      <c r="AC271" s="258" t="str">
        <f t="shared" si="133"/>
        <v/>
      </c>
      <c r="AD271" s="262"/>
      <c r="AE271" s="258" t="str">
        <f t="shared" si="134"/>
        <v/>
      </c>
      <c r="AF271" s="262"/>
      <c r="AG271" s="256" t="str">
        <f t="shared" si="135"/>
        <v/>
      </c>
      <c r="AH271" s="256" t="str">
        <f t="shared" si="136"/>
        <v/>
      </c>
      <c r="AI271" s="256" t="str">
        <f t="shared" si="137"/>
        <v/>
      </c>
      <c r="AJ271" s="111"/>
      <c r="AK271" s="255"/>
      <c r="AL271" s="259" t="str">
        <f>IF(AK271&lt;&gt;"",AK271/VLOOKUP($V271,Setup!$C$30:$D$41,2,0),"")</f>
        <v/>
      </c>
      <c r="AM271" s="266"/>
      <c r="AN271" s="258" t="str">
        <f t="shared" si="138"/>
        <v/>
      </c>
      <c r="AO271" s="266"/>
      <c r="AP271" s="258" t="str">
        <f t="shared" si="139"/>
        <v/>
      </c>
      <c r="AQ271" s="266"/>
      <c r="AR271" s="258" t="str">
        <f t="shared" si="140"/>
        <v/>
      </c>
      <c r="AS271" s="266"/>
      <c r="AT271" s="256" t="str">
        <f t="shared" si="141"/>
        <v/>
      </c>
      <c r="AU271" s="256" t="str">
        <f t="shared" si="142"/>
        <v/>
      </c>
      <c r="AV271" s="256" t="str">
        <f t="shared" si="143"/>
        <v/>
      </c>
      <c r="AW271" s="267"/>
      <c r="AX271" s="255"/>
      <c r="AY271" s="259" t="str">
        <f>IF(AX271&lt;&gt;"",AX271/VLOOKUP($V271,Setup!$C$30:$D$41,2,0),"")</f>
        <v/>
      </c>
      <c r="AZ271" s="268"/>
      <c r="BA271" s="258" t="str">
        <f t="shared" si="144"/>
        <v/>
      </c>
      <c r="BB271" s="268"/>
      <c r="BC271" s="258" t="str">
        <f t="shared" si="145"/>
        <v/>
      </c>
      <c r="BD271" s="268"/>
      <c r="BE271" s="258" t="str">
        <f t="shared" si="146"/>
        <v/>
      </c>
      <c r="BF271" s="268"/>
      <c r="BG271" s="256" t="str">
        <f t="shared" si="147"/>
        <v/>
      </c>
      <c r="BH271" s="256" t="str">
        <f t="shared" si="148"/>
        <v/>
      </c>
      <c r="BI271" s="256" t="str">
        <f t="shared" si="149"/>
        <v/>
      </c>
      <c r="BJ271" s="267"/>
      <c r="BK271" s="255"/>
      <c r="BL271" s="259" t="str">
        <f>IF(BK271&lt;&gt;"",BK271/VLOOKUP($V271,Setup!$C$30:$D$41,2,0),"")</f>
        <v/>
      </c>
      <c r="BM271" s="268"/>
      <c r="BN271" s="258" t="str">
        <f t="shared" si="150"/>
        <v/>
      </c>
      <c r="BO271" s="268"/>
      <c r="BP271" s="258" t="str">
        <f t="shared" si="151"/>
        <v/>
      </c>
      <c r="BQ271" s="268"/>
      <c r="BR271" s="258" t="str">
        <f t="shared" si="152"/>
        <v/>
      </c>
      <c r="BS271" s="268"/>
      <c r="BT271" s="256" t="str">
        <f t="shared" si="153"/>
        <v/>
      </c>
      <c r="BU271" s="256" t="str">
        <f t="shared" si="154"/>
        <v/>
      </c>
      <c r="BV271" s="256" t="str">
        <f t="shared" si="155"/>
        <v/>
      </c>
      <c r="BW271" s="267"/>
      <c r="BX271" s="256" t="str">
        <f t="shared" si="156"/>
        <v/>
      </c>
      <c r="BY271" s="256" t="str">
        <f t="shared" si="157"/>
        <v/>
      </c>
      <c r="BZ271" s="281"/>
      <c r="CA271" s="282"/>
      <c r="CC271" s="112" t="str">
        <f t="shared" ca="1" si="158"/>
        <v/>
      </c>
      <c r="CF271" s="284"/>
      <c r="CG271" s="284"/>
      <c r="CH271" s="284"/>
      <c r="CI271" s="284"/>
      <c r="CL271" s="356" t="str">
        <f>IFERROR(VLOOKUP(C271,'Data Sheet'!$A$3:$B$26,2,FALSE),"")</f>
        <v/>
      </c>
    </row>
    <row r="272" spans="1:90" s="98" customFormat="1" ht="15.75" x14ac:dyDescent="0.2">
      <c r="A272" s="97"/>
      <c r="B272" s="105" t="str">
        <f t="shared" si="161"/>
        <v>--</v>
      </c>
      <c r="C272" s="276"/>
      <c r="D272" s="101" t="str">
        <f>IFERROR(IF(VLOOKUP(C272,'Data Sheet'!$A$3:$D$26,4,FALSE)=0,"",VLOOKUP(C272,'Data Sheet'!$A$3:$D$26,4,FALSE)),"")</f>
        <v/>
      </c>
      <c r="E272" s="279"/>
      <c r="F272" s="103" t="str">
        <f>IFERROR(IF(VLOOKUP(E272,'Data Sheet'!$C$29:$E$174,3,FALSE)=0,"",VLOOKUP(E272,'Data Sheet'!$C$29:$E$174,3,FALSE)),"")</f>
        <v/>
      </c>
      <c r="G272" s="106" t="str">
        <f t="shared" si="159"/>
        <v>-</v>
      </c>
      <c r="H272" s="273"/>
      <c r="I272" s="107"/>
      <c r="J272" s="249" t="e">
        <f t="shared" si="160"/>
        <v>#VALUE!</v>
      </c>
      <c r="K272" s="101" t="str">
        <f>IFERROR(INDEX('Data Sheet'!$C$198:$C$275,MATCH(I272,'Data Sheet'!$F$198:$F$275,0)),"")</f>
        <v/>
      </c>
      <c r="L272" s="250" t="str">
        <f>IFERROR(INDEX('Data Sheet'!$G$198:$G$275,MATCH(I272,'Data Sheet'!$F$198:$F$275,0)),"")</f>
        <v/>
      </c>
      <c r="M272" s="194"/>
      <c r="N272" s="248"/>
      <c r="O272" s="248"/>
      <c r="P272" s="108" t="str">
        <f>IFERROR(INDEX(Setup!$D$44:$D$70,MATCH(M272,Setup!$K$44:$K$70,0))&amp;"","")</f>
        <v/>
      </c>
      <c r="Q272" s="108" t="str">
        <f>IFERROR(INDEX(Setup!$E$44:$E$70,MATCH(M272,Setup!$K$44:$K$70,0))&amp;"","")</f>
        <v/>
      </c>
      <c r="R272" s="108" t="str">
        <f>IFERROR(INDEX(Setup!$L$44:$L$70,MATCH(M272,Setup!$K$44:$K$70,0))&amp;"","")</f>
        <v/>
      </c>
      <c r="S272" s="108" t="str">
        <f>Setup!$C$30</f>
        <v>USD</v>
      </c>
      <c r="T272" s="109" t="str">
        <f>IFERROR(INDEX('Data Sheet'!$B$198:$B$275,MATCH(I272,'Data Sheet'!$F$198:$F$275,0)),"")</f>
        <v/>
      </c>
      <c r="U272" s="110" t="str">
        <f>IFERROR(INDEX('Data Sheet'!$D$198:$D$275,MATCH(I272,'Data Sheet'!$F$198:$F$275,0)),"")</f>
        <v/>
      </c>
      <c r="V272" s="99"/>
      <c r="W272" s="195" t="str">
        <f>IF(V272=Setup!$C$30,"Grant",IF(V272=Setup!$C$31,"Local",IF(V272=Setup!$C$32,"Other",IF(ISBLANK(V272),"","Other"))))</f>
        <v/>
      </c>
      <c r="X272" s="255"/>
      <c r="Y272" s="259" t="str">
        <f>IF(X272&lt;&gt;"",X272/VLOOKUP($V272,Setup!$C$30:$D$41,2,0),"")</f>
        <v/>
      </c>
      <c r="Z272" s="262"/>
      <c r="AA272" s="256" t="str">
        <f t="shared" si="132"/>
        <v/>
      </c>
      <c r="AB272" s="262"/>
      <c r="AC272" s="258" t="str">
        <f t="shared" si="133"/>
        <v/>
      </c>
      <c r="AD272" s="262"/>
      <c r="AE272" s="258" t="str">
        <f t="shared" si="134"/>
        <v/>
      </c>
      <c r="AF272" s="262"/>
      <c r="AG272" s="256" t="str">
        <f t="shared" si="135"/>
        <v/>
      </c>
      <c r="AH272" s="256" t="str">
        <f t="shared" si="136"/>
        <v/>
      </c>
      <c r="AI272" s="256" t="str">
        <f t="shared" si="137"/>
        <v/>
      </c>
      <c r="AJ272" s="111"/>
      <c r="AK272" s="255"/>
      <c r="AL272" s="259" t="str">
        <f>IF(AK272&lt;&gt;"",AK272/VLOOKUP($V272,Setup!$C$30:$D$41,2,0),"")</f>
        <v/>
      </c>
      <c r="AM272" s="266"/>
      <c r="AN272" s="258" t="str">
        <f t="shared" si="138"/>
        <v/>
      </c>
      <c r="AO272" s="266"/>
      <c r="AP272" s="258" t="str">
        <f t="shared" si="139"/>
        <v/>
      </c>
      <c r="AQ272" s="266"/>
      <c r="AR272" s="258" t="str">
        <f t="shared" si="140"/>
        <v/>
      </c>
      <c r="AS272" s="266"/>
      <c r="AT272" s="256" t="str">
        <f t="shared" si="141"/>
        <v/>
      </c>
      <c r="AU272" s="256" t="str">
        <f t="shared" si="142"/>
        <v/>
      </c>
      <c r="AV272" s="256" t="str">
        <f t="shared" si="143"/>
        <v/>
      </c>
      <c r="AW272" s="267"/>
      <c r="AX272" s="255"/>
      <c r="AY272" s="259" t="str">
        <f>IF(AX272&lt;&gt;"",AX272/VLOOKUP($V272,Setup!$C$30:$D$41,2,0),"")</f>
        <v/>
      </c>
      <c r="AZ272" s="268"/>
      <c r="BA272" s="258" t="str">
        <f t="shared" si="144"/>
        <v/>
      </c>
      <c r="BB272" s="268"/>
      <c r="BC272" s="258" t="str">
        <f t="shared" si="145"/>
        <v/>
      </c>
      <c r="BD272" s="268"/>
      <c r="BE272" s="258" t="str">
        <f t="shared" si="146"/>
        <v/>
      </c>
      <c r="BF272" s="268"/>
      <c r="BG272" s="256" t="str">
        <f t="shared" si="147"/>
        <v/>
      </c>
      <c r="BH272" s="256" t="str">
        <f t="shared" si="148"/>
        <v/>
      </c>
      <c r="BI272" s="256" t="str">
        <f t="shared" si="149"/>
        <v/>
      </c>
      <c r="BJ272" s="267"/>
      <c r="BK272" s="255"/>
      <c r="BL272" s="259" t="str">
        <f>IF(BK272&lt;&gt;"",BK272/VLOOKUP($V272,Setup!$C$30:$D$41,2,0),"")</f>
        <v/>
      </c>
      <c r="BM272" s="268"/>
      <c r="BN272" s="258" t="str">
        <f t="shared" si="150"/>
        <v/>
      </c>
      <c r="BO272" s="268"/>
      <c r="BP272" s="258" t="str">
        <f t="shared" si="151"/>
        <v/>
      </c>
      <c r="BQ272" s="268"/>
      <c r="BR272" s="258" t="str">
        <f t="shared" si="152"/>
        <v/>
      </c>
      <c r="BS272" s="268"/>
      <c r="BT272" s="256" t="str">
        <f t="shared" si="153"/>
        <v/>
      </c>
      <c r="BU272" s="256" t="str">
        <f t="shared" si="154"/>
        <v/>
      </c>
      <c r="BV272" s="256" t="str">
        <f t="shared" si="155"/>
        <v/>
      </c>
      <c r="BW272" s="267"/>
      <c r="BX272" s="256" t="str">
        <f t="shared" si="156"/>
        <v/>
      </c>
      <c r="BY272" s="256" t="str">
        <f t="shared" si="157"/>
        <v/>
      </c>
      <c r="BZ272" s="281"/>
      <c r="CA272" s="282"/>
      <c r="CC272" s="112" t="str">
        <f t="shared" ca="1" si="158"/>
        <v/>
      </c>
      <c r="CF272" s="284"/>
      <c r="CG272" s="284"/>
      <c r="CH272" s="284"/>
      <c r="CI272" s="284"/>
      <c r="CL272" s="356" t="str">
        <f>IFERROR(VLOOKUP(C272,'Data Sheet'!$A$3:$B$26,2,FALSE),"")</f>
        <v/>
      </c>
    </row>
    <row r="273" spans="1:90" s="98" customFormat="1" ht="15.75" x14ac:dyDescent="0.2">
      <c r="A273" s="97"/>
      <c r="B273" s="105" t="str">
        <f t="shared" si="161"/>
        <v>--</v>
      </c>
      <c r="C273" s="276"/>
      <c r="D273" s="101" t="str">
        <f>IFERROR(IF(VLOOKUP(C273,'Data Sheet'!$A$3:$D$26,4,FALSE)=0,"",VLOOKUP(C273,'Data Sheet'!$A$3:$D$26,4,FALSE)),"")</f>
        <v/>
      </c>
      <c r="E273" s="279"/>
      <c r="F273" s="103" t="str">
        <f>IFERROR(IF(VLOOKUP(E273,'Data Sheet'!$C$29:$E$174,3,FALSE)=0,"",VLOOKUP(E273,'Data Sheet'!$C$29:$E$174,3,FALSE)),"")</f>
        <v/>
      </c>
      <c r="G273" s="106" t="str">
        <f t="shared" si="159"/>
        <v>-</v>
      </c>
      <c r="H273" s="273"/>
      <c r="I273" s="107"/>
      <c r="J273" s="249" t="e">
        <f t="shared" si="160"/>
        <v>#VALUE!</v>
      </c>
      <c r="K273" s="101" t="str">
        <f>IFERROR(INDEX('Data Sheet'!$C$198:$C$275,MATCH(I273,'Data Sheet'!$F$198:$F$275,0)),"")</f>
        <v/>
      </c>
      <c r="L273" s="250" t="str">
        <f>IFERROR(INDEX('Data Sheet'!$G$198:$G$275,MATCH(I273,'Data Sheet'!$F$198:$F$275,0)),"")</f>
        <v/>
      </c>
      <c r="M273" s="194"/>
      <c r="N273" s="248"/>
      <c r="O273" s="248"/>
      <c r="P273" s="108" t="str">
        <f>IFERROR(INDEX(Setup!$D$44:$D$70,MATCH(M273,Setup!$K$44:$K$70,0))&amp;"","")</f>
        <v/>
      </c>
      <c r="Q273" s="108" t="str">
        <f>IFERROR(INDEX(Setup!$E$44:$E$70,MATCH(M273,Setup!$K$44:$K$70,0))&amp;"","")</f>
        <v/>
      </c>
      <c r="R273" s="108" t="str">
        <f>IFERROR(INDEX(Setup!$L$44:$L$70,MATCH(M273,Setup!$K$44:$K$70,0))&amp;"","")</f>
        <v/>
      </c>
      <c r="S273" s="108" t="str">
        <f>Setup!$C$30</f>
        <v>USD</v>
      </c>
      <c r="T273" s="109" t="str">
        <f>IFERROR(INDEX('Data Sheet'!$B$198:$B$275,MATCH(I273,'Data Sheet'!$F$198:$F$275,0)),"")</f>
        <v/>
      </c>
      <c r="U273" s="110" t="str">
        <f>IFERROR(INDEX('Data Sheet'!$D$198:$D$275,MATCH(I273,'Data Sheet'!$F$198:$F$275,0)),"")</f>
        <v/>
      </c>
      <c r="V273" s="99"/>
      <c r="W273" s="195" t="str">
        <f>IF(V273=Setup!$C$30,"Grant",IF(V273=Setup!$C$31,"Local",IF(V273=Setup!$C$32,"Other",IF(ISBLANK(V273),"","Other"))))</f>
        <v/>
      </c>
      <c r="X273" s="255"/>
      <c r="Y273" s="259" t="str">
        <f>IF(X273&lt;&gt;"",X273/VLOOKUP($V273,Setup!$C$30:$D$41,2,0),"")</f>
        <v/>
      </c>
      <c r="Z273" s="262"/>
      <c r="AA273" s="256" t="str">
        <f t="shared" si="132"/>
        <v/>
      </c>
      <c r="AB273" s="262"/>
      <c r="AC273" s="258" t="str">
        <f t="shared" si="133"/>
        <v/>
      </c>
      <c r="AD273" s="262"/>
      <c r="AE273" s="258" t="str">
        <f t="shared" si="134"/>
        <v/>
      </c>
      <c r="AF273" s="262"/>
      <c r="AG273" s="256" t="str">
        <f t="shared" si="135"/>
        <v/>
      </c>
      <c r="AH273" s="256" t="str">
        <f t="shared" si="136"/>
        <v/>
      </c>
      <c r="AI273" s="256" t="str">
        <f t="shared" si="137"/>
        <v/>
      </c>
      <c r="AJ273" s="111"/>
      <c r="AK273" s="255"/>
      <c r="AL273" s="259" t="str">
        <f>IF(AK273&lt;&gt;"",AK273/VLOOKUP($V273,Setup!$C$30:$D$41,2,0),"")</f>
        <v/>
      </c>
      <c r="AM273" s="266"/>
      <c r="AN273" s="258" t="str">
        <f t="shared" si="138"/>
        <v/>
      </c>
      <c r="AO273" s="266"/>
      <c r="AP273" s="258" t="str">
        <f t="shared" si="139"/>
        <v/>
      </c>
      <c r="AQ273" s="266"/>
      <c r="AR273" s="258" t="str">
        <f t="shared" si="140"/>
        <v/>
      </c>
      <c r="AS273" s="266"/>
      <c r="AT273" s="256" t="str">
        <f t="shared" si="141"/>
        <v/>
      </c>
      <c r="AU273" s="256" t="str">
        <f t="shared" si="142"/>
        <v/>
      </c>
      <c r="AV273" s="256" t="str">
        <f t="shared" si="143"/>
        <v/>
      </c>
      <c r="AW273" s="267"/>
      <c r="AX273" s="255"/>
      <c r="AY273" s="259" t="str">
        <f>IF(AX273&lt;&gt;"",AX273/VLOOKUP($V273,Setup!$C$30:$D$41,2,0),"")</f>
        <v/>
      </c>
      <c r="AZ273" s="268"/>
      <c r="BA273" s="258" t="str">
        <f t="shared" si="144"/>
        <v/>
      </c>
      <c r="BB273" s="268"/>
      <c r="BC273" s="258" t="str">
        <f t="shared" si="145"/>
        <v/>
      </c>
      <c r="BD273" s="268"/>
      <c r="BE273" s="258" t="str">
        <f t="shared" si="146"/>
        <v/>
      </c>
      <c r="BF273" s="268"/>
      <c r="BG273" s="256" t="str">
        <f t="shared" si="147"/>
        <v/>
      </c>
      <c r="BH273" s="256" t="str">
        <f t="shared" si="148"/>
        <v/>
      </c>
      <c r="BI273" s="256" t="str">
        <f t="shared" si="149"/>
        <v/>
      </c>
      <c r="BJ273" s="267"/>
      <c r="BK273" s="255"/>
      <c r="BL273" s="259" t="str">
        <f>IF(BK273&lt;&gt;"",BK273/VLOOKUP($V273,Setup!$C$30:$D$41,2,0),"")</f>
        <v/>
      </c>
      <c r="BM273" s="268"/>
      <c r="BN273" s="258" t="str">
        <f t="shared" si="150"/>
        <v/>
      </c>
      <c r="BO273" s="268"/>
      <c r="BP273" s="258" t="str">
        <f t="shared" si="151"/>
        <v/>
      </c>
      <c r="BQ273" s="268"/>
      <c r="BR273" s="258" t="str">
        <f t="shared" si="152"/>
        <v/>
      </c>
      <c r="BS273" s="268"/>
      <c r="BT273" s="256" t="str">
        <f t="shared" si="153"/>
        <v/>
      </c>
      <c r="BU273" s="256" t="str">
        <f t="shared" si="154"/>
        <v/>
      </c>
      <c r="BV273" s="256" t="str">
        <f t="shared" si="155"/>
        <v/>
      </c>
      <c r="BW273" s="267"/>
      <c r="BX273" s="256" t="str">
        <f t="shared" si="156"/>
        <v/>
      </c>
      <c r="BY273" s="256" t="str">
        <f t="shared" si="157"/>
        <v/>
      </c>
      <c r="BZ273" s="281"/>
      <c r="CA273" s="282"/>
      <c r="CC273" s="112" t="str">
        <f t="shared" ca="1" si="158"/>
        <v/>
      </c>
      <c r="CF273" s="284"/>
      <c r="CG273" s="284"/>
      <c r="CH273" s="284"/>
      <c r="CI273" s="284"/>
      <c r="CL273" s="356" t="str">
        <f>IFERROR(VLOOKUP(C273,'Data Sheet'!$A$3:$B$26,2,FALSE),"")</f>
        <v/>
      </c>
    </row>
    <row r="274" spans="1:90" s="98" customFormat="1" ht="15.75" x14ac:dyDescent="0.2">
      <c r="A274" s="97"/>
      <c r="B274" s="105" t="str">
        <f t="shared" si="161"/>
        <v>--</v>
      </c>
      <c r="C274" s="276"/>
      <c r="D274" s="101" t="str">
        <f>IFERROR(IF(VLOOKUP(C274,'Data Sheet'!$A$3:$D$26,4,FALSE)=0,"",VLOOKUP(C274,'Data Sheet'!$A$3:$D$26,4,FALSE)),"")</f>
        <v/>
      </c>
      <c r="E274" s="279"/>
      <c r="F274" s="103" t="str">
        <f>IFERROR(IF(VLOOKUP(E274,'Data Sheet'!$C$29:$E$174,3,FALSE)=0,"",VLOOKUP(E274,'Data Sheet'!$C$29:$E$174,3,FALSE)),"")</f>
        <v/>
      </c>
      <c r="G274" s="106" t="str">
        <f t="shared" si="159"/>
        <v>-</v>
      </c>
      <c r="H274" s="273"/>
      <c r="I274" s="107"/>
      <c r="J274" s="249" t="e">
        <f t="shared" si="160"/>
        <v>#VALUE!</v>
      </c>
      <c r="K274" s="101" t="str">
        <f>IFERROR(INDEX('Data Sheet'!$C$198:$C$275,MATCH(I274,'Data Sheet'!$F$198:$F$275,0)),"")</f>
        <v/>
      </c>
      <c r="L274" s="250" t="str">
        <f>IFERROR(INDEX('Data Sheet'!$G$198:$G$275,MATCH(I274,'Data Sheet'!$F$198:$F$275,0)),"")</f>
        <v/>
      </c>
      <c r="M274" s="194"/>
      <c r="N274" s="248"/>
      <c r="O274" s="248"/>
      <c r="P274" s="108" t="str">
        <f>IFERROR(INDEX(Setup!$D$44:$D$70,MATCH(M274,Setup!$K$44:$K$70,0))&amp;"","")</f>
        <v/>
      </c>
      <c r="Q274" s="108" t="str">
        <f>IFERROR(INDEX(Setup!$E$44:$E$70,MATCH(M274,Setup!$K$44:$K$70,0))&amp;"","")</f>
        <v/>
      </c>
      <c r="R274" s="108" t="str">
        <f>IFERROR(INDEX(Setup!$L$44:$L$70,MATCH(M274,Setup!$K$44:$K$70,0))&amp;"","")</f>
        <v/>
      </c>
      <c r="S274" s="108" t="str">
        <f>Setup!$C$30</f>
        <v>USD</v>
      </c>
      <c r="T274" s="109" t="str">
        <f>IFERROR(INDEX('Data Sheet'!$B$198:$B$275,MATCH(I274,'Data Sheet'!$F$198:$F$275,0)),"")</f>
        <v/>
      </c>
      <c r="U274" s="110" t="str">
        <f>IFERROR(INDEX('Data Sheet'!$D$198:$D$275,MATCH(I274,'Data Sheet'!$F$198:$F$275,0)),"")</f>
        <v/>
      </c>
      <c r="V274" s="99"/>
      <c r="W274" s="195" t="str">
        <f>IF(V274=Setup!$C$30,"Grant",IF(V274=Setup!$C$31,"Local",IF(V274=Setup!$C$32,"Other",IF(ISBLANK(V274),"","Other"))))</f>
        <v/>
      </c>
      <c r="X274" s="255"/>
      <c r="Y274" s="259" t="str">
        <f>IF(X274&lt;&gt;"",X274/VLOOKUP($V274,Setup!$C$30:$D$41,2,0),"")</f>
        <v/>
      </c>
      <c r="Z274" s="262"/>
      <c r="AA274" s="256" t="str">
        <f t="shared" si="132"/>
        <v/>
      </c>
      <c r="AB274" s="262"/>
      <c r="AC274" s="258" t="str">
        <f t="shared" si="133"/>
        <v/>
      </c>
      <c r="AD274" s="262"/>
      <c r="AE274" s="258" t="str">
        <f t="shared" si="134"/>
        <v/>
      </c>
      <c r="AF274" s="262"/>
      <c r="AG274" s="256" t="str">
        <f t="shared" si="135"/>
        <v/>
      </c>
      <c r="AH274" s="256" t="str">
        <f t="shared" si="136"/>
        <v/>
      </c>
      <c r="AI274" s="256" t="str">
        <f t="shared" si="137"/>
        <v/>
      </c>
      <c r="AJ274" s="111"/>
      <c r="AK274" s="255"/>
      <c r="AL274" s="259" t="str">
        <f>IF(AK274&lt;&gt;"",AK274/VLOOKUP($V274,Setup!$C$30:$D$41,2,0),"")</f>
        <v/>
      </c>
      <c r="AM274" s="266"/>
      <c r="AN274" s="258" t="str">
        <f t="shared" si="138"/>
        <v/>
      </c>
      <c r="AO274" s="266"/>
      <c r="AP274" s="258" t="str">
        <f t="shared" si="139"/>
        <v/>
      </c>
      <c r="AQ274" s="266"/>
      <c r="AR274" s="258" t="str">
        <f t="shared" si="140"/>
        <v/>
      </c>
      <c r="AS274" s="266"/>
      <c r="AT274" s="256" t="str">
        <f t="shared" si="141"/>
        <v/>
      </c>
      <c r="AU274" s="256" t="str">
        <f t="shared" si="142"/>
        <v/>
      </c>
      <c r="AV274" s="256" t="str">
        <f t="shared" si="143"/>
        <v/>
      </c>
      <c r="AW274" s="267"/>
      <c r="AX274" s="255"/>
      <c r="AY274" s="259" t="str">
        <f>IF(AX274&lt;&gt;"",AX274/VLOOKUP($V274,Setup!$C$30:$D$41,2,0),"")</f>
        <v/>
      </c>
      <c r="AZ274" s="268"/>
      <c r="BA274" s="258" t="str">
        <f t="shared" si="144"/>
        <v/>
      </c>
      <c r="BB274" s="268"/>
      <c r="BC274" s="258" t="str">
        <f t="shared" si="145"/>
        <v/>
      </c>
      <c r="BD274" s="268"/>
      <c r="BE274" s="258" t="str">
        <f t="shared" si="146"/>
        <v/>
      </c>
      <c r="BF274" s="268"/>
      <c r="BG274" s="256" t="str">
        <f t="shared" si="147"/>
        <v/>
      </c>
      <c r="BH274" s="256" t="str">
        <f t="shared" si="148"/>
        <v/>
      </c>
      <c r="BI274" s="256" t="str">
        <f t="shared" si="149"/>
        <v/>
      </c>
      <c r="BJ274" s="267"/>
      <c r="BK274" s="255"/>
      <c r="BL274" s="259" t="str">
        <f>IF(BK274&lt;&gt;"",BK274/VLOOKUP($V274,Setup!$C$30:$D$41,2,0),"")</f>
        <v/>
      </c>
      <c r="BM274" s="268"/>
      <c r="BN274" s="258" t="str">
        <f t="shared" si="150"/>
        <v/>
      </c>
      <c r="BO274" s="268"/>
      <c r="BP274" s="258" t="str">
        <f t="shared" si="151"/>
        <v/>
      </c>
      <c r="BQ274" s="268"/>
      <c r="BR274" s="258" t="str">
        <f t="shared" si="152"/>
        <v/>
      </c>
      <c r="BS274" s="268"/>
      <c r="BT274" s="256" t="str">
        <f t="shared" si="153"/>
        <v/>
      </c>
      <c r="BU274" s="256" t="str">
        <f t="shared" si="154"/>
        <v/>
      </c>
      <c r="BV274" s="256" t="str">
        <f t="shared" si="155"/>
        <v/>
      </c>
      <c r="BW274" s="267"/>
      <c r="BX274" s="256" t="str">
        <f t="shared" si="156"/>
        <v/>
      </c>
      <c r="BY274" s="256" t="str">
        <f t="shared" si="157"/>
        <v/>
      </c>
      <c r="BZ274" s="281"/>
      <c r="CA274" s="282"/>
      <c r="CC274" s="112" t="str">
        <f t="shared" ca="1" si="158"/>
        <v/>
      </c>
      <c r="CF274" s="284"/>
      <c r="CG274" s="284"/>
      <c r="CH274" s="284"/>
      <c r="CI274" s="284"/>
      <c r="CL274" s="356" t="str">
        <f>IFERROR(VLOOKUP(C274,'Data Sheet'!$A$3:$B$26,2,FALSE),"")</f>
        <v/>
      </c>
    </row>
    <row r="275" spans="1:90" s="98" customFormat="1" ht="15.75" x14ac:dyDescent="0.2">
      <c r="A275" s="97"/>
      <c r="B275" s="105" t="str">
        <f t="shared" si="161"/>
        <v>--</v>
      </c>
      <c r="C275" s="276"/>
      <c r="D275" s="101" t="str">
        <f>IFERROR(IF(VLOOKUP(C275,'Data Sheet'!$A$3:$D$26,4,FALSE)=0,"",VLOOKUP(C275,'Data Sheet'!$A$3:$D$26,4,FALSE)),"")</f>
        <v/>
      </c>
      <c r="E275" s="279"/>
      <c r="F275" s="103" t="str">
        <f>IFERROR(IF(VLOOKUP(E275,'Data Sheet'!$C$29:$E$174,3,FALSE)=0,"",VLOOKUP(E275,'Data Sheet'!$C$29:$E$174,3,FALSE)),"")</f>
        <v/>
      </c>
      <c r="G275" s="106" t="str">
        <f t="shared" si="159"/>
        <v>-</v>
      </c>
      <c r="H275" s="273"/>
      <c r="I275" s="107"/>
      <c r="J275" s="249" t="e">
        <f t="shared" si="160"/>
        <v>#VALUE!</v>
      </c>
      <c r="K275" s="101" t="str">
        <f>IFERROR(INDEX('Data Sheet'!$C$198:$C$275,MATCH(I275,'Data Sheet'!$F$198:$F$275,0)),"")</f>
        <v/>
      </c>
      <c r="L275" s="250" t="str">
        <f>IFERROR(INDEX('Data Sheet'!$G$198:$G$275,MATCH(I275,'Data Sheet'!$F$198:$F$275,0)),"")</f>
        <v/>
      </c>
      <c r="M275" s="194"/>
      <c r="N275" s="248"/>
      <c r="O275" s="248"/>
      <c r="P275" s="108" t="str">
        <f>IFERROR(INDEX(Setup!$D$44:$D$70,MATCH(M275,Setup!$K$44:$K$70,0))&amp;"","")</f>
        <v/>
      </c>
      <c r="Q275" s="108" t="str">
        <f>IFERROR(INDEX(Setup!$E$44:$E$70,MATCH(M275,Setup!$K$44:$K$70,0))&amp;"","")</f>
        <v/>
      </c>
      <c r="R275" s="108" t="str">
        <f>IFERROR(INDEX(Setup!$L$44:$L$70,MATCH(M275,Setup!$K$44:$K$70,0))&amp;"","")</f>
        <v/>
      </c>
      <c r="S275" s="108" t="str">
        <f>Setup!$C$30</f>
        <v>USD</v>
      </c>
      <c r="T275" s="109" t="str">
        <f>IFERROR(INDEX('Data Sheet'!$B$198:$B$275,MATCH(I275,'Data Sheet'!$F$198:$F$275,0)),"")</f>
        <v/>
      </c>
      <c r="U275" s="110" t="str">
        <f>IFERROR(INDEX('Data Sheet'!$D$198:$D$275,MATCH(I275,'Data Sheet'!$F$198:$F$275,0)),"")</f>
        <v/>
      </c>
      <c r="V275" s="99"/>
      <c r="W275" s="195" t="str">
        <f>IF(V275=Setup!$C$30,"Grant",IF(V275=Setup!$C$31,"Local",IF(V275=Setup!$C$32,"Other",IF(ISBLANK(V275),"","Other"))))</f>
        <v/>
      </c>
      <c r="X275" s="255"/>
      <c r="Y275" s="259" t="str">
        <f>IF(X275&lt;&gt;"",X275/VLOOKUP($V275,Setup!$C$30:$D$41,2,0),"")</f>
        <v/>
      </c>
      <c r="Z275" s="262"/>
      <c r="AA275" s="256" t="str">
        <f t="shared" si="132"/>
        <v/>
      </c>
      <c r="AB275" s="262"/>
      <c r="AC275" s="258" t="str">
        <f t="shared" si="133"/>
        <v/>
      </c>
      <c r="AD275" s="262"/>
      <c r="AE275" s="258" t="str">
        <f t="shared" si="134"/>
        <v/>
      </c>
      <c r="AF275" s="262"/>
      <c r="AG275" s="256" t="str">
        <f t="shared" si="135"/>
        <v/>
      </c>
      <c r="AH275" s="256" t="str">
        <f t="shared" si="136"/>
        <v/>
      </c>
      <c r="AI275" s="256" t="str">
        <f t="shared" si="137"/>
        <v/>
      </c>
      <c r="AJ275" s="111"/>
      <c r="AK275" s="255"/>
      <c r="AL275" s="259" t="str">
        <f>IF(AK275&lt;&gt;"",AK275/VLOOKUP($V275,Setup!$C$30:$D$41,2,0),"")</f>
        <v/>
      </c>
      <c r="AM275" s="266"/>
      <c r="AN275" s="258" t="str">
        <f t="shared" si="138"/>
        <v/>
      </c>
      <c r="AO275" s="266"/>
      <c r="AP275" s="258" t="str">
        <f t="shared" si="139"/>
        <v/>
      </c>
      <c r="AQ275" s="266"/>
      <c r="AR275" s="258" t="str">
        <f t="shared" si="140"/>
        <v/>
      </c>
      <c r="AS275" s="266"/>
      <c r="AT275" s="256" t="str">
        <f t="shared" si="141"/>
        <v/>
      </c>
      <c r="AU275" s="256" t="str">
        <f t="shared" si="142"/>
        <v/>
      </c>
      <c r="AV275" s="256" t="str">
        <f t="shared" si="143"/>
        <v/>
      </c>
      <c r="AW275" s="267"/>
      <c r="AX275" s="255"/>
      <c r="AY275" s="259" t="str">
        <f>IF(AX275&lt;&gt;"",AX275/VLOOKUP($V275,Setup!$C$30:$D$41,2,0),"")</f>
        <v/>
      </c>
      <c r="AZ275" s="268"/>
      <c r="BA275" s="258" t="str">
        <f t="shared" si="144"/>
        <v/>
      </c>
      <c r="BB275" s="268"/>
      <c r="BC275" s="258" t="str">
        <f t="shared" si="145"/>
        <v/>
      </c>
      <c r="BD275" s="268"/>
      <c r="BE275" s="258" t="str">
        <f t="shared" si="146"/>
        <v/>
      </c>
      <c r="BF275" s="268"/>
      <c r="BG275" s="256" t="str">
        <f t="shared" si="147"/>
        <v/>
      </c>
      <c r="BH275" s="256" t="str">
        <f t="shared" si="148"/>
        <v/>
      </c>
      <c r="BI275" s="256" t="str">
        <f t="shared" si="149"/>
        <v/>
      </c>
      <c r="BJ275" s="267"/>
      <c r="BK275" s="255"/>
      <c r="BL275" s="259" t="str">
        <f>IF(BK275&lt;&gt;"",BK275/VLOOKUP($V275,Setup!$C$30:$D$41,2,0),"")</f>
        <v/>
      </c>
      <c r="BM275" s="268"/>
      <c r="BN275" s="258" t="str">
        <f t="shared" si="150"/>
        <v/>
      </c>
      <c r="BO275" s="268"/>
      <c r="BP275" s="258" t="str">
        <f t="shared" si="151"/>
        <v/>
      </c>
      <c r="BQ275" s="268"/>
      <c r="BR275" s="258" t="str">
        <f t="shared" si="152"/>
        <v/>
      </c>
      <c r="BS275" s="268"/>
      <c r="BT275" s="256" t="str">
        <f t="shared" si="153"/>
        <v/>
      </c>
      <c r="BU275" s="256" t="str">
        <f t="shared" si="154"/>
        <v/>
      </c>
      <c r="BV275" s="256" t="str">
        <f t="shared" si="155"/>
        <v/>
      </c>
      <c r="BW275" s="267"/>
      <c r="BX275" s="256" t="str">
        <f t="shared" si="156"/>
        <v/>
      </c>
      <c r="BY275" s="256" t="str">
        <f t="shared" si="157"/>
        <v/>
      </c>
      <c r="BZ275" s="281"/>
      <c r="CA275" s="282"/>
      <c r="CC275" s="112" t="str">
        <f t="shared" ca="1" si="158"/>
        <v/>
      </c>
      <c r="CF275" s="284"/>
      <c r="CG275" s="284"/>
      <c r="CH275" s="284"/>
      <c r="CI275" s="284"/>
      <c r="CL275" s="356" t="str">
        <f>IFERROR(VLOOKUP(C275,'Data Sheet'!$A$3:$B$26,2,FALSE),"")</f>
        <v/>
      </c>
    </row>
    <row r="276" spans="1:90" s="98" customFormat="1" ht="15.75" x14ac:dyDescent="0.2">
      <c r="A276" s="97"/>
      <c r="B276" s="105" t="str">
        <f t="shared" si="161"/>
        <v>--</v>
      </c>
      <c r="C276" s="276"/>
      <c r="D276" s="101" t="str">
        <f>IFERROR(IF(VLOOKUP(C276,'Data Sheet'!$A$3:$D$26,4,FALSE)=0,"",VLOOKUP(C276,'Data Sheet'!$A$3:$D$26,4,FALSE)),"")</f>
        <v/>
      </c>
      <c r="E276" s="279"/>
      <c r="F276" s="103" t="str">
        <f>IFERROR(IF(VLOOKUP(E276,'Data Sheet'!$C$29:$E$174,3,FALSE)=0,"",VLOOKUP(E276,'Data Sheet'!$C$29:$E$174,3,FALSE)),"")</f>
        <v/>
      </c>
      <c r="G276" s="106" t="str">
        <f t="shared" si="159"/>
        <v>-</v>
      </c>
      <c r="H276" s="273"/>
      <c r="I276" s="107"/>
      <c r="J276" s="249" t="e">
        <f t="shared" si="160"/>
        <v>#VALUE!</v>
      </c>
      <c r="K276" s="101" t="str">
        <f>IFERROR(INDEX('Data Sheet'!$C$198:$C$275,MATCH(I276,'Data Sheet'!$F$198:$F$275,0)),"")</f>
        <v/>
      </c>
      <c r="L276" s="250" t="str">
        <f>IFERROR(INDEX('Data Sheet'!$G$198:$G$275,MATCH(I276,'Data Sheet'!$F$198:$F$275,0)),"")</f>
        <v/>
      </c>
      <c r="M276" s="194"/>
      <c r="N276" s="248"/>
      <c r="O276" s="248"/>
      <c r="P276" s="108" t="str">
        <f>IFERROR(INDEX(Setup!$D$44:$D$70,MATCH(M276,Setup!$K$44:$K$70,0))&amp;"","")</f>
        <v/>
      </c>
      <c r="Q276" s="108" t="str">
        <f>IFERROR(INDEX(Setup!$E$44:$E$70,MATCH(M276,Setup!$K$44:$K$70,0))&amp;"","")</f>
        <v/>
      </c>
      <c r="R276" s="108" t="str">
        <f>IFERROR(INDEX(Setup!$L$44:$L$70,MATCH(M276,Setup!$K$44:$K$70,0))&amp;"","")</f>
        <v/>
      </c>
      <c r="S276" s="108" t="str">
        <f>Setup!$C$30</f>
        <v>USD</v>
      </c>
      <c r="T276" s="109" t="str">
        <f>IFERROR(INDEX('Data Sheet'!$B$198:$B$275,MATCH(I276,'Data Sheet'!$F$198:$F$275,0)),"")</f>
        <v/>
      </c>
      <c r="U276" s="110" t="str">
        <f>IFERROR(INDEX('Data Sheet'!$D$198:$D$275,MATCH(I276,'Data Sheet'!$F$198:$F$275,0)),"")</f>
        <v/>
      </c>
      <c r="V276" s="99"/>
      <c r="W276" s="195" t="str">
        <f>IF(V276=Setup!$C$30,"Grant",IF(V276=Setup!$C$31,"Local",IF(V276=Setup!$C$32,"Other",IF(ISBLANK(V276),"","Other"))))</f>
        <v/>
      </c>
      <c r="X276" s="255"/>
      <c r="Y276" s="259" t="str">
        <f>IF(X276&lt;&gt;"",X276/VLOOKUP($V276,Setup!$C$30:$D$41,2,0),"")</f>
        <v/>
      </c>
      <c r="Z276" s="262"/>
      <c r="AA276" s="256" t="str">
        <f t="shared" si="132"/>
        <v/>
      </c>
      <c r="AB276" s="262"/>
      <c r="AC276" s="258" t="str">
        <f t="shared" si="133"/>
        <v/>
      </c>
      <c r="AD276" s="262"/>
      <c r="AE276" s="258" t="str">
        <f t="shared" si="134"/>
        <v/>
      </c>
      <c r="AF276" s="262"/>
      <c r="AG276" s="256" t="str">
        <f t="shared" si="135"/>
        <v/>
      </c>
      <c r="AH276" s="256" t="str">
        <f t="shared" si="136"/>
        <v/>
      </c>
      <c r="AI276" s="256" t="str">
        <f t="shared" si="137"/>
        <v/>
      </c>
      <c r="AJ276" s="111"/>
      <c r="AK276" s="255"/>
      <c r="AL276" s="259" t="str">
        <f>IF(AK276&lt;&gt;"",AK276/VLOOKUP($V276,Setup!$C$30:$D$41,2,0),"")</f>
        <v/>
      </c>
      <c r="AM276" s="266"/>
      <c r="AN276" s="258" t="str">
        <f t="shared" si="138"/>
        <v/>
      </c>
      <c r="AO276" s="266"/>
      <c r="AP276" s="258" t="str">
        <f t="shared" si="139"/>
        <v/>
      </c>
      <c r="AQ276" s="266"/>
      <c r="AR276" s="258" t="str">
        <f t="shared" si="140"/>
        <v/>
      </c>
      <c r="AS276" s="266"/>
      <c r="AT276" s="256" t="str">
        <f t="shared" si="141"/>
        <v/>
      </c>
      <c r="AU276" s="256" t="str">
        <f t="shared" si="142"/>
        <v/>
      </c>
      <c r="AV276" s="256" t="str">
        <f t="shared" si="143"/>
        <v/>
      </c>
      <c r="AW276" s="267"/>
      <c r="AX276" s="255"/>
      <c r="AY276" s="259" t="str">
        <f>IF(AX276&lt;&gt;"",AX276/VLOOKUP($V276,Setup!$C$30:$D$41,2,0),"")</f>
        <v/>
      </c>
      <c r="AZ276" s="268"/>
      <c r="BA276" s="258" t="str">
        <f t="shared" si="144"/>
        <v/>
      </c>
      <c r="BB276" s="268"/>
      <c r="BC276" s="258" t="str">
        <f t="shared" si="145"/>
        <v/>
      </c>
      <c r="BD276" s="268"/>
      <c r="BE276" s="258" t="str">
        <f t="shared" si="146"/>
        <v/>
      </c>
      <c r="BF276" s="268"/>
      <c r="BG276" s="256" t="str">
        <f t="shared" si="147"/>
        <v/>
      </c>
      <c r="BH276" s="256" t="str">
        <f t="shared" si="148"/>
        <v/>
      </c>
      <c r="BI276" s="256" t="str">
        <f t="shared" si="149"/>
        <v/>
      </c>
      <c r="BJ276" s="267"/>
      <c r="BK276" s="255"/>
      <c r="BL276" s="259" t="str">
        <f>IF(BK276&lt;&gt;"",BK276/VLOOKUP($V276,Setup!$C$30:$D$41,2,0),"")</f>
        <v/>
      </c>
      <c r="BM276" s="268"/>
      <c r="BN276" s="258" t="str">
        <f t="shared" si="150"/>
        <v/>
      </c>
      <c r="BO276" s="268"/>
      <c r="BP276" s="258" t="str">
        <f t="shared" si="151"/>
        <v/>
      </c>
      <c r="BQ276" s="268"/>
      <c r="BR276" s="258" t="str">
        <f t="shared" si="152"/>
        <v/>
      </c>
      <c r="BS276" s="268"/>
      <c r="BT276" s="256" t="str">
        <f t="shared" si="153"/>
        <v/>
      </c>
      <c r="BU276" s="256" t="str">
        <f t="shared" si="154"/>
        <v/>
      </c>
      <c r="BV276" s="256" t="str">
        <f t="shared" si="155"/>
        <v/>
      </c>
      <c r="BW276" s="267"/>
      <c r="BX276" s="256" t="str">
        <f t="shared" si="156"/>
        <v/>
      </c>
      <c r="BY276" s="256" t="str">
        <f t="shared" si="157"/>
        <v/>
      </c>
      <c r="BZ276" s="281"/>
      <c r="CA276" s="282"/>
      <c r="CC276" s="112" t="str">
        <f t="shared" ca="1" si="158"/>
        <v/>
      </c>
      <c r="CF276" s="284"/>
      <c r="CG276" s="284"/>
      <c r="CH276" s="284"/>
      <c r="CI276" s="284"/>
      <c r="CL276" s="356" t="str">
        <f>IFERROR(VLOOKUP(C276,'Data Sheet'!$A$3:$B$26,2,FALSE),"")</f>
        <v/>
      </c>
    </row>
    <row r="277" spans="1:90" s="98" customFormat="1" ht="15.75" x14ac:dyDescent="0.2">
      <c r="A277" s="97"/>
      <c r="B277" s="105" t="str">
        <f t="shared" si="161"/>
        <v>--</v>
      </c>
      <c r="C277" s="276"/>
      <c r="D277" s="101" t="str">
        <f>IFERROR(IF(VLOOKUP(C277,'Data Sheet'!$A$3:$D$26,4,FALSE)=0,"",VLOOKUP(C277,'Data Sheet'!$A$3:$D$26,4,FALSE)),"")</f>
        <v/>
      </c>
      <c r="E277" s="279"/>
      <c r="F277" s="103" t="str">
        <f>IFERROR(IF(VLOOKUP(E277,'Data Sheet'!$C$29:$E$174,3,FALSE)=0,"",VLOOKUP(E277,'Data Sheet'!$C$29:$E$174,3,FALSE)),"")</f>
        <v/>
      </c>
      <c r="G277" s="106" t="str">
        <f t="shared" si="159"/>
        <v>-</v>
      </c>
      <c r="H277" s="273"/>
      <c r="I277" s="107"/>
      <c r="J277" s="249" t="e">
        <f t="shared" si="160"/>
        <v>#VALUE!</v>
      </c>
      <c r="K277" s="101" t="str">
        <f>IFERROR(INDEX('Data Sheet'!$C$198:$C$275,MATCH(I277,'Data Sheet'!$F$198:$F$275,0)),"")</f>
        <v/>
      </c>
      <c r="L277" s="250" t="str">
        <f>IFERROR(INDEX('Data Sheet'!$G$198:$G$275,MATCH(I277,'Data Sheet'!$F$198:$F$275,0)),"")</f>
        <v/>
      </c>
      <c r="M277" s="194"/>
      <c r="N277" s="248"/>
      <c r="O277" s="248"/>
      <c r="P277" s="108" t="str">
        <f>IFERROR(INDEX(Setup!$D$44:$D$70,MATCH(M277,Setup!$K$44:$K$70,0))&amp;"","")</f>
        <v/>
      </c>
      <c r="Q277" s="108" t="str">
        <f>IFERROR(INDEX(Setup!$E$44:$E$70,MATCH(M277,Setup!$K$44:$K$70,0))&amp;"","")</f>
        <v/>
      </c>
      <c r="R277" s="108" t="str">
        <f>IFERROR(INDEX(Setup!$L$44:$L$70,MATCH(M277,Setup!$K$44:$K$70,0))&amp;"","")</f>
        <v/>
      </c>
      <c r="S277" s="108" t="str">
        <f>Setup!$C$30</f>
        <v>USD</v>
      </c>
      <c r="T277" s="109" t="str">
        <f>IFERROR(INDEX('Data Sheet'!$B$198:$B$275,MATCH(I277,'Data Sheet'!$F$198:$F$275,0)),"")</f>
        <v/>
      </c>
      <c r="U277" s="110" t="str">
        <f>IFERROR(INDEX('Data Sheet'!$D$198:$D$275,MATCH(I277,'Data Sheet'!$F$198:$F$275,0)),"")</f>
        <v/>
      </c>
      <c r="V277" s="99"/>
      <c r="W277" s="195" t="str">
        <f>IF(V277=Setup!$C$30,"Grant",IF(V277=Setup!$C$31,"Local",IF(V277=Setup!$C$32,"Other",IF(ISBLANK(V277),"","Other"))))</f>
        <v/>
      </c>
      <c r="X277" s="255"/>
      <c r="Y277" s="259" t="str">
        <f>IF(X277&lt;&gt;"",X277/VLOOKUP($V277,Setup!$C$30:$D$41,2,0),"")</f>
        <v/>
      </c>
      <c r="Z277" s="262"/>
      <c r="AA277" s="256" t="str">
        <f t="shared" si="132"/>
        <v/>
      </c>
      <c r="AB277" s="262"/>
      <c r="AC277" s="258" t="str">
        <f t="shared" si="133"/>
        <v/>
      </c>
      <c r="AD277" s="262"/>
      <c r="AE277" s="258" t="str">
        <f t="shared" si="134"/>
        <v/>
      </c>
      <c r="AF277" s="262"/>
      <c r="AG277" s="256" t="str">
        <f t="shared" si="135"/>
        <v/>
      </c>
      <c r="AH277" s="256" t="str">
        <f t="shared" si="136"/>
        <v/>
      </c>
      <c r="AI277" s="256" t="str">
        <f t="shared" si="137"/>
        <v/>
      </c>
      <c r="AJ277" s="111"/>
      <c r="AK277" s="255"/>
      <c r="AL277" s="259" t="str">
        <f>IF(AK277&lt;&gt;"",AK277/VLOOKUP($V277,Setup!$C$30:$D$41,2,0),"")</f>
        <v/>
      </c>
      <c r="AM277" s="266"/>
      <c r="AN277" s="258" t="str">
        <f t="shared" si="138"/>
        <v/>
      </c>
      <c r="AO277" s="266"/>
      <c r="AP277" s="258" t="str">
        <f t="shared" si="139"/>
        <v/>
      </c>
      <c r="AQ277" s="266"/>
      <c r="AR277" s="258" t="str">
        <f t="shared" si="140"/>
        <v/>
      </c>
      <c r="AS277" s="266"/>
      <c r="AT277" s="256" t="str">
        <f t="shared" si="141"/>
        <v/>
      </c>
      <c r="AU277" s="256" t="str">
        <f t="shared" si="142"/>
        <v/>
      </c>
      <c r="AV277" s="256" t="str">
        <f t="shared" si="143"/>
        <v/>
      </c>
      <c r="AW277" s="267"/>
      <c r="AX277" s="255"/>
      <c r="AY277" s="259" t="str">
        <f>IF(AX277&lt;&gt;"",AX277/VLOOKUP($V277,Setup!$C$30:$D$41,2,0),"")</f>
        <v/>
      </c>
      <c r="AZ277" s="268"/>
      <c r="BA277" s="258" t="str">
        <f t="shared" si="144"/>
        <v/>
      </c>
      <c r="BB277" s="268"/>
      <c r="BC277" s="258" t="str">
        <f t="shared" si="145"/>
        <v/>
      </c>
      <c r="BD277" s="268"/>
      <c r="BE277" s="258" t="str">
        <f t="shared" si="146"/>
        <v/>
      </c>
      <c r="BF277" s="268"/>
      <c r="BG277" s="256" t="str">
        <f t="shared" si="147"/>
        <v/>
      </c>
      <c r="BH277" s="256" t="str">
        <f t="shared" si="148"/>
        <v/>
      </c>
      <c r="BI277" s="256" t="str">
        <f t="shared" si="149"/>
        <v/>
      </c>
      <c r="BJ277" s="267"/>
      <c r="BK277" s="255"/>
      <c r="BL277" s="259" t="str">
        <f>IF(BK277&lt;&gt;"",BK277/VLOOKUP($V277,Setup!$C$30:$D$41,2,0),"")</f>
        <v/>
      </c>
      <c r="BM277" s="268"/>
      <c r="BN277" s="258" t="str">
        <f t="shared" si="150"/>
        <v/>
      </c>
      <c r="BO277" s="268"/>
      <c r="BP277" s="258" t="str">
        <f t="shared" si="151"/>
        <v/>
      </c>
      <c r="BQ277" s="268"/>
      <c r="BR277" s="258" t="str">
        <f t="shared" si="152"/>
        <v/>
      </c>
      <c r="BS277" s="268"/>
      <c r="BT277" s="256" t="str">
        <f t="shared" si="153"/>
        <v/>
      </c>
      <c r="BU277" s="256" t="str">
        <f t="shared" si="154"/>
        <v/>
      </c>
      <c r="BV277" s="256" t="str">
        <f t="shared" si="155"/>
        <v/>
      </c>
      <c r="BW277" s="267"/>
      <c r="BX277" s="256" t="str">
        <f t="shared" si="156"/>
        <v/>
      </c>
      <c r="BY277" s="256" t="str">
        <f t="shared" si="157"/>
        <v/>
      </c>
      <c r="BZ277" s="281"/>
      <c r="CA277" s="282"/>
      <c r="CC277" s="112" t="str">
        <f t="shared" ca="1" si="158"/>
        <v/>
      </c>
      <c r="CF277" s="284"/>
      <c r="CG277" s="284"/>
      <c r="CH277" s="284"/>
      <c r="CI277" s="284"/>
      <c r="CL277" s="356" t="str">
        <f>IFERROR(VLOOKUP(C277,'Data Sheet'!$A$3:$B$26,2,FALSE),"")</f>
        <v/>
      </c>
    </row>
    <row r="278" spans="1:90" s="98" customFormat="1" ht="15.75" x14ac:dyDescent="0.2">
      <c r="A278" s="97"/>
      <c r="B278" s="105" t="str">
        <f t="shared" si="161"/>
        <v>--</v>
      </c>
      <c r="C278" s="276"/>
      <c r="D278" s="101" t="str">
        <f>IFERROR(IF(VLOOKUP(C278,'Data Sheet'!$A$3:$D$26,4,FALSE)=0,"",VLOOKUP(C278,'Data Sheet'!$A$3:$D$26,4,FALSE)),"")</f>
        <v/>
      </c>
      <c r="E278" s="279"/>
      <c r="F278" s="103" t="str">
        <f>IFERROR(IF(VLOOKUP(E278,'Data Sheet'!$C$29:$E$174,3,FALSE)=0,"",VLOOKUP(E278,'Data Sheet'!$C$29:$E$174,3,FALSE)),"")</f>
        <v/>
      </c>
      <c r="G278" s="106" t="str">
        <f t="shared" si="159"/>
        <v>-</v>
      </c>
      <c r="H278" s="273"/>
      <c r="I278" s="107"/>
      <c r="J278" s="249" t="e">
        <f t="shared" si="160"/>
        <v>#VALUE!</v>
      </c>
      <c r="K278" s="101" t="str">
        <f>IFERROR(INDEX('Data Sheet'!$C$198:$C$275,MATCH(I278,'Data Sheet'!$F$198:$F$275,0)),"")</f>
        <v/>
      </c>
      <c r="L278" s="250" t="str">
        <f>IFERROR(INDEX('Data Sheet'!$G$198:$G$275,MATCH(I278,'Data Sheet'!$F$198:$F$275,0)),"")</f>
        <v/>
      </c>
      <c r="M278" s="194"/>
      <c r="N278" s="248"/>
      <c r="O278" s="248"/>
      <c r="P278" s="108" t="str">
        <f>IFERROR(INDEX(Setup!$D$44:$D$70,MATCH(M278,Setup!$K$44:$K$70,0))&amp;"","")</f>
        <v/>
      </c>
      <c r="Q278" s="108" t="str">
        <f>IFERROR(INDEX(Setup!$E$44:$E$70,MATCH(M278,Setup!$K$44:$K$70,0))&amp;"","")</f>
        <v/>
      </c>
      <c r="R278" s="108" t="str">
        <f>IFERROR(INDEX(Setup!$L$44:$L$70,MATCH(M278,Setup!$K$44:$K$70,0))&amp;"","")</f>
        <v/>
      </c>
      <c r="S278" s="108" t="str">
        <f>Setup!$C$30</f>
        <v>USD</v>
      </c>
      <c r="T278" s="109" t="str">
        <f>IFERROR(INDEX('Data Sheet'!$B$198:$B$275,MATCH(I278,'Data Sheet'!$F$198:$F$275,0)),"")</f>
        <v/>
      </c>
      <c r="U278" s="110" t="str">
        <f>IFERROR(INDEX('Data Sheet'!$D$198:$D$275,MATCH(I278,'Data Sheet'!$F$198:$F$275,0)),"")</f>
        <v/>
      </c>
      <c r="V278" s="99"/>
      <c r="W278" s="195" t="str">
        <f>IF(V278=Setup!$C$30,"Grant",IF(V278=Setup!$C$31,"Local",IF(V278=Setup!$C$32,"Other",IF(ISBLANK(V278),"","Other"))))</f>
        <v/>
      </c>
      <c r="X278" s="255"/>
      <c r="Y278" s="259" t="str">
        <f>IF(X278&lt;&gt;"",X278/VLOOKUP($V278,Setup!$C$30:$D$41,2,0),"")</f>
        <v/>
      </c>
      <c r="Z278" s="262"/>
      <c r="AA278" s="256" t="str">
        <f t="shared" si="132"/>
        <v/>
      </c>
      <c r="AB278" s="262"/>
      <c r="AC278" s="258" t="str">
        <f t="shared" si="133"/>
        <v/>
      </c>
      <c r="AD278" s="262"/>
      <c r="AE278" s="258" t="str">
        <f t="shared" si="134"/>
        <v/>
      </c>
      <c r="AF278" s="262"/>
      <c r="AG278" s="256" t="str">
        <f t="shared" si="135"/>
        <v/>
      </c>
      <c r="AH278" s="256" t="str">
        <f t="shared" si="136"/>
        <v/>
      </c>
      <c r="AI278" s="256" t="str">
        <f t="shared" si="137"/>
        <v/>
      </c>
      <c r="AJ278" s="111"/>
      <c r="AK278" s="255"/>
      <c r="AL278" s="259" t="str">
        <f>IF(AK278&lt;&gt;"",AK278/VLOOKUP($V278,Setup!$C$30:$D$41,2,0),"")</f>
        <v/>
      </c>
      <c r="AM278" s="266"/>
      <c r="AN278" s="258" t="str">
        <f t="shared" si="138"/>
        <v/>
      </c>
      <c r="AO278" s="266"/>
      <c r="AP278" s="258" t="str">
        <f t="shared" si="139"/>
        <v/>
      </c>
      <c r="AQ278" s="266"/>
      <c r="AR278" s="258" t="str">
        <f t="shared" si="140"/>
        <v/>
      </c>
      <c r="AS278" s="266"/>
      <c r="AT278" s="256" t="str">
        <f t="shared" si="141"/>
        <v/>
      </c>
      <c r="AU278" s="256" t="str">
        <f t="shared" si="142"/>
        <v/>
      </c>
      <c r="AV278" s="256" t="str">
        <f t="shared" si="143"/>
        <v/>
      </c>
      <c r="AW278" s="267"/>
      <c r="AX278" s="255"/>
      <c r="AY278" s="259" t="str">
        <f>IF(AX278&lt;&gt;"",AX278/VLOOKUP($V278,Setup!$C$30:$D$41,2,0),"")</f>
        <v/>
      </c>
      <c r="AZ278" s="268"/>
      <c r="BA278" s="258" t="str">
        <f t="shared" si="144"/>
        <v/>
      </c>
      <c r="BB278" s="268"/>
      <c r="BC278" s="258" t="str">
        <f t="shared" si="145"/>
        <v/>
      </c>
      <c r="BD278" s="268"/>
      <c r="BE278" s="258" t="str">
        <f t="shared" si="146"/>
        <v/>
      </c>
      <c r="BF278" s="268"/>
      <c r="BG278" s="256" t="str">
        <f t="shared" si="147"/>
        <v/>
      </c>
      <c r="BH278" s="256" t="str">
        <f t="shared" si="148"/>
        <v/>
      </c>
      <c r="BI278" s="256" t="str">
        <f t="shared" si="149"/>
        <v/>
      </c>
      <c r="BJ278" s="267"/>
      <c r="BK278" s="255"/>
      <c r="BL278" s="259" t="str">
        <f>IF(BK278&lt;&gt;"",BK278/VLOOKUP($V278,Setup!$C$30:$D$41,2,0),"")</f>
        <v/>
      </c>
      <c r="BM278" s="268"/>
      <c r="BN278" s="258" t="str">
        <f t="shared" si="150"/>
        <v/>
      </c>
      <c r="BO278" s="268"/>
      <c r="BP278" s="258" t="str">
        <f t="shared" si="151"/>
        <v/>
      </c>
      <c r="BQ278" s="268"/>
      <c r="BR278" s="258" t="str">
        <f t="shared" si="152"/>
        <v/>
      </c>
      <c r="BS278" s="268"/>
      <c r="BT278" s="256" t="str">
        <f t="shared" si="153"/>
        <v/>
      </c>
      <c r="BU278" s="256" t="str">
        <f t="shared" si="154"/>
        <v/>
      </c>
      <c r="BV278" s="256" t="str">
        <f t="shared" si="155"/>
        <v/>
      </c>
      <c r="BW278" s="267"/>
      <c r="BX278" s="256" t="str">
        <f t="shared" si="156"/>
        <v/>
      </c>
      <c r="BY278" s="256" t="str">
        <f t="shared" si="157"/>
        <v/>
      </c>
      <c r="BZ278" s="281"/>
      <c r="CA278" s="282"/>
      <c r="CC278" s="112" t="str">
        <f t="shared" ca="1" si="158"/>
        <v/>
      </c>
      <c r="CF278" s="284"/>
      <c r="CG278" s="284"/>
      <c r="CH278" s="284"/>
      <c r="CI278" s="284"/>
      <c r="CL278" s="356" t="str">
        <f>IFERROR(VLOOKUP(C278,'Data Sheet'!$A$3:$B$26,2,FALSE),"")</f>
        <v/>
      </c>
    </row>
    <row r="279" spans="1:90" s="98" customFormat="1" ht="15.75" x14ac:dyDescent="0.2">
      <c r="A279" s="97"/>
      <c r="B279" s="105" t="str">
        <f t="shared" si="161"/>
        <v>--</v>
      </c>
      <c r="C279" s="276"/>
      <c r="D279" s="101" t="str">
        <f>IFERROR(IF(VLOOKUP(C279,'Data Sheet'!$A$3:$D$26,4,FALSE)=0,"",VLOOKUP(C279,'Data Sheet'!$A$3:$D$26,4,FALSE)),"")</f>
        <v/>
      </c>
      <c r="E279" s="279"/>
      <c r="F279" s="103" t="str">
        <f>IFERROR(IF(VLOOKUP(E279,'Data Sheet'!$C$29:$E$174,3,FALSE)=0,"",VLOOKUP(E279,'Data Sheet'!$C$29:$E$174,3,FALSE)),"")</f>
        <v/>
      </c>
      <c r="G279" s="106" t="str">
        <f t="shared" si="159"/>
        <v>-</v>
      </c>
      <c r="H279" s="273"/>
      <c r="I279" s="107"/>
      <c r="J279" s="249" t="e">
        <f t="shared" si="160"/>
        <v>#VALUE!</v>
      </c>
      <c r="K279" s="101" t="str">
        <f>IFERROR(INDEX('Data Sheet'!$C$198:$C$275,MATCH(I279,'Data Sheet'!$F$198:$F$275,0)),"")</f>
        <v/>
      </c>
      <c r="L279" s="250" t="str">
        <f>IFERROR(INDEX('Data Sheet'!$G$198:$G$275,MATCH(I279,'Data Sheet'!$F$198:$F$275,0)),"")</f>
        <v/>
      </c>
      <c r="M279" s="194"/>
      <c r="N279" s="248"/>
      <c r="O279" s="248"/>
      <c r="P279" s="108" t="str">
        <f>IFERROR(INDEX(Setup!$D$44:$D$70,MATCH(M279,Setup!$K$44:$K$70,0))&amp;"","")</f>
        <v/>
      </c>
      <c r="Q279" s="108" t="str">
        <f>IFERROR(INDEX(Setup!$E$44:$E$70,MATCH(M279,Setup!$K$44:$K$70,0))&amp;"","")</f>
        <v/>
      </c>
      <c r="R279" s="108" t="str">
        <f>IFERROR(INDEX(Setup!$L$44:$L$70,MATCH(M279,Setup!$K$44:$K$70,0))&amp;"","")</f>
        <v/>
      </c>
      <c r="S279" s="108" t="str">
        <f>Setup!$C$30</f>
        <v>USD</v>
      </c>
      <c r="T279" s="109" t="str">
        <f>IFERROR(INDEX('Data Sheet'!$B$198:$B$275,MATCH(I279,'Data Sheet'!$F$198:$F$275,0)),"")</f>
        <v/>
      </c>
      <c r="U279" s="110" t="str">
        <f>IFERROR(INDEX('Data Sheet'!$D$198:$D$275,MATCH(I279,'Data Sheet'!$F$198:$F$275,0)),"")</f>
        <v/>
      </c>
      <c r="V279" s="99"/>
      <c r="W279" s="195" t="str">
        <f>IF(V279=Setup!$C$30,"Grant",IF(V279=Setup!$C$31,"Local",IF(V279=Setup!$C$32,"Other",IF(ISBLANK(V279),"","Other"))))</f>
        <v/>
      </c>
      <c r="X279" s="255"/>
      <c r="Y279" s="259" t="str">
        <f>IF(X279&lt;&gt;"",X279/VLOOKUP($V279,Setup!$C$30:$D$41,2,0),"")</f>
        <v/>
      </c>
      <c r="Z279" s="262"/>
      <c r="AA279" s="256" t="str">
        <f t="shared" si="132"/>
        <v/>
      </c>
      <c r="AB279" s="262"/>
      <c r="AC279" s="258" t="str">
        <f t="shared" si="133"/>
        <v/>
      </c>
      <c r="AD279" s="262"/>
      <c r="AE279" s="258" t="str">
        <f t="shared" si="134"/>
        <v/>
      </c>
      <c r="AF279" s="262"/>
      <c r="AG279" s="256" t="str">
        <f t="shared" si="135"/>
        <v/>
      </c>
      <c r="AH279" s="256" t="str">
        <f t="shared" si="136"/>
        <v/>
      </c>
      <c r="AI279" s="256" t="str">
        <f t="shared" si="137"/>
        <v/>
      </c>
      <c r="AJ279" s="111"/>
      <c r="AK279" s="255"/>
      <c r="AL279" s="259" t="str">
        <f>IF(AK279&lt;&gt;"",AK279/VLOOKUP($V279,Setup!$C$30:$D$41,2,0),"")</f>
        <v/>
      </c>
      <c r="AM279" s="266"/>
      <c r="AN279" s="258" t="str">
        <f t="shared" si="138"/>
        <v/>
      </c>
      <c r="AO279" s="266"/>
      <c r="AP279" s="258" t="str">
        <f t="shared" si="139"/>
        <v/>
      </c>
      <c r="AQ279" s="266"/>
      <c r="AR279" s="258" t="str">
        <f t="shared" si="140"/>
        <v/>
      </c>
      <c r="AS279" s="266"/>
      <c r="AT279" s="256" t="str">
        <f t="shared" si="141"/>
        <v/>
      </c>
      <c r="AU279" s="256" t="str">
        <f t="shared" si="142"/>
        <v/>
      </c>
      <c r="AV279" s="256" t="str">
        <f t="shared" si="143"/>
        <v/>
      </c>
      <c r="AW279" s="267"/>
      <c r="AX279" s="255"/>
      <c r="AY279" s="259" t="str">
        <f>IF(AX279&lt;&gt;"",AX279/VLOOKUP($V279,Setup!$C$30:$D$41,2,0),"")</f>
        <v/>
      </c>
      <c r="AZ279" s="268"/>
      <c r="BA279" s="258" t="str">
        <f t="shared" si="144"/>
        <v/>
      </c>
      <c r="BB279" s="268"/>
      <c r="BC279" s="258" t="str">
        <f t="shared" si="145"/>
        <v/>
      </c>
      <c r="BD279" s="268"/>
      <c r="BE279" s="258" t="str">
        <f t="shared" si="146"/>
        <v/>
      </c>
      <c r="BF279" s="268"/>
      <c r="BG279" s="256" t="str">
        <f t="shared" si="147"/>
        <v/>
      </c>
      <c r="BH279" s="256" t="str">
        <f t="shared" si="148"/>
        <v/>
      </c>
      <c r="BI279" s="256" t="str">
        <f t="shared" si="149"/>
        <v/>
      </c>
      <c r="BJ279" s="267"/>
      <c r="BK279" s="255"/>
      <c r="BL279" s="259" t="str">
        <f>IF(BK279&lt;&gt;"",BK279/VLOOKUP($V279,Setup!$C$30:$D$41,2,0),"")</f>
        <v/>
      </c>
      <c r="BM279" s="268"/>
      <c r="BN279" s="258" t="str">
        <f t="shared" si="150"/>
        <v/>
      </c>
      <c r="BO279" s="268"/>
      <c r="BP279" s="258" t="str">
        <f t="shared" si="151"/>
        <v/>
      </c>
      <c r="BQ279" s="268"/>
      <c r="BR279" s="258" t="str">
        <f t="shared" si="152"/>
        <v/>
      </c>
      <c r="BS279" s="268"/>
      <c r="BT279" s="256" t="str">
        <f t="shared" si="153"/>
        <v/>
      </c>
      <c r="BU279" s="256" t="str">
        <f t="shared" si="154"/>
        <v/>
      </c>
      <c r="BV279" s="256" t="str">
        <f t="shared" si="155"/>
        <v/>
      </c>
      <c r="BW279" s="267"/>
      <c r="BX279" s="256" t="str">
        <f t="shared" si="156"/>
        <v/>
      </c>
      <c r="BY279" s="256" t="str">
        <f t="shared" si="157"/>
        <v/>
      </c>
      <c r="BZ279" s="281"/>
      <c r="CA279" s="282"/>
      <c r="CC279" s="112" t="str">
        <f t="shared" ca="1" si="158"/>
        <v/>
      </c>
      <c r="CF279" s="284"/>
      <c r="CG279" s="284"/>
      <c r="CH279" s="284"/>
      <c r="CI279" s="284"/>
      <c r="CL279" s="356" t="str">
        <f>IFERROR(VLOOKUP(C279,'Data Sheet'!$A$3:$B$26,2,FALSE),"")</f>
        <v/>
      </c>
    </row>
    <row r="280" spans="1:90" s="98" customFormat="1" ht="15.75" x14ac:dyDescent="0.2">
      <c r="A280" s="97"/>
      <c r="B280" s="105" t="str">
        <f t="shared" si="161"/>
        <v>--</v>
      </c>
      <c r="C280" s="276"/>
      <c r="D280" s="101" t="str">
        <f>IFERROR(IF(VLOOKUP(C280,'Data Sheet'!$A$3:$D$26,4,FALSE)=0,"",VLOOKUP(C280,'Data Sheet'!$A$3:$D$26,4,FALSE)),"")</f>
        <v/>
      </c>
      <c r="E280" s="279"/>
      <c r="F280" s="103" t="str">
        <f>IFERROR(IF(VLOOKUP(E280,'Data Sheet'!$C$29:$E$174,3,FALSE)=0,"",VLOOKUP(E280,'Data Sheet'!$C$29:$E$174,3,FALSE)),"")</f>
        <v/>
      </c>
      <c r="G280" s="106" t="str">
        <f t="shared" si="159"/>
        <v>-</v>
      </c>
      <c r="H280" s="273"/>
      <c r="I280" s="107"/>
      <c r="J280" s="249" t="e">
        <f t="shared" si="160"/>
        <v>#VALUE!</v>
      </c>
      <c r="K280" s="101" t="str">
        <f>IFERROR(INDEX('Data Sheet'!$C$198:$C$275,MATCH(I280,'Data Sheet'!$F$198:$F$275,0)),"")</f>
        <v/>
      </c>
      <c r="L280" s="250" t="str">
        <f>IFERROR(INDEX('Data Sheet'!$G$198:$G$275,MATCH(I280,'Data Sheet'!$F$198:$F$275,0)),"")</f>
        <v/>
      </c>
      <c r="M280" s="194"/>
      <c r="N280" s="248"/>
      <c r="O280" s="248"/>
      <c r="P280" s="108" t="str">
        <f>IFERROR(INDEX(Setup!$D$44:$D$70,MATCH(M280,Setup!$K$44:$K$70,0))&amp;"","")</f>
        <v/>
      </c>
      <c r="Q280" s="108" t="str">
        <f>IFERROR(INDEX(Setup!$E$44:$E$70,MATCH(M280,Setup!$K$44:$K$70,0))&amp;"","")</f>
        <v/>
      </c>
      <c r="R280" s="108" t="str">
        <f>IFERROR(INDEX(Setup!$L$44:$L$70,MATCH(M280,Setup!$K$44:$K$70,0))&amp;"","")</f>
        <v/>
      </c>
      <c r="S280" s="108" t="str">
        <f>Setup!$C$30</f>
        <v>USD</v>
      </c>
      <c r="T280" s="109" t="str">
        <f>IFERROR(INDEX('Data Sheet'!$B$198:$B$275,MATCH(I280,'Data Sheet'!$F$198:$F$275,0)),"")</f>
        <v/>
      </c>
      <c r="U280" s="110" t="str">
        <f>IFERROR(INDEX('Data Sheet'!$D$198:$D$275,MATCH(I280,'Data Sheet'!$F$198:$F$275,0)),"")</f>
        <v/>
      </c>
      <c r="V280" s="99"/>
      <c r="W280" s="195" t="str">
        <f>IF(V280=Setup!$C$30,"Grant",IF(V280=Setup!$C$31,"Local",IF(V280=Setup!$C$32,"Other",IF(ISBLANK(V280),"","Other"))))</f>
        <v/>
      </c>
      <c r="X280" s="255"/>
      <c r="Y280" s="259" t="str">
        <f>IF(X280&lt;&gt;"",X280/VLOOKUP($V280,Setup!$C$30:$D$41,2,0),"")</f>
        <v/>
      </c>
      <c r="Z280" s="262"/>
      <c r="AA280" s="256" t="str">
        <f t="shared" si="132"/>
        <v/>
      </c>
      <c r="AB280" s="262"/>
      <c r="AC280" s="258" t="str">
        <f t="shared" si="133"/>
        <v/>
      </c>
      <c r="AD280" s="262"/>
      <c r="AE280" s="258" t="str">
        <f t="shared" si="134"/>
        <v/>
      </c>
      <c r="AF280" s="262"/>
      <c r="AG280" s="256" t="str">
        <f t="shared" si="135"/>
        <v/>
      </c>
      <c r="AH280" s="256" t="str">
        <f t="shared" si="136"/>
        <v/>
      </c>
      <c r="AI280" s="256" t="str">
        <f t="shared" si="137"/>
        <v/>
      </c>
      <c r="AJ280" s="111"/>
      <c r="AK280" s="255"/>
      <c r="AL280" s="259" t="str">
        <f>IF(AK280&lt;&gt;"",AK280/VLOOKUP($V280,Setup!$C$30:$D$41,2,0),"")</f>
        <v/>
      </c>
      <c r="AM280" s="266"/>
      <c r="AN280" s="258" t="str">
        <f t="shared" si="138"/>
        <v/>
      </c>
      <c r="AO280" s="266"/>
      <c r="AP280" s="258" t="str">
        <f t="shared" si="139"/>
        <v/>
      </c>
      <c r="AQ280" s="266"/>
      <c r="AR280" s="258" t="str">
        <f t="shared" si="140"/>
        <v/>
      </c>
      <c r="AS280" s="266"/>
      <c r="AT280" s="256" t="str">
        <f t="shared" si="141"/>
        <v/>
      </c>
      <c r="AU280" s="256" t="str">
        <f t="shared" si="142"/>
        <v/>
      </c>
      <c r="AV280" s="256" t="str">
        <f t="shared" si="143"/>
        <v/>
      </c>
      <c r="AW280" s="267"/>
      <c r="AX280" s="255"/>
      <c r="AY280" s="259" t="str">
        <f>IF(AX280&lt;&gt;"",AX280/VLOOKUP($V280,Setup!$C$30:$D$41,2,0),"")</f>
        <v/>
      </c>
      <c r="AZ280" s="268"/>
      <c r="BA280" s="258" t="str">
        <f t="shared" si="144"/>
        <v/>
      </c>
      <c r="BB280" s="268"/>
      <c r="BC280" s="258" t="str">
        <f t="shared" si="145"/>
        <v/>
      </c>
      <c r="BD280" s="268"/>
      <c r="BE280" s="258" t="str">
        <f t="shared" si="146"/>
        <v/>
      </c>
      <c r="BF280" s="268"/>
      <c r="BG280" s="256" t="str">
        <f t="shared" si="147"/>
        <v/>
      </c>
      <c r="BH280" s="256" t="str">
        <f t="shared" si="148"/>
        <v/>
      </c>
      <c r="BI280" s="256" t="str">
        <f t="shared" si="149"/>
        <v/>
      </c>
      <c r="BJ280" s="267"/>
      <c r="BK280" s="255"/>
      <c r="BL280" s="259" t="str">
        <f>IF(BK280&lt;&gt;"",BK280/VLOOKUP($V280,Setup!$C$30:$D$41,2,0),"")</f>
        <v/>
      </c>
      <c r="BM280" s="268"/>
      <c r="BN280" s="258" t="str">
        <f t="shared" si="150"/>
        <v/>
      </c>
      <c r="BO280" s="268"/>
      <c r="BP280" s="258" t="str">
        <f t="shared" si="151"/>
        <v/>
      </c>
      <c r="BQ280" s="268"/>
      <c r="BR280" s="258" t="str">
        <f t="shared" si="152"/>
        <v/>
      </c>
      <c r="BS280" s="268"/>
      <c r="BT280" s="256" t="str">
        <f t="shared" si="153"/>
        <v/>
      </c>
      <c r="BU280" s="256" t="str">
        <f t="shared" si="154"/>
        <v/>
      </c>
      <c r="BV280" s="256" t="str">
        <f t="shared" si="155"/>
        <v/>
      </c>
      <c r="BW280" s="267"/>
      <c r="BX280" s="256" t="str">
        <f t="shared" si="156"/>
        <v/>
      </c>
      <c r="BY280" s="256" t="str">
        <f t="shared" si="157"/>
        <v/>
      </c>
      <c r="BZ280" s="281"/>
      <c r="CA280" s="282"/>
      <c r="CC280" s="112" t="str">
        <f t="shared" ca="1" si="158"/>
        <v/>
      </c>
      <c r="CF280" s="284"/>
      <c r="CG280" s="284"/>
      <c r="CH280" s="284"/>
      <c r="CI280" s="284"/>
      <c r="CL280" s="356" t="str">
        <f>IFERROR(VLOOKUP(C280,'Data Sheet'!$A$3:$B$26,2,FALSE),"")</f>
        <v/>
      </c>
    </row>
    <row r="281" spans="1:90" s="98" customFormat="1" ht="15.75" x14ac:dyDescent="0.2">
      <c r="A281" s="97"/>
      <c r="B281" s="105" t="str">
        <f t="shared" si="161"/>
        <v>--</v>
      </c>
      <c r="C281" s="276"/>
      <c r="D281" s="101" t="str">
        <f>IFERROR(IF(VLOOKUP(C281,'Data Sheet'!$A$3:$D$26,4,FALSE)=0,"",VLOOKUP(C281,'Data Sheet'!$A$3:$D$26,4,FALSE)),"")</f>
        <v/>
      </c>
      <c r="E281" s="279"/>
      <c r="F281" s="103" t="str">
        <f>IFERROR(IF(VLOOKUP(E281,'Data Sheet'!$C$29:$E$174,3,FALSE)=0,"",VLOOKUP(E281,'Data Sheet'!$C$29:$E$174,3,FALSE)),"")</f>
        <v/>
      </c>
      <c r="G281" s="106" t="str">
        <f t="shared" si="159"/>
        <v>-</v>
      </c>
      <c r="H281" s="273"/>
      <c r="I281" s="107"/>
      <c r="J281" s="249" t="e">
        <f t="shared" si="160"/>
        <v>#VALUE!</v>
      </c>
      <c r="K281" s="101" t="str">
        <f>IFERROR(INDEX('Data Sheet'!$C$198:$C$275,MATCH(I281,'Data Sheet'!$F$198:$F$275,0)),"")</f>
        <v/>
      </c>
      <c r="L281" s="250" t="str">
        <f>IFERROR(INDEX('Data Sheet'!$G$198:$G$275,MATCH(I281,'Data Sheet'!$F$198:$F$275,0)),"")</f>
        <v/>
      </c>
      <c r="M281" s="194"/>
      <c r="N281" s="248"/>
      <c r="O281" s="248"/>
      <c r="P281" s="108" t="str">
        <f>IFERROR(INDEX(Setup!$D$44:$D$70,MATCH(M281,Setup!$K$44:$K$70,0))&amp;"","")</f>
        <v/>
      </c>
      <c r="Q281" s="108" t="str">
        <f>IFERROR(INDEX(Setup!$E$44:$E$70,MATCH(M281,Setup!$K$44:$K$70,0))&amp;"","")</f>
        <v/>
      </c>
      <c r="R281" s="108" t="str">
        <f>IFERROR(INDEX(Setup!$L$44:$L$70,MATCH(M281,Setup!$K$44:$K$70,0))&amp;"","")</f>
        <v/>
      </c>
      <c r="S281" s="108" t="str">
        <f>Setup!$C$30</f>
        <v>USD</v>
      </c>
      <c r="T281" s="109" t="str">
        <f>IFERROR(INDEX('Data Sheet'!$B$198:$B$275,MATCH(I281,'Data Sheet'!$F$198:$F$275,0)),"")</f>
        <v/>
      </c>
      <c r="U281" s="110" t="str">
        <f>IFERROR(INDEX('Data Sheet'!$D$198:$D$275,MATCH(I281,'Data Sheet'!$F$198:$F$275,0)),"")</f>
        <v/>
      </c>
      <c r="V281" s="99"/>
      <c r="W281" s="195" t="str">
        <f>IF(V281=Setup!$C$30,"Grant",IF(V281=Setup!$C$31,"Local",IF(V281=Setup!$C$32,"Other",IF(ISBLANK(V281),"","Other"))))</f>
        <v/>
      </c>
      <c r="X281" s="255"/>
      <c r="Y281" s="259" t="str">
        <f>IF(X281&lt;&gt;"",X281/VLOOKUP($V281,Setup!$C$30:$D$41,2,0),"")</f>
        <v/>
      </c>
      <c r="Z281" s="262"/>
      <c r="AA281" s="256" t="str">
        <f t="shared" si="132"/>
        <v/>
      </c>
      <c r="AB281" s="262"/>
      <c r="AC281" s="258" t="str">
        <f t="shared" si="133"/>
        <v/>
      </c>
      <c r="AD281" s="262"/>
      <c r="AE281" s="258" t="str">
        <f t="shared" si="134"/>
        <v/>
      </c>
      <c r="AF281" s="262"/>
      <c r="AG281" s="256" t="str">
        <f t="shared" si="135"/>
        <v/>
      </c>
      <c r="AH281" s="256" t="str">
        <f t="shared" si="136"/>
        <v/>
      </c>
      <c r="AI281" s="256" t="str">
        <f t="shared" si="137"/>
        <v/>
      </c>
      <c r="AJ281" s="111"/>
      <c r="AK281" s="255"/>
      <c r="AL281" s="259" t="str">
        <f>IF(AK281&lt;&gt;"",AK281/VLOOKUP($V281,Setup!$C$30:$D$41,2,0),"")</f>
        <v/>
      </c>
      <c r="AM281" s="266"/>
      <c r="AN281" s="258" t="str">
        <f t="shared" si="138"/>
        <v/>
      </c>
      <c r="AO281" s="266"/>
      <c r="AP281" s="258" t="str">
        <f t="shared" si="139"/>
        <v/>
      </c>
      <c r="AQ281" s="266"/>
      <c r="AR281" s="258" t="str">
        <f t="shared" si="140"/>
        <v/>
      </c>
      <c r="AS281" s="266"/>
      <c r="AT281" s="256" t="str">
        <f t="shared" si="141"/>
        <v/>
      </c>
      <c r="AU281" s="256" t="str">
        <f t="shared" si="142"/>
        <v/>
      </c>
      <c r="AV281" s="256" t="str">
        <f t="shared" si="143"/>
        <v/>
      </c>
      <c r="AW281" s="267"/>
      <c r="AX281" s="255"/>
      <c r="AY281" s="259" t="str">
        <f>IF(AX281&lt;&gt;"",AX281/VLOOKUP($V281,Setup!$C$30:$D$41,2,0),"")</f>
        <v/>
      </c>
      <c r="AZ281" s="268"/>
      <c r="BA281" s="258" t="str">
        <f t="shared" si="144"/>
        <v/>
      </c>
      <c r="BB281" s="268"/>
      <c r="BC281" s="258" t="str">
        <f t="shared" si="145"/>
        <v/>
      </c>
      <c r="BD281" s="268"/>
      <c r="BE281" s="258" t="str">
        <f t="shared" si="146"/>
        <v/>
      </c>
      <c r="BF281" s="268"/>
      <c r="BG281" s="256" t="str">
        <f t="shared" si="147"/>
        <v/>
      </c>
      <c r="BH281" s="256" t="str">
        <f t="shared" si="148"/>
        <v/>
      </c>
      <c r="BI281" s="256" t="str">
        <f t="shared" si="149"/>
        <v/>
      </c>
      <c r="BJ281" s="267"/>
      <c r="BK281" s="255"/>
      <c r="BL281" s="259" t="str">
        <f>IF(BK281&lt;&gt;"",BK281/VLOOKUP($V281,Setup!$C$30:$D$41,2,0),"")</f>
        <v/>
      </c>
      <c r="BM281" s="268"/>
      <c r="BN281" s="258" t="str">
        <f t="shared" si="150"/>
        <v/>
      </c>
      <c r="BO281" s="268"/>
      <c r="BP281" s="258" t="str">
        <f t="shared" si="151"/>
        <v/>
      </c>
      <c r="BQ281" s="268"/>
      <c r="BR281" s="258" t="str">
        <f t="shared" si="152"/>
        <v/>
      </c>
      <c r="BS281" s="268"/>
      <c r="BT281" s="256" t="str">
        <f t="shared" si="153"/>
        <v/>
      </c>
      <c r="BU281" s="256" t="str">
        <f t="shared" si="154"/>
        <v/>
      </c>
      <c r="BV281" s="256" t="str">
        <f t="shared" si="155"/>
        <v/>
      </c>
      <c r="BW281" s="267"/>
      <c r="BX281" s="256" t="str">
        <f t="shared" si="156"/>
        <v/>
      </c>
      <c r="BY281" s="256" t="str">
        <f t="shared" si="157"/>
        <v/>
      </c>
      <c r="BZ281" s="281"/>
      <c r="CA281" s="282"/>
      <c r="CC281" s="112" t="str">
        <f t="shared" ca="1" si="158"/>
        <v/>
      </c>
      <c r="CF281" s="284"/>
      <c r="CG281" s="284"/>
      <c r="CH281" s="284"/>
      <c r="CI281" s="284"/>
      <c r="CL281" s="356" t="str">
        <f>IFERROR(VLOOKUP(C281,'Data Sheet'!$A$3:$B$26,2,FALSE),"")</f>
        <v/>
      </c>
    </row>
    <row r="282" spans="1:90" s="98" customFormat="1" ht="15.75" x14ac:dyDescent="0.2">
      <c r="A282" s="97"/>
      <c r="B282" s="105" t="str">
        <f t="shared" si="161"/>
        <v>--</v>
      </c>
      <c r="C282" s="276"/>
      <c r="D282" s="101" t="str">
        <f>IFERROR(IF(VLOOKUP(C282,'Data Sheet'!$A$3:$D$26,4,FALSE)=0,"",VLOOKUP(C282,'Data Sheet'!$A$3:$D$26,4,FALSE)),"")</f>
        <v/>
      </c>
      <c r="E282" s="279"/>
      <c r="F282" s="103" t="str">
        <f>IFERROR(IF(VLOOKUP(E282,'Data Sheet'!$C$29:$E$174,3,FALSE)=0,"",VLOOKUP(E282,'Data Sheet'!$C$29:$E$174,3,FALSE)),"")</f>
        <v/>
      </c>
      <c r="G282" s="106" t="str">
        <f t="shared" si="159"/>
        <v>-</v>
      </c>
      <c r="H282" s="273"/>
      <c r="I282" s="107"/>
      <c r="J282" s="249" t="e">
        <f t="shared" si="160"/>
        <v>#VALUE!</v>
      </c>
      <c r="K282" s="101" t="str">
        <f>IFERROR(INDEX('Data Sheet'!$C$198:$C$275,MATCH(I282,'Data Sheet'!$F$198:$F$275,0)),"")</f>
        <v/>
      </c>
      <c r="L282" s="250" t="str">
        <f>IFERROR(INDEX('Data Sheet'!$G$198:$G$275,MATCH(I282,'Data Sheet'!$F$198:$F$275,0)),"")</f>
        <v/>
      </c>
      <c r="M282" s="194"/>
      <c r="N282" s="248"/>
      <c r="O282" s="248"/>
      <c r="P282" s="108" t="str">
        <f>IFERROR(INDEX(Setup!$D$44:$D$70,MATCH(M282,Setup!$K$44:$K$70,0))&amp;"","")</f>
        <v/>
      </c>
      <c r="Q282" s="108" t="str">
        <f>IFERROR(INDEX(Setup!$E$44:$E$70,MATCH(M282,Setup!$K$44:$K$70,0))&amp;"","")</f>
        <v/>
      </c>
      <c r="R282" s="108" t="str">
        <f>IFERROR(INDEX(Setup!$L$44:$L$70,MATCH(M282,Setup!$K$44:$K$70,0))&amp;"","")</f>
        <v/>
      </c>
      <c r="S282" s="108" t="str">
        <f>Setup!$C$30</f>
        <v>USD</v>
      </c>
      <c r="T282" s="109" t="str">
        <f>IFERROR(INDEX('Data Sheet'!$B$198:$B$275,MATCH(I282,'Data Sheet'!$F$198:$F$275,0)),"")</f>
        <v/>
      </c>
      <c r="U282" s="110" t="str">
        <f>IFERROR(INDEX('Data Sheet'!$D$198:$D$275,MATCH(I282,'Data Sheet'!$F$198:$F$275,0)),"")</f>
        <v/>
      </c>
      <c r="V282" s="99"/>
      <c r="W282" s="195" t="str">
        <f>IF(V282=Setup!$C$30,"Grant",IF(V282=Setup!$C$31,"Local",IF(V282=Setup!$C$32,"Other",IF(ISBLANK(V282),"","Other"))))</f>
        <v/>
      </c>
      <c r="X282" s="255"/>
      <c r="Y282" s="259" t="str">
        <f>IF(X282&lt;&gt;"",X282/VLOOKUP($V282,Setup!$C$30:$D$41,2,0),"")</f>
        <v/>
      </c>
      <c r="Z282" s="262"/>
      <c r="AA282" s="256" t="str">
        <f t="shared" si="132"/>
        <v/>
      </c>
      <c r="AB282" s="262"/>
      <c r="AC282" s="258" t="str">
        <f t="shared" si="133"/>
        <v/>
      </c>
      <c r="AD282" s="262"/>
      <c r="AE282" s="258" t="str">
        <f t="shared" si="134"/>
        <v/>
      </c>
      <c r="AF282" s="262"/>
      <c r="AG282" s="256" t="str">
        <f t="shared" si="135"/>
        <v/>
      </c>
      <c r="AH282" s="256" t="str">
        <f t="shared" si="136"/>
        <v/>
      </c>
      <c r="AI282" s="256" t="str">
        <f t="shared" si="137"/>
        <v/>
      </c>
      <c r="AJ282" s="111"/>
      <c r="AK282" s="255"/>
      <c r="AL282" s="259" t="str">
        <f>IF(AK282&lt;&gt;"",AK282/VLOOKUP($V282,Setup!$C$30:$D$41,2,0),"")</f>
        <v/>
      </c>
      <c r="AM282" s="266"/>
      <c r="AN282" s="258" t="str">
        <f t="shared" si="138"/>
        <v/>
      </c>
      <c r="AO282" s="266"/>
      <c r="AP282" s="258" t="str">
        <f t="shared" si="139"/>
        <v/>
      </c>
      <c r="AQ282" s="266"/>
      <c r="AR282" s="258" t="str">
        <f t="shared" si="140"/>
        <v/>
      </c>
      <c r="AS282" s="266"/>
      <c r="AT282" s="256" t="str">
        <f t="shared" si="141"/>
        <v/>
      </c>
      <c r="AU282" s="256" t="str">
        <f t="shared" si="142"/>
        <v/>
      </c>
      <c r="AV282" s="256" t="str">
        <f t="shared" si="143"/>
        <v/>
      </c>
      <c r="AW282" s="267"/>
      <c r="AX282" s="255"/>
      <c r="AY282" s="259" t="str">
        <f>IF(AX282&lt;&gt;"",AX282/VLOOKUP($V282,Setup!$C$30:$D$41,2,0),"")</f>
        <v/>
      </c>
      <c r="AZ282" s="268"/>
      <c r="BA282" s="258" t="str">
        <f t="shared" si="144"/>
        <v/>
      </c>
      <c r="BB282" s="268"/>
      <c r="BC282" s="258" t="str">
        <f t="shared" si="145"/>
        <v/>
      </c>
      <c r="BD282" s="268"/>
      <c r="BE282" s="258" t="str">
        <f t="shared" si="146"/>
        <v/>
      </c>
      <c r="BF282" s="268"/>
      <c r="BG282" s="256" t="str">
        <f t="shared" si="147"/>
        <v/>
      </c>
      <c r="BH282" s="256" t="str">
        <f t="shared" si="148"/>
        <v/>
      </c>
      <c r="BI282" s="256" t="str">
        <f t="shared" si="149"/>
        <v/>
      </c>
      <c r="BJ282" s="267"/>
      <c r="BK282" s="255"/>
      <c r="BL282" s="259" t="str">
        <f>IF(BK282&lt;&gt;"",BK282/VLOOKUP($V282,Setup!$C$30:$D$41,2,0),"")</f>
        <v/>
      </c>
      <c r="BM282" s="268"/>
      <c r="BN282" s="258" t="str">
        <f t="shared" si="150"/>
        <v/>
      </c>
      <c r="BO282" s="268"/>
      <c r="BP282" s="258" t="str">
        <f t="shared" si="151"/>
        <v/>
      </c>
      <c r="BQ282" s="268"/>
      <c r="BR282" s="258" t="str">
        <f t="shared" si="152"/>
        <v/>
      </c>
      <c r="BS282" s="268"/>
      <c r="BT282" s="256" t="str">
        <f t="shared" si="153"/>
        <v/>
      </c>
      <c r="BU282" s="256" t="str">
        <f t="shared" si="154"/>
        <v/>
      </c>
      <c r="BV282" s="256" t="str">
        <f t="shared" si="155"/>
        <v/>
      </c>
      <c r="BW282" s="267"/>
      <c r="BX282" s="256" t="str">
        <f t="shared" si="156"/>
        <v/>
      </c>
      <c r="BY282" s="256" t="str">
        <f t="shared" si="157"/>
        <v/>
      </c>
      <c r="BZ282" s="281"/>
      <c r="CA282" s="282"/>
      <c r="CC282" s="112" t="str">
        <f t="shared" ca="1" si="158"/>
        <v/>
      </c>
      <c r="CF282" s="284"/>
      <c r="CG282" s="284"/>
      <c r="CH282" s="284"/>
      <c r="CI282" s="284"/>
      <c r="CL282" s="356" t="str">
        <f>IFERROR(VLOOKUP(C282,'Data Sheet'!$A$3:$B$26,2,FALSE),"")</f>
        <v/>
      </c>
    </row>
    <row r="283" spans="1:90" s="98" customFormat="1" ht="15.75" x14ac:dyDescent="0.2">
      <c r="A283" s="97"/>
      <c r="B283" s="105" t="str">
        <f t="shared" si="161"/>
        <v>--</v>
      </c>
      <c r="C283" s="276"/>
      <c r="D283" s="101" t="str">
        <f>IFERROR(IF(VLOOKUP(C283,'Data Sheet'!$A$3:$D$26,4,FALSE)=0,"",VLOOKUP(C283,'Data Sheet'!$A$3:$D$26,4,FALSE)),"")</f>
        <v/>
      </c>
      <c r="E283" s="279"/>
      <c r="F283" s="103" t="str">
        <f>IFERROR(IF(VLOOKUP(E283,'Data Sheet'!$C$29:$E$174,3,FALSE)=0,"",VLOOKUP(E283,'Data Sheet'!$C$29:$E$174,3,FALSE)),"")</f>
        <v/>
      </c>
      <c r="G283" s="106" t="str">
        <f t="shared" si="159"/>
        <v>-</v>
      </c>
      <c r="H283" s="273"/>
      <c r="I283" s="107"/>
      <c r="J283" s="249" t="e">
        <f t="shared" si="160"/>
        <v>#VALUE!</v>
      </c>
      <c r="K283" s="101" t="str">
        <f>IFERROR(INDEX('Data Sheet'!$C$198:$C$275,MATCH(I283,'Data Sheet'!$F$198:$F$275,0)),"")</f>
        <v/>
      </c>
      <c r="L283" s="250" t="str">
        <f>IFERROR(INDEX('Data Sheet'!$G$198:$G$275,MATCH(I283,'Data Sheet'!$F$198:$F$275,0)),"")</f>
        <v/>
      </c>
      <c r="M283" s="194"/>
      <c r="N283" s="248"/>
      <c r="O283" s="248"/>
      <c r="P283" s="108" t="str">
        <f>IFERROR(INDEX(Setup!$D$44:$D$70,MATCH(M283,Setup!$K$44:$K$70,0))&amp;"","")</f>
        <v/>
      </c>
      <c r="Q283" s="108" t="str">
        <f>IFERROR(INDEX(Setup!$E$44:$E$70,MATCH(M283,Setup!$K$44:$K$70,0))&amp;"","")</f>
        <v/>
      </c>
      <c r="R283" s="108" t="str">
        <f>IFERROR(INDEX(Setup!$L$44:$L$70,MATCH(M283,Setup!$K$44:$K$70,0))&amp;"","")</f>
        <v/>
      </c>
      <c r="S283" s="108" t="str">
        <f>Setup!$C$30</f>
        <v>USD</v>
      </c>
      <c r="T283" s="109" t="str">
        <f>IFERROR(INDEX('Data Sheet'!$B$198:$B$275,MATCH(I283,'Data Sheet'!$F$198:$F$275,0)),"")</f>
        <v/>
      </c>
      <c r="U283" s="110" t="str">
        <f>IFERROR(INDEX('Data Sheet'!$D$198:$D$275,MATCH(I283,'Data Sheet'!$F$198:$F$275,0)),"")</f>
        <v/>
      </c>
      <c r="V283" s="99"/>
      <c r="W283" s="195" t="str">
        <f>IF(V283=Setup!$C$30,"Grant",IF(V283=Setup!$C$31,"Local",IF(V283=Setup!$C$32,"Other",IF(ISBLANK(V283),"","Other"))))</f>
        <v/>
      </c>
      <c r="X283" s="255"/>
      <c r="Y283" s="259" t="str">
        <f>IF(X283&lt;&gt;"",X283/VLOOKUP($V283,Setup!$C$30:$D$41,2,0),"")</f>
        <v/>
      </c>
      <c r="Z283" s="262"/>
      <c r="AA283" s="256" t="str">
        <f t="shared" si="132"/>
        <v/>
      </c>
      <c r="AB283" s="262"/>
      <c r="AC283" s="258" t="str">
        <f t="shared" si="133"/>
        <v/>
      </c>
      <c r="AD283" s="262"/>
      <c r="AE283" s="258" t="str">
        <f t="shared" si="134"/>
        <v/>
      </c>
      <c r="AF283" s="262"/>
      <c r="AG283" s="256" t="str">
        <f t="shared" si="135"/>
        <v/>
      </c>
      <c r="AH283" s="256" t="str">
        <f t="shared" si="136"/>
        <v/>
      </c>
      <c r="AI283" s="256" t="str">
        <f t="shared" si="137"/>
        <v/>
      </c>
      <c r="AJ283" s="111"/>
      <c r="AK283" s="255"/>
      <c r="AL283" s="259" t="str">
        <f>IF(AK283&lt;&gt;"",AK283/VLOOKUP($V283,Setup!$C$30:$D$41,2,0),"")</f>
        <v/>
      </c>
      <c r="AM283" s="266"/>
      <c r="AN283" s="258" t="str">
        <f t="shared" si="138"/>
        <v/>
      </c>
      <c r="AO283" s="266"/>
      <c r="AP283" s="258" t="str">
        <f t="shared" si="139"/>
        <v/>
      </c>
      <c r="AQ283" s="266"/>
      <c r="AR283" s="258" t="str">
        <f t="shared" si="140"/>
        <v/>
      </c>
      <c r="AS283" s="266"/>
      <c r="AT283" s="256" t="str">
        <f t="shared" si="141"/>
        <v/>
      </c>
      <c r="AU283" s="256" t="str">
        <f t="shared" si="142"/>
        <v/>
      </c>
      <c r="AV283" s="256" t="str">
        <f t="shared" si="143"/>
        <v/>
      </c>
      <c r="AW283" s="267"/>
      <c r="AX283" s="255"/>
      <c r="AY283" s="259" t="str">
        <f>IF(AX283&lt;&gt;"",AX283/VLOOKUP($V283,Setup!$C$30:$D$41,2,0),"")</f>
        <v/>
      </c>
      <c r="AZ283" s="268"/>
      <c r="BA283" s="258" t="str">
        <f t="shared" si="144"/>
        <v/>
      </c>
      <c r="BB283" s="268"/>
      <c r="BC283" s="258" t="str">
        <f t="shared" si="145"/>
        <v/>
      </c>
      <c r="BD283" s="268"/>
      <c r="BE283" s="258" t="str">
        <f t="shared" si="146"/>
        <v/>
      </c>
      <c r="BF283" s="268"/>
      <c r="BG283" s="256" t="str">
        <f t="shared" si="147"/>
        <v/>
      </c>
      <c r="BH283" s="256" t="str">
        <f t="shared" si="148"/>
        <v/>
      </c>
      <c r="BI283" s="256" t="str">
        <f t="shared" si="149"/>
        <v/>
      </c>
      <c r="BJ283" s="267"/>
      <c r="BK283" s="255"/>
      <c r="BL283" s="259" t="str">
        <f>IF(BK283&lt;&gt;"",BK283/VLOOKUP($V283,Setup!$C$30:$D$41,2,0),"")</f>
        <v/>
      </c>
      <c r="BM283" s="268"/>
      <c r="BN283" s="258" t="str">
        <f t="shared" si="150"/>
        <v/>
      </c>
      <c r="BO283" s="268"/>
      <c r="BP283" s="258" t="str">
        <f t="shared" si="151"/>
        <v/>
      </c>
      <c r="BQ283" s="268"/>
      <c r="BR283" s="258" t="str">
        <f t="shared" si="152"/>
        <v/>
      </c>
      <c r="BS283" s="268"/>
      <c r="BT283" s="256" t="str">
        <f t="shared" si="153"/>
        <v/>
      </c>
      <c r="BU283" s="256" t="str">
        <f t="shared" si="154"/>
        <v/>
      </c>
      <c r="BV283" s="256" t="str">
        <f t="shared" si="155"/>
        <v/>
      </c>
      <c r="BW283" s="267"/>
      <c r="BX283" s="256" t="str">
        <f t="shared" si="156"/>
        <v/>
      </c>
      <c r="BY283" s="256" t="str">
        <f t="shared" si="157"/>
        <v/>
      </c>
      <c r="BZ283" s="281"/>
      <c r="CA283" s="282"/>
      <c r="CC283" s="112" t="str">
        <f t="shared" ca="1" si="158"/>
        <v/>
      </c>
      <c r="CF283" s="284"/>
      <c r="CG283" s="284"/>
      <c r="CH283" s="284"/>
      <c r="CI283" s="284"/>
      <c r="CL283" s="356" t="str">
        <f>IFERROR(VLOOKUP(C283,'Data Sheet'!$A$3:$B$26,2,FALSE),"")</f>
        <v/>
      </c>
    </row>
    <row r="284" spans="1:90" s="98" customFormat="1" ht="15.75" x14ac:dyDescent="0.2">
      <c r="A284" s="97"/>
      <c r="B284" s="105" t="str">
        <f t="shared" si="161"/>
        <v>--</v>
      </c>
      <c r="C284" s="276"/>
      <c r="D284" s="101" t="str">
        <f>IFERROR(IF(VLOOKUP(C284,'Data Sheet'!$A$3:$D$26,4,FALSE)=0,"",VLOOKUP(C284,'Data Sheet'!$A$3:$D$26,4,FALSE)),"")</f>
        <v/>
      </c>
      <c r="E284" s="279"/>
      <c r="F284" s="103" t="str">
        <f>IFERROR(IF(VLOOKUP(E284,'Data Sheet'!$C$29:$E$174,3,FALSE)=0,"",VLOOKUP(E284,'Data Sheet'!$C$29:$E$174,3,FALSE)),"")</f>
        <v/>
      </c>
      <c r="G284" s="106" t="str">
        <f t="shared" si="159"/>
        <v>-</v>
      </c>
      <c r="H284" s="273"/>
      <c r="I284" s="107"/>
      <c r="J284" s="249" t="e">
        <f t="shared" si="160"/>
        <v>#VALUE!</v>
      </c>
      <c r="K284" s="101" t="str">
        <f>IFERROR(INDEX('Data Sheet'!$C$198:$C$275,MATCH(I284,'Data Sheet'!$F$198:$F$275,0)),"")</f>
        <v/>
      </c>
      <c r="L284" s="250" t="str">
        <f>IFERROR(INDEX('Data Sheet'!$G$198:$G$275,MATCH(I284,'Data Sheet'!$F$198:$F$275,0)),"")</f>
        <v/>
      </c>
      <c r="M284" s="194"/>
      <c r="N284" s="248"/>
      <c r="O284" s="248"/>
      <c r="P284" s="108" t="str">
        <f>IFERROR(INDEX(Setup!$D$44:$D$70,MATCH(M284,Setup!$K$44:$K$70,0))&amp;"","")</f>
        <v/>
      </c>
      <c r="Q284" s="108" t="str">
        <f>IFERROR(INDEX(Setup!$E$44:$E$70,MATCH(M284,Setup!$K$44:$K$70,0))&amp;"","")</f>
        <v/>
      </c>
      <c r="R284" s="108" t="str">
        <f>IFERROR(INDEX(Setup!$L$44:$L$70,MATCH(M284,Setup!$K$44:$K$70,0))&amp;"","")</f>
        <v/>
      </c>
      <c r="S284" s="108" t="str">
        <f>Setup!$C$30</f>
        <v>USD</v>
      </c>
      <c r="T284" s="109" t="str">
        <f>IFERROR(INDEX('Data Sheet'!$B$198:$B$275,MATCH(I284,'Data Sheet'!$F$198:$F$275,0)),"")</f>
        <v/>
      </c>
      <c r="U284" s="110" t="str">
        <f>IFERROR(INDEX('Data Sheet'!$D$198:$D$275,MATCH(I284,'Data Sheet'!$F$198:$F$275,0)),"")</f>
        <v/>
      </c>
      <c r="V284" s="99"/>
      <c r="W284" s="195" t="str">
        <f>IF(V284=Setup!$C$30,"Grant",IF(V284=Setup!$C$31,"Local",IF(V284=Setup!$C$32,"Other",IF(ISBLANK(V284),"","Other"))))</f>
        <v/>
      </c>
      <c r="X284" s="255"/>
      <c r="Y284" s="259" t="str">
        <f>IF(X284&lt;&gt;"",X284/VLOOKUP($V284,Setup!$C$30:$D$41,2,0),"")</f>
        <v/>
      </c>
      <c r="Z284" s="262"/>
      <c r="AA284" s="256" t="str">
        <f t="shared" si="132"/>
        <v/>
      </c>
      <c r="AB284" s="262"/>
      <c r="AC284" s="258" t="str">
        <f t="shared" si="133"/>
        <v/>
      </c>
      <c r="AD284" s="262"/>
      <c r="AE284" s="258" t="str">
        <f t="shared" si="134"/>
        <v/>
      </c>
      <c r="AF284" s="262"/>
      <c r="AG284" s="256" t="str">
        <f t="shared" si="135"/>
        <v/>
      </c>
      <c r="AH284" s="256" t="str">
        <f t="shared" si="136"/>
        <v/>
      </c>
      <c r="AI284" s="256" t="str">
        <f t="shared" si="137"/>
        <v/>
      </c>
      <c r="AJ284" s="111"/>
      <c r="AK284" s="255"/>
      <c r="AL284" s="259" t="str">
        <f>IF(AK284&lt;&gt;"",AK284/VLOOKUP($V284,Setup!$C$30:$D$41,2,0),"")</f>
        <v/>
      </c>
      <c r="AM284" s="266"/>
      <c r="AN284" s="258" t="str">
        <f t="shared" si="138"/>
        <v/>
      </c>
      <c r="AO284" s="266"/>
      <c r="AP284" s="258" t="str">
        <f t="shared" si="139"/>
        <v/>
      </c>
      <c r="AQ284" s="266"/>
      <c r="AR284" s="258" t="str">
        <f t="shared" si="140"/>
        <v/>
      </c>
      <c r="AS284" s="266"/>
      <c r="AT284" s="256" t="str">
        <f t="shared" si="141"/>
        <v/>
      </c>
      <c r="AU284" s="256" t="str">
        <f t="shared" si="142"/>
        <v/>
      </c>
      <c r="AV284" s="256" t="str">
        <f t="shared" si="143"/>
        <v/>
      </c>
      <c r="AW284" s="267"/>
      <c r="AX284" s="255"/>
      <c r="AY284" s="259" t="str">
        <f>IF(AX284&lt;&gt;"",AX284/VLOOKUP($V284,Setup!$C$30:$D$41,2,0),"")</f>
        <v/>
      </c>
      <c r="AZ284" s="268"/>
      <c r="BA284" s="258" t="str">
        <f t="shared" si="144"/>
        <v/>
      </c>
      <c r="BB284" s="268"/>
      <c r="BC284" s="258" t="str">
        <f t="shared" si="145"/>
        <v/>
      </c>
      <c r="BD284" s="268"/>
      <c r="BE284" s="258" t="str">
        <f t="shared" si="146"/>
        <v/>
      </c>
      <c r="BF284" s="268"/>
      <c r="BG284" s="256" t="str">
        <f t="shared" si="147"/>
        <v/>
      </c>
      <c r="BH284" s="256" t="str">
        <f t="shared" si="148"/>
        <v/>
      </c>
      <c r="BI284" s="256" t="str">
        <f t="shared" si="149"/>
        <v/>
      </c>
      <c r="BJ284" s="267"/>
      <c r="BK284" s="255"/>
      <c r="BL284" s="259" t="str">
        <f>IF(BK284&lt;&gt;"",BK284/VLOOKUP($V284,Setup!$C$30:$D$41,2,0),"")</f>
        <v/>
      </c>
      <c r="BM284" s="268"/>
      <c r="BN284" s="258" t="str">
        <f t="shared" si="150"/>
        <v/>
      </c>
      <c r="BO284" s="268"/>
      <c r="BP284" s="258" t="str">
        <f t="shared" si="151"/>
        <v/>
      </c>
      <c r="BQ284" s="268"/>
      <c r="BR284" s="258" t="str">
        <f t="shared" si="152"/>
        <v/>
      </c>
      <c r="BS284" s="268"/>
      <c r="BT284" s="256" t="str">
        <f t="shared" si="153"/>
        <v/>
      </c>
      <c r="BU284" s="256" t="str">
        <f t="shared" si="154"/>
        <v/>
      </c>
      <c r="BV284" s="256" t="str">
        <f t="shared" si="155"/>
        <v/>
      </c>
      <c r="BW284" s="267"/>
      <c r="BX284" s="256" t="str">
        <f t="shared" si="156"/>
        <v/>
      </c>
      <c r="BY284" s="256" t="str">
        <f t="shared" si="157"/>
        <v/>
      </c>
      <c r="BZ284" s="281"/>
      <c r="CA284" s="282"/>
      <c r="CC284" s="112" t="str">
        <f t="shared" ca="1" si="158"/>
        <v/>
      </c>
      <c r="CF284" s="284"/>
      <c r="CG284" s="284"/>
      <c r="CH284" s="284"/>
      <c r="CI284" s="284"/>
      <c r="CL284" s="356" t="str">
        <f>IFERROR(VLOOKUP(C284,'Data Sheet'!$A$3:$B$26,2,FALSE),"")</f>
        <v/>
      </c>
    </row>
    <row r="285" spans="1:90" s="98" customFormat="1" ht="15.75" x14ac:dyDescent="0.2">
      <c r="A285" s="97"/>
      <c r="B285" s="105" t="str">
        <f t="shared" si="161"/>
        <v>--</v>
      </c>
      <c r="C285" s="276"/>
      <c r="D285" s="101" t="str">
        <f>IFERROR(IF(VLOOKUP(C285,'Data Sheet'!$A$3:$D$26,4,FALSE)=0,"",VLOOKUP(C285,'Data Sheet'!$A$3:$D$26,4,FALSE)),"")</f>
        <v/>
      </c>
      <c r="E285" s="279"/>
      <c r="F285" s="103" t="str">
        <f>IFERROR(IF(VLOOKUP(E285,'Data Sheet'!$C$29:$E$174,3,FALSE)=0,"",VLOOKUP(E285,'Data Sheet'!$C$29:$E$174,3,FALSE)),"")</f>
        <v/>
      </c>
      <c r="G285" s="106" t="str">
        <f t="shared" si="159"/>
        <v>-</v>
      </c>
      <c r="H285" s="273"/>
      <c r="I285" s="107"/>
      <c r="J285" s="249" t="e">
        <f t="shared" si="160"/>
        <v>#VALUE!</v>
      </c>
      <c r="K285" s="101" t="str">
        <f>IFERROR(INDEX('Data Sheet'!$C$198:$C$275,MATCH(I285,'Data Sheet'!$F$198:$F$275,0)),"")</f>
        <v/>
      </c>
      <c r="L285" s="250" t="str">
        <f>IFERROR(INDEX('Data Sheet'!$G$198:$G$275,MATCH(I285,'Data Sheet'!$F$198:$F$275,0)),"")</f>
        <v/>
      </c>
      <c r="M285" s="194"/>
      <c r="N285" s="248"/>
      <c r="O285" s="248"/>
      <c r="P285" s="108" t="str">
        <f>IFERROR(INDEX(Setup!$D$44:$D$70,MATCH(M285,Setup!$K$44:$K$70,0))&amp;"","")</f>
        <v/>
      </c>
      <c r="Q285" s="108" t="str">
        <f>IFERROR(INDEX(Setup!$E$44:$E$70,MATCH(M285,Setup!$K$44:$K$70,0))&amp;"","")</f>
        <v/>
      </c>
      <c r="R285" s="108" t="str">
        <f>IFERROR(INDEX(Setup!$L$44:$L$70,MATCH(M285,Setup!$K$44:$K$70,0))&amp;"","")</f>
        <v/>
      </c>
      <c r="S285" s="108" t="str">
        <f>Setup!$C$30</f>
        <v>USD</v>
      </c>
      <c r="T285" s="109" t="str">
        <f>IFERROR(INDEX('Data Sheet'!$B$198:$B$275,MATCH(I285,'Data Sheet'!$F$198:$F$275,0)),"")</f>
        <v/>
      </c>
      <c r="U285" s="110" t="str">
        <f>IFERROR(INDEX('Data Sheet'!$D$198:$D$275,MATCH(I285,'Data Sheet'!$F$198:$F$275,0)),"")</f>
        <v/>
      </c>
      <c r="V285" s="99"/>
      <c r="W285" s="195" t="str">
        <f>IF(V285=Setup!$C$30,"Grant",IF(V285=Setup!$C$31,"Local",IF(V285=Setup!$C$32,"Other",IF(ISBLANK(V285),"","Other"))))</f>
        <v/>
      </c>
      <c r="X285" s="255"/>
      <c r="Y285" s="259" t="str">
        <f>IF(X285&lt;&gt;"",X285/VLOOKUP($V285,Setup!$C$30:$D$41,2,0),"")</f>
        <v/>
      </c>
      <c r="Z285" s="262"/>
      <c r="AA285" s="256" t="str">
        <f t="shared" si="132"/>
        <v/>
      </c>
      <c r="AB285" s="262"/>
      <c r="AC285" s="258" t="str">
        <f t="shared" si="133"/>
        <v/>
      </c>
      <c r="AD285" s="262"/>
      <c r="AE285" s="258" t="str">
        <f t="shared" si="134"/>
        <v/>
      </c>
      <c r="AF285" s="262"/>
      <c r="AG285" s="256" t="str">
        <f t="shared" si="135"/>
        <v/>
      </c>
      <c r="AH285" s="256" t="str">
        <f t="shared" si="136"/>
        <v/>
      </c>
      <c r="AI285" s="256" t="str">
        <f t="shared" si="137"/>
        <v/>
      </c>
      <c r="AJ285" s="111"/>
      <c r="AK285" s="255"/>
      <c r="AL285" s="259" t="str">
        <f>IF(AK285&lt;&gt;"",AK285/VLOOKUP($V285,Setup!$C$30:$D$41,2,0),"")</f>
        <v/>
      </c>
      <c r="AM285" s="266"/>
      <c r="AN285" s="258" t="str">
        <f t="shared" si="138"/>
        <v/>
      </c>
      <c r="AO285" s="266"/>
      <c r="AP285" s="258" t="str">
        <f t="shared" si="139"/>
        <v/>
      </c>
      <c r="AQ285" s="266"/>
      <c r="AR285" s="258" t="str">
        <f t="shared" si="140"/>
        <v/>
      </c>
      <c r="AS285" s="266"/>
      <c r="AT285" s="256" t="str">
        <f t="shared" si="141"/>
        <v/>
      </c>
      <c r="AU285" s="256" t="str">
        <f t="shared" si="142"/>
        <v/>
      </c>
      <c r="AV285" s="256" t="str">
        <f t="shared" si="143"/>
        <v/>
      </c>
      <c r="AW285" s="267"/>
      <c r="AX285" s="255"/>
      <c r="AY285" s="259" t="str">
        <f>IF(AX285&lt;&gt;"",AX285/VLOOKUP($V285,Setup!$C$30:$D$41,2,0),"")</f>
        <v/>
      </c>
      <c r="AZ285" s="268"/>
      <c r="BA285" s="258" t="str">
        <f t="shared" si="144"/>
        <v/>
      </c>
      <c r="BB285" s="268"/>
      <c r="BC285" s="258" t="str">
        <f t="shared" si="145"/>
        <v/>
      </c>
      <c r="BD285" s="268"/>
      <c r="BE285" s="258" t="str">
        <f t="shared" si="146"/>
        <v/>
      </c>
      <c r="BF285" s="268"/>
      <c r="BG285" s="256" t="str">
        <f t="shared" si="147"/>
        <v/>
      </c>
      <c r="BH285" s="256" t="str">
        <f t="shared" si="148"/>
        <v/>
      </c>
      <c r="BI285" s="256" t="str">
        <f t="shared" si="149"/>
        <v/>
      </c>
      <c r="BJ285" s="267"/>
      <c r="BK285" s="255"/>
      <c r="BL285" s="259" t="str">
        <f>IF(BK285&lt;&gt;"",BK285/VLOOKUP($V285,Setup!$C$30:$D$41,2,0),"")</f>
        <v/>
      </c>
      <c r="BM285" s="268"/>
      <c r="BN285" s="258" t="str">
        <f t="shared" si="150"/>
        <v/>
      </c>
      <c r="BO285" s="268"/>
      <c r="BP285" s="258" t="str">
        <f t="shared" si="151"/>
        <v/>
      </c>
      <c r="BQ285" s="268"/>
      <c r="BR285" s="258" t="str">
        <f t="shared" si="152"/>
        <v/>
      </c>
      <c r="BS285" s="268"/>
      <c r="BT285" s="256" t="str">
        <f t="shared" si="153"/>
        <v/>
      </c>
      <c r="BU285" s="256" t="str">
        <f t="shared" si="154"/>
        <v/>
      </c>
      <c r="BV285" s="256" t="str">
        <f t="shared" si="155"/>
        <v/>
      </c>
      <c r="BW285" s="267"/>
      <c r="BX285" s="256" t="str">
        <f t="shared" si="156"/>
        <v/>
      </c>
      <c r="BY285" s="256" t="str">
        <f t="shared" si="157"/>
        <v/>
      </c>
      <c r="BZ285" s="281"/>
      <c r="CA285" s="282"/>
      <c r="CC285" s="112" t="str">
        <f t="shared" ca="1" si="158"/>
        <v/>
      </c>
      <c r="CF285" s="284"/>
      <c r="CG285" s="284"/>
      <c r="CH285" s="284"/>
      <c r="CI285" s="284"/>
      <c r="CL285" s="356" t="str">
        <f>IFERROR(VLOOKUP(C285,'Data Sheet'!$A$3:$B$26,2,FALSE),"")</f>
        <v/>
      </c>
    </row>
    <row r="286" spans="1:90" s="98" customFormat="1" ht="15.75" x14ac:dyDescent="0.2">
      <c r="A286" s="97"/>
      <c r="B286" s="105" t="str">
        <f t="shared" si="161"/>
        <v>--</v>
      </c>
      <c r="C286" s="276"/>
      <c r="D286" s="101" t="str">
        <f>IFERROR(IF(VLOOKUP(C286,'Data Sheet'!$A$3:$D$26,4,FALSE)=0,"",VLOOKUP(C286,'Data Sheet'!$A$3:$D$26,4,FALSE)),"")</f>
        <v/>
      </c>
      <c r="E286" s="279"/>
      <c r="F286" s="103" t="str">
        <f>IFERROR(IF(VLOOKUP(E286,'Data Sheet'!$C$29:$E$174,3,FALSE)=0,"",VLOOKUP(E286,'Data Sheet'!$C$29:$E$174,3,FALSE)),"")</f>
        <v/>
      </c>
      <c r="G286" s="106" t="str">
        <f t="shared" si="159"/>
        <v>-</v>
      </c>
      <c r="H286" s="273"/>
      <c r="I286" s="107"/>
      <c r="J286" s="249" t="e">
        <f t="shared" si="160"/>
        <v>#VALUE!</v>
      </c>
      <c r="K286" s="101" t="str">
        <f>IFERROR(INDEX('Data Sheet'!$C$198:$C$275,MATCH(I286,'Data Sheet'!$F$198:$F$275,0)),"")</f>
        <v/>
      </c>
      <c r="L286" s="250" t="str">
        <f>IFERROR(INDEX('Data Sheet'!$G$198:$G$275,MATCH(I286,'Data Sheet'!$F$198:$F$275,0)),"")</f>
        <v/>
      </c>
      <c r="M286" s="194"/>
      <c r="N286" s="248"/>
      <c r="O286" s="248"/>
      <c r="P286" s="108" t="str">
        <f>IFERROR(INDEX(Setup!$D$44:$D$70,MATCH(M286,Setup!$K$44:$K$70,0))&amp;"","")</f>
        <v/>
      </c>
      <c r="Q286" s="108" t="str">
        <f>IFERROR(INDEX(Setup!$E$44:$E$70,MATCH(M286,Setup!$K$44:$K$70,0))&amp;"","")</f>
        <v/>
      </c>
      <c r="R286" s="108" t="str">
        <f>IFERROR(INDEX(Setup!$L$44:$L$70,MATCH(M286,Setup!$K$44:$K$70,0))&amp;"","")</f>
        <v/>
      </c>
      <c r="S286" s="108" t="str">
        <f>Setup!$C$30</f>
        <v>USD</v>
      </c>
      <c r="T286" s="109" t="str">
        <f>IFERROR(INDEX('Data Sheet'!$B$198:$B$275,MATCH(I286,'Data Sheet'!$F$198:$F$275,0)),"")</f>
        <v/>
      </c>
      <c r="U286" s="110" t="str">
        <f>IFERROR(INDEX('Data Sheet'!$D$198:$D$275,MATCH(I286,'Data Sheet'!$F$198:$F$275,0)),"")</f>
        <v/>
      </c>
      <c r="V286" s="99"/>
      <c r="W286" s="195" t="str">
        <f>IF(V286=Setup!$C$30,"Grant",IF(V286=Setup!$C$31,"Local",IF(V286=Setup!$C$32,"Other",IF(ISBLANK(V286),"","Other"))))</f>
        <v/>
      </c>
      <c r="X286" s="255"/>
      <c r="Y286" s="259" t="str">
        <f>IF(X286&lt;&gt;"",X286/VLOOKUP($V286,Setup!$C$30:$D$41,2,0),"")</f>
        <v/>
      </c>
      <c r="Z286" s="262"/>
      <c r="AA286" s="256" t="str">
        <f t="shared" si="132"/>
        <v/>
      </c>
      <c r="AB286" s="262"/>
      <c r="AC286" s="258" t="str">
        <f t="shared" si="133"/>
        <v/>
      </c>
      <c r="AD286" s="262"/>
      <c r="AE286" s="258" t="str">
        <f t="shared" si="134"/>
        <v/>
      </c>
      <c r="AF286" s="262"/>
      <c r="AG286" s="256" t="str">
        <f t="shared" si="135"/>
        <v/>
      </c>
      <c r="AH286" s="256" t="str">
        <f t="shared" si="136"/>
        <v/>
      </c>
      <c r="AI286" s="256" t="str">
        <f t="shared" si="137"/>
        <v/>
      </c>
      <c r="AJ286" s="111"/>
      <c r="AK286" s="255"/>
      <c r="AL286" s="259" t="str">
        <f>IF(AK286&lt;&gt;"",AK286/VLOOKUP($V286,Setup!$C$30:$D$41,2,0),"")</f>
        <v/>
      </c>
      <c r="AM286" s="266"/>
      <c r="AN286" s="258" t="str">
        <f t="shared" si="138"/>
        <v/>
      </c>
      <c r="AO286" s="266"/>
      <c r="AP286" s="258" t="str">
        <f t="shared" si="139"/>
        <v/>
      </c>
      <c r="AQ286" s="266"/>
      <c r="AR286" s="258" t="str">
        <f t="shared" si="140"/>
        <v/>
      </c>
      <c r="AS286" s="266"/>
      <c r="AT286" s="256" t="str">
        <f t="shared" si="141"/>
        <v/>
      </c>
      <c r="AU286" s="256" t="str">
        <f t="shared" si="142"/>
        <v/>
      </c>
      <c r="AV286" s="256" t="str">
        <f t="shared" si="143"/>
        <v/>
      </c>
      <c r="AW286" s="267"/>
      <c r="AX286" s="255"/>
      <c r="AY286" s="259" t="str">
        <f>IF(AX286&lt;&gt;"",AX286/VLOOKUP($V286,Setup!$C$30:$D$41,2,0),"")</f>
        <v/>
      </c>
      <c r="AZ286" s="268"/>
      <c r="BA286" s="258" t="str">
        <f t="shared" si="144"/>
        <v/>
      </c>
      <c r="BB286" s="268"/>
      <c r="BC286" s="258" t="str">
        <f t="shared" si="145"/>
        <v/>
      </c>
      <c r="BD286" s="268"/>
      <c r="BE286" s="258" t="str">
        <f t="shared" si="146"/>
        <v/>
      </c>
      <c r="BF286" s="268"/>
      <c r="BG286" s="256" t="str">
        <f t="shared" si="147"/>
        <v/>
      </c>
      <c r="BH286" s="256" t="str">
        <f t="shared" si="148"/>
        <v/>
      </c>
      <c r="BI286" s="256" t="str">
        <f t="shared" si="149"/>
        <v/>
      </c>
      <c r="BJ286" s="267"/>
      <c r="BK286" s="255"/>
      <c r="BL286" s="259" t="str">
        <f>IF(BK286&lt;&gt;"",BK286/VLOOKUP($V286,Setup!$C$30:$D$41,2,0),"")</f>
        <v/>
      </c>
      <c r="BM286" s="268"/>
      <c r="BN286" s="258" t="str">
        <f t="shared" si="150"/>
        <v/>
      </c>
      <c r="BO286" s="268"/>
      <c r="BP286" s="258" t="str">
        <f t="shared" si="151"/>
        <v/>
      </c>
      <c r="BQ286" s="268"/>
      <c r="BR286" s="258" t="str">
        <f t="shared" si="152"/>
        <v/>
      </c>
      <c r="BS286" s="268"/>
      <c r="BT286" s="256" t="str">
        <f t="shared" si="153"/>
        <v/>
      </c>
      <c r="BU286" s="256" t="str">
        <f t="shared" si="154"/>
        <v/>
      </c>
      <c r="BV286" s="256" t="str">
        <f t="shared" si="155"/>
        <v/>
      </c>
      <c r="BW286" s="267"/>
      <c r="BX286" s="256" t="str">
        <f t="shared" si="156"/>
        <v/>
      </c>
      <c r="BY286" s="256" t="str">
        <f t="shared" si="157"/>
        <v/>
      </c>
      <c r="BZ286" s="281"/>
      <c r="CA286" s="282"/>
      <c r="CC286" s="112" t="str">
        <f t="shared" ca="1" si="158"/>
        <v/>
      </c>
      <c r="CF286" s="284"/>
      <c r="CG286" s="284"/>
      <c r="CH286" s="284"/>
      <c r="CI286" s="284"/>
      <c r="CL286" s="356" t="str">
        <f>IFERROR(VLOOKUP(C286,'Data Sheet'!$A$3:$B$26,2,FALSE),"")</f>
        <v/>
      </c>
    </row>
    <row r="287" spans="1:90" s="98" customFormat="1" ht="15.75" x14ac:dyDescent="0.2">
      <c r="A287" s="97"/>
      <c r="B287" s="105" t="str">
        <f t="shared" si="161"/>
        <v>--</v>
      </c>
      <c r="C287" s="276"/>
      <c r="D287" s="101" t="str">
        <f>IFERROR(IF(VLOOKUP(C287,'Data Sheet'!$A$3:$D$26,4,FALSE)=0,"",VLOOKUP(C287,'Data Sheet'!$A$3:$D$26,4,FALSE)),"")</f>
        <v/>
      </c>
      <c r="E287" s="279"/>
      <c r="F287" s="103" t="str">
        <f>IFERROR(IF(VLOOKUP(E287,'Data Sheet'!$C$29:$E$174,3,FALSE)=0,"",VLOOKUP(E287,'Data Sheet'!$C$29:$E$174,3,FALSE)),"")</f>
        <v/>
      </c>
      <c r="G287" s="106" t="str">
        <f t="shared" si="159"/>
        <v>-</v>
      </c>
      <c r="H287" s="273"/>
      <c r="I287" s="107"/>
      <c r="J287" s="249" t="e">
        <f t="shared" si="160"/>
        <v>#VALUE!</v>
      </c>
      <c r="K287" s="101" t="str">
        <f>IFERROR(INDEX('Data Sheet'!$C$198:$C$275,MATCH(I287,'Data Sheet'!$F$198:$F$275,0)),"")</f>
        <v/>
      </c>
      <c r="L287" s="250" t="str">
        <f>IFERROR(INDEX('Data Sheet'!$G$198:$G$275,MATCH(I287,'Data Sheet'!$F$198:$F$275,0)),"")</f>
        <v/>
      </c>
      <c r="M287" s="194"/>
      <c r="N287" s="248"/>
      <c r="O287" s="248"/>
      <c r="P287" s="108" t="str">
        <f>IFERROR(INDEX(Setup!$D$44:$D$70,MATCH(M287,Setup!$K$44:$K$70,0))&amp;"","")</f>
        <v/>
      </c>
      <c r="Q287" s="108" t="str">
        <f>IFERROR(INDEX(Setup!$E$44:$E$70,MATCH(M287,Setup!$K$44:$K$70,0))&amp;"","")</f>
        <v/>
      </c>
      <c r="R287" s="108" t="str">
        <f>IFERROR(INDEX(Setup!$L$44:$L$70,MATCH(M287,Setup!$K$44:$K$70,0))&amp;"","")</f>
        <v/>
      </c>
      <c r="S287" s="108" t="str">
        <f>Setup!$C$30</f>
        <v>USD</v>
      </c>
      <c r="T287" s="109" t="str">
        <f>IFERROR(INDEX('Data Sheet'!$B$198:$B$275,MATCH(I287,'Data Sheet'!$F$198:$F$275,0)),"")</f>
        <v/>
      </c>
      <c r="U287" s="110" t="str">
        <f>IFERROR(INDEX('Data Sheet'!$D$198:$D$275,MATCH(I287,'Data Sheet'!$F$198:$F$275,0)),"")</f>
        <v/>
      </c>
      <c r="V287" s="99"/>
      <c r="W287" s="195" t="str">
        <f>IF(V287=Setup!$C$30,"Grant",IF(V287=Setup!$C$31,"Local",IF(V287=Setup!$C$32,"Other",IF(ISBLANK(V287),"","Other"))))</f>
        <v/>
      </c>
      <c r="X287" s="255"/>
      <c r="Y287" s="259" t="str">
        <f>IF(X287&lt;&gt;"",X287/VLOOKUP($V287,Setup!$C$30:$D$41,2,0),"")</f>
        <v/>
      </c>
      <c r="Z287" s="262"/>
      <c r="AA287" s="256" t="str">
        <f t="shared" si="132"/>
        <v/>
      </c>
      <c r="AB287" s="262"/>
      <c r="AC287" s="258" t="str">
        <f t="shared" si="133"/>
        <v/>
      </c>
      <c r="AD287" s="262"/>
      <c r="AE287" s="258" t="str">
        <f t="shared" si="134"/>
        <v/>
      </c>
      <c r="AF287" s="262"/>
      <c r="AG287" s="256" t="str">
        <f t="shared" si="135"/>
        <v/>
      </c>
      <c r="AH287" s="256" t="str">
        <f t="shared" si="136"/>
        <v/>
      </c>
      <c r="AI287" s="256" t="str">
        <f t="shared" si="137"/>
        <v/>
      </c>
      <c r="AJ287" s="111"/>
      <c r="AK287" s="255"/>
      <c r="AL287" s="259" t="str">
        <f>IF(AK287&lt;&gt;"",AK287/VLOOKUP($V287,Setup!$C$30:$D$41,2,0),"")</f>
        <v/>
      </c>
      <c r="AM287" s="266"/>
      <c r="AN287" s="258" t="str">
        <f t="shared" si="138"/>
        <v/>
      </c>
      <c r="AO287" s="266"/>
      <c r="AP287" s="258" t="str">
        <f t="shared" si="139"/>
        <v/>
      </c>
      <c r="AQ287" s="266"/>
      <c r="AR287" s="258" t="str">
        <f t="shared" si="140"/>
        <v/>
      </c>
      <c r="AS287" s="266"/>
      <c r="AT287" s="256" t="str">
        <f t="shared" si="141"/>
        <v/>
      </c>
      <c r="AU287" s="256" t="str">
        <f t="shared" si="142"/>
        <v/>
      </c>
      <c r="AV287" s="256" t="str">
        <f t="shared" si="143"/>
        <v/>
      </c>
      <c r="AW287" s="267"/>
      <c r="AX287" s="255"/>
      <c r="AY287" s="259" t="str">
        <f>IF(AX287&lt;&gt;"",AX287/VLOOKUP($V287,Setup!$C$30:$D$41,2,0),"")</f>
        <v/>
      </c>
      <c r="AZ287" s="268"/>
      <c r="BA287" s="258" t="str">
        <f t="shared" si="144"/>
        <v/>
      </c>
      <c r="BB287" s="268"/>
      <c r="BC287" s="258" t="str">
        <f t="shared" si="145"/>
        <v/>
      </c>
      <c r="BD287" s="268"/>
      <c r="BE287" s="258" t="str">
        <f t="shared" si="146"/>
        <v/>
      </c>
      <c r="BF287" s="268"/>
      <c r="BG287" s="256" t="str">
        <f t="shared" si="147"/>
        <v/>
      </c>
      <c r="BH287" s="256" t="str">
        <f t="shared" si="148"/>
        <v/>
      </c>
      <c r="BI287" s="256" t="str">
        <f t="shared" si="149"/>
        <v/>
      </c>
      <c r="BJ287" s="267"/>
      <c r="BK287" s="255"/>
      <c r="BL287" s="259" t="str">
        <f>IF(BK287&lt;&gt;"",BK287/VLOOKUP($V287,Setup!$C$30:$D$41,2,0),"")</f>
        <v/>
      </c>
      <c r="BM287" s="268"/>
      <c r="BN287" s="258" t="str">
        <f t="shared" si="150"/>
        <v/>
      </c>
      <c r="BO287" s="268"/>
      <c r="BP287" s="258" t="str">
        <f t="shared" si="151"/>
        <v/>
      </c>
      <c r="BQ287" s="268"/>
      <c r="BR287" s="258" t="str">
        <f t="shared" si="152"/>
        <v/>
      </c>
      <c r="BS287" s="268"/>
      <c r="BT287" s="256" t="str">
        <f t="shared" si="153"/>
        <v/>
      </c>
      <c r="BU287" s="256" t="str">
        <f t="shared" si="154"/>
        <v/>
      </c>
      <c r="BV287" s="256" t="str">
        <f t="shared" si="155"/>
        <v/>
      </c>
      <c r="BW287" s="267"/>
      <c r="BX287" s="256" t="str">
        <f t="shared" si="156"/>
        <v/>
      </c>
      <c r="BY287" s="256" t="str">
        <f t="shared" si="157"/>
        <v/>
      </c>
      <c r="BZ287" s="281"/>
      <c r="CA287" s="282"/>
      <c r="CC287" s="112" t="str">
        <f t="shared" ca="1" si="158"/>
        <v/>
      </c>
      <c r="CF287" s="284"/>
      <c r="CG287" s="284"/>
      <c r="CH287" s="284"/>
      <c r="CI287" s="284"/>
      <c r="CL287" s="356" t="str">
        <f>IFERROR(VLOOKUP(C287,'Data Sheet'!$A$3:$B$26,2,FALSE),"")</f>
        <v/>
      </c>
    </row>
    <row r="288" spans="1:90" s="98" customFormat="1" ht="15.75" x14ac:dyDescent="0.2">
      <c r="A288" s="97"/>
      <c r="B288" s="105" t="str">
        <f t="shared" si="161"/>
        <v>--</v>
      </c>
      <c r="C288" s="276"/>
      <c r="D288" s="101" t="str">
        <f>IFERROR(IF(VLOOKUP(C288,'Data Sheet'!$A$3:$D$26,4,FALSE)=0,"",VLOOKUP(C288,'Data Sheet'!$A$3:$D$26,4,FALSE)),"")</f>
        <v/>
      </c>
      <c r="E288" s="279"/>
      <c r="F288" s="103" t="str">
        <f>IFERROR(IF(VLOOKUP(E288,'Data Sheet'!$C$29:$E$174,3,FALSE)=0,"",VLOOKUP(E288,'Data Sheet'!$C$29:$E$174,3,FALSE)),"")</f>
        <v/>
      </c>
      <c r="G288" s="106" t="str">
        <f t="shared" si="159"/>
        <v>-</v>
      </c>
      <c r="H288" s="273"/>
      <c r="I288" s="107"/>
      <c r="J288" s="249" t="e">
        <f t="shared" si="160"/>
        <v>#VALUE!</v>
      </c>
      <c r="K288" s="101" t="str">
        <f>IFERROR(INDEX('Data Sheet'!$C$198:$C$275,MATCH(I288,'Data Sheet'!$F$198:$F$275,0)),"")</f>
        <v/>
      </c>
      <c r="L288" s="250" t="str">
        <f>IFERROR(INDEX('Data Sheet'!$G$198:$G$275,MATCH(I288,'Data Sheet'!$F$198:$F$275,0)),"")</f>
        <v/>
      </c>
      <c r="M288" s="194"/>
      <c r="N288" s="248"/>
      <c r="O288" s="248"/>
      <c r="P288" s="108" t="str">
        <f>IFERROR(INDEX(Setup!$D$44:$D$70,MATCH(M288,Setup!$K$44:$K$70,0))&amp;"","")</f>
        <v/>
      </c>
      <c r="Q288" s="108" t="str">
        <f>IFERROR(INDEX(Setup!$E$44:$E$70,MATCH(M288,Setup!$K$44:$K$70,0))&amp;"","")</f>
        <v/>
      </c>
      <c r="R288" s="108" t="str">
        <f>IFERROR(INDEX(Setup!$L$44:$L$70,MATCH(M288,Setup!$K$44:$K$70,0))&amp;"","")</f>
        <v/>
      </c>
      <c r="S288" s="108" t="str">
        <f>Setup!$C$30</f>
        <v>USD</v>
      </c>
      <c r="T288" s="109" t="str">
        <f>IFERROR(INDEX('Data Sheet'!$B$198:$B$275,MATCH(I288,'Data Sheet'!$F$198:$F$275,0)),"")</f>
        <v/>
      </c>
      <c r="U288" s="110" t="str">
        <f>IFERROR(INDEX('Data Sheet'!$D$198:$D$275,MATCH(I288,'Data Sheet'!$F$198:$F$275,0)),"")</f>
        <v/>
      </c>
      <c r="V288" s="99"/>
      <c r="W288" s="195" t="str">
        <f>IF(V288=Setup!$C$30,"Grant",IF(V288=Setup!$C$31,"Local",IF(V288=Setup!$C$32,"Other",IF(ISBLANK(V288),"","Other"))))</f>
        <v/>
      </c>
      <c r="X288" s="255"/>
      <c r="Y288" s="259" t="str">
        <f>IF(X288&lt;&gt;"",X288/VLOOKUP($V288,Setup!$C$30:$D$41,2,0),"")</f>
        <v/>
      </c>
      <c r="Z288" s="262"/>
      <c r="AA288" s="256" t="str">
        <f t="shared" si="132"/>
        <v/>
      </c>
      <c r="AB288" s="262"/>
      <c r="AC288" s="258" t="str">
        <f t="shared" si="133"/>
        <v/>
      </c>
      <c r="AD288" s="262"/>
      <c r="AE288" s="258" t="str">
        <f t="shared" si="134"/>
        <v/>
      </c>
      <c r="AF288" s="262"/>
      <c r="AG288" s="256" t="str">
        <f t="shared" si="135"/>
        <v/>
      </c>
      <c r="AH288" s="256" t="str">
        <f t="shared" si="136"/>
        <v/>
      </c>
      <c r="AI288" s="256" t="str">
        <f t="shared" si="137"/>
        <v/>
      </c>
      <c r="AJ288" s="111"/>
      <c r="AK288" s="255"/>
      <c r="AL288" s="259" t="str">
        <f>IF(AK288&lt;&gt;"",AK288/VLOOKUP($V288,Setup!$C$30:$D$41,2,0),"")</f>
        <v/>
      </c>
      <c r="AM288" s="266"/>
      <c r="AN288" s="258" t="str">
        <f t="shared" si="138"/>
        <v/>
      </c>
      <c r="AO288" s="266"/>
      <c r="AP288" s="258" t="str">
        <f t="shared" si="139"/>
        <v/>
      </c>
      <c r="AQ288" s="266"/>
      <c r="AR288" s="258" t="str">
        <f t="shared" si="140"/>
        <v/>
      </c>
      <c r="AS288" s="266"/>
      <c r="AT288" s="256" t="str">
        <f t="shared" si="141"/>
        <v/>
      </c>
      <c r="AU288" s="256" t="str">
        <f t="shared" si="142"/>
        <v/>
      </c>
      <c r="AV288" s="256" t="str">
        <f t="shared" si="143"/>
        <v/>
      </c>
      <c r="AW288" s="267"/>
      <c r="AX288" s="255"/>
      <c r="AY288" s="259" t="str">
        <f>IF(AX288&lt;&gt;"",AX288/VLOOKUP($V288,Setup!$C$30:$D$41,2,0),"")</f>
        <v/>
      </c>
      <c r="AZ288" s="268"/>
      <c r="BA288" s="258" t="str">
        <f t="shared" si="144"/>
        <v/>
      </c>
      <c r="BB288" s="268"/>
      <c r="BC288" s="258" t="str">
        <f t="shared" si="145"/>
        <v/>
      </c>
      <c r="BD288" s="268"/>
      <c r="BE288" s="258" t="str">
        <f t="shared" si="146"/>
        <v/>
      </c>
      <c r="BF288" s="268"/>
      <c r="BG288" s="256" t="str">
        <f t="shared" si="147"/>
        <v/>
      </c>
      <c r="BH288" s="256" t="str">
        <f t="shared" si="148"/>
        <v/>
      </c>
      <c r="BI288" s="256" t="str">
        <f t="shared" si="149"/>
        <v/>
      </c>
      <c r="BJ288" s="267"/>
      <c r="BK288" s="255"/>
      <c r="BL288" s="259" t="str">
        <f>IF(BK288&lt;&gt;"",BK288/VLOOKUP($V288,Setup!$C$30:$D$41,2,0),"")</f>
        <v/>
      </c>
      <c r="BM288" s="268"/>
      <c r="BN288" s="258" t="str">
        <f t="shared" si="150"/>
        <v/>
      </c>
      <c r="BO288" s="268"/>
      <c r="BP288" s="258" t="str">
        <f t="shared" si="151"/>
        <v/>
      </c>
      <c r="BQ288" s="268"/>
      <c r="BR288" s="258" t="str">
        <f t="shared" si="152"/>
        <v/>
      </c>
      <c r="BS288" s="268"/>
      <c r="BT288" s="256" t="str">
        <f t="shared" si="153"/>
        <v/>
      </c>
      <c r="BU288" s="256" t="str">
        <f t="shared" si="154"/>
        <v/>
      </c>
      <c r="BV288" s="256" t="str">
        <f t="shared" si="155"/>
        <v/>
      </c>
      <c r="BW288" s="267"/>
      <c r="BX288" s="256" t="str">
        <f t="shared" si="156"/>
        <v/>
      </c>
      <c r="BY288" s="256" t="str">
        <f t="shared" si="157"/>
        <v/>
      </c>
      <c r="BZ288" s="281"/>
      <c r="CA288" s="282"/>
      <c r="CC288" s="112" t="str">
        <f t="shared" ca="1" si="158"/>
        <v/>
      </c>
      <c r="CF288" s="284"/>
      <c r="CG288" s="284"/>
      <c r="CH288" s="284"/>
      <c r="CI288" s="284"/>
      <c r="CL288" s="356" t="str">
        <f>IFERROR(VLOOKUP(C288,'Data Sheet'!$A$3:$B$26,2,FALSE),"")</f>
        <v/>
      </c>
    </row>
    <row r="289" spans="1:90" s="98" customFormat="1" ht="15.75" x14ac:dyDescent="0.2">
      <c r="A289" s="97"/>
      <c r="B289" s="105" t="str">
        <f t="shared" si="161"/>
        <v>--</v>
      </c>
      <c r="C289" s="276"/>
      <c r="D289" s="101" t="str">
        <f>IFERROR(IF(VLOOKUP(C289,'Data Sheet'!$A$3:$D$26,4,FALSE)=0,"",VLOOKUP(C289,'Data Sheet'!$A$3:$D$26,4,FALSE)),"")</f>
        <v/>
      </c>
      <c r="E289" s="279"/>
      <c r="F289" s="103" t="str">
        <f>IFERROR(IF(VLOOKUP(E289,'Data Sheet'!$C$29:$E$174,3,FALSE)=0,"",VLOOKUP(E289,'Data Sheet'!$C$29:$E$174,3,FALSE)),"")</f>
        <v/>
      </c>
      <c r="G289" s="106" t="str">
        <f t="shared" si="159"/>
        <v>-</v>
      </c>
      <c r="H289" s="273"/>
      <c r="I289" s="107"/>
      <c r="J289" s="249" t="e">
        <f t="shared" si="160"/>
        <v>#VALUE!</v>
      </c>
      <c r="K289" s="101" t="str">
        <f>IFERROR(INDEX('Data Sheet'!$C$198:$C$275,MATCH(I289,'Data Sheet'!$F$198:$F$275,0)),"")</f>
        <v/>
      </c>
      <c r="L289" s="250" t="str">
        <f>IFERROR(INDEX('Data Sheet'!$G$198:$G$275,MATCH(I289,'Data Sheet'!$F$198:$F$275,0)),"")</f>
        <v/>
      </c>
      <c r="M289" s="194"/>
      <c r="N289" s="248"/>
      <c r="O289" s="248"/>
      <c r="P289" s="108" t="str">
        <f>IFERROR(INDEX(Setup!$D$44:$D$70,MATCH(M289,Setup!$K$44:$K$70,0))&amp;"","")</f>
        <v/>
      </c>
      <c r="Q289" s="108" t="str">
        <f>IFERROR(INDEX(Setup!$E$44:$E$70,MATCH(M289,Setup!$K$44:$K$70,0))&amp;"","")</f>
        <v/>
      </c>
      <c r="R289" s="108" t="str">
        <f>IFERROR(INDEX(Setup!$L$44:$L$70,MATCH(M289,Setup!$K$44:$K$70,0))&amp;"","")</f>
        <v/>
      </c>
      <c r="S289" s="108" t="str">
        <f>Setup!$C$30</f>
        <v>USD</v>
      </c>
      <c r="T289" s="109" t="str">
        <f>IFERROR(INDEX('Data Sheet'!$B$198:$B$275,MATCH(I289,'Data Sheet'!$F$198:$F$275,0)),"")</f>
        <v/>
      </c>
      <c r="U289" s="110" t="str">
        <f>IFERROR(INDEX('Data Sheet'!$D$198:$D$275,MATCH(I289,'Data Sheet'!$F$198:$F$275,0)),"")</f>
        <v/>
      </c>
      <c r="V289" s="99"/>
      <c r="W289" s="195" t="str">
        <f>IF(V289=Setup!$C$30,"Grant",IF(V289=Setup!$C$31,"Local",IF(V289=Setup!$C$32,"Other",IF(ISBLANK(V289),"","Other"))))</f>
        <v/>
      </c>
      <c r="X289" s="255"/>
      <c r="Y289" s="259" t="str">
        <f>IF(X289&lt;&gt;"",X289/VLOOKUP($V289,Setup!$C$30:$D$41,2,0),"")</f>
        <v/>
      </c>
      <c r="Z289" s="262"/>
      <c r="AA289" s="256" t="str">
        <f t="shared" si="132"/>
        <v/>
      </c>
      <c r="AB289" s="262"/>
      <c r="AC289" s="258" t="str">
        <f t="shared" si="133"/>
        <v/>
      </c>
      <c r="AD289" s="262"/>
      <c r="AE289" s="258" t="str">
        <f t="shared" si="134"/>
        <v/>
      </c>
      <c r="AF289" s="262"/>
      <c r="AG289" s="256" t="str">
        <f t="shared" si="135"/>
        <v/>
      </c>
      <c r="AH289" s="256" t="str">
        <f t="shared" si="136"/>
        <v/>
      </c>
      <c r="AI289" s="256" t="str">
        <f t="shared" si="137"/>
        <v/>
      </c>
      <c r="AJ289" s="111"/>
      <c r="AK289" s="255"/>
      <c r="AL289" s="259" t="str">
        <f>IF(AK289&lt;&gt;"",AK289/VLOOKUP($V289,Setup!$C$30:$D$41,2,0),"")</f>
        <v/>
      </c>
      <c r="AM289" s="266"/>
      <c r="AN289" s="258" t="str">
        <f t="shared" si="138"/>
        <v/>
      </c>
      <c r="AO289" s="266"/>
      <c r="AP289" s="258" t="str">
        <f t="shared" si="139"/>
        <v/>
      </c>
      <c r="AQ289" s="266"/>
      <c r="AR289" s="258" t="str">
        <f t="shared" si="140"/>
        <v/>
      </c>
      <c r="AS289" s="266"/>
      <c r="AT289" s="256" t="str">
        <f t="shared" si="141"/>
        <v/>
      </c>
      <c r="AU289" s="256" t="str">
        <f t="shared" si="142"/>
        <v/>
      </c>
      <c r="AV289" s="256" t="str">
        <f t="shared" si="143"/>
        <v/>
      </c>
      <c r="AW289" s="267"/>
      <c r="AX289" s="255"/>
      <c r="AY289" s="259" t="str">
        <f>IF(AX289&lt;&gt;"",AX289/VLOOKUP($V289,Setup!$C$30:$D$41,2,0),"")</f>
        <v/>
      </c>
      <c r="AZ289" s="268"/>
      <c r="BA289" s="258" t="str">
        <f t="shared" si="144"/>
        <v/>
      </c>
      <c r="BB289" s="268"/>
      <c r="BC289" s="258" t="str">
        <f t="shared" si="145"/>
        <v/>
      </c>
      <c r="BD289" s="268"/>
      <c r="BE289" s="258" t="str">
        <f t="shared" si="146"/>
        <v/>
      </c>
      <c r="BF289" s="268"/>
      <c r="BG289" s="256" t="str">
        <f t="shared" si="147"/>
        <v/>
      </c>
      <c r="BH289" s="256" t="str">
        <f t="shared" si="148"/>
        <v/>
      </c>
      <c r="BI289" s="256" t="str">
        <f t="shared" si="149"/>
        <v/>
      </c>
      <c r="BJ289" s="267"/>
      <c r="BK289" s="255"/>
      <c r="BL289" s="259" t="str">
        <f>IF(BK289&lt;&gt;"",BK289/VLOOKUP($V289,Setup!$C$30:$D$41,2,0),"")</f>
        <v/>
      </c>
      <c r="BM289" s="268"/>
      <c r="BN289" s="258" t="str">
        <f t="shared" si="150"/>
        <v/>
      </c>
      <c r="BO289" s="268"/>
      <c r="BP289" s="258" t="str">
        <f t="shared" si="151"/>
        <v/>
      </c>
      <c r="BQ289" s="268"/>
      <c r="BR289" s="258" t="str">
        <f t="shared" si="152"/>
        <v/>
      </c>
      <c r="BS289" s="268"/>
      <c r="BT289" s="256" t="str">
        <f t="shared" si="153"/>
        <v/>
      </c>
      <c r="BU289" s="256" t="str">
        <f t="shared" si="154"/>
        <v/>
      </c>
      <c r="BV289" s="256" t="str">
        <f t="shared" si="155"/>
        <v/>
      </c>
      <c r="BW289" s="267"/>
      <c r="BX289" s="256" t="str">
        <f t="shared" si="156"/>
        <v/>
      </c>
      <c r="BY289" s="256" t="str">
        <f t="shared" si="157"/>
        <v/>
      </c>
      <c r="BZ289" s="281"/>
      <c r="CA289" s="282"/>
      <c r="CC289" s="112" t="str">
        <f t="shared" ca="1" si="158"/>
        <v/>
      </c>
      <c r="CF289" s="284"/>
      <c r="CG289" s="284"/>
      <c r="CH289" s="284"/>
      <c r="CI289" s="284"/>
      <c r="CL289" s="356" t="str">
        <f>IFERROR(VLOOKUP(C289,'Data Sheet'!$A$3:$B$26,2,FALSE),"")</f>
        <v/>
      </c>
    </row>
    <row r="290" spans="1:90" s="98" customFormat="1" ht="15.75" x14ac:dyDescent="0.2">
      <c r="A290" s="97"/>
      <c r="B290" s="105" t="str">
        <f t="shared" si="161"/>
        <v>--</v>
      </c>
      <c r="C290" s="276"/>
      <c r="D290" s="101" t="str">
        <f>IFERROR(IF(VLOOKUP(C290,'Data Sheet'!$A$3:$D$26,4,FALSE)=0,"",VLOOKUP(C290,'Data Sheet'!$A$3:$D$26,4,FALSE)),"")</f>
        <v/>
      </c>
      <c r="E290" s="279"/>
      <c r="F290" s="103" t="str">
        <f>IFERROR(IF(VLOOKUP(E290,'Data Sheet'!$C$29:$E$174,3,FALSE)=0,"",VLOOKUP(E290,'Data Sheet'!$C$29:$E$174,3,FALSE)),"")</f>
        <v/>
      </c>
      <c r="G290" s="106" t="str">
        <f t="shared" si="159"/>
        <v>-</v>
      </c>
      <c r="H290" s="273"/>
      <c r="I290" s="107"/>
      <c r="J290" s="249" t="e">
        <f t="shared" si="160"/>
        <v>#VALUE!</v>
      </c>
      <c r="K290" s="101" t="str">
        <f>IFERROR(INDEX('Data Sheet'!$C$198:$C$275,MATCH(I290,'Data Sheet'!$F$198:$F$275,0)),"")</f>
        <v/>
      </c>
      <c r="L290" s="250" t="str">
        <f>IFERROR(INDEX('Data Sheet'!$G$198:$G$275,MATCH(I290,'Data Sheet'!$F$198:$F$275,0)),"")</f>
        <v/>
      </c>
      <c r="M290" s="194"/>
      <c r="N290" s="248"/>
      <c r="O290" s="248"/>
      <c r="P290" s="108" t="str">
        <f>IFERROR(INDEX(Setup!$D$44:$D$70,MATCH(M290,Setup!$K$44:$K$70,0))&amp;"","")</f>
        <v/>
      </c>
      <c r="Q290" s="108" t="str">
        <f>IFERROR(INDEX(Setup!$E$44:$E$70,MATCH(M290,Setup!$K$44:$K$70,0))&amp;"","")</f>
        <v/>
      </c>
      <c r="R290" s="108" t="str">
        <f>IFERROR(INDEX(Setup!$L$44:$L$70,MATCH(M290,Setup!$K$44:$K$70,0))&amp;"","")</f>
        <v/>
      </c>
      <c r="S290" s="108" t="str">
        <f>Setup!$C$30</f>
        <v>USD</v>
      </c>
      <c r="T290" s="109" t="str">
        <f>IFERROR(INDEX('Data Sheet'!$B$198:$B$275,MATCH(I290,'Data Sheet'!$F$198:$F$275,0)),"")</f>
        <v/>
      </c>
      <c r="U290" s="110" t="str">
        <f>IFERROR(INDEX('Data Sheet'!$D$198:$D$275,MATCH(I290,'Data Sheet'!$F$198:$F$275,0)),"")</f>
        <v/>
      </c>
      <c r="V290" s="99"/>
      <c r="W290" s="195" t="str">
        <f>IF(V290=Setup!$C$30,"Grant",IF(V290=Setup!$C$31,"Local",IF(V290=Setup!$C$32,"Other",IF(ISBLANK(V290),"","Other"))))</f>
        <v/>
      </c>
      <c r="X290" s="255"/>
      <c r="Y290" s="259" t="str">
        <f>IF(X290&lt;&gt;"",X290/VLOOKUP($V290,Setup!$C$30:$D$41,2,0),"")</f>
        <v/>
      </c>
      <c r="Z290" s="262"/>
      <c r="AA290" s="256" t="str">
        <f t="shared" si="132"/>
        <v/>
      </c>
      <c r="AB290" s="262"/>
      <c r="AC290" s="258" t="str">
        <f t="shared" si="133"/>
        <v/>
      </c>
      <c r="AD290" s="262"/>
      <c r="AE290" s="258" t="str">
        <f t="shared" si="134"/>
        <v/>
      </c>
      <c r="AF290" s="262"/>
      <c r="AG290" s="256" t="str">
        <f t="shared" si="135"/>
        <v/>
      </c>
      <c r="AH290" s="256" t="str">
        <f t="shared" si="136"/>
        <v/>
      </c>
      <c r="AI290" s="256" t="str">
        <f t="shared" si="137"/>
        <v/>
      </c>
      <c r="AJ290" s="111"/>
      <c r="AK290" s="255"/>
      <c r="AL290" s="259" t="str">
        <f>IF(AK290&lt;&gt;"",AK290/VLOOKUP($V290,Setup!$C$30:$D$41,2,0),"")</f>
        <v/>
      </c>
      <c r="AM290" s="266"/>
      <c r="AN290" s="258" t="str">
        <f t="shared" si="138"/>
        <v/>
      </c>
      <c r="AO290" s="266"/>
      <c r="AP290" s="258" t="str">
        <f t="shared" si="139"/>
        <v/>
      </c>
      <c r="AQ290" s="266"/>
      <c r="AR290" s="258" t="str">
        <f t="shared" si="140"/>
        <v/>
      </c>
      <c r="AS290" s="266"/>
      <c r="AT290" s="256" t="str">
        <f t="shared" si="141"/>
        <v/>
      </c>
      <c r="AU290" s="256" t="str">
        <f t="shared" si="142"/>
        <v/>
      </c>
      <c r="AV290" s="256" t="str">
        <f t="shared" si="143"/>
        <v/>
      </c>
      <c r="AW290" s="267"/>
      <c r="AX290" s="255"/>
      <c r="AY290" s="259" t="str">
        <f>IF(AX290&lt;&gt;"",AX290/VLOOKUP($V290,Setup!$C$30:$D$41,2,0),"")</f>
        <v/>
      </c>
      <c r="AZ290" s="268"/>
      <c r="BA290" s="258" t="str">
        <f t="shared" si="144"/>
        <v/>
      </c>
      <c r="BB290" s="268"/>
      <c r="BC290" s="258" t="str">
        <f t="shared" si="145"/>
        <v/>
      </c>
      <c r="BD290" s="268"/>
      <c r="BE290" s="258" t="str">
        <f t="shared" si="146"/>
        <v/>
      </c>
      <c r="BF290" s="268"/>
      <c r="BG290" s="256" t="str">
        <f t="shared" si="147"/>
        <v/>
      </c>
      <c r="BH290" s="256" t="str">
        <f t="shared" si="148"/>
        <v/>
      </c>
      <c r="BI290" s="256" t="str">
        <f t="shared" si="149"/>
        <v/>
      </c>
      <c r="BJ290" s="267"/>
      <c r="BK290" s="255"/>
      <c r="BL290" s="259" t="str">
        <f>IF(BK290&lt;&gt;"",BK290/VLOOKUP($V290,Setup!$C$30:$D$41,2,0),"")</f>
        <v/>
      </c>
      <c r="BM290" s="268"/>
      <c r="BN290" s="258" t="str">
        <f t="shared" si="150"/>
        <v/>
      </c>
      <c r="BO290" s="268"/>
      <c r="BP290" s="258" t="str">
        <f t="shared" si="151"/>
        <v/>
      </c>
      <c r="BQ290" s="268"/>
      <c r="BR290" s="258" t="str">
        <f t="shared" si="152"/>
        <v/>
      </c>
      <c r="BS290" s="268"/>
      <c r="BT290" s="256" t="str">
        <f t="shared" si="153"/>
        <v/>
      </c>
      <c r="BU290" s="256" t="str">
        <f t="shared" si="154"/>
        <v/>
      </c>
      <c r="BV290" s="256" t="str">
        <f t="shared" si="155"/>
        <v/>
      </c>
      <c r="BW290" s="267"/>
      <c r="BX290" s="256" t="str">
        <f t="shared" si="156"/>
        <v/>
      </c>
      <c r="BY290" s="256" t="str">
        <f t="shared" si="157"/>
        <v/>
      </c>
      <c r="BZ290" s="281"/>
      <c r="CA290" s="282"/>
      <c r="CC290" s="112" t="str">
        <f t="shared" ca="1" si="158"/>
        <v/>
      </c>
      <c r="CF290" s="284"/>
      <c r="CG290" s="284"/>
      <c r="CH290" s="284"/>
      <c r="CI290" s="284"/>
      <c r="CL290" s="356" t="str">
        <f>IFERROR(VLOOKUP(C290,'Data Sheet'!$A$3:$B$26,2,FALSE),"")</f>
        <v/>
      </c>
    </row>
    <row r="291" spans="1:90" s="98" customFormat="1" ht="15.75" x14ac:dyDescent="0.2">
      <c r="A291" s="97"/>
      <c r="B291" s="105" t="str">
        <f t="shared" si="161"/>
        <v>--</v>
      </c>
      <c r="C291" s="276"/>
      <c r="D291" s="101" t="str">
        <f>IFERROR(IF(VLOOKUP(C291,'Data Sheet'!$A$3:$D$26,4,FALSE)=0,"",VLOOKUP(C291,'Data Sheet'!$A$3:$D$26,4,FALSE)),"")</f>
        <v/>
      </c>
      <c r="E291" s="279"/>
      <c r="F291" s="103" t="str">
        <f>IFERROR(IF(VLOOKUP(E291,'Data Sheet'!$C$29:$E$174,3,FALSE)=0,"",VLOOKUP(E291,'Data Sheet'!$C$29:$E$174,3,FALSE)),"")</f>
        <v/>
      </c>
      <c r="G291" s="106" t="str">
        <f t="shared" si="159"/>
        <v>-</v>
      </c>
      <c r="H291" s="273"/>
      <c r="I291" s="107"/>
      <c r="J291" s="249" t="e">
        <f t="shared" si="160"/>
        <v>#VALUE!</v>
      </c>
      <c r="K291" s="101" t="str">
        <f>IFERROR(INDEX('Data Sheet'!$C$198:$C$275,MATCH(I291,'Data Sheet'!$F$198:$F$275,0)),"")</f>
        <v/>
      </c>
      <c r="L291" s="250" t="str">
        <f>IFERROR(INDEX('Data Sheet'!$G$198:$G$275,MATCH(I291,'Data Sheet'!$F$198:$F$275,0)),"")</f>
        <v/>
      </c>
      <c r="M291" s="194"/>
      <c r="N291" s="248"/>
      <c r="O291" s="248"/>
      <c r="P291" s="108" t="str">
        <f>IFERROR(INDEX(Setup!$D$44:$D$70,MATCH(M291,Setup!$K$44:$K$70,0))&amp;"","")</f>
        <v/>
      </c>
      <c r="Q291" s="108" t="str">
        <f>IFERROR(INDEX(Setup!$E$44:$E$70,MATCH(M291,Setup!$K$44:$K$70,0))&amp;"","")</f>
        <v/>
      </c>
      <c r="R291" s="108" t="str">
        <f>IFERROR(INDEX(Setup!$L$44:$L$70,MATCH(M291,Setup!$K$44:$K$70,0))&amp;"","")</f>
        <v/>
      </c>
      <c r="S291" s="108" t="str">
        <f>Setup!$C$30</f>
        <v>USD</v>
      </c>
      <c r="T291" s="109" t="str">
        <f>IFERROR(INDEX('Data Sheet'!$B$198:$B$275,MATCH(I291,'Data Sheet'!$F$198:$F$275,0)),"")</f>
        <v/>
      </c>
      <c r="U291" s="110" t="str">
        <f>IFERROR(INDEX('Data Sheet'!$D$198:$D$275,MATCH(I291,'Data Sheet'!$F$198:$F$275,0)),"")</f>
        <v/>
      </c>
      <c r="V291" s="99"/>
      <c r="W291" s="195" t="str">
        <f>IF(V291=Setup!$C$30,"Grant",IF(V291=Setup!$C$31,"Local",IF(V291=Setup!$C$32,"Other",IF(ISBLANK(V291),"","Other"))))</f>
        <v/>
      </c>
      <c r="X291" s="255"/>
      <c r="Y291" s="259" t="str">
        <f>IF(X291&lt;&gt;"",X291/VLOOKUP($V291,Setup!$C$30:$D$41,2,0),"")</f>
        <v/>
      </c>
      <c r="Z291" s="262"/>
      <c r="AA291" s="256" t="str">
        <f t="shared" si="132"/>
        <v/>
      </c>
      <c r="AB291" s="262"/>
      <c r="AC291" s="258" t="str">
        <f t="shared" si="133"/>
        <v/>
      </c>
      <c r="AD291" s="262"/>
      <c r="AE291" s="258" t="str">
        <f t="shared" si="134"/>
        <v/>
      </c>
      <c r="AF291" s="262"/>
      <c r="AG291" s="256" t="str">
        <f t="shared" si="135"/>
        <v/>
      </c>
      <c r="AH291" s="256" t="str">
        <f t="shared" si="136"/>
        <v/>
      </c>
      <c r="AI291" s="256" t="str">
        <f t="shared" si="137"/>
        <v/>
      </c>
      <c r="AJ291" s="111"/>
      <c r="AK291" s="255"/>
      <c r="AL291" s="259" t="str">
        <f>IF(AK291&lt;&gt;"",AK291/VLOOKUP($V291,Setup!$C$30:$D$41,2,0),"")</f>
        <v/>
      </c>
      <c r="AM291" s="266"/>
      <c r="AN291" s="258" t="str">
        <f t="shared" si="138"/>
        <v/>
      </c>
      <c r="AO291" s="266"/>
      <c r="AP291" s="258" t="str">
        <f t="shared" si="139"/>
        <v/>
      </c>
      <c r="AQ291" s="266"/>
      <c r="AR291" s="258" t="str">
        <f t="shared" si="140"/>
        <v/>
      </c>
      <c r="AS291" s="266"/>
      <c r="AT291" s="256" t="str">
        <f t="shared" si="141"/>
        <v/>
      </c>
      <c r="AU291" s="256" t="str">
        <f t="shared" si="142"/>
        <v/>
      </c>
      <c r="AV291" s="256" t="str">
        <f t="shared" si="143"/>
        <v/>
      </c>
      <c r="AW291" s="267"/>
      <c r="AX291" s="255"/>
      <c r="AY291" s="259" t="str">
        <f>IF(AX291&lt;&gt;"",AX291/VLOOKUP($V291,Setup!$C$30:$D$41,2,0),"")</f>
        <v/>
      </c>
      <c r="AZ291" s="268"/>
      <c r="BA291" s="258" t="str">
        <f t="shared" si="144"/>
        <v/>
      </c>
      <c r="BB291" s="268"/>
      <c r="BC291" s="258" t="str">
        <f t="shared" si="145"/>
        <v/>
      </c>
      <c r="BD291" s="268"/>
      <c r="BE291" s="258" t="str">
        <f t="shared" si="146"/>
        <v/>
      </c>
      <c r="BF291" s="268"/>
      <c r="BG291" s="256" t="str">
        <f t="shared" si="147"/>
        <v/>
      </c>
      <c r="BH291" s="256" t="str">
        <f t="shared" si="148"/>
        <v/>
      </c>
      <c r="BI291" s="256" t="str">
        <f t="shared" si="149"/>
        <v/>
      </c>
      <c r="BJ291" s="267"/>
      <c r="BK291" s="255"/>
      <c r="BL291" s="259" t="str">
        <f>IF(BK291&lt;&gt;"",BK291/VLOOKUP($V291,Setup!$C$30:$D$41,2,0),"")</f>
        <v/>
      </c>
      <c r="BM291" s="268"/>
      <c r="BN291" s="258" t="str">
        <f t="shared" si="150"/>
        <v/>
      </c>
      <c r="BO291" s="268"/>
      <c r="BP291" s="258" t="str">
        <f t="shared" si="151"/>
        <v/>
      </c>
      <c r="BQ291" s="268"/>
      <c r="BR291" s="258" t="str">
        <f t="shared" si="152"/>
        <v/>
      </c>
      <c r="BS291" s="268"/>
      <c r="BT291" s="256" t="str">
        <f t="shared" si="153"/>
        <v/>
      </c>
      <c r="BU291" s="256" t="str">
        <f t="shared" si="154"/>
        <v/>
      </c>
      <c r="BV291" s="256" t="str">
        <f t="shared" si="155"/>
        <v/>
      </c>
      <c r="BW291" s="267"/>
      <c r="BX291" s="256" t="str">
        <f t="shared" si="156"/>
        <v/>
      </c>
      <c r="BY291" s="256" t="str">
        <f t="shared" si="157"/>
        <v/>
      </c>
      <c r="BZ291" s="281"/>
      <c r="CA291" s="282"/>
      <c r="CC291" s="112" t="str">
        <f t="shared" ca="1" si="158"/>
        <v/>
      </c>
      <c r="CF291" s="284"/>
      <c r="CG291" s="284"/>
      <c r="CH291" s="284"/>
      <c r="CI291" s="284"/>
      <c r="CL291" s="356" t="str">
        <f>IFERROR(VLOOKUP(C291,'Data Sheet'!$A$3:$B$26,2,FALSE),"")</f>
        <v/>
      </c>
    </row>
    <row r="292" spans="1:90" s="98" customFormat="1" ht="15.75" x14ac:dyDescent="0.2">
      <c r="A292" s="97"/>
      <c r="B292" s="105" t="str">
        <f t="shared" si="161"/>
        <v>--</v>
      </c>
      <c r="C292" s="276"/>
      <c r="D292" s="101" t="str">
        <f>IFERROR(IF(VLOOKUP(C292,'Data Sheet'!$A$3:$D$26,4,FALSE)=0,"",VLOOKUP(C292,'Data Sheet'!$A$3:$D$26,4,FALSE)),"")</f>
        <v/>
      </c>
      <c r="E292" s="279"/>
      <c r="F292" s="103" t="str">
        <f>IFERROR(IF(VLOOKUP(E292,'Data Sheet'!$C$29:$E$174,3,FALSE)=0,"",VLOOKUP(E292,'Data Sheet'!$C$29:$E$174,3,FALSE)),"")</f>
        <v/>
      </c>
      <c r="G292" s="106" t="str">
        <f t="shared" si="159"/>
        <v>-</v>
      </c>
      <c r="H292" s="273"/>
      <c r="I292" s="107"/>
      <c r="J292" s="249" t="e">
        <f t="shared" si="160"/>
        <v>#VALUE!</v>
      </c>
      <c r="K292" s="101" t="str">
        <f>IFERROR(INDEX('Data Sheet'!$C$198:$C$275,MATCH(I292,'Data Sheet'!$F$198:$F$275,0)),"")</f>
        <v/>
      </c>
      <c r="L292" s="250" t="str">
        <f>IFERROR(INDEX('Data Sheet'!$G$198:$G$275,MATCH(I292,'Data Sheet'!$F$198:$F$275,0)),"")</f>
        <v/>
      </c>
      <c r="M292" s="194"/>
      <c r="N292" s="248"/>
      <c r="O292" s="248"/>
      <c r="P292" s="108" t="str">
        <f>IFERROR(INDEX(Setup!$D$44:$D$70,MATCH(M292,Setup!$K$44:$K$70,0))&amp;"","")</f>
        <v/>
      </c>
      <c r="Q292" s="108" t="str">
        <f>IFERROR(INDEX(Setup!$E$44:$E$70,MATCH(M292,Setup!$K$44:$K$70,0))&amp;"","")</f>
        <v/>
      </c>
      <c r="R292" s="108" t="str">
        <f>IFERROR(INDEX(Setup!$L$44:$L$70,MATCH(M292,Setup!$K$44:$K$70,0))&amp;"","")</f>
        <v/>
      </c>
      <c r="S292" s="108" t="str">
        <f>Setup!$C$30</f>
        <v>USD</v>
      </c>
      <c r="T292" s="109" t="str">
        <f>IFERROR(INDEX('Data Sheet'!$B$198:$B$275,MATCH(I292,'Data Sheet'!$F$198:$F$275,0)),"")</f>
        <v/>
      </c>
      <c r="U292" s="110" t="str">
        <f>IFERROR(INDEX('Data Sheet'!$D$198:$D$275,MATCH(I292,'Data Sheet'!$F$198:$F$275,0)),"")</f>
        <v/>
      </c>
      <c r="V292" s="99"/>
      <c r="W292" s="195" t="str">
        <f>IF(V292=Setup!$C$30,"Grant",IF(V292=Setup!$C$31,"Local",IF(V292=Setup!$C$32,"Other",IF(ISBLANK(V292),"","Other"))))</f>
        <v/>
      </c>
      <c r="X292" s="255"/>
      <c r="Y292" s="259" t="str">
        <f>IF(X292&lt;&gt;"",X292/VLOOKUP($V292,Setup!$C$30:$D$41,2,0),"")</f>
        <v/>
      </c>
      <c r="Z292" s="262"/>
      <c r="AA292" s="256" t="str">
        <f t="shared" si="132"/>
        <v/>
      </c>
      <c r="AB292" s="262"/>
      <c r="AC292" s="258" t="str">
        <f t="shared" si="133"/>
        <v/>
      </c>
      <c r="AD292" s="262"/>
      <c r="AE292" s="258" t="str">
        <f t="shared" si="134"/>
        <v/>
      </c>
      <c r="AF292" s="262"/>
      <c r="AG292" s="256" t="str">
        <f t="shared" si="135"/>
        <v/>
      </c>
      <c r="AH292" s="256" t="str">
        <f t="shared" si="136"/>
        <v/>
      </c>
      <c r="AI292" s="256" t="str">
        <f t="shared" si="137"/>
        <v/>
      </c>
      <c r="AJ292" s="111"/>
      <c r="AK292" s="255"/>
      <c r="AL292" s="259" t="str">
        <f>IF(AK292&lt;&gt;"",AK292/VLOOKUP($V292,Setup!$C$30:$D$41,2,0),"")</f>
        <v/>
      </c>
      <c r="AM292" s="266"/>
      <c r="AN292" s="258" t="str">
        <f t="shared" si="138"/>
        <v/>
      </c>
      <c r="AO292" s="266"/>
      <c r="AP292" s="258" t="str">
        <f t="shared" si="139"/>
        <v/>
      </c>
      <c r="AQ292" s="266"/>
      <c r="AR292" s="258" t="str">
        <f t="shared" si="140"/>
        <v/>
      </c>
      <c r="AS292" s="266"/>
      <c r="AT292" s="256" t="str">
        <f t="shared" si="141"/>
        <v/>
      </c>
      <c r="AU292" s="256" t="str">
        <f t="shared" si="142"/>
        <v/>
      </c>
      <c r="AV292" s="256" t="str">
        <f t="shared" si="143"/>
        <v/>
      </c>
      <c r="AW292" s="267"/>
      <c r="AX292" s="255"/>
      <c r="AY292" s="259" t="str">
        <f>IF(AX292&lt;&gt;"",AX292/VLOOKUP($V292,Setup!$C$30:$D$41,2,0),"")</f>
        <v/>
      </c>
      <c r="AZ292" s="268"/>
      <c r="BA292" s="258" t="str">
        <f t="shared" si="144"/>
        <v/>
      </c>
      <c r="BB292" s="268"/>
      <c r="BC292" s="258" t="str">
        <f t="shared" si="145"/>
        <v/>
      </c>
      <c r="BD292" s="268"/>
      <c r="BE292" s="258" t="str">
        <f t="shared" si="146"/>
        <v/>
      </c>
      <c r="BF292" s="268"/>
      <c r="BG292" s="256" t="str">
        <f t="shared" si="147"/>
        <v/>
      </c>
      <c r="BH292" s="256" t="str">
        <f t="shared" si="148"/>
        <v/>
      </c>
      <c r="BI292" s="256" t="str">
        <f t="shared" si="149"/>
        <v/>
      </c>
      <c r="BJ292" s="267"/>
      <c r="BK292" s="255"/>
      <c r="BL292" s="259" t="str">
        <f>IF(BK292&lt;&gt;"",BK292/VLOOKUP($V292,Setup!$C$30:$D$41,2,0),"")</f>
        <v/>
      </c>
      <c r="BM292" s="268"/>
      <c r="BN292" s="258" t="str">
        <f t="shared" si="150"/>
        <v/>
      </c>
      <c r="BO292" s="268"/>
      <c r="BP292" s="258" t="str">
        <f t="shared" si="151"/>
        <v/>
      </c>
      <c r="BQ292" s="268"/>
      <c r="BR292" s="258" t="str">
        <f t="shared" si="152"/>
        <v/>
      </c>
      <c r="BS292" s="268"/>
      <c r="BT292" s="256" t="str">
        <f t="shared" si="153"/>
        <v/>
      </c>
      <c r="BU292" s="256" t="str">
        <f t="shared" si="154"/>
        <v/>
      </c>
      <c r="BV292" s="256" t="str">
        <f t="shared" si="155"/>
        <v/>
      </c>
      <c r="BW292" s="267"/>
      <c r="BX292" s="256" t="str">
        <f t="shared" si="156"/>
        <v/>
      </c>
      <c r="BY292" s="256" t="str">
        <f t="shared" si="157"/>
        <v/>
      </c>
      <c r="BZ292" s="281"/>
      <c r="CA292" s="282"/>
      <c r="CC292" s="112" t="str">
        <f t="shared" ca="1" si="158"/>
        <v/>
      </c>
      <c r="CF292" s="284"/>
      <c r="CG292" s="284"/>
      <c r="CH292" s="284"/>
      <c r="CI292" s="284"/>
      <c r="CL292" s="356" t="str">
        <f>IFERROR(VLOOKUP(C292,'Data Sheet'!$A$3:$B$26,2,FALSE),"")</f>
        <v/>
      </c>
    </row>
    <row r="293" spans="1:90" s="98" customFormat="1" ht="15.75" x14ac:dyDescent="0.2">
      <c r="A293" s="97"/>
      <c r="B293" s="105" t="str">
        <f t="shared" si="161"/>
        <v>--</v>
      </c>
      <c r="C293" s="276"/>
      <c r="D293" s="101" t="str">
        <f>IFERROR(IF(VLOOKUP(C293,'Data Sheet'!$A$3:$D$26,4,FALSE)=0,"",VLOOKUP(C293,'Data Sheet'!$A$3:$D$26,4,FALSE)),"")</f>
        <v/>
      </c>
      <c r="E293" s="279"/>
      <c r="F293" s="103" t="str">
        <f>IFERROR(IF(VLOOKUP(E293,'Data Sheet'!$C$29:$E$174,3,FALSE)=0,"",VLOOKUP(E293,'Data Sheet'!$C$29:$E$174,3,FALSE)),"")</f>
        <v/>
      </c>
      <c r="G293" s="106" t="str">
        <f t="shared" si="159"/>
        <v>-</v>
      </c>
      <c r="H293" s="273"/>
      <c r="I293" s="107"/>
      <c r="J293" s="249" t="e">
        <f t="shared" si="160"/>
        <v>#VALUE!</v>
      </c>
      <c r="K293" s="101" t="str">
        <f>IFERROR(INDEX('Data Sheet'!$C$198:$C$275,MATCH(I293,'Data Sheet'!$F$198:$F$275,0)),"")</f>
        <v/>
      </c>
      <c r="L293" s="250" t="str">
        <f>IFERROR(INDEX('Data Sheet'!$G$198:$G$275,MATCH(I293,'Data Sheet'!$F$198:$F$275,0)),"")</f>
        <v/>
      </c>
      <c r="M293" s="194"/>
      <c r="N293" s="248"/>
      <c r="O293" s="248"/>
      <c r="P293" s="108" t="str">
        <f>IFERROR(INDEX(Setup!$D$44:$D$70,MATCH(M293,Setup!$K$44:$K$70,0))&amp;"","")</f>
        <v/>
      </c>
      <c r="Q293" s="108" t="str">
        <f>IFERROR(INDEX(Setup!$E$44:$E$70,MATCH(M293,Setup!$K$44:$K$70,0))&amp;"","")</f>
        <v/>
      </c>
      <c r="R293" s="108" t="str">
        <f>IFERROR(INDEX(Setup!$L$44:$L$70,MATCH(M293,Setup!$K$44:$K$70,0))&amp;"","")</f>
        <v/>
      </c>
      <c r="S293" s="108" t="str">
        <f>Setup!$C$30</f>
        <v>USD</v>
      </c>
      <c r="T293" s="109" t="str">
        <f>IFERROR(INDEX('Data Sheet'!$B$198:$B$275,MATCH(I293,'Data Sheet'!$F$198:$F$275,0)),"")</f>
        <v/>
      </c>
      <c r="U293" s="110" t="str">
        <f>IFERROR(INDEX('Data Sheet'!$D$198:$D$275,MATCH(I293,'Data Sheet'!$F$198:$F$275,0)),"")</f>
        <v/>
      </c>
      <c r="V293" s="99"/>
      <c r="W293" s="195" t="str">
        <f>IF(V293=Setup!$C$30,"Grant",IF(V293=Setup!$C$31,"Local",IF(V293=Setup!$C$32,"Other",IF(ISBLANK(V293),"","Other"))))</f>
        <v/>
      </c>
      <c r="X293" s="255"/>
      <c r="Y293" s="259" t="str">
        <f>IF(X293&lt;&gt;"",X293/VLOOKUP($V293,Setup!$C$30:$D$41,2,0),"")</f>
        <v/>
      </c>
      <c r="Z293" s="262"/>
      <c r="AA293" s="256" t="str">
        <f t="shared" si="132"/>
        <v/>
      </c>
      <c r="AB293" s="262"/>
      <c r="AC293" s="258" t="str">
        <f t="shared" si="133"/>
        <v/>
      </c>
      <c r="AD293" s="262"/>
      <c r="AE293" s="258" t="str">
        <f t="shared" si="134"/>
        <v/>
      </c>
      <c r="AF293" s="262"/>
      <c r="AG293" s="256" t="str">
        <f t="shared" si="135"/>
        <v/>
      </c>
      <c r="AH293" s="256" t="str">
        <f t="shared" si="136"/>
        <v/>
      </c>
      <c r="AI293" s="256" t="str">
        <f t="shared" si="137"/>
        <v/>
      </c>
      <c r="AJ293" s="111"/>
      <c r="AK293" s="255"/>
      <c r="AL293" s="259" t="str">
        <f>IF(AK293&lt;&gt;"",AK293/VLOOKUP($V293,Setup!$C$30:$D$41,2,0),"")</f>
        <v/>
      </c>
      <c r="AM293" s="266"/>
      <c r="AN293" s="258" t="str">
        <f t="shared" si="138"/>
        <v/>
      </c>
      <c r="AO293" s="266"/>
      <c r="AP293" s="258" t="str">
        <f t="shared" si="139"/>
        <v/>
      </c>
      <c r="AQ293" s="266"/>
      <c r="AR293" s="258" t="str">
        <f t="shared" si="140"/>
        <v/>
      </c>
      <c r="AS293" s="266"/>
      <c r="AT293" s="256" t="str">
        <f t="shared" si="141"/>
        <v/>
      </c>
      <c r="AU293" s="256" t="str">
        <f t="shared" si="142"/>
        <v/>
      </c>
      <c r="AV293" s="256" t="str">
        <f t="shared" si="143"/>
        <v/>
      </c>
      <c r="AW293" s="267"/>
      <c r="AX293" s="255"/>
      <c r="AY293" s="259" t="str">
        <f>IF(AX293&lt;&gt;"",AX293/VLOOKUP($V293,Setup!$C$30:$D$41,2,0),"")</f>
        <v/>
      </c>
      <c r="AZ293" s="268"/>
      <c r="BA293" s="258" t="str">
        <f t="shared" si="144"/>
        <v/>
      </c>
      <c r="BB293" s="268"/>
      <c r="BC293" s="258" t="str">
        <f t="shared" si="145"/>
        <v/>
      </c>
      <c r="BD293" s="268"/>
      <c r="BE293" s="258" t="str">
        <f t="shared" si="146"/>
        <v/>
      </c>
      <c r="BF293" s="268"/>
      <c r="BG293" s="256" t="str">
        <f t="shared" si="147"/>
        <v/>
      </c>
      <c r="BH293" s="256" t="str">
        <f t="shared" si="148"/>
        <v/>
      </c>
      <c r="BI293" s="256" t="str">
        <f t="shared" si="149"/>
        <v/>
      </c>
      <c r="BJ293" s="267"/>
      <c r="BK293" s="255"/>
      <c r="BL293" s="259" t="str">
        <f>IF(BK293&lt;&gt;"",BK293/VLOOKUP($V293,Setup!$C$30:$D$41,2,0),"")</f>
        <v/>
      </c>
      <c r="BM293" s="268"/>
      <c r="BN293" s="258" t="str">
        <f t="shared" si="150"/>
        <v/>
      </c>
      <c r="BO293" s="268"/>
      <c r="BP293" s="258" t="str">
        <f t="shared" si="151"/>
        <v/>
      </c>
      <c r="BQ293" s="268"/>
      <c r="BR293" s="258" t="str">
        <f t="shared" si="152"/>
        <v/>
      </c>
      <c r="BS293" s="268"/>
      <c r="BT293" s="256" t="str">
        <f t="shared" si="153"/>
        <v/>
      </c>
      <c r="BU293" s="256" t="str">
        <f t="shared" si="154"/>
        <v/>
      </c>
      <c r="BV293" s="256" t="str">
        <f t="shared" si="155"/>
        <v/>
      </c>
      <c r="BW293" s="267"/>
      <c r="BX293" s="256" t="str">
        <f t="shared" si="156"/>
        <v/>
      </c>
      <c r="BY293" s="256" t="str">
        <f t="shared" si="157"/>
        <v/>
      </c>
      <c r="BZ293" s="281"/>
      <c r="CA293" s="282"/>
      <c r="CC293" s="112" t="str">
        <f t="shared" ca="1" si="158"/>
        <v/>
      </c>
      <c r="CF293" s="284"/>
      <c r="CG293" s="284"/>
      <c r="CH293" s="284"/>
      <c r="CI293" s="284"/>
      <c r="CL293" s="356" t="str">
        <f>IFERROR(VLOOKUP(C293,'Data Sheet'!$A$3:$B$26,2,FALSE),"")</f>
        <v/>
      </c>
    </row>
    <row r="294" spans="1:90" s="98" customFormat="1" ht="15.75" x14ac:dyDescent="0.2">
      <c r="A294" s="97"/>
      <c r="B294" s="105" t="str">
        <f t="shared" si="161"/>
        <v>--</v>
      </c>
      <c r="C294" s="276"/>
      <c r="D294" s="101" t="str">
        <f>IFERROR(IF(VLOOKUP(C294,'Data Sheet'!$A$3:$D$26,4,FALSE)=0,"",VLOOKUP(C294,'Data Sheet'!$A$3:$D$26,4,FALSE)),"")</f>
        <v/>
      </c>
      <c r="E294" s="279"/>
      <c r="F294" s="103" t="str">
        <f>IFERROR(IF(VLOOKUP(E294,'Data Sheet'!$C$29:$E$174,3,FALSE)=0,"",VLOOKUP(E294,'Data Sheet'!$C$29:$E$174,3,FALSE)),"")</f>
        <v/>
      </c>
      <c r="G294" s="106" t="str">
        <f t="shared" si="159"/>
        <v>-</v>
      </c>
      <c r="H294" s="273"/>
      <c r="I294" s="107"/>
      <c r="J294" s="249" t="e">
        <f t="shared" si="160"/>
        <v>#VALUE!</v>
      </c>
      <c r="K294" s="101" t="str">
        <f>IFERROR(INDEX('Data Sheet'!$C$198:$C$275,MATCH(I294,'Data Sheet'!$F$198:$F$275,0)),"")</f>
        <v/>
      </c>
      <c r="L294" s="250" t="str">
        <f>IFERROR(INDEX('Data Sheet'!$G$198:$G$275,MATCH(I294,'Data Sheet'!$F$198:$F$275,0)),"")</f>
        <v/>
      </c>
      <c r="M294" s="194"/>
      <c r="N294" s="248"/>
      <c r="O294" s="248"/>
      <c r="P294" s="108" t="str">
        <f>IFERROR(INDEX(Setup!$D$44:$D$70,MATCH(M294,Setup!$K$44:$K$70,0))&amp;"","")</f>
        <v/>
      </c>
      <c r="Q294" s="108" t="str">
        <f>IFERROR(INDEX(Setup!$E$44:$E$70,MATCH(M294,Setup!$K$44:$K$70,0))&amp;"","")</f>
        <v/>
      </c>
      <c r="R294" s="108" t="str">
        <f>IFERROR(INDEX(Setup!$L$44:$L$70,MATCH(M294,Setup!$K$44:$K$70,0))&amp;"","")</f>
        <v/>
      </c>
      <c r="S294" s="108" t="str">
        <f>Setup!$C$30</f>
        <v>USD</v>
      </c>
      <c r="T294" s="109" t="str">
        <f>IFERROR(INDEX('Data Sheet'!$B$198:$B$275,MATCH(I294,'Data Sheet'!$F$198:$F$275,0)),"")</f>
        <v/>
      </c>
      <c r="U294" s="110" t="str">
        <f>IFERROR(INDEX('Data Sheet'!$D$198:$D$275,MATCH(I294,'Data Sheet'!$F$198:$F$275,0)),"")</f>
        <v/>
      </c>
      <c r="V294" s="99"/>
      <c r="W294" s="195" t="str">
        <f>IF(V294=Setup!$C$30,"Grant",IF(V294=Setup!$C$31,"Local",IF(V294=Setup!$C$32,"Other",IF(ISBLANK(V294),"","Other"))))</f>
        <v/>
      </c>
      <c r="X294" s="255"/>
      <c r="Y294" s="259" t="str">
        <f>IF(X294&lt;&gt;"",X294/VLOOKUP($V294,Setup!$C$30:$D$41,2,0),"")</f>
        <v/>
      </c>
      <c r="Z294" s="262"/>
      <c r="AA294" s="256" t="str">
        <f t="shared" si="132"/>
        <v/>
      </c>
      <c r="AB294" s="262"/>
      <c r="AC294" s="258" t="str">
        <f t="shared" si="133"/>
        <v/>
      </c>
      <c r="AD294" s="262"/>
      <c r="AE294" s="258" t="str">
        <f t="shared" si="134"/>
        <v/>
      </c>
      <c r="AF294" s="262"/>
      <c r="AG294" s="256" t="str">
        <f t="shared" si="135"/>
        <v/>
      </c>
      <c r="AH294" s="256" t="str">
        <f t="shared" si="136"/>
        <v/>
      </c>
      <c r="AI294" s="256" t="str">
        <f t="shared" si="137"/>
        <v/>
      </c>
      <c r="AJ294" s="111"/>
      <c r="AK294" s="255"/>
      <c r="AL294" s="259" t="str">
        <f>IF(AK294&lt;&gt;"",AK294/VLOOKUP($V294,Setup!$C$30:$D$41,2,0),"")</f>
        <v/>
      </c>
      <c r="AM294" s="266"/>
      <c r="AN294" s="258" t="str">
        <f t="shared" si="138"/>
        <v/>
      </c>
      <c r="AO294" s="266"/>
      <c r="AP294" s="258" t="str">
        <f t="shared" si="139"/>
        <v/>
      </c>
      <c r="AQ294" s="266"/>
      <c r="AR294" s="258" t="str">
        <f t="shared" si="140"/>
        <v/>
      </c>
      <c r="AS294" s="266"/>
      <c r="AT294" s="256" t="str">
        <f t="shared" si="141"/>
        <v/>
      </c>
      <c r="AU294" s="256" t="str">
        <f t="shared" si="142"/>
        <v/>
      </c>
      <c r="AV294" s="256" t="str">
        <f t="shared" si="143"/>
        <v/>
      </c>
      <c r="AW294" s="267"/>
      <c r="AX294" s="255"/>
      <c r="AY294" s="259" t="str">
        <f>IF(AX294&lt;&gt;"",AX294/VLOOKUP($V294,Setup!$C$30:$D$41,2,0),"")</f>
        <v/>
      </c>
      <c r="AZ294" s="268"/>
      <c r="BA294" s="258" t="str">
        <f t="shared" si="144"/>
        <v/>
      </c>
      <c r="BB294" s="268"/>
      <c r="BC294" s="258" t="str">
        <f t="shared" si="145"/>
        <v/>
      </c>
      <c r="BD294" s="268"/>
      <c r="BE294" s="258" t="str">
        <f t="shared" si="146"/>
        <v/>
      </c>
      <c r="BF294" s="268"/>
      <c r="BG294" s="256" t="str">
        <f t="shared" si="147"/>
        <v/>
      </c>
      <c r="BH294" s="256" t="str">
        <f t="shared" si="148"/>
        <v/>
      </c>
      <c r="BI294" s="256" t="str">
        <f t="shared" si="149"/>
        <v/>
      </c>
      <c r="BJ294" s="267"/>
      <c r="BK294" s="255"/>
      <c r="BL294" s="259" t="str">
        <f>IF(BK294&lt;&gt;"",BK294/VLOOKUP($V294,Setup!$C$30:$D$41,2,0),"")</f>
        <v/>
      </c>
      <c r="BM294" s="268"/>
      <c r="BN294" s="258" t="str">
        <f t="shared" si="150"/>
        <v/>
      </c>
      <c r="BO294" s="268"/>
      <c r="BP294" s="258" t="str">
        <f t="shared" si="151"/>
        <v/>
      </c>
      <c r="BQ294" s="268"/>
      <c r="BR294" s="258" t="str">
        <f t="shared" si="152"/>
        <v/>
      </c>
      <c r="BS294" s="268"/>
      <c r="BT294" s="256" t="str">
        <f t="shared" si="153"/>
        <v/>
      </c>
      <c r="BU294" s="256" t="str">
        <f t="shared" si="154"/>
        <v/>
      </c>
      <c r="BV294" s="256" t="str">
        <f t="shared" si="155"/>
        <v/>
      </c>
      <c r="BW294" s="267"/>
      <c r="BX294" s="256" t="str">
        <f t="shared" si="156"/>
        <v/>
      </c>
      <c r="BY294" s="256" t="str">
        <f t="shared" si="157"/>
        <v/>
      </c>
      <c r="BZ294" s="281"/>
      <c r="CA294" s="282"/>
      <c r="CC294" s="112" t="str">
        <f t="shared" ca="1" si="158"/>
        <v/>
      </c>
      <c r="CF294" s="284"/>
      <c r="CG294" s="284"/>
      <c r="CH294" s="284"/>
      <c r="CI294" s="284"/>
      <c r="CL294" s="356" t="str">
        <f>IFERROR(VLOOKUP(C294,'Data Sheet'!$A$3:$B$26,2,FALSE),"")</f>
        <v/>
      </c>
    </row>
    <row r="295" spans="1:90" s="98" customFormat="1" ht="15.75" x14ac:dyDescent="0.2">
      <c r="A295" s="97"/>
      <c r="B295" s="105" t="str">
        <f t="shared" si="161"/>
        <v>--</v>
      </c>
      <c r="C295" s="276"/>
      <c r="D295" s="101" t="str">
        <f>IFERROR(IF(VLOOKUP(C295,'Data Sheet'!$A$3:$D$26,4,FALSE)=0,"",VLOOKUP(C295,'Data Sheet'!$A$3:$D$26,4,FALSE)),"")</f>
        <v/>
      </c>
      <c r="E295" s="279"/>
      <c r="F295" s="103" t="str">
        <f>IFERROR(IF(VLOOKUP(E295,'Data Sheet'!$C$29:$E$174,3,FALSE)=0,"",VLOOKUP(E295,'Data Sheet'!$C$29:$E$174,3,FALSE)),"")</f>
        <v/>
      </c>
      <c r="G295" s="106" t="str">
        <f t="shared" si="159"/>
        <v>-</v>
      </c>
      <c r="H295" s="273"/>
      <c r="I295" s="107"/>
      <c r="J295" s="249" t="e">
        <f t="shared" si="160"/>
        <v>#VALUE!</v>
      </c>
      <c r="K295" s="101" t="str">
        <f>IFERROR(INDEX('Data Sheet'!$C$198:$C$275,MATCH(I295,'Data Sheet'!$F$198:$F$275,0)),"")</f>
        <v/>
      </c>
      <c r="L295" s="250" t="str">
        <f>IFERROR(INDEX('Data Sheet'!$G$198:$G$275,MATCH(I295,'Data Sheet'!$F$198:$F$275,0)),"")</f>
        <v/>
      </c>
      <c r="M295" s="194"/>
      <c r="N295" s="248"/>
      <c r="O295" s="248"/>
      <c r="P295" s="108" t="str">
        <f>IFERROR(INDEX(Setup!$D$44:$D$70,MATCH(M295,Setup!$K$44:$K$70,0))&amp;"","")</f>
        <v/>
      </c>
      <c r="Q295" s="108" t="str">
        <f>IFERROR(INDEX(Setup!$E$44:$E$70,MATCH(M295,Setup!$K$44:$K$70,0))&amp;"","")</f>
        <v/>
      </c>
      <c r="R295" s="108" t="str">
        <f>IFERROR(INDEX(Setup!$L$44:$L$70,MATCH(M295,Setup!$K$44:$K$70,0))&amp;"","")</f>
        <v/>
      </c>
      <c r="S295" s="108" t="str">
        <f>Setup!$C$30</f>
        <v>USD</v>
      </c>
      <c r="T295" s="109" t="str">
        <f>IFERROR(INDEX('Data Sheet'!$B$198:$B$275,MATCH(I295,'Data Sheet'!$F$198:$F$275,0)),"")</f>
        <v/>
      </c>
      <c r="U295" s="110" t="str">
        <f>IFERROR(INDEX('Data Sheet'!$D$198:$D$275,MATCH(I295,'Data Sheet'!$F$198:$F$275,0)),"")</f>
        <v/>
      </c>
      <c r="V295" s="99"/>
      <c r="W295" s="195" t="str">
        <f>IF(V295=Setup!$C$30,"Grant",IF(V295=Setup!$C$31,"Local",IF(V295=Setup!$C$32,"Other",IF(ISBLANK(V295),"","Other"))))</f>
        <v/>
      </c>
      <c r="X295" s="255"/>
      <c r="Y295" s="259" t="str">
        <f>IF(X295&lt;&gt;"",X295/VLOOKUP($V295,Setup!$C$30:$D$41,2,0),"")</f>
        <v/>
      </c>
      <c r="Z295" s="262"/>
      <c r="AA295" s="256" t="str">
        <f t="shared" si="132"/>
        <v/>
      </c>
      <c r="AB295" s="262"/>
      <c r="AC295" s="258" t="str">
        <f t="shared" si="133"/>
        <v/>
      </c>
      <c r="AD295" s="262"/>
      <c r="AE295" s="258" t="str">
        <f t="shared" si="134"/>
        <v/>
      </c>
      <c r="AF295" s="262"/>
      <c r="AG295" s="256" t="str">
        <f t="shared" si="135"/>
        <v/>
      </c>
      <c r="AH295" s="256" t="str">
        <f t="shared" si="136"/>
        <v/>
      </c>
      <c r="AI295" s="256" t="str">
        <f t="shared" si="137"/>
        <v/>
      </c>
      <c r="AJ295" s="111"/>
      <c r="AK295" s="255"/>
      <c r="AL295" s="259" t="str">
        <f>IF(AK295&lt;&gt;"",AK295/VLOOKUP($V295,Setup!$C$30:$D$41,2,0),"")</f>
        <v/>
      </c>
      <c r="AM295" s="266"/>
      <c r="AN295" s="258" t="str">
        <f t="shared" si="138"/>
        <v/>
      </c>
      <c r="AO295" s="266"/>
      <c r="AP295" s="258" t="str">
        <f t="shared" si="139"/>
        <v/>
      </c>
      <c r="AQ295" s="266"/>
      <c r="AR295" s="258" t="str">
        <f t="shared" si="140"/>
        <v/>
      </c>
      <c r="AS295" s="266"/>
      <c r="AT295" s="256" t="str">
        <f t="shared" si="141"/>
        <v/>
      </c>
      <c r="AU295" s="256" t="str">
        <f t="shared" si="142"/>
        <v/>
      </c>
      <c r="AV295" s="256" t="str">
        <f t="shared" si="143"/>
        <v/>
      </c>
      <c r="AW295" s="267"/>
      <c r="AX295" s="255"/>
      <c r="AY295" s="259" t="str">
        <f>IF(AX295&lt;&gt;"",AX295/VLOOKUP($V295,Setup!$C$30:$D$41,2,0),"")</f>
        <v/>
      </c>
      <c r="AZ295" s="268"/>
      <c r="BA295" s="258" t="str">
        <f t="shared" si="144"/>
        <v/>
      </c>
      <c r="BB295" s="268"/>
      <c r="BC295" s="258" t="str">
        <f t="shared" si="145"/>
        <v/>
      </c>
      <c r="BD295" s="268"/>
      <c r="BE295" s="258" t="str">
        <f t="shared" si="146"/>
        <v/>
      </c>
      <c r="BF295" s="268"/>
      <c r="BG295" s="256" t="str">
        <f t="shared" si="147"/>
        <v/>
      </c>
      <c r="BH295" s="256" t="str">
        <f t="shared" si="148"/>
        <v/>
      </c>
      <c r="BI295" s="256" t="str">
        <f t="shared" si="149"/>
        <v/>
      </c>
      <c r="BJ295" s="267"/>
      <c r="BK295" s="255"/>
      <c r="BL295" s="259" t="str">
        <f>IF(BK295&lt;&gt;"",BK295/VLOOKUP($V295,Setup!$C$30:$D$41,2,0),"")</f>
        <v/>
      </c>
      <c r="BM295" s="268"/>
      <c r="BN295" s="258" t="str">
        <f t="shared" si="150"/>
        <v/>
      </c>
      <c r="BO295" s="268"/>
      <c r="BP295" s="258" t="str">
        <f t="shared" si="151"/>
        <v/>
      </c>
      <c r="BQ295" s="268"/>
      <c r="BR295" s="258" t="str">
        <f t="shared" si="152"/>
        <v/>
      </c>
      <c r="BS295" s="268"/>
      <c r="BT295" s="256" t="str">
        <f t="shared" si="153"/>
        <v/>
      </c>
      <c r="BU295" s="256" t="str">
        <f t="shared" si="154"/>
        <v/>
      </c>
      <c r="BV295" s="256" t="str">
        <f t="shared" si="155"/>
        <v/>
      </c>
      <c r="BW295" s="267"/>
      <c r="BX295" s="256" t="str">
        <f t="shared" si="156"/>
        <v/>
      </c>
      <c r="BY295" s="256" t="str">
        <f t="shared" si="157"/>
        <v/>
      </c>
      <c r="BZ295" s="281"/>
      <c r="CA295" s="282"/>
      <c r="CC295" s="112" t="str">
        <f t="shared" ca="1" si="158"/>
        <v/>
      </c>
      <c r="CF295" s="284"/>
      <c r="CG295" s="284"/>
      <c r="CH295" s="284"/>
      <c r="CI295" s="284"/>
      <c r="CL295" s="356" t="str">
        <f>IFERROR(VLOOKUP(C295,'Data Sheet'!$A$3:$B$26,2,FALSE),"")</f>
        <v/>
      </c>
    </row>
    <row r="296" spans="1:90" s="98" customFormat="1" ht="15.75" x14ac:dyDescent="0.2">
      <c r="A296" s="97"/>
      <c r="B296" s="105" t="str">
        <f t="shared" si="161"/>
        <v>--</v>
      </c>
      <c r="C296" s="276"/>
      <c r="D296" s="101" t="str">
        <f>IFERROR(IF(VLOOKUP(C296,'Data Sheet'!$A$3:$D$26,4,FALSE)=0,"",VLOOKUP(C296,'Data Sheet'!$A$3:$D$26,4,FALSE)),"")</f>
        <v/>
      </c>
      <c r="E296" s="279"/>
      <c r="F296" s="103" t="str">
        <f>IFERROR(IF(VLOOKUP(E296,'Data Sheet'!$C$29:$E$174,3,FALSE)=0,"",VLOOKUP(E296,'Data Sheet'!$C$29:$E$174,3,FALSE)),"")</f>
        <v/>
      </c>
      <c r="G296" s="106" t="str">
        <f t="shared" si="159"/>
        <v>-</v>
      </c>
      <c r="H296" s="273"/>
      <c r="I296" s="107"/>
      <c r="J296" s="249" t="e">
        <f t="shared" si="160"/>
        <v>#VALUE!</v>
      </c>
      <c r="K296" s="101" t="str">
        <f>IFERROR(INDEX('Data Sheet'!$C$198:$C$275,MATCH(I296,'Data Sheet'!$F$198:$F$275,0)),"")</f>
        <v/>
      </c>
      <c r="L296" s="250" t="str">
        <f>IFERROR(INDEX('Data Sheet'!$G$198:$G$275,MATCH(I296,'Data Sheet'!$F$198:$F$275,0)),"")</f>
        <v/>
      </c>
      <c r="M296" s="194"/>
      <c r="N296" s="248"/>
      <c r="O296" s="248"/>
      <c r="P296" s="108" t="str">
        <f>IFERROR(INDEX(Setup!$D$44:$D$70,MATCH(M296,Setup!$K$44:$K$70,0))&amp;"","")</f>
        <v/>
      </c>
      <c r="Q296" s="108" t="str">
        <f>IFERROR(INDEX(Setup!$E$44:$E$70,MATCH(M296,Setup!$K$44:$K$70,0))&amp;"","")</f>
        <v/>
      </c>
      <c r="R296" s="108" t="str">
        <f>IFERROR(INDEX(Setup!$L$44:$L$70,MATCH(M296,Setup!$K$44:$K$70,0))&amp;"","")</f>
        <v/>
      </c>
      <c r="S296" s="108" t="str">
        <f>Setup!$C$30</f>
        <v>USD</v>
      </c>
      <c r="T296" s="109" t="str">
        <f>IFERROR(INDEX('Data Sheet'!$B$198:$B$275,MATCH(I296,'Data Sheet'!$F$198:$F$275,0)),"")</f>
        <v/>
      </c>
      <c r="U296" s="110" t="str">
        <f>IFERROR(INDEX('Data Sheet'!$D$198:$D$275,MATCH(I296,'Data Sheet'!$F$198:$F$275,0)),"")</f>
        <v/>
      </c>
      <c r="V296" s="99"/>
      <c r="W296" s="195" t="str">
        <f>IF(V296=Setup!$C$30,"Grant",IF(V296=Setup!$C$31,"Local",IF(V296=Setup!$C$32,"Other",IF(ISBLANK(V296),"","Other"))))</f>
        <v/>
      </c>
      <c r="X296" s="255"/>
      <c r="Y296" s="259" t="str">
        <f>IF(X296&lt;&gt;"",X296/VLOOKUP($V296,Setup!$C$30:$D$41,2,0),"")</f>
        <v/>
      </c>
      <c r="Z296" s="262"/>
      <c r="AA296" s="256" t="str">
        <f t="shared" si="132"/>
        <v/>
      </c>
      <c r="AB296" s="262"/>
      <c r="AC296" s="258" t="str">
        <f t="shared" si="133"/>
        <v/>
      </c>
      <c r="AD296" s="262"/>
      <c r="AE296" s="258" t="str">
        <f t="shared" si="134"/>
        <v/>
      </c>
      <c r="AF296" s="262"/>
      <c r="AG296" s="256" t="str">
        <f t="shared" si="135"/>
        <v/>
      </c>
      <c r="AH296" s="256" t="str">
        <f t="shared" si="136"/>
        <v/>
      </c>
      <c r="AI296" s="256" t="str">
        <f t="shared" si="137"/>
        <v/>
      </c>
      <c r="AJ296" s="111"/>
      <c r="AK296" s="255"/>
      <c r="AL296" s="259" t="str">
        <f>IF(AK296&lt;&gt;"",AK296/VLOOKUP($V296,Setup!$C$30:$D$41,2,0),"")</f>
        <v/>
      </c>
      <c r="AM296" s="266"/>
      <c r="AN296" s="258" t="str">
        <f t="shared" si="138"/>
        <v/>
      </c>
      <c r="AO296" s="266"/>
      <c r="AP296" s="258" t="str">
        <f t="shared" si="139"/>
        <v/>
      </c>
      <c r="AQ296" s="266"/>
      <c r="AR296" s="258" t="str">
        <f t="shared" si="140"/>
        <v/>
      </c>
      <c r="AS296" s="266"/>
      <c r="AT296" s="256" t="str">
        <f t="shared" si="141"/>
        <v/>
      </c>
      <c r="AU296" s="256" t="str">
        <f t="shared" si="142"/>
        <v/>
      </c>
      <c r="AV296" s="256" t="str">
        <f t="shared" si="143"/>
        <v/>
      </c>
      <c r="AW296" s="267"/>
      <c r="AX296" s="255"/>
      <c r="AY296" s="259" t="str">
        <f>IF(AX296&lt;&gt;"",AX296/VLOOKUP($V296,Setup!$C$30:$D$41,2,0),"")</f>
        <v/>
      </c>
      <c r="AZ296" s="268"/>
      <c r="BA296" s="258" t="str">
        <f t="shared" si="144"/>
        <v/>
      </c>
      <c r="BB296" s="268"/>
      <c r="BC296" s="258" t="str">
        <f t="shared" si="145"/>
        <v/>
      </c>
      <c r="BD296" s="268"/>
      <c r="BE296" s="258" t="str">
        <f t="shared" si="146"/>
        <v/>
      </c>
      <c r="BF296" s="268"/>
      <c r="BG296" s="256" t="str">
        <f t="shared" si="147"/>
        <v/>
      </c>
      <c r="BH296" s="256" t="str">
        <f t="shared" si="148"/>
        <v/>
      </c>
      <c r="BI296" s="256" t="str">
        <f t="shared" si="149"/>
        <v/>
      </c>
      <c r="BJ296" s="267"/>
      <c r="BK296" s="255"/>
      <c r="BL296" s="259" t="str">
        <f>IF(BK296&lt;&gt;"",BK296/VLOOKUP($V296,Setup!$C$30:$D$41,2,0),"")</f>
        <v/>
      </c>
      <c r="BM296" s="268"/>
      <c r="BN296" s="258" t="str">
        <f t="shared" si="150"/>
        <v/>
      </c>
      <c r="BO296" s="268"/>
      <c r="BP296" s="258" t="str">
        <f t="shared" si="151"/>
        <v/>
      </c>
      <c r="BQ296" s="268"/>
      <c r="BR296" s="258" t="str">
        <f t="shared" si="152"/>
        <v/>
      </c>
      <c r="BS296" s="268"/>
      <c r="BT296" s="256" t="str">
        <f t="shared" si="153"/>
        <v/>
      </c>
      <c r="BU296" s="256" t="str">
        <f t="shared" si="154"/>
        <v/>
      </c>
      <c r="BV296" s="256" t="str">
        <f t="shared" si="155"/>
        <v/>
      </c>
      <c r="BW296" s="267"/>
      <c r="BX296" s="256" t="str">
        <f t="shared" si="156"/>
        <v/>
      </c>
      <c r="BY296" s="256" t="str">
        <f t="shared" si="157"/>
        <v/>
      </c>
      <c r="BZ296" s="281"/>
      <c r="CA296" s="282"/>
      <c r="CC296" s="112" t="str">
        <f t="shared" ca="1" si="158"/>
        <v/>
      </c>
      <c r="CF296" s="284"/>
      <c r="CG296" s="284"/>
      <c r="CH296" s="284"/>
      <c r="CI296" s="284"/>
      <c r="CL296" s="356" t="str">
        <f>IFERROR(VLOOKUP(C296,'Data Sheet'!$A$3:$B$26,2,FALSE),"")</f>
        <v/>
      </c>
    </row>
    <row r="297" spans="1:90" s="98" customFormat="1" ht="15.75" x14ac:dyDescent="0.2">
      <c r="A297" s="97"/>
      <c r="B297" s="105" t="str">
        <f t="shared" si="161"/>
        <v>--</v>
      </c>
      <c r="C297" s="276"/>
      <c r="D297" s="101" t="str">
        <f>IFERROR(IF(VLOOKUP(C297,'Data Sheet'!$A$3:$D$26,4,FALSE)=0,"",VLOOKUP(C297,'Data Sheet'!$A$3:$D$26,4,FALSE)),"")</f>
        <v/>
      </c>
      <c r="E297" s="279"/>
      <c r="F297" s="103" t="str">
        <f>IFERROR(IF(VLOOKUP(E297,'Data Sheet'!$C$29:$E$174,3,FALSE)=0,"",VLOOKUP(E297,'Data Sheet'!$C$29:$E$174,3,FALSE)),"")</f>
        <v/>
      </c>
      <c r="G297" s="106" t="str">
        <f t="shared" si="159"/>
        <v>-</v>
      </c>
      <c r="H297" s="273"/>
      <c r="I297" s="107"/>
      <c r="J297" s="249" t="e">
        <f t="shared" si="160"/>
        <v>#VALUE!</v>
      </c>
      <c r="K297" s="101" t="str">
        <f>IFERROR(INDEX('Data Sheet'!$C$198:$C$275,MATCH(I297,'Data Sheet'!$F$198:$F$275,0)),"")</f>
        <v/>
      </c>
      <c r="L297" s="250" t="str">
        <f>IFERROR(INDEX('Data Sheet'!$G$198:$G$275,MATCH(I297,'Data Sheet'!$F$198:$F$275,0)),"")</f>
        <v/>
      </c>
      <c r="M297" s="194"/>
      <c r="N297" s="248"/>
      <c r="O297" s="248"/>
      <c r="P297" s="108" t="str">
        <f>IFERROR(INDEX(Setup!$D$44:$D$70,MATCH(M297,Setup!$K$44:$K$70,0))&amp;"","")</f>
        <v/>
      </c>
      <c r="Q297" s="108" t="str">
        <f>IFERROR(INDEX(Setup!$E$44:$E$70,MATCH(M297,Setup!$K$44:$K$70,0))&amp;"","")</f>
        <v/>
      </c>
      <c r="R297" s="108" t="str">
        <f>IFERROR(INDEX(Setup!$L$44:$L$70,MATCH(M297,Setup!$K$44:$K$70,0))&amp;"","")</f>
        <v/>
      </c>
      <c r="S297" s="108" t="str">
        <f>Setup!$C$30</f>
        <v>USD</v>
      </c>
      <c r="T297" s="109" t="str">
        <f>IFERROR(INDEX('Data Sheet'!$B$198:$B$275,MATCH(I297,'Data Sheet'!$F$198:$F$275,0)),"")</f>
        <v/>
      </c>
      <c r="U297" s="110" t="str">
        <f>IFERROR(INDEX('Data Sheet'!$D$198:$D$275,MATCH(I297,'Data Sheet'!$F$198:$F$275,0)),"")</f>
        <v/>
      </c>
      <c r="V297" s="99"/>
      <c r="W297" s="195" t="str">
        <f>IF(V297=Setup!$C$30,"Grant",IF(V297=Setup!$C$31,"Local",IF(V297=Setup!$C$32,"Other",IF(ISBLANK(V297),"","Other"))))</f>
        <v/>
      </c>
      <c r="X297" s="255"/>
      <c r="Y297" s="259" t="str">
        <f>IF(X297&lt;&gt;"",X297/VLOOKUP($V297,Setup!$C$30:$D$41,2,0),"")</f>
        <v/>
      </c>
      <c r="Z297" s="262"/>
      <c r="AA297" s="256" t="str">
        <f t="shared" si="132"/>
        <v/>
      </c>
      <c r="AB297" s="262"/>
      <c r="AC297" s="258" t="str">
        <f t="shared" si="133"/>
        <v/>
      </c>
      <c r="AD297" s="262"/>
      <c r="AE297" s="258" t="str">
        <f t="shared" si="134"/>
        <v/>
      </c>
      <c r="AF297" s="262"/>
      <c r="AG297" s="256" t="str">
        <f t="shared" si="135"/>
        <v/>
      </c>
      <c r="AH297" s="256" t="str">
        <f t="shared" si="136"/>
        <v/>
      </c>
      <c r="AI297" s="256" t="str">
        <f t="shared" si="137"/>
        <v/>
      </c>
      <c r="AJ297" s="111"/>
      <c r="AK297" s="255"/>
      <c r="AL297" s="259" t="str">
        <f>IF(AK297&lt;&gt;"",AK297/VLOOKUP($V297,Setup!$C$30:$D$41,2,0),"")</f>
        <v/>
      </c>
      <c r="AM297" s="266"/>
      <c r="AN297" s="258" t="str">
        <f t="shared" si="138"/>
        <v/>
      </c>
      <c r="AO297" s="266"/>
      <c r="AP297" s="258" t="str">
        <f t="shared" si="139"/>
        <v/>
      </c>
      <c r="AQ297" s="266"/>
      <c r="AR297" s="258" t="str">
        <f t="shared" si="140"/>
        <v/>
      </c>
      <c r="AS297" s="266"/>
      <c r="AT297" s="256" t="str">
        <f t="shared" si="141"/>
        <v/>
      </c>
      <c r="AU297" s="256" t="str">
        <f t="shared" si="142"/>
        <v/>
      </c>
      <c r="AV297" s="256" t="str">
        <f t="shared" si="143"/>
        <v/>
      </c>
      <c r="AW297" s="267"/>
      <c r="AX297" s="255"/>
      <c r="AY297" s="259" t="str">
        <f>IF(AX297&lt;&gt;"",AX297/VLOOKUP($V297,Setup!$C$30:$D$41,2,0),"")</f>
        <v/>
      </c>
      <c r="AZ297" s="268"/>
      <c r="BA297" s="258" t="str">
        <f t="shared" si="144"/>
        <v/>
      </c>
      <c r="BB297" s="268"/>
      <c r="BC297" s="258" t="str">
        <f t="shared" si="145"/>
        <v/>
      </c>
      <c r="BD297" s="268"/>
      <c r="BE297" s="258" t="str">
        <f t="shared" si="146"/>
        <v/>
      </c>
      <c r="BF297" s="268"/>
      <c r="BG297" s="256" t="str">
        <f t="shared" si="147"/>
        <v/>
      </c>
      <c r="BH297" s="256" t="str">
        <f t="shared" si="148"/>
        <v/>
      </c>
      <c r="BI297" s="256" t="str">
        <f t="shared" si="149"/>
        <v/>
      </c>
      <c r="BJ297" s="267"/>
      <c r="BK297" s="255"/>
      <c r="BL297" s="259" t="str">
        <f>IF(BK297&lt;&gt;"",BK297/VLOOKUP($V297,Setup!$C$30:$D$41,2,0),"")</f>
        <v/>
      </c>
      <c r="BM297" s="268"/>
      <c r="BN297" s="258" t="str">
        <f t="shared" si="150"/>
        <v/>
      </c>
      <c r="BO297" s="268"/>
      <c r="BP297" s="258" t="str">
        <f t="shared" si="151"/>
        <v/>
      </c>
      <c r="BQ297" s="268"/>
      <c r="BR297" s="258" t="str">
        <f t="shared" si="152"/>
        <v/>
      </c>
      <c r="BS297" s="268"/>
      <c r="BT297" s="256" t="str">
        <f t="shared" si="153"/>
        <v/>
      </c>
      <c r="BU297" s="256" t="str">
        <f t="shared" si="154"/>
        <v/>
      </c>
      <c r="BV297" s="256" t="str">
        <f t="shared" si="155"/>
        <v/>
      </c>
      <c r="BW297" s="267"/>
      <c r="BX297" s="256" t="str">
        <f t="shared" si="156"/>
        <v/>
      </c>
      <c r="BY297" s="256" t="str">
        <f t="shared" si="157"/>
        <v/>
      </c>
      <c r="BZ297" s="281"/>
      <c r="CA297" s="282"/>
      <c r="CC297" s="112" t="str">
        <f t="shared" ca="1" si="158"/>
        <v/>
      </c>
      <c r="CF297" s="284"/>
      <c r="CG297" s="284"/>
      <c r="CH297" s="284"/>
      <c r="CI297" s="284"/>
      <c r="CL297" s="356" t="str">
        <f>IFERROR(VLOOKUP(C297,'Data Sheet'!$A$3:$B$26,2,FALSE),"")</f>
        <v/>
      </c>
    </row>
    <row r="298" spans="1:90" s="98" customFormat="1" ht="15.75" x14ac:dyDescent="0.2">
      <c r="A298" s="97"/>
      <c r="B298" s="105" t="str">
        <f t="shared" si="161"/>
        <v>--</v>
      </c>
      <c r="C298" s="276"/>
      <c r="D298" s="101" t="str">
        <f>IFERROR(IF(VLOOKUP(C298,'Data Sheet'!$A$3:$D$26,4,FALSE)=0,"",VLOOKUP(C298,'Data Sheet'!$A$3:$D$26,4,FALSE)),"")</f>
        <v/>
      </c>
      <c r="E298" s="279"/>
      <c r="F298" s="103" t="str">
        <f>IFERROR(IF(VLOOKUP(E298,'Data Sheet'!$C$29:$E$174,3,FALSE)=0,"",VLOOKUP(E298,'Data Sheet'!$C$29:$E$174,3,FALSE)),"")</f>
        <v/>
      </c>
      <c r="G298" s="106" t="str">
        <f t="shared" si="159"/>
        <v>-</v>
      </c>
      <c r="H298" s="273"/>
      <c r="I298" s="107"/>
      <c r="J298" s="249" t="e">
        <f t="shared" si="160"/>
        <v>#VALUE!</v>
      </c>
      <c r="K298" s="101" t="str">
        <f>IFERROR(INDEX('Data Sheet'!$C$198:$C$275,MATCH(I298,'Data Sheet'!$F$198:$F$275,0)),"")</f>
        <v/>
      </c>
      <c r="L298" s="250" t="str">
        <f>IFERROR(INDEX('Data Sheet'!$G$198:$G$275,MATCH(I298,'Data Sheet'!$F$198:$F$275,0)),"")</f>
        <v/>
      </c>
      <c r="M298" s="194"/>
      <c r="N298" s="248"/>
      <c r="O298" s="248"/>
      <c r="P298" s="108" t="str">
        <f>IFERROR(INDEX(Setup!$D$44:$D$70,MATCH(M298,Setup!$K$44:$K$70,0))&amp;"","")</f>
        <v/>
      </c>
      <c r="Q298" s="108" t="str">
        <f>IFERROR(INDEX(Setup!$E$44:$E$70,MATCH(M298,Setup!$K$44:$K$70,0))&amp;"","")</f>
        <v/>
      </c>
      <c r="R298" s="108" t="str">
        <f>IFERROR(INDEX(Setup!$L$44:$L$70,MATCH(M298,Setup!$K$44:$K$70,0))&amp;"","")</f>
        <v/>
      </c>
      <c r="S298" s="108" t="str">
        <f>Setup!$C$30</f>
        <v>USD</v>
      </c>
      <c r="T298" s="109" t="str">
        <f>IFERROR(INDEX('Data Sheet'!$B$198:$B$275,MATCH(I298,'Data Sheet'!$F$198:$F$275,0)),"")</f>
        <v/>
      </c>
      <c r="U298" s="110" t="str">
        <f>IFERROR(INDEX('Data Sheet'!$D$198:$D$275,MATCH(I298,'Data Sheet'!$F$198:$F$275,0)),"")</f>
        <v/>
      </c>
      <c r="V298" s="99"/>
      <c r="W298" s="195" t="str">
        <f>IF(V298=Setup!$C$30,"Grant",IF(V298=Setup!$C$31,"Local",IF(V298=Setup!$C$32,"Other",IF(ISBLANK(V298),"","Other"))))</f>
        <v/>
      </c>
      <c r="X298" s="255"/>
      <c r="Y298" s="259" t="str">
        <f>IF(X298&lt;&gt;"",X298/VLOOKUP($V298,Setup!$C$30:$D$41,2,0),"")</f>
        <v/>
      </c>
      <c r="Z298" s="262"/>
      <c r="AA298" s="256" t="str">
        <f t="shared" si="132"/>
        <v/>
      </c>
      <c r="AB298" s="262"/>
      <c r="AC298" s="258" t="str">
        <f t="shared" si="133"/>
        <v/>
      </c>
      <c r="AD298" s="262"/>
      <c r="AE298" s="258" t="str">
        <f t="shared" si="134"/>
        <v/>
      </c>
      <c r="AF298" s="262"/>
      <c r="AG298" s="256" t="str">
        <f t="shared" si="135"/>
        <v/>
      </c>
      <c r="AH298" s="256" t="str">
        <f t="shared" si="136"/>
        <v/>
      </c>
      <c r="AI298" s="256" t="str">
        <f t="shared" si="137"/>
        <v/>
      </c>
      <c r="AJ298" s="111"/>
      <c r="AK298" s="255"/>
      <c r="AL298" s="259" t="str">
        <f>IF(AK298&lt;&gt;"",AK298/VLOOKUP($V298,Setup!$C$30:$D$41,2,0),"")</f>
        <v/>
      </c>
      <c r="AM298" s="266"/>
      <c r="AN298" s="258" t="str">
        <f t="shared" si="138"/>
        <v/>
      </c>
      <c r="AO298" s="266"/>
      <c r="AP298" s="258" t="str">
        <f t="shared" si="139"/>
        <v/>
      </c>
      <c r="AQ298" s="266"/>
      <c r="AR298" s="258" t="str">
        <f t="shared" si="140"/>
        <v/>
      </c>
      <c r="AS298" s="266"/>
      <c r="AT298" s="256" t="str">
        <f t="shared" si="141"/>
        <v/>
      </c>
      <c r="AU298" s="256" t="str">
        <f t="shared" si="142"/>
        <v/>
      </c>
      <c r="AV298" s="256" t="str">
        <f t="shared" si="143"/>
        <v/>
      </c>
      <c r="AW298" s="267"/>
      <c r="AX298" s="255"/>
      <c r="AY298" s="259" t="str">
        <f>IF(AX298&lt;&gt;"",AX298/VLOOKUP($V298,Setup!$C$30:$D$41,2,0),"")</f>
        <v/>
      </c>
      <c r="AZ298" s="268"/>
      <c r="BA298" s="258" t="str">
        <f t="shared" si="144"/>
        <v/>
      </c>
      <c r="BB298" s="268"/>
      <c r="BC298" s="258" t="str">
        <f t="shared" si="145"/>
        <v/>
      </c>
      <c r="BD298" s="268"/>
      <c r="BE298" s="258" t="str">
        <f t="shared" si="146"/>
        <v/>
      </c>
      <c r="BF298" s="268"/>
      <c r="BG298" s="256" t="str">
        <f t="shared" si="147"/>
        <v/>
      </c>
      <c r="BH298" s="256" t="str">
        <f t="shared" si="148"/>
        <v/>
      </c>
      <c r="BI298" s="256" t="str">
        <f t="shared" si="149"/>
        <v/>
      </c>
      <c r="BJ298" s="267"/>
      <c r="BK298" s="255"/>
      <c r="BL298" s="259" t="str">
        <f>IF(BK298&lt;&gt;"",BK298/VLOOKUP($V298,Setup!$C$30:$D$41,2,0),"")</f>
        <v/>
      </c>
      <c r="BM298" s="268"/>
      <c r="BN298" s="258" t="str">
        <f t="shared" si="150"/>
        <v/>
      </c>
      <c r="BO298" s="268"/>
      <c r="BP298" s="258" t="str">
        <f t="shared" si="151"/>
        <v/>
      </c>
      <c r="BQ298" s="268"/>
      <c r="BR298" s="258" t="str">
        <f t="shared" si="152"/>
        <v/>
      </c>
      <c r="BS298" s="268"/>
      <c r="BT298" s="256" t="str">
        <f t="shared" si="153"/>
        <v/>
      </c>
      <c r="BU298" s="256" t="str">
        <f t="shared" si="154"/>
        <v/>
      </c>
      <c r="BV298" s="256" t="str">
        <f t="shared" si="155"/>
        <v/>
      </c>
      <c r="BW298" s="267"/>
      <c r="BX298" s="256" t="str">
        <f t="shared" si="156"/>
        <v/>
      </c>
      <c r="BY298" s="256" t="str">
        <f t="shared" si="157"/>
        <v/>
      </c>
      <c r="BZ298" s="281"/>
      <c r="CA298" s="282"/>
      <c r="CC298" s="112" t="str">
        <f t="shared" ca="1" si="158"/>
        <v/>
      </c>
      <c r="CF298" s="284"/>
      <c r="CG298" s="284"/>
      <c r="CH298" s="284"/>
      <c r="CI298" s="284"/>
      <c r="CL298" s="356" t="str">
        <f>IFERROR(VLOOKUP(C298,'Data Sheet'!$A$3:$B$26,2,FALSE),"")</f>
        <v/>
      </c>
    </row>
    <row r="299" spans="1:90" s="98" customFormat="1" ht="15.75" x14ac:dyDescent="0.2">
      <c r="A299" s="97"/>
      <c r="B299" s="105" t="str">
        <f t="shared" si="161"/>
        <v>--</v>
      </c>
      <c r="C299" s="276"/>
      <c r="D299" s="101" t="str">
        <f>IFERROR(IF(VLOOKUP(C299,'Data Sheet'!$A$3:$D$26,4,FALSE)=0,"",VLOOKUP(C299,'Data Sheet'!$A$3:$D$26,4,FALSE)),"")</f>
        <v/>
      </c>
      <c r="E299" s="279"/>
      <c r="F299" s="103" t="str">
        <f>IFERROR(IF(VLOOKUP(E299,'Data Sheet'!$C$29:$E$174,3,FALSE)=0,"",VLOOKUP(E299,'Data Sheet'!$C$29:$E$174,3,FALSE)),"")</f>
        <v/>
      </c>
      <c r="G299" s="106" t="str">
        <f t="shared" si="159"/>
        <v>-</v>
      </c>
      <c r="H299" s="273"/>
      <c r="I299" s="107"/>
      <c r="J299" s="249" t="e">
        <f t="shared" si="160"/>
        <v>#VALUE!</v>
      </c>
      <c r="K299" s="101" t="str">
        <f>IFERROR(INDEX('Data Sheet'!$C$198:$C$275,MATCH(I299,'Data Sheet'!$F$198:$F$275,0)),"")</f>
        <v/>
      </c>
      <c r="L299" s="250" t="str">
        <f>IFERROR(INDEX('Data Sheet'!$G$198:$G$275,MATCH(I299,'Data Sheet'!$F$198:$F$275,0)),"")</f>
        <v/>
      </c>
      <c r="M299" s="194"/>
      <c r="N299" s="248"/>
      <c r="O299" s="248"/>
      <c r="P299" s="108" t="str">
        <f>IFERROR(INDEX(Setup!$D$44:$D$70,MATCH(M299,Setup!$K$44:$K$70,0))&amp;"","")</f>
        <v/>
      </c>
      <c r="Q299" s="108" t="str">
        <f>IFERROR(INDEX(Setup!$E$44:$E$70,MATCH(M299,Setup!$K$44:$K$70,0))&amp;"","")</f>
        <v/>
      </c>
      <c r="R299" s="108" t="str">
        <f>IFERROR(INDEX(Setup!$L$44:$L$70,MATCH(M299,Setup!$K$44:$K$70,0))&amp;"","")</f>
        <v/>
      </c>
      <c r="S299" s="108" t="str">
        <f>Setup!$C$30</f>
        <v>USD</v>
      </c>
      <c r="T299" s="109" t="str">
        <f>IFERROR(INDEX('Data Sheet'!$B$198:$B$275,MATCH(I299,'Data Sheet'!$F$198:$F$275,0)),"")</f>
        <v/>
      </c>
      <c r="U299" s="110" t="str">
        <f>IFERROR(INDEX('Data Sheet'!$D$198:$D$275,MATCH(I299,'Data Sheet'!$F$198:$F$275,0)),"")</f>
        <v/>
      </c>
      <c r="V299" s="99"/>
      <c r="W299" s="195" t="str">
        <f>IF(V299=Setup!$C$30,"Grant",IF(V299=Setup!$C$31,"Local",IF(V299=Setup!$C$32,"Other",IF(ISBLANK(V299),"","Other"))))</f>
        <v/>
      </c>
      <c r="X299" s="255"/>
      <c r="Y299" s="259" t="str">
        <f>IF(X299&lt;&gt;"",X299/VLOOKUP($V299,Setup!$C$30:$D$41,2,0),"")</f>
        <v/>
      </c>
      <c r="Z299" s="262"/>
      <c r="AA299" s="256" t="str">
        <f t="shared" si="132"/>
        <v/>
      </c>
      <c r="AB299" s="262"/>
      <c r="AC299" s="258" t="str">
        <f t="shared" si="133"/>
        <v/>
      </c>
      <c r="AD299" s="262"/>
      <c r="AE299" s="258" t="str">
        <f t="shared" si="134"/>
        <v/>
      </c>
      <c r="AF299" s="262"/>
      <c r="AG299" s="256" t="str">
        <f t="shared" si="135"/>
        <v/>
      </c>
      <c r="AH299" s="256" t="str">
        <f t="shared" si="136"/>
        <v/>
      </c>
      <c r="AI299" s="256" t="str">
        <f t="shared" si="137"/>
        <v/>
      </c>
      <c r="AJ299" s="111"/>
      <c r="AK299" s="255"/>
      <c r="AL299" s="259" t="str">
        <f>IF(AK299&lt;&gt;"",AK299/VLOOKUP($V299,Setup!$C$30:$D$41,2,0),"")</f>
        <v/>
      </c>
      <c r="AM299" s="266"/>
      <c r="AN299" s="258" t="str">
        <f t="shared" si="138"/>
        <v/>
      </c>
      <c r="AO299" s="266"/>
      <c r="AP299" s="258" t="str">
        <f t="shared" si="139"/>
        <v/>
      </c>
      <c r="AQ299" s="266"/>
      <c r="AR299" s="258" t="str">
        <f t="shared" si="140"/>
        <v/>
      </c>
      <c r="AS299" s="266"/>
      <c r="AT299" s="256" t="str">
        <f t="shared" si="141"/>
        <v/>
      </c>
      <c r="AU299" s="256" t="str">
        <f t="shared" si="142"/>
        <v/>
      </c>
      <c r="AV299" s="256" t="str">
        <f t="shared" si="143"/>
        <v/>
      </c>
      <c r="AW299" s="267"/>
      <c r="AX299" s="255"/>
      <c r="AY299" s="259" t="str">
        <f>IF(AX299&lt;&gt;"",AX299/VLOOKUP($V299,Setup!$C$30:$D$41,2,0),"")</f>
        <v/>
      </c>
      <c r="AZ299" s="268"/>
      <c r="BA299" s="258" t="str">
        <f t="shared" si="144"/>
        <v/>
      </c>
      <c r="BB299" s="268"/>
      <c r="BC299" s="258" t="str">
        <f t="shared" si="145"/>
        <v/>
      </c>
      <c r="BD299" s="268"/>
      <c r="BE299" s="258" t="str">
        <f t="shared" si="146"/>
        <v/>
      </c>
      <c r="BF299" s="268"/>
      <c r="BG299" s="256" t="str">
        <f t="shared" si="147"/>
        <v/>
      </c>
      <c r="BH299" s="256" t="str">
        <f t="shared" si="148"/>
        <v/>
      </c>
      <c r="BI299" s="256" t="str">
        <f t="shared" si="149"/>
        <v/>
      </c>
      <c r="BJ299" s="267"/>
      <c r="BK299" s="255"/>
      <c r="BL299" s="259" t="str">
        <f>IF(BK299&lt;&gt;"",BK299/VLOOKUP($V299,Setup!$C$30:$D$41,2,0),"")</f>
        <v/>
      </c>
      <c r="BM299" s="268"/>
      <c r="BN299" s="258" t="str">
        <f t="shared" si="150"/>
        <v/>
      </c>
      <c r="BO299" s="268"/>
      <c r="BP299" s="258" t="str">
        <f t="shared" si="151"/>
        <v/>
      </c>
      <c r="BQ299" s="268"/>
      <c r="BR299" s="258" t="str">
        <f t="shared" si="152"/>
        <v/>
      </c>
      <c r="BS299" s="268"/>
      <c r="BT299" s="256" t="str">
        <f t="shared" si="153"/>
        <v/>
      </c>
      <c r="BU299" s="256" t="str">
        <f t="shared" si="154"/>
        <v/>
      </c>
      <c r="BV299" s="256" t="str">
        <f t="shared" si="155"/>
        <v/>
      </c>
      <c r="BW299" s="267"/>
      <c r="BX299" s="256" t="str">
        <f t="shared" si="156"/>
        <v/>
      </c>
      <c r="BY299" s="256" t="str">
        <f t="shared" si="157"/>
        <v/>
      </c>
      <c r="BZ299" s="281"/>
      <c r="CA299" s="282"/>
      <c r="CC299" s="112" t="str">
        <f t="shared" ca="1" si="158"/>
        <v/>
      </c>
      <c r="CF299" s="284"/>
      <c r="CG299" s="284"/>
      <c r="CH299" s="284"/>
      <c r="CI299" s="284"/>
      <c r="CL299" s="356" t="str">
        <f>IFERROR(VLOOKUP(C299,'Data Sheet'!$A$3:$B$26,2,FALSE),"")</f>
        <v/>
      </c>
    </row>
    <row r="300" spans="1:90" s="98" customFormat="1" ht="15.75" x14ac:dyDescent="0.2">
      <c r="A300" s="97"/>
      <c r="B300" s="105" t="str">
        <f t="shared" si="161"/>
        <v>--</v>
      </c>
      <c r="C300" s="276"/>
      <c r="D300" s="101" t="str">
        <f>IFERROR(IF(VLOOKUP(C300,'Data Sheet'!$A$3:$D$26,4,FALSE)=0,"",VLOOKUP(C300,'Data Sheet'!$A$3:$D$26,4,FALSE)),"")</f>
        <v/>
      </c>
      <c r="E300" s="279"/>
      <c r="F300" s="103" t="str">
        <f>IFERROR(IF(VLOOKUP(E300,'Data Sheet'!$C$29:$E$174,3,FALSE)=0,"",VLOOKUP(E300,'Data Sheet'!$C$29:$E$174,3,FALSE)),"")</f>
        <v/>
      </c>
      <c r="G300" s="106" t="str">
        <f t="shared" si="159"/>
        <v>-</v>
      </c>
      <c r="H300" s="273"/>
      <c r="I300" s="107"/>
      <c r="J300" s="249" t="e">
        <f t="shared" si="160"/>
        <v>#VALUE!</v>
      </c>
      <c r="K300" s="101" t="str">
        <f>IFERROR(INDEX('Data Sheet'!$C$198:$C$275,MATCH(I300,'Data Sheet'!$F$198:$F$275,0)),"")</f>
        <v/>
      </c>
      <c r="L300" s="250" t="str">
        <f>IFERROR(INDEX('Data Sheet'!$G$198:$G$275,MATCH(I300,'Data Sheet'!$F$198:$F$275,0)),"")</f>
        <v/>
      </c>
      <c r="M300" s="194"/>
      <c r="N300" s="248"/>
      <c r="O300" s="248"/>
      <c r="P300" s="108" t="str">
        <f>IFERROR(INDEX(Setup!$D$44:$D$70,MATCH(M300,Setup!$K$44:$K$70,0))&amp;"","")</f>
        <v/>
      </c>
      <c r="Q300" s="108" t="str">
        <f>IFERROR(INDEX(Setup!$E$44:$E$70,MATCH(M300,Setup!$K$44:$K$70,0))&amp;"","")</f>
        <v/>
      </c>
      <c r="R300" s="108" t="str">
        <f>IFERROR(INDEX(Setup!$L$44:$L$70,MATCH(M300,Setup!$K$44:$K$70,0))&amp;"","")</f>
        <v/>
      </c>
      <c r="S300" s="108" t="str">
        <f>Setup!$C$30</f>
        <v>USD</v>
      </c>
      <c r="T300" s="109" t="str">
        <f>IFERROR(INDEX('Data Sheet'!$B$198:$B$275,MATCH(I300,'Data Sheet'!$F$198:$F$275,0)),"")</f>
        <v/>
      </c>
      <c r="U300" s="110" t="str">
        <f>IFERROR(INDEX('Data Sheet'!$D$198:$D$275,MATCH(I300,'Data Sheet'!$F$198:$F$275,0)),"")</f>
        <v/>
      </c>
      <c r="V300" s="99"/>
      <c r="W300" s="195" t="str">
        <f>IF(V300=Setup!$C$30,"Grant",IF(V300=Setup!$C$31,"Local",IF(V300=Setup!$C$32,"Other",IF(ISBLANK(V300),"","Other"))))</f>
        <v/>
      </c>
      <c r="X300" s="255"/>
      <c r="Y300" s="259" t="str">
        <f>IF(X300&lt;&gt;"",X300/VLOOKUP($V300,Setup!$C$30:$D$41,2,0),"")</f>
        <v/>
      </c>
      <c r="Z300" s="262"/>
      <c r="AA300" s="256" t="str">
        <f t="shared" si="132"/>
        <v/>
      </c>
      <c r="AB300" s="262"/>
      <c r="AC300" s="258" t="str">
        <f t="shared" si="133"/>
        <v/>
      </c>
      <c r="AD300" s="262"/>
      <c r="AE300" s="258" t="str">
        <f t="shared" si="134"/>
        <v/>
      </c>
      <c r="AF300" s="262"/>
      <c r="AG300" s="256" t="str">
        <f t="shared" si="135"/>
        <v/>
      </c>
      <c r="AH300" s="256" t="str">
        <f t="shared" si="136"/>
        <v/>
      </c>
      <c r="AI300" s="256" t="str">
        <f t="shared" si="137"/>
        <v/>
      </c>
      <c r="AJ300" s="111"/>
      <c r="AK300" s="255"/>
      <c r="AL300" s="259" t="str">
        <f>IF(AK300&lt;&gt;"",AK300/VLOOKUP($V300,Setup!$C$30:$D$41,2,0),"")</f>
        <v/>
      </c>
      <c r="AM300" s="266"/>
      <c r="AN300" s="258" t="str">
        <f t="shared" si="138"/>
        <v/>
      </c>
      <c r="AO300" s="266"/>
      <c r="AP300" s="258" t="str">
        <f t="shared" si="139"/>
        <v/>
      </c>
      <c r="AQ300" s="266"/>
      <c r="AR300" s="258" t="str">
        <f t="shared" si="140"/>
        <v/>
      </c>
      <c r="AS300" s="266"/>
      <c r="AT300" s="256" t="str">
        <f t="shared" si="141"/>
        <v/>
      </c>
      <c r="AU300" s="256" t="str">
        <f t="shared" si="142"/>
        <v/>
      </c>
      <c r="AV300" s="256" t="str">
        <f t="shared" si="143"/>
        <v/>
      </c>
      <c r="AW300" s="267"/>
      <c r="AX300" s="255"/>
      <c r="AY300" s="259" t="str">
        <f>IF(AX300&lt;&gt;"",AX300/VLOOKUP($V300,Setup!$C$30:$D$41,2,0),"")</f>
        <v/>
      </c>
      <c r="AZ300" s="268"/>
      <c r="BA300" s="258" t="str">
        <f t="shared" si="144"/>
        <v/>
      </c>
      <c r="BB300" s="268"/>
      <c r="BC300" s="258" t="str">
        <f t="shared" si="145"/>
        <v/>
      </c>
      <c r="BD300" s="268"/>
      <c r="BE300" s="258" t="str">
        <f t="shared" si="146"/>
        <v/>
      </c>
      <c r="BF300" s="268"/>
      <c r="BG300" s="256" t="str">
        <f t="shared" si="147"/>
        <v/>
      </c>
      <c r="BH300" s="256" t="str">
        <f t="shared" si="148"/>
        <v/>
      </c>
      <c r="BI300" s="256" t="str">
        <f t="shared" si="149"/>
        <v/>
      </c>
      <c r="BJ300" s="267"/>
      <c r="BK300" s="255"/>
      <c r="BL300" s="259" t="str">
        <f>IF(BK300&lt;&gt;"",BK300/VLOOKUP($V300,Setup!$C$30:$D$41,2,0),"")</f>
        <v/>
      </c>
      <c r="BM300" s="268"/>
      <c r="BN300" s="258" t="str">
        <f t="shared" si="150"/>
        <v/>
      </c>
      <c r="BO300" s="268"/>
      <c r="BP300" s="258" t="str">
        <f t="shared" si="151"/>
        <v/>
      </c>
      <c r="BQ300" s="268"/>
      <c r="BR300" s="258" t="str">
        <f t="shared" si="152"/>
        <v/>
      </c>
      <c r="BS300" s="268"/>
      <c r="BT300" s="256" t="str">
        <f t="shared" si="153"/>
        <v/>
      </c>
      <c r="BU300" s="256" t="str">
        <f t="shared" si="154"/>
        <v/>
      </c>
      <c r="BV300" s="256" t="str">
        <f t="shared" si="155"/>
        <v/>
      </c>
      <c r="BW300" s="267"/>
      <c r="BX300" s="256" t="str">
        <f t="shared" si="156"/>
        <v/>
      </c>
      <c r="BY300" s="256" t="str">
        <f t="shared" si="157"/>
        <v/>
      </c>
      <c r="BZ300" s="281"/>
      <c r="CA300" s="282"/>
      <c r="CC300" s="112" t="str">
        <f t="shared" ca="1" si="158"/>
        <v/>
      </c>
      <c r="CF300" s="284"/>
      <c r="CG300" s="284"/>
      <c r="CH300" s="284"/>
      <c r="CI300" s="284"/>
      <c r="CL300" s="356" t="str">
        <f>IFERROR(VLOOKUP(C300,'Data Sheet'!$A$3:$B$26,2,FALSE),"")</f>
        <v/>
      </c>
    </row>
    <row r="301" spans="1:90" s="98" customFormat="1" ht="15.75" x14ac:dyDescent="0.2">
      <c r="A301" s="97"/>
      <c r="B301" s="105" t="str">
        <f t="shared" si="161"/>
        <v>--</v>
      </c>
      <c r="C301" s="276"/>
      <c r="D301" s="101" t="str">
        <f>IFERROR(IF(VLOOKUP(C301,'Data Sheet'!$A$3:$D$26,4,FALSE)=0,"",VLOOKUP(C301,'Data Sheet'!$A$3:$D$26,4,FALSE)),"")</f>
        <v/>
      </c>
      <c r="E301" s="279"/>
      <c r="F301" s="103" t="str">
        <f>IFERROR(IF(VLOOKUP(E301,'Data Sheet'!$C$29:$E$174,3,FALSE)=0,"",VLOOKUP(E301,'Data Sheet'!$C$29:$E$174,3,FALSE)),"")</f>
        <v/>
      </c>
      <c r="G301" s="106" t="str">
        <f t="shared" si="159"/>
        <v>-</v>
      </c>
      <c r="H301" s="273"/>
      <c r="I301" s="107"/>
      <c r="J301" s="249" t="e">
        <f t="shared" si="160"/>
        <v>#VALUE!</v>
      </c>
      <c r="K301" s="101" t="str">
        <f>IFERROR(INDEX('Data Sheet'!$C$198:$C$275,MATCH(I301,'Data Sheet'!$F$198:$F$275,0)),"")</f>
        <v/>
      </c>
      <c r="L301" s="250" t="str">
        <f>IFERROR(INDEX('Data Sheet'!$G$198:$G$275,MATCH(I301,'Data Sheet'!$F$198:$F$275,0)),"")</f>
        <v/>
      </c>
      <c r="M301" s="194"/>
      <c r="N301" s="248"/>
      <c r="O301" s="248"/>
      <c r="P301" s="108" t="str">
        <f>IFERROR(INDEX(Setup!$D$44:$D$70,MATCH(M301,Setup!$K$44:$K$70,0))&amp;"","")</f>
        <v/>
      </c>
      <c r="Q301" s="108" t="str">
        <f>IFERROR(INDEX(Setup!$E$44:$E$70,MATCH(M301,Setup!$K$44:$K$70,0))&amp;"","")</f>
        <v/>
      </c>
      <c r="R301" s="108" t="str">
        <f>IFERROR(INDEX(Setup!$L$44:$L$70,MATCH(M301,Setup!$K$44:$K$70,0))&amp;"","")</f>
        <v/>
      </c>
      <c r="S301" s="108" t="str">
        <f>Setup!$C$30</f>
        <v>USD</v>
      </c>
      <c r="T301" s="109" t="str">
        <f>IFERROR(INDEX('Data Sheet'!$B$198:$B$275,MATCH(I301,'Data Sheet'!$F$198:$F$275,0)),"")</f>
        <v/>
      </c>
      <c r="U301" s="110" t="str">
        <f>IFERROR(INDEX('Data Sheet'!$D$198:$D$275,MATCH(I301,'Data Sheet'!$F$198:$F$275,0)),"")</f>
        <v/>
      </c>
      <c r="V301" s="99"/>
      <c r="W301" s="195" t="str">
        <f>IF(V301=Setup!$C$30,"Grant",IF(V301=Setup!$C$31,"Local",IF(V301=Setup!$C$32,"Other",IF(ISBLANK(V301),"","Other"))))</f>
        <v/>
      </c>
      <c r="X301" s="255"/>
      <c r="Y301" s="259" t="str">
        <f>IF(X301&lt;&gt;"",X301/VLOOKUP($V301,Setup!$C$30:$D$41,2,0),"")</f>
        <v/>
      </c>
      <c r="Z301" s="262"/>
      <c r="AA301" s="256" t="str">
        <f t="shared" si="132"/>
        <v/>
      </c>
      <c r="AB301" s="262"/>
      <c r="AC301" s="258" t="str">
        <f t="shared" si="133"/>
        <v/>
      </c>
      <c r="AD301" s="262"/>
      <c r="AE301" s="258" t="str">
        <f t="shared" si="134"/>
        <v/>
      </c>
      <c r="AF301" s="262"/>
      <c r="AG301" s="256" t="str">
        <f t="shared" si="135"/>
        <v/>
      </c>
      <c r="AH301" s="256" t="str">
        <f t="shared" si="136"/>
        <v/>
      </c>
      <c r="AI301" s="256" t="str">
        <f t="shared" si="137"/>
        <v/>
      </c>
      <c r="AJ301" s="111"/>
      <c r="AK301" s="255"/>
      <c r="AL301" s="259" t="str">
        <f>IF(AK301&lt;&gt;"",AK301/VLOOKUP($V301,Setup!$C$30:$D$41,2,0),"")</f>
        <v/>
      </c>
      <c r="AM301" s="266"/>
      <c r="AN301" s="258" t="str">
        <f t="shared" si="138"/>
        <v/>
      </c>
      <c r="AO301" s="266"/>
      <c r="AP301" s="258" t="str">
        <f t="shared" si="139"/>
        <v/>
      </c>
      <c r="AQ301" s="266"/>
      <c r="AR301" s="258" t="str">
        <f t="shared" si="140"/>
        <v/>
      </c>
      <c r="AS301" s="266"/>
      <c r="AT301" s="256" t="str">
        <f t="shared" si="141"/>
        <v/>
      </c>
      <c r="AU301" s="256" t="str">
        <f t="shared" si="142"/>
        <v/>
      </c>
      <c r="AV301" s="256" t="str">
        <f t="shared" si="143"/>
        <v/>
      </c>
      <c r="AW301" s="267"/>
      <c r="AX301" s="255"/>
      <c r="AY301" s="259" t="str">
        <f>IF(AX301&lt;&gt;"",AX301/VLOOKUP($V301,Setup!$C$30:$D$41,2,0),"")</f>
        <v/>
      </c>
      <c r="AZ301" s="268"/>
      <c r="BA301" s="258" t="str">
        <f t="shared" si="144"/>
        <v/>
      </c>
      <c r="BB301" s="268"/>
      <c r="BC301" s="258" t="str">
        <f t="shared" si="145"/>
        <v/>
      </c>
      <c r="BD301" s="268"/>
      <c r="BE301" s="258" t="str">
        <f t="shared" si="146"/>
        <v/>
      </c>
      <c r="BF301" s="268"/>
      <c r="BG301" s="256" t="str">
        <f t="shared" si="147"/>
        <v/>
      </c>
      <c r="BH301" s="256" t="str">
        <f t="shared" si="148"/>
        <v/>
      </c>
      <c r="BI301" s="256" t="str">
        <f t="shared" si="149"/>
        <v/>
      </c>
      <c r="BJ301" s="267"/>
      <c r="BK301" s="255"/>
      <c r="BL301" s="259" t="str">
        <f>IF(BK301&lt;&gt;"",BK301/VLOOKUP($V301,Setup!$C$30:$D$41,2,0),"")</f>
        <v/>
      </c>
      <c r="BM301" s="268"/>
      <c r="BN301" s="258" t="str">
        <f t="shared" si="150"/>
        <v/>
      </c>
      <c r="BO301" s="268"/>
      <c r="BP301" s="258" t="str">
        <f t="shared" si="151"/>
        <v/>
      </c>
      <c r="BQ301" s="268"/>
      <c r="BR301" s="258" t="str">
        <f t="shared" si="152"/>
        <v/>
      </c>
      <c r="BS301" s="268"/>
      <c r="BT301" s="256" t="str">
        <f t="shared" si="153"/>
        <v/>
      </c>
      <c r="BU301" s="256" t="str">
        <f t="shared" si="154"/>
        <v/>
      </c>
      <c r="BV301" s="256" t="str">
        <f t="shared" si="155"/>
        <v/>
      </c>
      <c r="BW301" s="267"/>
      <c r="BX301" s="256" t="str">
        <f t="shared" si="156"/>
        <v/>
      </c>
      <c r="BY301" s="256" t="str">
        <f t="shared" si="157"/>
        <v/>
      </c>
      <c r="BZ301" s="281"/>
      <c r="CA301" s="282"/>
      <c r="CC301" s="112" t="str">
        <f t="shared" ca="1" si="158"/>
        <v/>
      </c>
      <c r="CF301" s="284"/>
      <c r="CG301" s="284"/>
      <c r="CH301" s="284"/>
      <c r="CI301" s="284"/>
      <c r="CL301" s="356" t="str">
        <f>IFERROR(VLOOKUP(C301,'Data Sheet'!$A$3:$B$26,2,FALSE),"")</f>
        <v/>
      </c>
    </row>
    <row r="302" spans="1:90" s="98" customFormat="1" ht="15.75" x14ac:dyDescent="0.2">
      <c r="A302" s="97"/>
      <c r="B302" s="105" t="str">
        <f t="shared" si="161"/>
        <v>--</v>
      </c>
      <c r="C302" s="276"/>
      <c r="D302" s="101" t="str">
        <f>IFERROR(IF(VLOOKUP(C302,'Data Sheet'!$A$3:$D$26,4,FALSE)=0,"",VLOOKUP(C302,'Data Sheet'!$A$3:$D$26,4,FALSE)),"")</f>
        <v/>
      </c>
      <c r="E302" s="279"/>
      <c r="F302" s="103" t="str">
        <f>IFERROR(IF(VLOOKUP(E302,'Data Sheet'!$C$29:$E$174,3,FALSE)=0,"",VLOOKUP(E302,'Data Sheet'!$C$29:$E$174,3,FALSE)),"")</f>
        <v/>
      </c>
      <c r="G302" s="106" t="str">
        <f t="shared" si="159"/>
        <v>-</v>
      </c>
      <c r="H302" s="273"/>
      <c r="I302" s="107"/>
      <c r="J302" s="249" t="e">
        <f t="shared" si="160"/>
        <v>#VALUE!</v>
      </c>
      <c r="K302" s="101" t="str">
        <f>IFERROR(INDEX('Data Sheet'!$C$198:$C$275,MATCH(I302,'Data Sheet'!$F$198:$F$275,0)),"")</f>
        <v/>
      </c>
      <c r="L302" s="250" t="str">
        <f>IFERROR(INDEX('Data Sheet'!$G$198:$G$275,MATCH(I302,'Data Sheet'!$F$198:$F$275,0)),"")</f>
        <v/>
      </c>
      <c r="M302" s="194"/>
      <c r="N302" s="248"/>
      <c r="O302" s="248"/>
      <c r="P302" s="108" t="str">
        <f>IFERROR(INDEX(Setup!$D$44:$D$70,MATCH(M302,Setup!$K$44:$K$70,0))&amp;"","")</f>
        <v/>
      </c>
      <c r="Q302" s="108" t="str">
        <f>IFERROR(INDEX(Setup!$E$44:$E$70,MATCH(M302,Setup!$K$44:$K$70,0))&amp;"","")</f>
        <v/>
      </c>
      <c r="R302" s="108" t="str">
        <f>IFERROR(INDEX(Setup!$L$44:$L$70,MATCH(M302,Setup!$K$44:$K$70,0))&amp;"","")</f>
        <v/>
      </c>
      <c r="S302" s="108" t="str">
        <f>Setup!$C$30</f>
        <v>USD</v>
      </c>
      <c r="T302" s="109" t="str">
        <f>IFERROR(INDEX('Data Sheet'!$B$198:$B$275,MATCH(I302,'Data Sheet'!$F$198:$F$275,0)),"")</f>
        <v/>
      </c>
      <c r="U302" s="110" t="str">
        <f>IFERROR(INDEX('Data Sheet'!$D$198:$D$275,MATCH(I302,'Data Sheet'!$F$198:$F$275,0)),"")</f>
        <v/>
      </c>
      <c r="V302" s="99"/>
      <c r="W302" s="195" t="str">
        <f>IF(V302=Setup!$C$30,"Grant",IF(V302=Setup!$C$31,"Local",IF(V302=Setup!$C$32,"Other",IF(ISBLANK(V302),"","Other"))))</f>
        <v/>
      </c>
      <c r="X302" s="255"/>
      <c r="Y302" s="259" t="str">
        <f>IF(X302&lt;&gt;"",X302/VLOOKUP($V302,Setup!$C$30:$D$41,2,0),"")</f>
        <v/>
      </c>
      <c r="Z302" s="262"/>
      <c r="AA302" s="256" t="str">
        <f t="shared" si="132"/>
        <v/>
      </c>
      <c r="AB302" s="262"/>
      <c r="AC302" s="258" t="str">
        <f t="shared" si="133"/>
        <v/>
      </c>
      <c r="AD302" s="262"/>
      <c r="AE302" s="258" t="str">
        <f t="shared" si="134"/>
        <v/>
      </c>
      <c r="AF302" s="262"/>
      <c r="AG302" s="256" t="str">
        <f t="shared" si="135"/>
        <v/>
      </c>
      <c r="AH302" s="256" t="str">
        <f t="shared" si="136"/>
        <v/>
      </c>
      <c r="AI302" s="256" t="str">
        <f t="shared" si="137"/>
        <v/>
      </c>
      <c r="AJ302" s="111"/>
      <c r="AK302" s="255"/>
      <c r="AL302" s="259" t="str">
        <f>IF(AK302&lt;&gt;"",AK302/VLOOKUP($V302,Setup!$C$30:$D$41,2,0),"")</f>
        <v/>
      </c>
      <c r="AM302" s="266"/>
      <c r="AN302" s="258" t="str">
        <f t="shared" si="138"/>
        <v/>
      </c>
      <c r="AO302" s="266"/>
      <c r="AP302" s="258" t="str">
        <f t="shared" si="139"/>
        <v/>
      </c>
      <c r="AQ302" s="266"/>
      <c r="AR302" s="258" t="str">
        <f t="shared" si="140"/>
        <v/>
      </c>
      <c r="AS302" s="266"/>
      <c r="AT302" s="256" t="str">
        <f t="shared" si="141"/>
        <v/>
      </c>
      <c r="AU302" s="256" t="str">
        <f t="shared" si="142"/>
        <v/>
      </c>
      <c r="AV302" s="256" t="str">
        <f t="shared" si="143"/>
        <v/>
      </c>
      <c r="AW302" s="267"/>
      <c r="AX302" s="255"/>
      <c r="AY302" s="259" t="str">
        <f>IF(AX302&lt;&gt;"",AX302/VLOOKUP($V302,Setup!$C$30:$D$41,2,0),"")</f>
        <v/>
      </c>
      <c r="AZ302" s="268"/>
      <c r="BA302" s="258" t="str">
        <f t="shared" si="144"/>
        <v/>
      </c>
      <c r="BB302" s="268"/>
      <c r="BC302" s="258" t="str">
        <f t="shared" si="145"/>
        <v/>
      </c>
      <c r="BD302" s="268"/>
      <c r="BE302" s="258" t="str">
        <f t="shared" si="146"/>
        <v/>
      </c>
      <c r="BF302" s="268"/>
      <c r="BG302" s="256" t="str">
        <f t="shared" si="147"/>
        <v/>
      </c>
      <c r="BH302" s="256" t="str">
        <f t="shared" si="148"/>
        <v/>
      </c>
      <c r="BI302" s="256" t="str">
        <f t="shared" si="149"/>
        <v/>
      </c>
      <c r="BJ302" s="267"/>
      <c r="BK302" s="255"/>
      <c r="BL302" s="259" t="str">
        <f>IF(BK302&lt;&gt;"",BK302/VLOOKUP($V302,Setup!$C$30:$D$41,2,0),"")</f>
        <v/>
      </c>
      <c r="BM302" s="268"/>
      <c r="BN302" s="258" t="str">
        <f t="shared" si="150"/>
        <v/>
      </c>
      <c r="BO302" s="268"/>
      <c r="BP302" s="258" t="str">
        <f t="shared" si="151"/>
        <v/>
      </c>
      <c r="BQ302" s="268"/>
      <c r="BR302" s="258" t="str">
        <f t="shared" si="152"/>
        <v/>
      </c>
      <c r="BS302" s="268"/>
      <c r="BT302" s="256" t="str">
        <f t="shared" si="153"/>
        <v/>
      </c>
      <c r="BU302" s="256" t="str">
        <f t="shared" si="154"/>
        <v/>
      </c>
      <c r="BV302" s="256" t="str">
        <f t="shared" si="155"/>
        <v/>
      </c>
      <c r="BW302" s="267"/>
      <c r="BX302" s="256" t="str">
        <f t="shared" si="156"/>
        <v/>
      </c>
      <c r="BY302" s="256" t="str">
        <f t="shared" si="157"/>
        <v/>
      </c>
      <c r="BZ302" s="281"/>
      <c r="CA302" s="282"/>
      <c r="CC302" s="112" t="str">
        <f t="shared" ca="1" si="158"/>
        <v/>
      </c>
      <c r="CF302" s="284"/>
      <c r="CG302" s="284"/>
      <c r="CH302" s="284"/>
      <c r="CI302" s="284"/>
      <c r="CL302" s="356" t="str">
        <f>IFERROR(VLOOKUP(C302,'Data Sheet'!$A$3:$B$26,2,FALSE),"")</f>
        <v/>
      </c>
    </row>
    <row r="303" spans="1:90" s="98" customFormat="1" ht="15.75" x14ac:dyDescent="0.2">
      <c r="A303" s="97"/>
      <c r="B303" s="105" t="str">
        <f t="shared" si="161"/>
        <v>--</v>
      </c>
      <c r="C303" s="276"/>
      <c r="D303" s="101" t="str">
        <f>IFERROR(IF(VLOOKUP(C303,'Data Sheet'!$A$3:$D$26,4,FALSE)=0,"",VLOOKUP(C303,'Data Sheet'!$A$3:$D$26,4,FALSE)),"")</f>
        <v/>
      </c>
      <c r="E303" s="279"/>
      <c r="F303" s="103" t="str">
        <f>IFERROR(IF(VLOOKUP(E303,'Data Sheet'!$C$29:$E$174,3,FALSE)=0,"",VLOOKUP(E303,'Data Sheet'!$C$29:$E$174,3,FALSE)),"")</f>
        <v/>
      </c>
      <c r="G303" s="106" t="str">
        <f t="shared" si="159"/>
        <v>-</v>
      </c>
      <c r="H303" s="273"/>
      <c r="I303" s="107"/>
      <c r="J303" s="249" t="e">
        <f t="shared" si="160"/>
        <v>#VALUE!</v>
      </c>
      <c r="K303" s="101" t="str">
        <f>IFERROR(INDEX('Data Sheet'!$C$198:$C$275,MATCH(I303,'Data Sheet'!$F$198:$F$275,0)),"")</f>
        <v/>
      </c>
      <c r="L303" s="250" t="str">
        <f>IFERROR(INDEX('Data Sheet'!$G$198:$G$275,MATCH(I303,'Data Sheet'!$F$198:$F$275,0)),"")</f>
        <v/>
      </c>
      <c r="M303" s="194"/>
      <c r="N303" s="248"/>
      <c r="O303" s="248"/>
      <c r="P303" s="108" t="str">
        <f>IFERROR(INDEX(Setup!$D$44:$D$70,MATCH(M303,Setup!$K$44:$K$70,0))&amp;"","")</f>
        <v/>
      </c>
      <c r="Q303" s="108" t="str">
        <f>IFERROR(INDEX(Setup!$E$44:$E$70,MATCH(M303,Setup!$K$44:$K$70,0))&amp;"","")</f>
        <v/>
      </c>
      <c r="R303" s="108" t="str">
        <f>IFERROR(INDEX(Setup!$L$44:$L$70,MATCH(M303,Setup!$K$44:$K$70,0))&amp;"","")</f>
        <v/>
      </c>
      <c r="S303" s="108" t="str">
        <f>Setup!$C$30</f>
        <v>USD</v>
      </c>
      <c r="T303" s="109" t="str">
        <f>IFERROR(INDEX('Data Sheet'!$B$198:$B$275,MATCH(I303,'Data Sheet'!$F$198:$F$275,0)),"")</f>
        <v/>
      </c>
      <c r="U303" s="110" t="str">
        <f>IFERROR(INDEX('Data Sheet'!$D$198:$D$275,MATCH(I303,'Data Sheet'!$F$198:$F$275,0)),"")</f>
        <v/>
      </c>
      <c r="V303" s="99"/>
      <c r="W303" s="195" t="str">
        <f>IF(V303=Setup!$C$30,"Grant",IF(V303=Setup!$C$31,"Local",IF(V303=Setup!$C$32,"Other",IF(ISBLANK(V303),"","Other"))))</f>
        <v/>
      </c>
      <c r="X303" s="255"/>
      <c r="Y303" s="259" t="str">
        <f>IF(X303&lt;&gt;"",X303/VLOOKUP($V303,Setup!$C$30:$D$41,2,0),"")</f>
        <v/>
      </c>
      <c r="Z303" s="262"/>
      <c r="AA303" s="256" t="str">
        <f t="shared" si="132"/>
        <v/>
      </c>
      <c r="AB303" s="262"/>
      <c r="AC303" s="258" t="str">
        <f t="shared" si="133"/>
        <v/>
      </c>
      <c r="AD303" s="262"/>
      <c r="AE303" s="258" t="str">
        <f t="shared" si="134"/>
        <v/>
      </c>
      <c r="AF303" s="262"/>
      <c r="AG303" s="256" t="str">
        <f t="shared" si="135"/>
        <v/>
      </c>
      <c r="AH303" s="256" t="str">
        <f t="shared" si="136"/>
        <v/>
      </c>
      <c r="AI303" s="256" t="str">
        <f t="shared" si="137"/>
        <v/>
      </c>
      <c r="AJ303" s="111"/>
      <c r="AK303" s="255"/>
      <c r="AL303" s="259" t="str">
        <f>IF(AK303&lt;&gt;"",AK303/VLOOKUP($V303,Setup!$C$30:$D$41,2,0),"")</f>
        <v/>
      </c>
      <c r="AM303" s="266"/>
      <c r="AN303" s="258" t="str">
        <f t="shared" si="138"/>
        <v/>
      </c>
      <c r="AO303" s="266"/>
      <c r="AP303" s="258" t="str">
        <f t="shared" si="139"/>
        <v/>
      </c>
      <c r="AQ303" s="266"/>
      <c r="AR303" s="258" t="str">
        <f t="shared" si="140"/>
        <v/>
      </c>
      <c r="AS303" s="266"/>
      <c r="AT303" s="256" t="str">
        <f t="shared" si="141"/>
        <v/>
      </c>
      <c r="AU303" s="256" t="str">
        <f t="shared" si="142"/>
        <v/>
      </c>
      <c r="AV303" s="256" t="str">
        <f t="shared" si="143"/>
        <v/>
      </c>
      <c r="AW303" s="267"/>
      <c r="AX303" s="255"/>
      <c r="AY303" s="259" t="str">
        <f>IF(AX303&lt;&gt;"",AX303/VLOOKUP($V303,Setup!$C$30:$D$41,2,0),"")</f>
        <v/>
      </c>
      <c r="AZ303" s="268"/>
      <c r="BA303" s="258" t="str">
        <f t="shared" si="144"/>
        <v/>
      </c>
      <c r="BB303" s="268"/>
      <c r="BC303" s="258" t="str">
        <f t="shared" si="145"/>
        <v/>
      </c>
      <c r="BD303" s="268"/>
      <c r="BE303" s="258" t="str">
        <f t="shared" si="146"/>
        <v/>
      </c>
      <c r="BF303" s="268"/>
      <c r="BG303" s="256" t="str">
        <f t="shared" si="147"/>
        <v/>
      </c>
      <c r="BH303" s="256" t="str">
        <f t="shared" si="148"/>
        <v/>
      </c>
      <c r="BI303" s="256" t="str">
        <f t="shared" si="149"/>
        <v/>
      </c>
      <c r="BJ303" s="267"/>
      <c r="BK303" s="255"/>
      <c r="BL303" s="259" t="str">
        <f>IF(BK303&lt;&gt;"",BK303/VLOOKUP($V303,Setup!$C$30:$D$41,2,0),"")</f>
        <v/>
      </c>
      <c r="BM303" s="268"/>
      <c r="BN303" s="258" t="str">
        <f t="shared" si="150"/>
        <v/>
      </c>
      <c r="BO303" s="268"/>
      <c r="BP303" s="258" t="str">
        <f t="shared" si="151"/>
        <v/>
      </c>
      <c r="BQ303" s="268"/>
      <c r="BR303" s="258" t="str">
        <f t="shared" si="152"/>
        <v/>
      </c>
      <c r="BS303" s="268"/>
      <c r="BT303" s="256" t="str">
        <f t="shared" si="153"/>
        <v/>
      </c>
      <c r="BU303" s="256" t="str">
        <f t="shared" si="154"/>
        <v/>
      </c>
      <c r="BV303" s="256" t="str">
        <f t="shared" si="155"/>
        <v/>
      </c>
      <c r="BW303" s="267"/>
      <c r="BX303" s="256" t="str">
        <f t="shared" si="156"/>
        <v/>
      </c>
      <c r="BY303" s="256" t="str">
        <f t="shared" si="157"/>
        <v/>
      </c>
      <c r="BZ303" s="281"/>
      <c r="CA303" s="282"/>
      <c r="CC303" s="112" t="str">
        <f t="shared" ca="1" si="158"/>
        <v/>
      </c>
      <c r="CF303" s="284"/>
      <c r="CG303" s="284"/>
      <c r="CH303" s="284"/>
      <c r="CI303" s="284"/>
      <c r="CL303" s="356" t="str">
        <f>IFERROR(VLOOKUP(C303,'Data Sheet'!$A$3:$B$26,2,FALSE),"")</f>
        <v/>
      </c>
    </row>
    <row r="304" spans="1:90" s="98" customFormat="1" ht="15.75" x14ac:dyDescent="0.2">
      <c r="A304" s="97"/>
      <c r="B304" s="105" t="str">
        <f t="shared" si="161"/>
        <v>--</v>
      </c>
      <c r="C304" s="276"/>
      <c r="D304" s="101" t="str">
        <f>IFERROR(IF(VLOOKUP(C304,'Data Sheet'!$A$3:$D$26,4,FALSE)=0,"",VLOOKUP(C304,'Data Sheet'!$A$3:$D$26,4,FALSE)),"")</f>
        <v/>
      </c>
      <c r="E304" s="279"/>
      <c r="F304" s="103" t="str">
        <f>IFERROR(IF(VLOOKUP(E304,'Data Sheet'!$C$29:$E$174,3,FALSE)=0,"",VLOOKUP(E304,'Data Sheet'!$C$29:$E$174,3,FALSE)),"")</f>
        <v/>
      </c>
      <c r="G304" s="106" t="str">
        <f t="shared" si="159"/>
        <v>-</v>
      </c>
      <c r="H304" s="273"/>
      <c r="I304" s="107"/>
      <c r="J304" s="249" t="e">
        <f t="shared" si="160"/>
        <v>#VALUE!</v>
      </c>
      <c r="K304" s="101" t="str">
        <f>IFERROR(INDEX('Data Sheet'!$C$198:$C$275,MATCH(I304,'Data Sheet'!$F$198:$F$275,0)),"")</f>
        <v/>
      </c>
      <c r="L304" s="250" t="str">
        <f>IFERROR(INDEX('Data Sheet'!$G$198:$G$275,MATCH(I304,'Data Sheet'!$F$198:$F$275,0)),"")</f>
        <v/>
      </c>
      <c r="M304" s="194"/>
      <c r="N304" s="248"/>
      <c r="O304" s="248"/>
      <c r="P304" s="108" t="str">
        <f>IFERROR(INDEX(Setup!$D$44:$D$70,MATCH(M304,Setup!$K$44:$K$70,0))&amp;"","")</f>
        <v/>
      </c>
      <c r="Q304" s="108" t="str">
        <f>IFERROR(INDEX(Setup!$E$44:$E$70,MATCH(M304,Setup!$K$44:$K$70,0))&amp;"","")</f>
        <v/>
      </c>
      <c r="R304" s="108" t="str">
        <f>IFERROR(INDEX(Setup!$L$44:$L$70,MATCH(M304,Setup!$K$44:$K$70,0))&amp;"","")</f>
        <v/>
      </c>
      <c r="S304" s="108" t="str">
        <f>Setup!$C$30</f>
        <v>USD</v>
      </c>
      <c r="T304" s="109" t="str">
        <f>IFERROR(INDEX('Data Sheet'!$B$198:$B$275,MATCH(I304,'Data Sheet'!$F$198:$F$275,0)),"")</f>
        <v/>
      </c>
      <c r="U304" s="110" t="str">
        <f>IFERROR(INDEX('Data Sheet'!$D$198:$D$275,MATCH(I304,'Data Sheet'!$F$198:$F$275,0)),"")</f>
        <v/>
      </c>
      <c r="V304" s="99"/>
      <c r="W304" s="195" t="str">
        <f>IF(V304=Setup!$C$30,"Grant",IF(V304=Setup!$C$31,"Local",IF(V304=Setup!$C$32,"Other",IF(ISBLANK(V304),"","Other"))))</f>
        <v/>
      </c>
      <c r="X304" s="255"/>
      <c r="Y304" s="259" t="str">
        <f>IF(X304&lt;&gt;"",X304/VLOOKUP($V304,Setup!$C$30:$D$41,2,0),"")</f>
        <v/>
      </c>
      <c r="Z304" s="262"/>
      <c r="AA304" s="256" t="str">
        <f t="shared" si="132"/>
        <v/>
      </c>
      <c r="AB304" s="262"/>
      <c r="AC304" s="258" t="str">
        <f t="shared" si="133"/>
        <v/>
      </c>
      <c r="AD304" s="262"/>
      <c r="AE304" s="258" t="str">
        <f t="shared" si="134"/>
        <v/>
      </c>
      <c r="AF304" s="262"/>
      <c r="AG304" s="256" t="str">
        <f t="shared" si="135"/>
        <v/>
      </c>
      <c r="AH304" s="256" t="str">
        <f t="shared" si="136"/>
        <v/>
      </c>
      <c r="AI304" s="256" t="str">
        <f t="shared" si="137"/>
        <v/>
      </c>
      <c r="AJ304" s="111"/>
      <c r="AK304" s="255"/>
      <c r="AL304" s="259" t="str">
        <f>IF(AK304&lt;&gt;"",AK304/VLOOKUP($V304,Setup!$C$30:$D$41,2,0),"")</f>
        <v/>
      </c>
      <c r="AM304" s="266"/>
      <c r="AN304" s="258" t="str">
        <f t="shared" si="138"/>
        <v/>
      </c>
      <c r="AO304" s="266"/>
      <c r="AP304" s="258" t="str">
        <f t="shared" si="139"/>
        <v/>
      </c>
      <c r="AQ304" s="266"/>
      <c r="AR304" s="258" t="str">
        <f t="shared" si="140"/>
        <v/>
      </c>
      <c r="AS304" s="266"/>
      <c r="AT304" s="256" t="str">
        <f t="shared" si="141"/>
        <v/>
      </c>
      <c r="AU304" s="256" t="str">
        <f t="shared" si="142"/>
        <v/>
      </c>
      <c r="AV304" s="256" t="str">
        <f t="shared" si="143"/>
        <v/>
      </c>
      <c r="AW304" s="267"/>
      <c r="AX304" s="255"/>
      <c r="AY304" s="259" t="str">
        <f>IF(AX304&lt;&gt;"",AX304/VLOOKUP($V304,Setup!$C$30:$D$41,2,0),"")</f>
        <v/>
      </c>
      <c r="AZ304" s="268"/>
      <c r="BA304" s="258" t="str">
        <f t="shared" si="144"/>
        <v/>
      </c>
      <c r="BB304" s="268"/>
      <c r="BC304" s="258" t="str">
        <f t="shared" si="145"/>
        <v/>
      </c>
      <c r="BD304" s="268"/>
      <c r="BE304" s="258" t="str">
        <f t="shared" si="146"/>
        <v/>
      </c>
      <c r="BF304" s="268"/>
      <c r="BG304" s="256" t="str">
        <f t="shared" si="147"/>
        <v/>
      </c>
      <c r="BH304" s="256" t="str">
        <f t="shared" si="148"/>
        <v/>
      </c>
      <c r="BI304" s="256" t="str">
        <f t="shared" si="149"/>
        <v/>
      </c>
      <c r="BJ304" s="267"/>
      <c r="BK304" s="255"/>
      <c r="BL304" s="259" t="str">
        <f>IF(BK304&lt;&gt;"",BK304/VLOOKUP($V304,Setup!$C$30:$D$41,2,0),"")</f>
        <v/>
      </c>
      <c r="BM304" s="268"/>
      <c r="BN304" s="258" t="str">
        <f t="shared" si="150"/>
        <v/>
      </c>
      <c r="BO304" s="268"/>
      <c r="BP304" s="258" t="str">
        <f t="shared" si="151"/>
        <v/>
      </c>
      <c r="BQ304" s="268"/>
      <c r="BR304" s="258" t="str">
        <f t="shared" si="152"/>
        <v/>
      </c>
      <c r="BS304" s="268"/>
      <c r="BT304" s="256" t="str">
        <f t="shared" si="153"/>
        <v/>
      </c>
      <c r="BU304" s="256" t="str">
        <f t="shared" si="154"/>
        <v/>
      </c>
      <c r="BV304" s="256" t="str">
        <f t="shared" si="155"/>
        <v/>
      </c>
      <c r="BW304" s="267"/>
      <c r="BX304" s="256" t="str">
        <f t="shared" si="156"/>
        <v/>
      </c>
      <c r="BY304" s="256" t="str">
        <f t="shared" si="157"/>
        <v/>
      </c>
      <c r="BZ304" s="281"/>
      <c r="CA304" s="282"/>
      <c r="CC304" s="112" t="str">
        <f t="shared" ca="1" si="158"/>
        <v/>
      </c>
      <c r="CF304" s="284"/>
      <c r="CG304" s="284"/>
      <c r="CH304" s="284"/>
      <c r="CI304" s="284"/>
      <c r="CL304" s="356" t="str">
        <f>IFERROR(VLOOKUP(C304,'Data Sheet'!$A$3:$B$26,2,FALSE),"")</f>
        <v/>
      </c>
    </row>
    <row r="305" spans="1:90" s="98" customFormat="1" ht="15.75" x14ac:dyDescent="0.2">
      <c r="A305" s="97"/>
      <c r="B305" s="105" t="str">
        <f t="shared" si="161"/>
        <v>--</v>
      </c>
      <c r="C305" s="276"/>
      <c r="D305" s="101" t="str">
        <f>IFERROR(IF(VLOOKUP(C305,'Data Sheet'!$A$3:$D$26,4,FALSE)=0,"",VLOOKUP(C305,'Data Sheet'!$A$3:$D$26,4,FALSE)),"")</f>
        <v/>
      </c>
      <c r="E305" s="279"/>
      <c r="F305" s="103" t="str">
        <f>IFERROR(IF(VLOOKUP(E305,'Data Sheet'!$C$29:$E$174,3,FALSE)=0,"",VLOOKUP(E305,'Data Sheet'!$C$29:$E$174,3,FALSE)),"")</f>
        <v/>
      </c>
      <c r="G305" s="106" t="str">
        <f t="shared" si="159"/>
        <v>-</v>
      </c>
      <c r="H305" s="273"/>
      <c r="I305" s="107"/>
      <c r="J305" s="249" t="e">
        <f t="shared" si="160"/>
        <v>#VALUE!</v>
      </c>
      <c r="K305" s="101" t="str">
        <f>IFERROR(INDEX('Data Sheet'!$C$198:$C$275,MATCH(I305,'Data Sheet'!$F$198:$F$275,0)),"")</f>
        <v/>
      </c>
      <c r="L305" s="250" t="str">
        <f>IFERROR(INDEX('Data Sheet'!$G$198:$G$275,MATCH(I305,'Data Sheet'!$F$198:$F$275,0)),"")</f>
        <v/>
      </c>
      <c r="M305" s="194"/>
      <c r="N305" s="248"/>
      <c r="O305" s="248"/>
      <c r="P305" s="108" t="str">
        <f>IFERROR(INDEX(Setup!$D$44:$D$70,MATCH(M305,Setup!$K$44:$K$70,0))&amp;"","")</f>
        <v/>
      </c>
      <c r="Q305" s="108" t="str">
        <f>IFERROR(INDEX(Setup!$E$44:$E$70,MATCH(M305,Setup!$K$44:$K$70,0))&amp;"","")</f>
        <v/>
      </c>
      <c r="R305" s="108" t="str">
        <f>IFERROR(INDEX(Setup!$L$44:$L$70,MATCH(M305,Setup!$K$44:$K$70,0))&amp;"","")</f>
        <v/>
      </c>
      <c r="S305" s="108" t="str">
        <f>Setup!$C$30</f>
        <v>USD</v>
      </c>
      <c r="T305" s="109" t="str">
        <f>IFERROR(INDEX('Data Sheet'!$B$198:$B$275,MATCH(I305,'Data Sheet'!$F$198:$F$275,0)),"")</f>
        <v/>
      </c>
      <c r="U305" s="110" t="str">
        <f>IFERROR(INDEX('Data Sheet'!$D$198:$D$275,MATCH(I305,'Data Sheet'!$F$198:$F$275,0)),"")</f>
        <v/>
      </c>
      <c r="V305" s="99"/>
      <c r="W305" s="195" t="str">
        <f>IF(V305=Setup!$C$30,"Grant",IF(V305=Setup!$C$31,"Local",IF(V305=Setup!$C$32,"Other",IF(ISBLANK(V305),"","Other"))))</f>
        <v/>
      </c>
      <c r="X305" s="255"/>
      <c r="Y305" s="259" t="str">
        <f>IF(X305&lt;&gt;"",X305/VLOOKUP($V305,Setup!$C$30:$D$41,2,0),"")</f>
        <v/>
      </c>
      <c r="Z305" s="262"/>
      <c r="AA305" s="256" t="str">
        <f t="shared" si="132"/>
        <v/>
      </c>
      <c r="AB305" s="262"/>
      <c r="AC305" s="258" t="str">
        <f t="shared" si="133"/>
        <v/>
      </c>
      <c r="AD305" s="262"/>
      <c r="AE305" s="258" t="str">
        <f t="shared" si="134"/>
        <v/>
      </c>
      <c r="AF305" s="262"/>
      <c r="AG305" s="256" t="str">
        <f t="shared" si="135"/>
        <v/>
      </c>
      <c r="AH305" s="256" t="str">
        <f t="shared" si="136"/>
        <v/>
      </c>
      <c r="AI305" s="256" t="str">
        <f t="shared" si="137"/>
        <v/>
      </c>
      <c r="AJ305" s="111"/>
      <c r="AK305" s="255"/>
      <c r="AL305" s="259" t="str">
        <f>IF(AK305&lt;&gt;"",AK305/VLOOKUP($V305,Setup!$C$30:$D$41,2,0),"")</f>
        <v/>
      </c>
      <c r="AM305" s="266"/>
      <c r="AN305" s="258" t="str">
        <f t="shared" si="138"/>
        <v/>
      </c>
      <c r="AO305" s="266"/>
      <c r="AP305" s="258" t="str">
        <f t="shared" si="139"/>
        <v/>
      </c>
      <c r="AQ305" s="266"/>
      <c r="AR305" s="258" t="str">
        <f t="shared" si="140"/>
        <v/>
      </c>
      <c r="AS305" s="266"/>
      <c r="AT305" s="256" t="str">
        <f t="shared" si="141"/>
        <v/>
      </c>
      <c r="AU305" s="256" t="str">
        <f t="shared" si="142"/>
        <v/>
      </c>
      <c r="AV305" s="256" t="str">
        <f t="shared" si="143"/>
        <v/>
      </c>
      <c r="AW305" s="267"/>
      <c r="AX305" s="255"/>
      <c r="AY305" s="259" t="str">
        <f>IF(AX305&lt;&gt;"",AX305/VLOOKUP($V305,Setup!$C$30:$D$41,2,0),"")</f>
        <v/>
      </c>
      <c r="AZ305" s="268"/>
      <c r="BA305" s="258" t="str">
        <f t="shared" si="144"/>
        <v/>
      </c>
      <c r="BB305" s="268"/>
      <c r="BC305" s="258" t="str">
        <f t="shared" si="145"/>
        <v/>
      </c>
      <c r="BD305" s="268"/>
      <c r="BE305" s="258" t="str">
        <f t="shared" si="146"/>
        <v/>
      </c>
      <c r="BF305" s="268"/>
      <c r="BG305" s="256" t="str">
        <f t="shared" si="147"/>
        <v/>
      </c>
      <c r="BH305" s="256" t="str">
        <f t="shared" si="148"/>
        <v/>
      </c>
      <c r="BI305" s="256" t="str">
        <f t="shared" si="149"/>
        <v/>
      </c>
      <c r="BJ305" s="267"/>
      <c r="BK305" s="255"/>
      <c r="BL305" s="259" t="str">
        <f>IF(BK305&lt;&gt;"",BK305/VLOOKUP($V305,Setup!$C$30:$D$41,2,0),"")</f>
        <v/>
      </c>
      <c r="BM305" s="268"/>
      <c r="BN305" s="258" t="str">
        <f t="shared" si="150"/>
        <v/>
      </c>
      <c r="BO305" s="268"/>
      <c r="BP305" s="258" t="str">
        <f t="shared" si="151"/>
        <v/>
      </c>
      <c r="BQ305" s="268"/>
      <c r="BR305" s="258" t="str">
        <f t="shared" si="152"/>
        <v/>
      </c>
      <c r="BS305" s="268"/>
      <c r="BT305" s="256" t="str">
        <f t="shared" si="153"/>
        <v/>
      </c>
      <c r="BU305" s="256" t="str">
        <f t="shared" si="154"/>
        <v/>
      </c>
      <c r="BV305" s="256" t="str">
        <f t="shared" si="155"/>
        <v/>
      </c>
      <c r="BW305" s="267"/>
      <c r="BX305" s="256" t="str">
        <f t="shared" si="156"/>
        <v/>
      </c>
      <c r="BY305" s="256" t="str">
        <f t="shared" si="157"/>
        <v/>
      </c>
      <c r="BZ305" s="281"/>
      <c r="CA305" s="282"/>
      <c r="CC305" s="112" t="str">
        <f t="shared" ca="1" si="158"/>
        <v/>
      </c>
      <c r="CF305" s="284"/>
      <c r="CG305" s="284"/>
      <c r="CH305" s="284"/>
      <c r="CI305" s="284"/>
      <c r="CL305" s="356" t="str">
        <f>IFERROR(VLOOKUP(C305,'Data Sheet'!$A$3:$B$26,2,FALSE),"")</f>
        <v/>
      </c>
    </row>
    <row r="306" spans="1:90" s="98" customFormat="1" ht="15.75" x14ac:dyDescent="0.2">
      <c r="A306" s="97"/>
      <c r="B306" s="105" t="str">
        <f t="shared" si="161"/>
        <v>--</v>
      </c>
      <c r="C306" s="276"/>
      <c r="D306" s="101" t="str">
        <f>IFERROR(IF(VLOOKUP(C306,'Data Sheet'!$A$3:$D$26,4,FALSE)=0,"",VLOOKUP(C306,'Data Sheet'!$A$3:$D$26,4,FALSE)),"")</f>
        <v/>
      </c>
      <c r="E306" s="279"/>
      <c r="F306" s="103" t="str">
        <f>IFERROR(IF(VLOOKUP(E306,'Data Sheet'!$C$29:$E$174,3,FALSE)=0,"",VLOOKUP(E306,'Data Sheet'!$C$29:$E$174,3,FALSE)),"")</f>
        <v/>
      </c>
      <c r="G306" s="106" t="str">
        <f t="shared" si="159"/>
        <v>-</v>
      </c>
      <c r="H306" s="273"/>
      <c r="I306" s="107"/>
      <c r="J306" s="249" t="e">
        <f t="shared" si="160"/>
        <v>#VALUE!</v>
      </c>
      <c r="K306" s="101" t="str">
        <f>IFERROR(INDEX('Data Sheet'!$C$198:$C$275,MATCH(I306,'Data Sheet'!$F$198:$F$275,0)),"")</f>
        <v/>
      </c>
      <c r="L306" s="250" t="str">
        <f>IFERROR(INDEX('Data Sheet'!$G$198:$G$275,MATCH(I306,'Data Sheet'!$F$198:$F$275,0)),"")</f>
        <v/>
      </c>
      <c r="M306" s="194"/>
      <c r="N306" s="248"/>
      <c r="O306" s="248"/>
      <c r="P306" s="108" t="str">
        <f>IFERROR(INDEX(Setup!$D$44:$D$70,MATCH(M306,Setup!$K$44:$K$70,0))&amp;"","")</f>
        <v/>
      </c>
      <c r="Q306" s="108" t="str">
        <f>IFERROR(INDEX(Setup!$E$44:$E$70,MATCH(M306,Setup!$K$44:$K$70,0))&amp;"","")</f>
        <v/>
      </c>
      <c r="R306" s="108" t="str">
        <f>IFERROR(INDEX(Setup!$L$44:$L$70,MATCH(M306,Setup!$K$44:$K$70,0))&amp;"","")</f>
        <v/>
      </c>
      <c r="S306" s="108" t="str">
        <f>Setup!$C$30</f>
        <v>USD</v>
      </c>
      <c r="T306" s="109" t="str">
        <f>IFERROR(INDEX('Data Sheet'!$B$198:$B$275,MATCH(I306,'Data Sheet'!$F$198:$F$275,0)),"")</f>
        <v/>
      </c>
      <c r="U306" s="110" t="str">
        <f>IFERROR(INDEX('Data Sheet'!$D$198:$D$275,MATCH(I306,'Data Sheet'!$F$198:$F$275,0)),"")</f>
        <v/>
      </c>
      <c r="V306" s="99"/>
      <c r="W306" s="195" t="str">
        <f>IF(V306=Setup!$C$30,"Grant",IF(V306=Setup!$C$31,"Local",IF(V306=Setup!$C$32,"Other",IF(ISBLANK(V306),"","Other"))))</f>
        <v/>
      </c>
      <c r="X306" s="255"/>
      <c r="Y306" s="259" t="str">
        <f>IF(X306&lt;&gt;"",X306/VLOOKUP($V306,Setup!$C$30:$D$41,2,0),"")</f>
        <v/>
      </c>
      <c r="Z306" s="262"/>
      <c r="AA306" s="256" t="str">
        <f t="shared" si="132"/>
        <v/>
      </c>
      <c r="AB306" s="262"/>
      <c r="AC306" s="258" t="str">
        <f t="shared" si="133"/>
        <v/>
      </c>
      <c r="AD306" s="262"/>
      <c r="AE306" s="258" t="str">
        <f t="shared" si="134"/>
        <v/>
      </c>
      <c r="AF306" s="262"/>
      <c r="AG306" s="256" t="str">
        <f t="shared" si="135"/>
        <v/>
      </c>
      <c r="AH306" s="256" t="str">
        <f t="shared" si="136"/>
        <v/>
      </c>
      <c r="AI306" s="256" t="str">
        <f t="shared" si="137"/>
        <v/>
      </c>
      <c r="AJ306" s="111"/>
      <c r="AK306" s="255"/>
      <c r="AL306" s="259" t="str">
        <f>IF(AK306&lt;&gt;"",AK306/VLOOKUP($V306,Setup!$C$30:$D$41,2,0),"")</f>
        <v/>
      </c>
      <c r="AM306" s="266"/>
      <c r="AN306" s="258" t="str">
        <f t="shared" si="138"/>
        <v/>
      </c>
      <c r="AO306" s="266"/>
      <c r="AP306" s="258" t="str">
        <f t="shared" si="139"/>
        <v/>
      </c>
      <c r="AQ306" s="266"/>
      <c r="AR306" s="258" t="str">
        <f t="shared" si="140"/>
        <v/>
      </c>
      <c r="AS306" s="266"/>
      <c r="AT306" s="256" t="str">
        <f t="shared" si="141"/>
        <v/>
      </c>
      <c r="AU306" s="256" t="str">
        <f t="shared" si="142"/>
        <v/>
      </c>
      <c r="AV306" s="256" t="str">
        <f t="shared" si="143"/>
        <v/>
      </c>
      <c r="AW306" s="267"/>
      <c r="AX306" s="255"/>
      <c r="AY306" s="259" t="str">
        <f>IF(AX306&lt;&gt;"",AX306/VLOOKUP($V306,Setup!$C$30:$D$41,2,0),"")</f>
        <v/>
      </c>
      <c r="AZ306" s="268"/>
      <c r="BA306" s="258" t="str">
        <f t="shared" si="144"/>
        <v/>
      </c>
      <c r="BB306" s="268"/>
      <c r="BC306" s="258" t="str">
        <f t="shared" si="145"/>
        <v/>
      </c>
      <c r="BD306" s="268"/>
      <c r="BE306" s="258" t="str">
        <f t="shared" si="146"/>
        <v/>
      </c>
      <c r="BF306" s="268"/>
      <c r="BG306" s="256" t="str">
        <f t="shared" si="147"/>
        <v/>
      </c>
      <c r="BH306" s="256" t="str">
        <f t="shared" si="148"/>
        <v/>
      </c>
      <c r="BI306" s="256" t="str">
        <f t="shared" si="149"/>
        <v/>
      </c>
      <c r="BJ306" s="267"/>
      <c r="BK306" s="255"/>
      <c r="BL306" s="259" t="str">
        <f>IF(BK306&lt;&gt;"",BK306/VLOOKUP($V306,Setup!$C$30:$D$41,2,0),"")</f>
        <v/>
      </c>
      <c r="BM306" s="268"/>
      <c r="BN306" s="258" t="str">
        <f t="shared" si="150"/>
        <v/>
      </c>
      <c r="BO306" s="268"/>
      <c r="BP306" s="258" t="str">
        <f t="shared" si="151"/>
        <v/>
      </c>
      <c r="BQ306" s="268"/>
      <c r="BR306" s="258" t="str">
        <f t="shared" si="152"/>
        <v/>
      </c>
      <c r="BS306" s="268"/>
      <c r="BT306" s="256" t="str">
        <f t="shared" si="153"/>
        <v/>
      </c>
      <c r="BU306" s="256" t="str">
        <f t="shared" si="154"/>
        <v/>
      </c>
      <c r="BV306" s="256" t="str">
        <f t="shared" si="155"/>
        <v/>
      </c>
      <c r="BW306" s="267"/>
      <c r="BX306" s="256" t="str">
        <f t="shared" si="156"/>
        <v/>
      </c>
      <c r="BY306" s="256" t="str">
        <f t="shared" si="157"/>
        <v/>
      </c>
      <c r="BZ306" s="281"/>
      <c r="CA306" s="282"/>
      <c r="CC306" s="112" t="str">
        <f t="shared" ca="1" si="158"/>
        <v/>
      </c>
      <c r="CF306" s="284"/>
      <c r="CG306" s="284"/>
      <c r="CH306" s="284"/>
      <c r="CI306" s="284"/>
      <c r="CL306" s="356" t="str">
        <f>IFERROR(VLOOKUP(C306,'Data Sheet'!$A$3:$B$26,2,FALSE),"")</f>
        <v/>
      </c>
    </row>
    <row r="307" spans="1:90" s="98" customFormat="1" ht="15.75" x14ac:dyDescent="0.2">
      <c r="A307" s="97"/>
      <c r="B307" s="105" t="str">
        <f t="shared" si="161"/>
        <v>--</v>
      </c>
      <c r="C307" s="276"/>
      <c r="D307" s="101" t="str">
        <f>IFERROR(IF(VLOOKUP(C307,'Data Sheet'!$A$3:$D$26,4,FALSE)=0,"",VLOOKUP(C307,'Data Sheet'!$A$3:$D$26,4,FALSE)),"")</f>
        <v/>
      </c>
      <c r="E307" s="279"/>
      <c r="F307" s="103" t="str">
        <f>IFERROR(IF(VLOOKUP(E307,'Data Sheet'!$C$29:$E$174,3,FALSE)=0,"",VLOOKUP(E307,'Data Sheet'!$C$29:$E$174,3,FALSE)),"")</f>
        <v/>
      </c>
      <c r="G307" s="106" t="str">
        <f t="shared" si="159"/>
        <v>-</v>
      </c>
      <c r="H307" s="273"/>
      <c r="I307" s="107"/>
      <c r="J307" s="249" t="e">
        <f t="shared" si="160"/>
        <v>#VALUE!</v>
      </c>
      <c r="K307" s="101" t="str">
        <f>IFERROR(INDEX('Data Sheet'!$C$198:$C$275,MATCH(I307,'Data Sheet'!$F$198:$F$275,0)),"")</f>
        <v/>
      </c>
      <c r="L307" s="250" t="str">
        <f>IFERROR(INDEX('Data Sheet'!$G$198:$G$275,MATCH(I307,'Data Sheet'!$F$198:$F$275,0)),"")</f>
        <v/>
      </c>
      <c r="M307" s="194"/>
      <c r="N307" s="248"/>
      <c r="O307" s="248"/>
      <c r="P307" s="108" t="str">
        <f>IFERROR(INDEX(Setup!$D$44:$D$70,MATCH(M307,Setup!$K$44:$K$70,0))&amp;"","")</f>
        <v/>
      </c>
      <c r="Q307" s="108" t="str">
        <f>IFERROR(INDEX(Setup!$E$44:$E$70,MATCH(M307,Setup!$K$44:$K$70,0))&amp;"","")</f>
        <v/>
      </c>
      <c r="R307" s="108" t="str">
        <f>IFERROR(INDEX(Setup!$L$44:$L$70,MATCH(M307,Setup!$K$44:$K$70,0))&amp;"","")</f>
        <v/>
      </c>
      <c r="S307" s="108" t="str">
        <f>Setup!$C$30</f>
        <v>USD</v>
      </c>
      <c r="T307" s="109" t="str">
        <f>IFERROR(INDEX('Data Sheet'!$B$198:$B$275,MATCH(I307,'Data Sheet'!$F$198:$F$275,0)),"")</f>
        <v/>
      </c>
      <c r="U307" s="110" t="str">
        <f>IFERROR(INDEX('Data Sheet'!$D$198:$D$275,MATCH(I307,'Data Sheet'!$F$198:$F$275,0)),"")</f>
        <v/>
      </c>
      <c r="V307" s="99"/>
      <c r="W307" s="195" t="str">
        <f>IF(V307=Setup!$C$30,"Grant",IF(V307=Setup!$C$31,"Local",IF(V307=Setup!$C$32,"Other",IF(ISBLANK(V307),"","Other"))))</f>
        <v/>
      </c>
      <c r="X307" s="255"/>
      <c r="Y307" s="259" t="str">
        <f>IF(X307&lt;&gt;"",X307/VLOOKUP($V307,Setup!$C$30:$D$41,2,0),"")</f>
        <v/>
      </c>
      <c r="Z307" s="262"/>
      <c r="AA307" s="256" t="str">
        <f t="shared" si="132"/>
        <v/>
      </c>
      <c r="AB307" s="262"/>
      <c r="AC307" s="258" t="str">
        <f t="shared" si="133"/>
        <v/>
      </c>
      <c r="AD307" s="262"/>
      <c r="AE307" s="258" t="str">
        <f t="shared" si="134"/>
        <v/>
      </c>
      <c r="AF307" s="262"/>
      <c r="AG307" s="256" t="str">
        <f t="shared" si="135"/>
        <v/>
      </c>
      <c r="AH307" s="256" t="str">
        <f t="shared" si="136"/>
        <v/>
      </c>
      <c r="AI307" s="256" t="str">
        <f t="shared" si="137"/>
        <v/>
      </c>
      <c r="AJ307" s="111"/>
      <c r="AK307" s="255"/>
      <c r="AL307" s="259" t="str">
        <f>IF(AK307&lt;&gt;"",AK307/VLOOKUP($V307,Setup!$C$30:$D$41,2,0),"")</f>
        <v/>
      </c>
      <c r="AM307" s="266"/>
      <c r="AN307" s="258" t="str">
        <f t="shared" si="138"/>
        <v/>
      </c>
      <c r="AO307" s="266"/>
      <c r="AP307" s="258" t="str">
        <f t="shared" si="139"/>
        <v/>
      </c>
      <c r="AQ307" s="266"/>
      <c r="AR307" s="258" t="str">
        <f t="shared" si="140"/>
        <v/>
      </c>
      <c r="AS307" s="266"/>
      <c r="AT307" s="256" t="str">
        <f t="shared" si="141"/>
        <v/>
      </c>
      <c r="AU307" s="256" t="str">
        <f t="shared" si="142"/>
        <v/>
      </c>
      <c r="AV307" s="256" t="str">
        <f t="shared" si="143"/>
        <v/>
      </c>
      <c r="AW307" s="267"/>
      <c r="AX307" s="255"/>
      <c r="AY307" s="259" t="str">
        <f>IF(AX307&lt;&gt;"",AX307/VLOOKUP($V307,Setup!$C$30:$D$41,2,0),"")</f>
        <v/>
      </c>
      <c r="AZ307" s="268"/>
      <c r="BA307" s="258" t="str">
        <f t="shared" si="144"/>
        <v/>
      </c>
      <c r="BB307" s="268"/>
      <c r="BC307" s="258" t="str">
        <f t="shared" si="145"/>
        <v/>
      </c>
      <c r="BD307" s="268"/>
      <c r="BE307" s="258" t="str">
        <f t="shared" si="146"/>
        <v/>
      </c>
      <c r="BF307" s="268"/>
      <c r="BG307" s="256" t="str">
        <f t="shared" si="147"/>
        <v/>
      </c>
      <c r="BH307" s="256" t="str">
        <f t="shared" si="148"/>
        <v/>
      </c>
      <c r="BI307" s="256" t="str">
        <f t="shared" si="149"/>
        <v/>
      </c>
      <c r="BJ307" s="267"/>
      <c r="BK307" s="255"/>
      <c r="BL307" s="259" t="str">
        <f>IF(BK307&lt;&gt;"",BK307/VLOOKUP($V307,Setup!$C$30:$D$41,2,0),"")</f>
        <v/>
      </c>
      <c r="BM307" s="268"/>
      <c r="BN307" s="258" t="str">
        <f t="shared" si="150"/>
        <v/>
      </c>
      <c r="BO307" s="268"/>
      <c r="BP307" s="258" t="str">
        <f t="shared" si="151"/>
        <v/>
      </c>
      <c r="BQ307" s="268"/>
      <c r="BR307" s="258" t="str">
        <f t="shared" si="152"/>
        <v/>
      </c>
      <c r="BS307" s="268"/>
      <c r="BT307" s="256" t="str">
        <f t="shared" si="153"/>
        <v/>
      </c>
      <c r="BU307" s="256" t="str">
        <f t="shared" si="154"/>
        <v/>
      </c>
      <c r="BV307" s="256" t="str">
        <f t="shared" si="155"/>
        <v/>
      </c>
      <c r="BW307" s="267"/>
      <c r="BX307" s="256" t="str">
        <f t="shared" si="156"/>
        <v/>
      </c>
      <c r="BY307" s="256" t="str">
        <f t="shared" si="157"/>
        <v/>
      </c>
      <c r="BZ307" s="281"/>
      <c r="CA307" s="282"/>
      <c r="CC307" s="112" t="str">
        <f t="shared" ca="1" si="158"/>
        <v/>
      </c>
      <c r="CF307" s="284"/>
      <c r="CG307" s="284"/>
      <c r="CH307" s="284"/>
      <c r="CI307" s="284"/>
      <c r="CL307" s="356" t="str">
        <f>IFERROR(VLOOKUP(C307,'Data Sheet'!$A$3:$B$26,2,FALSE),"")</f>
        <v/>
      </c>
    </row>
    <row r="308" spans="1:90" s="98" customFormat="1" ht="15.75" x14ac:dyDescent="0.2">
      <c r="A308" s="97"/>
      <c r="B308" s="105" t="str">
        <f t="shared" si="161"/>
        <v>--</v>
      </c>
      <c r="C308" s="276"/>
      <c r="D308" s="101" t="str">
        <f>IFERROR(IF(VLOOKUP(C308,'Data Sheet'!$A$3:$D$26,4,FALSE)=0,"",VLOOKUP(C308,'Data Sheet'!$A$3:$D$26,4,FALSE)),"")</f>
        <v/>
      </c>
      <c r="E308" s="279"/>
      <c r="F308" s="103" t="str">
        <f>IFERROR(IF(VLOOKUP(E308,'Data Sheet'!$C$29:$E$174,3,FALSE)=0,"",VLOOKUP(E308,'Data Sheet'!$C$29:$E$174,3,FALSE)),"")</f>
        <v/>
      </c>
      <c r="G308" s="106" t="str">
        <f t="shared" si="159"/>
        <v>-</v>
      </c>
      <c r="H308" s="273"/>
      <c r="I308" s="107"/>
      <c r="J308" s="249" t="e">
        <f t="shared" si="160"/>
        <v>#VALUE!</v>
      </c>
      <c r="K308" s="101" t="str">
        <f>IFERROR(INDEX('Data Sheet'!$C$198:$C$275,MATCH(I308,'Data Sheet'!$F$198:$F$275,0)),"")</f>
        <v/>
      </c>
      <c r="L308" s="250" t="str">
        <f>IFERROR(INDEX('Data Sheet'!$G$198:$G$275,MATCH(I308,'Data Sheet'!$F$198:$F$275,0)),"")</f>
        <v/>
      </c>
      <c r="M308" s="194"/>
      <c r="N308" s="248"/>
      <c r="O308" s="248"/>
      <c r="P308" s="108" t="str">
        <f>IFERROR(INDEX(Setup!$D$44:$D$70,MATCH(M308,Setup!$K$44:$K$70,0))&amp;"","")</f>
        <v/>
      </c>
      <c r="Q308" s="108" t="str">
        <f>IFERROR(INDEX(Setup!$E$44:$E$70,MATCH(M308,Setup!$K$44:$K$70,0))&amp;"","")</f>
        <v/>
      </c>
      <c r="R308" s="108" t="str">
        <f>IFERROR(INDEX(Setup!$L$44:$L$70,MATCH(M308,Setup!$K$44:$K$70,0))&amp;"","")</f>
        <v/>
      </c>
      <c r="S308" s="108" t="str">
        <f>Setup!$C$30</f>
        <v>USD</v>
      </c>
      <c r="T308" s="109" t="str">
        <f>IFERROR(INDEX('Data Sheet'!$B$198:$B$275,MATCH(I308,'Data Sheet'!$F$198:$F$275,0)),"")</f>
        <v/>
      </c>
      <c r="U308" s="110" t="str">
        <f>IFERROR(INDEX('Data Sheet'!$D$198:$D$275,MATCH(I308,'Data Sheet'!$F$198:$F$275,0)),"")</f>
        <v/>
      </c>
      <c r="V308" s="99"/>
      <c r="W308" s="195" t="str">
        <f>IF(V308=Setup!$C$30,"Grant",IF(V308=Setup!$C$31,"Local",IF(V308=Setup!$C$32,"Other",IF(ISBLANK(V308),"","Other"))))</f>
        <v/>
      </c>
      <c r="X308" s="255"/>
      <c r="Y308" s="259" t="str">
        <f>IF(X308&lt;&gt;"",X308/VLOOKUP($V308,Setup!$C$30:$D$41,2,0),"")</f>
        <v/>
      </c>
      <c r="Z308" s="262"/>
      <c r="AA308" s="256" t="str">
        <f t="shared" si="132"/>
        <v/>
      </c>
      <c r="AB308" s="262"/>
      <c r="AC308" s="258" t="str">
        <f t="shared" si="133"/>
        <v/>
      </c>
      <c r="AD308" s="262"/>
      <c r="AE308" s="258" t="str">
        <f t="shared" si="134"/>
        <v/>
      </c>
      <c r="AF308" s="262"/>
      <c r="AG308" s="256" t="str">
        <f t="shared" si="135"/>
        <v/>
      </c>
      <c r="AH308" s="256" t="str">
        <f t="shared" si="136"/>
        <v/>
      </c>
      <c r="AI308" s="256" t="str">
        <f t="shared" si="137"/>
        <v/>
      </c>
      <c r="AJ308" s="111"/>
      <c r="AK308" s="255"/>
      <c r="AL308" s="259" t="str">
        <f>IF(AK308&lt;&gt;"",AK308/VLOOKUP($V308,Setup!$C$30:$D$41,2,0),"")</f>
        <v/>
      </c>
      <c r="AM308" s="266"/>
      <c r="AN308" s="258" t="str">
        <f t="shared" si="138"/>
        <v/>
      </c>
      <c r="AO308" s="266"/>
      <c r="AP308" s="258" t="str">
        <f t="shared" si="139"/>
        <v/>
      </c>
      <c r="AQ308" s="266"/>
      <c r="AR308" s="258" t="str">
        <f t="shared" si="140"/>
        <v/>
      </c>
      <c r="AS308" s="266"/>
      <c r="AT308" s="256" t="str">
        <f t="shared" si="141"/>
        <v/>
      </c>
      <c r="AU308" s="256" t="str">
        <f t="shared" si="142"/>
        <v/>
      </c>
      <c r="AV308" s="256" t="str">
        <f t="shared" si="143"/>
        <v/>
      </c>
      <c r="AW308" s="267"/>
      <c r="AX308" s="255"/>
      <c r="AY308" s="259" t="str">
        <f>IF(AX308&lt;&gt;"",AX308/VLOOKUP($V308,Setup!$C$30:$D$41,2,0),"")</f>
        <v/>
      </c>
      <c r="AZ308" s="268"/>
      <c r="BA308" s="258" t="str">
        <f t="shared" si="144"/>
        <v/>
      </c>
      <c r="BB308" s="268"/>
      <c r="BC308" s="258" t="str">
        <f t="shared" si="145"/>
        <v/>
      </c>
      <c r="BD308" s="268"/>
      <c r="BE308" s="258" t="str">
        <f t="shared" si="146"/>
        <v/>
      </c>
      <c r="BF308" s="268"/>
      <c r="BG308" s="256" t="str">
        <f t="shared" si="147"/>
        <v/>
      </c>
      <c r="BH308" s="256" t="str">
        <f t="shared" si="148"/>
        <v/>
      </c>
      <c r="BI308" s="256" t="str">
        <f t="shared" si="149"/>
        <v/>
      </c>
      <c r="BJ308" s="267"/>
      <c r="BK308" s="255"/>
      <c r="BL308" s="259" t="str">
        <f>IF(BK308&lt;&gt;"",BK308/VLOOKUP($V308,Setup!$C$30:$D$41,2,0),"")</f>
        <v/>
      </c>
      <c r="BM308" s="268"/>
      <c r="BN308" s="258" t="str">
        <f t="shared" si="150"/>
        <v/>
      </c>
      <c r="BO308" s="268"/>
      <c r="BP308" s="258" t="str">
        <f t="shared" si="151"/>
        <v/>
      </c>
      <c r="BQ308" s="268"/>
      <c r="BR308" s="258" t="str">
        <f t="shared" si="152"/>
        <v/>
      </c>
      <c r="BS308" s="268"/>
      <c r="BT308" s="256" t="str">
        <f t="shared" si="153"/>
        <v/>
      </c>
      <c r="BU308" s="256" t="str">
        <f t="shared" si="154"/>
        <v/>
      </c>
      <c r="BV308" s="256" t="str">
        <f t="shared" si="155"/>
        <v/>
      </c>
      <c r="BW308" s="267"/>
      <c r="BX308" s="256" t="str">
        <f t="shared" si="156"/>
        <v/>
      </c>
      <c r="BY308" s="256" t="str">
        <f t="shared" si="157"/>
        <v/>
      </c>
      <c r="BZ308" s="281"/>
      <c r="CA308" s="282"/>
      <c r="CC308" s="112" t="str">
        <f t="shared" ca="1" si="158"/>
        <v/>
      </c>
      <c r="CF308" s="284"/>
      <c r="CG308" s="284"/>
      <c r="CH308" s="284"/>
      <c r="CI308" s="284"/>
      <c r="CL308" s="356" t="str">
        <f>IFERROR(VLOOKUP(C308,'Data Sheet'!$A$3:$B$26,2,FALSE),"")</f>
        <v/>
      </c>
    </row>
    <row r="309" spans="1:90" s="98" customFormat="1" ht="15.75" x14ac:dyDescent="0.2">
      <c r="A309" s="97"/>
      <c r="B309" s="105" t="str">
        <f t="shared" si="161"/>
        <v>--</v>
      </c>
      <c r="C309" s="276"/>
      <c r="D309" s="101" t="str">
        <f>IFERROR(IF(VLOOKUP(C309,'Data Sheet'!$A$3:$D$26,4,FALSE)=0,"",VLOOKUP(C309,'Data Sheet'!$A$3:$D$26,4,FALSE)),"")</f>
        <v/>
      </c>
      <c r="E309" s="279"/>
      <c r="F309" s="103" t="str">
        <f>IFERROR(IF(VLOOKUP(E309,'Data Sheet'!$C$29:$E$174,3,FALSE)=0,"",VLOOKUP(E309,'Data Sheet'!$C$29:$E$174,3,FALSE)),"")</f>
        <v/>
      </c>
      <c r="G309" s="106" t="str">
        <f t="shared" si="159"/>
        <v>-</v>
      </c>
      <c r="H309" s="273"/>
      <c r="I309" s="107"/>
      <c r="J309" s="249" t="e">
        <f t="shared" si="160"/>
        <v>#VALUE!</v>
      </c>
      <c r="K309" s="101" t="str">
        <f>IFERROR(INDEX('Data Sheet'!$C$198:$C$275,MATCH(I309,'Data Sheet'!$F$198:$F$275,0)),"")</f>
        <v/>
      </c>
      <c r="L309" s="250" t="str">
        <f>IFERROR(INDEX('Data Sheet'!$G$198:$G$275,MATCH(I309,'Data Sheet'!$F$198:$F$275,0)),"")</f>
        <v/>
      </c>
      <c r="M309" s="194"/>
      <c r="N309" s="248"/>
      <c r="O309" s="248"/>
      <c r="P309" s="108" t="str">
        <f>IFERROR(INDEX(Setup!$D$44:$D$70,MATCH(M309,Setup!$K$44:$K$70,0))&amp;"","")</f>
        <v/>
      </c>
      <c r="Q309" s="108" t="str">
        <f>IFERROR(INDEX(Setup!$E$44:$E$70,MATCH(M309,Setup!$K$44:$K$70,0))&amp;"","")</f>
        <v/>
      </c>
      <c r="R309" s="108" t="str">
        <f>IFERROR(INDEX(Setup!$L$44:$L$70,MATCH(M309,Setup!$K$44:$K$70,0))&amp;"","")</f>
        <v/>
      </c>
      <c r="S309" s="108" t="str">
        <f>Setup!$C$30</f>
        <v>USD</v>
      </c>
      <c r="T309" s="109" t="str">
        <f>IFERROR(INDEX('Data Sheet'!$B$198:$B$275,MATCH(I309,'Data Sheet'!$F$198:$F$275,0)),"")</f>
        <v/>
      </c>
      <c r="U309" s="110" t="str">
        <f>IFERROR(INDEX('Data Sheet'!$D$198:$D$275,MATCH(I309,'Data Sheet'!$F$198:$F$275,0)),"")</f>
        <v/>
      </c>
      <c r="V309" s="99"/>
      <c r="W309" s="195" t="str">
        <f>IF(V309=Setup!$C$30,"Grant",IF(V309=Setup!$C$31,"Local",IF(V309=Setup!$C$32,"Other",IF(ISBLANK(V309),"","Other"))))</f>
        <v/>
      </c>
      <c r="X309" s="255"/>
      <c r="Y309" s="259" t="str">
        <f>IF(X309&lt;&gt;"",X309/VLOOKUP($V309,Setup!$C$30:$D$41,2,0),"")</f>
        <v/>
      </c>
      <c r="Z309" s="262"/>
      <c r="AA309" s="256" t="str">
        <f t="shared" si="132"/>
        <v/>
      </c>
      <c r="AB309" s="262"/>
      <c r="AC309" s="258" t="str">
        <f t="shared" si="133"/>
        <v/>
      </c>
      <c r="AD309" s="262"/>
      <c r="AE309" s="258" t="str">
        <f t="shared" si="134"/>
        <v/>
      </c>
      <c r="AF309" s="262"/>
      <c r="AG309" s="256" t="str">
        <f t="shared" si="135"/>
        <v/>
      </c>
      <c r="AH309" s="256" t="str">
        <f t="shared" si="136"/>
        <v/>
      </c>
      <c r="AI309" s="256" t="str">
        <f t="shared" si="137"/>
        <v/>
      </c>
      <c r="AJ309" s="111"/>
      <c r="AK309" s="255"/>
      <c r="AL309" s="259" t="str">
        <f>IF(AK309&lt;&gt;"",AK309/VLOOKUP($V309,Setup!$C$30:$D$41,2,0),"")</f>
        <v/>
      </c>
      <c r="AM309" s="266"/>
      <c r="AN309" s="258" t="str">
        <f t="shared" si="138"/>
        <v/>
      </c>
      <c r="AO309" s="266"/>
      <c r="AP309" s="258" t="str">
        <f t="shared" si="139"/>
        <v/>
      </c>
      <c r="AQ309" s="266"/>
      <c r="AR309" s="258" t="str">
        <f t="shared" si="140"/>
        <v/>
      </c>
      <c r="AS309" s="266"/>
      <c r="AT309" s="256" t="str">
        <f t="shared" si="141"/>
        <v/>
      </c>
      <c r="AU309" s="256" t="str">
        <f t="shared" si="142"/>
        <v/>
      </c>
      <c r="AV309" s="256" t="str">
        <f t="shared" si="143"/>
        <v/>
      </c>
      <c r="AW309" s="267"/>
      <c r="AX309" s="255"/>
      <c r="AY309" s="259" t="str">
        <f>IF(AX309&lt;&gt;"",AX309/VLOOKUP($V309,Setup!$C$30:$D$41,2,0),"")</f>
        <v/>
      </c>
      <c r="AZ309" s="268"/>
      <c r="BA309" s="258" t="str">
        <f t="shared" si="144"/>
        <v/>
      </c>
      <c r="BB309" s="268"/>
      <c r="BC309" s="258" t="str">
        <f t="shared" si="145"/>
        <v/>
      </c>
      <c r="BD309" s="268"/>
      <c r="BE309" s="258" t="str">
        <f t="shared" si="146"/>
        <v/>
      </c>
      <c r="BF309" s="268"/>
      <c r="BG309" s="256" t="str">
        <f t="shared" si="147"/>
        <v/>
      </c>
      <c r="BH309" s="256" t="str">
        <f t="shared" si="148"/>
        <v/>
      </c>
      <c r="BI309" s="256" t="str">
        <f t="shared" si="149"/>
        <v/>
      </c>
      <c r="BJ309" s="267"/>
      <c r="BK309" s="255"/>
      <c r="BL309" s="259" t="str">
        <f>IF(BK309&lt;&gt;"",BK309/VLOOKUP($V309,Setup!$C$30:$D$41,2,0),"")</f>
        <v/>
      </c>
      <c r="BM309" s="268"/>
      <c r="BN309" s="258" t="str">
        <f t="shared" si="150"/>
        <v/>
      </c>
      <c r="BO309" s="268"/>
      <c r="BP309" s="258" t="str">
        <f t="shared" si="151"/>
        <v/>
      </c>
      <c r="BQ309" s="268"/>
      <c r="BR309" s="258" t="str">
        <f t="shared" si="152"/>
        <v/>
      </c>
      <c r="BS309" s="268"/>
      <c r="BT309" s="256" t="str">
        <f t="shared" si="153"/>
        <v/>
      </c>
      <c r="BU309" s="256" t="str">
        <f t="shared" si="154"/>
        <v/>
      </c>
      <c r="BV309" s="256" t="str">
        <f t="shared" si="155"/>
        <v/>
      </c>
      <c r="BW309" s="267"/>
      <c r="BX309" s="256" t="str">
        <f t="shared" si="156"/>
        <v/>
      </c>
      <c r="BY309" s="256" t="str">
        <f t="shared" si="157"/>
        <v/>
      </c>
      <c r="BZ309" s="281"/>
      <c r="CA309" s="282"/>
      <c r="CC309" s="112" t="str">
        <f t="shared" ca="1" si="158"/>
        <v/>
      </c>
      <c r="CF309" s="284"/>
      <c r="CG309" s="284"/>
      <c r="CH309" s="284"/>
      <c r="CI309" s="284"/>
      <c r="CL309" s="356" t="str">
        <f>IFERROR(VLOOKUP(C309,'Data Sheet'!$A$3:$B$26,2,FALSE),"")</f>
        <v/>
      </c>
    </row>
    <row r="310" spans="1:90" s="98" customFormat="1" ht="15.75" x14ac:dyDescent="0.2">
      <c r="A310" s="97"/>
      <c r="B310" s="105" t="str">
        <f t="shared" si="161"/>
        <v>--</v>
      </c>
      <c r="C310" s="276"/>
      <c r="D310" s="101" t="str">
        <f>IFERROR(IF(VLOOKUP(C310,'Data Sheet'!$A$3:$D$26,4,FALSE)=0,"",VLOOKUP(C310,'Data Sheet'!$A$3:$D$26,4,FALSE)),"")</f>
        <v/>
      </c>
      <c r="E310" s="279"/>
      <c r="F310" s="103" t="str">
        <f>IFERROR(IF(VLOOKUP(E310,'Data Sheet'!$C$29:$E$174,3,FALSE)=0,"",VLOOKUP(E310,'Data Sheet'!$C$29:$E$174,3,FALSE)),"")</f>
        <v/>
      </c>
      <c r="G310" s="106" t="str">
        <f t="shared" si="159"/>
        <v>-</v>
      </c>
      <c r="H310" s="273"/>
      <c r="I310" s="107"/>
      <c r="J310" s="249" t="e">
        <f t="shared" si="160"/>
        <v>#VALUE!</v>
      </c>
      <c r="K310" s="101" t="str">
        <f>IFERROR(INDEX('Data Sheet'!$C$198:$C$275,MATCH(I310,'Data Sheet'!$F$198:$F$275,0)),"")</f>
        <v/>
      </c>
      <c r="L310" s="250" t="str">
        <f>IFERROR(INDEX('Data Sheet'!$G$198:$G$275,MATCH(I310,'Data Sheet'!$F$198:$F$275,0)),"")</f>
        <v/>
      </c>
      <c r="M310" s="194"/>
      <c r="N310" s="248"/>
      <c r="O310" s="248"/>
      <c r="P310" s="108" t="str">
        <f>IFERROR(INDEX(Setup!$D$44:$D$70,MATCH(M310,Setup!$K$44:$K$70,0))&amp;"","")</f>
        <v/>
      </c>
      <c r="Q310" s="108" t="str">
        <f>IFERROR(INDEX(Setup!$E$44:$E$70,MATCH(M310,Setup!$K$44:$K$70,0))&amp;"","")</f>
        <v/>
      </c>
      <c r="R310" s="108" t="str">
        <f>IFERROR(INDEX(Setup!$L$44:$L$70,MATCH(M310,Setup!$K$44:$K$70,0))&amp;"","")</f>
        <v/>
      </c>
      <c r="S310" s="108" t="str">
        <f>Setup!$C$30</f>
        <v>USD</v>
      </c>
      <c r="T310" s="109" t="str">
        <f>IFERROR(INDEX('Data Sheet'!$B$198:$B$275,MATCH(I310,'Data Sheet'!$F$198:$F$275,0)),"")</f>
        <v/>
      </c>
      <c r="U310" s="110" t="str">
        <f>IFERROR(INDEX('Data Sheet'!$D$198:$D$275,MATCH(I310,'Data Sheet'!$F$198:$F$275,0)),"")</f>
        <v/>
      </c>
      <c r="V310" s="99"/>
      <c r="W310" s="195" t="str">
        <f>IF(V310=Setup!$C$30,"Grant",IF(V310=Setup!$C$31,"Local",IF(V310=Setup!$C$32,"Other",IF(ISBLANK(V310),"","Other"))))</f>
        <v/>
      </c>
      <c r="X310" s="255"/>
      <c r="Y310" s="259" t="str">
        <f>IF(X310&lt;&gt;"",X310/VLOOKUP($V310,Setup!$C$30:$D$41,2,0),"")</f>
        <v/>
      </c>
      <c r="Z310" s="262"/>
      <c r="AA310" s="256" t="str">
        <f t="shared" si="132"/>
        <v/>
      </c>
      <c r="AB310" s="262"/>
      <c r="AC310" s="258" t="str">
        <f t="shared" si="133"/>
        <v/>
      </c>
      <c r="AD310" s="262"/>
      <c r="AE310" s="258" t="str">
        <f t="shared" si="134"/>
        <v/>
      </c>
      <c r="AF310" s="262"/>
      <c r="AG310" s="256" t="str">
        <f t="shared" si="135"/>
        <v/>
      </c>
      <c r="AH310" s="256" t="str">
        <f t="shared" si="136"/>
        <v/>
      </c>
      <c r="AI310" s="256" t="str">
        <f t="shared" si="137"/>
        <v/>
      </c>
      <c r="AJ310" s="111"/>
      <c r="AK310" s="255"/>
      <c r="AL310" s="259" t="str">
        <f>IF(AK310&lt;&gt;"",AK310/VLOOKUP($V310,Setup!$C$30:$D$41,2,0),"")</f>
        <v/>
      </c>
      <c r="AM310" s="266"/>
      <c r="AN310" s="258" t="str">
        <f t="shared" si="138"/>
        <v/>
      </c>
      <c r="AO310" s="266"/>
      <c r="AP310" s="258" t="str">
        <f t="shared" si="139"/>
        <v/>
      </c>
      <c r="AQ310" s="266"/>
      <c r="AR310" s="258" t="str">
        <f t="shared" si="140"/>
        <v/>
      </c>
      <c r="AS310" s="266"/>
      <c r="AT310" s="256" t="str">
        <f t="shared" si="141"/>
        <v/>
      </c>
      <c r="AU310" s="256" t="str">
        <f t="shared" si="142"/>
        <v/>
      </c>
      <c r="AV310" s="256" t="str">
        <f t="shared" si="143"/>
        <v/>
      </c>
      <c r="AW310" s="267"/>
      <c r="AX310" s="255"/>
      <c r="AY310" s="259" t="str">
        <f>IF(AX310&lt;&gt;"",AX310/VLOOKUP($V310,Setup!$C$30:$D$41,2,0),"")</f>
        <v/>
      </c>
      <c r="AZ310" s="268"/>
      <c r="BA310" s="258" t="str">
        <f t="shared" si="144"/>
        <v/>
      </c>
      <c r="BB310" s="268"/>
      <c r="BC310" s="258" t="str">
        <f t="shared" si="145"/>
        <v/>
      </c>
      <c r="BD310" s="268"/>
      <c r="BE310" s="258" t="str">
        <f t="shared" si="146"/>
        <v/>
      </c>
      <c r="BF310" s="268"/>
      <c r="BG310" s="256" t="str">
        <f t="shared" si="147"/>
        <v/>
      </c>
      <c r="BH310" s="256" t="str">
        <f t="shared" si="148"/>
        <v/>
      </c>
      <c r="BI310" s="256" t="str">
        <f t="shared" si="149"/>
        <v/>
      </c>
      <c r="BJ310" s="267"/>
      <c r="BK310" s="255"/>
      <c r="BL310" s="259" t="str">
        <f>IF(BK310&lt;&gt;"",BK310/VLOOKUP($V310,Setup!$C$30:$D$41,2,0),"")</f>
        <v/>
      </c>
      <c r="BM310" s="268"/>
      <c r="BN310" s="258" t="str">
        <f t="shared" si="150"/>
        <v/>
      </c>
      <c r="BO310" s="268"/>
      <c r="BP310" s="258" t="str">
        <f t="shared" si="151"/>
        <v/>
      </c>
      <c r="BQ310" s="268"/>
      <c r="BR310" s="258" t="str">
        <f t="shared" si="152"/>
        <v/>
      </c>
      <c r="BS310" s="268"/>
      <c r="BT310" s="256" t="str">
        <f t="shared" si="153"/>
        <v/>
      </c>
      <c r="BU310" s="256" t="str">
        <f t="shared" si="154"/>
        <v/>
      </c>
      <c r="BV310" s="256" t="str">
        <f t="shared" si="155"/>
        <v/>
      </c>
      <c r="BW310" s="267"/>
      <c r="BX310" s="256" t="str">
        <f t="shared" si="156"/>
        <v/>
      </c>
      <c r="BY310" s="256" t="str">
        <f t="shared" si="157"/>
        <v/>
      </c>
      <c r="BZ310" s="281"/>
      <c r="CA310" s="282"/>
      <c r="CC310" s="112" t="str">
        <f t="shared" ca="1" si="158"/>
        <v/>
      </c>
      <c r="CF310" s="284"/>
      <c r="CG310" s="284"/>
      <c r="CH310" s="284"/>
      <c r="CI310" s="284"/>
      <c r="CL310" s="356" t="str">
        <f>IFERROR(VLOOKUP(C310,'Data Sheet'!$A$3:$B$26,2,FALSE),"")</f>
        <v/>
      </c>
    </row>
    <row r="311" spans="1:90" s="98" customFormat="1" ht="15.75" x14ac:dyDescent="0.2">
      <c r="A311" s="97"/>
      <c r="B311" s="105" t="str">
        <f t="shared" si="161"/>
        <v>--</v>
      </c>
      <c r="C311" s="276"/>
      <c r="D311" s="101" t="str">
        <f>IFERROR(IF(VLOOKUP(C311,'Data Sheet'!$A$3:$D$26,4,FALSE)=0,"",VLOOKUP(C311,'Data Sheet'!$A$3:$D$26,4,FALSE)),"")</f>
        <v/>
      </c>
      <c r="E311" s="279"/>
      <c r="F311" s="103" t="str">
        <f>IFERROR(IF(VLOOKUP(E311,'Data Sheet'!$C$29:$E$174,3,FALSE)=0,"",VLOOKUP(E311,'Data Sheet'!$C$29:$E$174,3,FALSE)),"")</f>
        <v/>
      </c>
      <c r="G311" s="106" t="str">
        <f t="shared" si="159"/>
        <v>-</v>
      </c>
      <c r="H311" s="273"/>
      <c r="I311" s="107"/>
      <c r="J311" s="249" t="e">
        <f t="shared" si="160"/>
        <v>#VALUE!</v>
      </c>
      <c r="K311" s="101" t="str">
        <f>IFERROR(INDEX('Data Sheet'!$C$198:$C$275,MATCH(I311,'Data Sheet'!$F$198:$F$275,0)),"")</f>
        <v/>
      </c>
      <c r="L311" s="250" t="str">
        <f>IFERROR(INDEX('Data Sheet'!$G$198:$G$275,MATCH(I311,'Data Sheet'!$F$198:$F$275,0)),"")</f>
        <v/>
      </c>
      <c r="M311" s="194"/>
      <c r="N311" s="248"/>
      <c r="O311" s="248"/>
      <c r="P311" s="108" t="str">
        <f>IFERROR(INDEX(Setup!$D$44:$D$70,MATCH(M311,Setup!$K$44:$K$70,0))&amp;"","")</f>
        <v/>
      </c>
      <c r="Q311" s="108" t="str">
        <f>IFERROR(INDEX(Setup!$E$44:$E$70,MATCH(M311,Setup!$K$44:$K$70,0))&amp;"","")</f>
        <v/>
      </c>
      <c r="R311" s="108" t="str">
        <f>IFERROR(INDEX(Setup!$L$44:$L$70,MATCH(M311,Setup!$K$44:$K$70,0))&amp;"","")</f>
        <v/>
      </c>
      <c r="S311" s="108" t="str">
        <f>Setup!$C$30</f>
        <v>USD</v>
      </c>
      <c r="T311" s="109" t="str">
        <f>IFERROR(INDEX('Data Sheet'!$B$198:$B$275,MATCH(I311,'Data Sheet'!$F$198:$F$275,0)),"")</f>
        <v/>
      </c>
      <c r="U311" s="110" t="str">
        <f>IFERROR(INDEX('Data Sheet'!$D$198:$D$275,MATCH(I311,'Data Sheet'!$F$198:$F$275,0)),"")</f>
        <v/>
      </c>
      <c r="V311" s="99"/>
      <c r="W311" s="195" t="str">
        <f>IF(V311=Setup!$C$30,"Grant",IF(V311=Setup!$C$31,"Local",IF(V311=Setup!$C$32,"Other",IF(ISBLANK(V311),"","Other"))))</f>
        <v/>
      </c>
      <c r="X311" s="255"/>
      <c r="Y311" s="259" t="str">
        <f>IF(X311&lt;&gt;"",X311/VLOOKUP($V311,Setup!$C$30:$D$41,2,0),"")</f>
        <v/>
      </c>
      <c r="Z311" s="262"/>
      <c r="AA311" s="256" t="str">
        <f t="shared" si="132"/>
        <v/>
      </c>
      <c r="AB311" s="262"/>
      <c r="AC311" s="258" t="str">
        <f t="shared" si="133"/>
        <v/>
      </c>
      <c r="AD311" s="262"/>
      <c r="AE311" s="258" t="str">
        <f t="shared" si="134"/>
        <v/>
      </c>
      <c r="AF311" s="262"/>
      <c r="AG311" s="256" t="str">
        <f t="shared" si="135"/>
        <v/>
      </c>
      <c r="AH311" s="256" t="str">
        <f t="shared" si="136"/>
        <v/>
      </c>
      <c r="AI311" s="256" t="str">
        <f t="shared" si="137"/>
        <v/>
      </c>
      <c r="AJ311" s="111"/>
      <c r="AK311" s="255"/>
      <c r="AL311" s="259" t="str">
        <f>IF(AK311&lt;&gt;"",AK311/VLOOKUP($V311,Setup!$C$30:$D$41,2,0),"")</f>
        <v/>
      </c>
      <c r="AM311" s="266"/>
      <c r="AN311" s="258" t="str">
        <f t="shared" si="138"/>
        <v/>
      </c>
      <c r="AO311" s="266"/>
      <c r="AP311" s="258" t="str">
        <f t="shared" si="139"/>
        <v/>
      </c>
      <c r="AQ311" s="266"/>
      <c r="AR311" s="258" t="str">
        <f t="shared" si="140"/>
        <v/>
      </c>
      <c r="AS311" s="266"/>
      <c r="AT311" s="256" t="str">
        <f t="shared" si="141"/>
        <v/>
      </c>
      <c r="AU311" s="256" t="str">
        <f t="shared" si="142"/>
        <v/>
      </c>
      <c r="AV311" s="256" t="str">
        <f t="shared" si="143"/>
        <v/>
      </c>
      <c r="AW311" s="267"/>
      <c r="AX311" s="255"/>
      <c r="AY311" s="259" t="str">
        <f>IF(AX311&lt;&gt;"",AX311/VLOOKUP($V311,Setup!$C$30:$D$41,2,0),"")</f>
        <v/>
      </c>
      <c r="AZ311" s="268"/>
      <c r="BA311" s="258" t="str">
        <f t="shared" si="144"/>
        <v/>
      </c>
      <c r="BB311" s="268"/>
      <c r="BC311" s="258" t="str">
        <f t="shared" si="145"/>
        <v/>
      </c>
      <c r="BD311" s="268"/>
      <c r="BE311" s="258" t="str">
        <f t="shared" si="146"/>
        <v/>
      </c>
      <c r="BF311" s="268"/>
      <c r="BG311" s="256" t="str">
        <f t="shared" si="147"/>
        <v/>
      </c>
      <c r="BH311" s="256" t="str">
        <f t="shared" si="148"/>
        <v/>
      </c>
      <c r="BI311" s="256" t="str">
        <f t="shared" si="149"/>
        <v/>
      </c>
      <c r="BJ311" s="267"/>
      <c r="BK311" s="255"/>
      <c r="BL311" s="259" t="str">
        <f>IF(BK311&lt;&gt;"",BK311/VLOOKUP($V311,Setup!$C$30:$D$41,2,0),"")</f>
        <v/>
      </c>
      <c r="BM311" s="268"/>
      <c r="BN311" s="258" t="str">
        <f t="shared" si="150"/>
        <v/>
      </c>
      <c r="BO311" s="268"/>
      <c r="BP311" s="258" t="str">
        <f t="shared" si="151"/>
        <v/>
      </c>
      <c r="BQ311" s="268"/>
      <c r="BR311" s="258" t="str">
        <f t="shared" si="152"/>
        <v/>
      </c>
      <c r="BS311" s="268"/>
      <c r="BT311" s="256" t="str">
        <f t="shared" si="153"/>
        <v/>
      </c>
      <c r="BU311" s="256" t="str">
        <f t="shared" si="154"/>
        <v/>
      </c>
      <c r="BV311" s="256" t="str">
        <f t="shared" si="155"/>
        <v/>
      </c>
      <c r="BW311" s="267"/>
      <c r="BX311" s="256" t="str">
        <f t="shared" si="156"/>
        <v/>
      </c>
      <c r="BY311" s="256" t="str">
        <f t="shared" si="157"/>
        <v/>
      </c>
      <c r="BZ311" s="281"/>
      <c r="CA311" s="282"/>
      <c r="CC311" s="112" t="str">
        <f t="shared" ca="1" si="158"/>
        <v/>
      </c>
      <c r="CF311" s="284"/>
      <c r="CG311" s="284"/>
      <c r="CH311" s="284"/>
      <c r="CI311" s="284"/>
      <c r="CL311" s="356" t="str">
        <f>IFERROR(VLOOKUP(C311,'Data Sheet'!$A$3:$B$26,2,FALSE),"")</f>
        <v/>
      </c>
    </row>
    <row r="312" spans="1:90" s="98" customFormat="1" ht="15.75" x14ac:dyDescent="0.2">
      <c r="A312" s="97"/>
      <c r="B312" s="105" t="str">
        <f t="shared" si="161"/>
        <v>--</v>
      </c>
      <c r="C312" s="276"/>
      <c r="D312" s="101" t="str">
        <f>IFERROR(IF(VLOOKUP(C312,'Data Sheet'!$A$3:$D$26,4,FALSE)=0,"",VLOOKUP(C312,'Data Sheet'!$A$3:$D$26,4,FALSE)),"")</f>
        <v/>
      </c>
      <c r="E312" s="279"/>
      <c r="F312" s="103" t="str">
        <f>IFERROR(IF(VLOOKUP(E312,'Data Sheet'!$C$29:$E$174,3,FALSE)=0,"",VLOOKUP(E312,'Data Sheet'!$C$29:$E$174,3,FALSE)),"")</f>
        <v/>
      </c>
      <c r="G312" s="106" t="str">
        <f t="shared" si="159"/>
        <v>-</v>
      </c>
      <c r="H312" s="273"/>
      <c r="I312" s="107"/>
      <c r="J312" s="249" t="e">
        <f t="shared" si="160"/>
        <v>#VALUE!</v>
      </c>
      <c r="K312" s="101" t="str">
        <f>IFERROR(INDEX('Data Sheet'!$C$198:$C$275,MATCH(I312,'Data Sheet'!$F$198:$F$275,0)),"")</f>
        <v/>
      </c>
      <c r="L312" s="250" t="str">
        <f>IFERROR(INDEX('Data Sheet'!$G$198:$G$275,MATCH(I312,'Data Sheet'!$F$198:$F$275,0)),"")</f>
        <v/>
      </c>
      <c r="M312" s="194"/>
      <c r="N312" s="248"/>
      <c r="O312" s="248"/>
      <c r="P312" s="108" t="str">
        <f>IFERROR(INDEX(Setup!$D$44:$D$70,MATCH(M312,Setup!$K$44:$K$70,0))&amp;"","")</f>
        <v/>
      </c>
      <c r="Q312" s="108" t="str">
        <f>IFERROR(INDEX(Setup!$E$44:$E$70,MATCH(M312,Setup!$K$44:$K$70,0))&amp;"","")</f>
        <v/>
      </c>
      <c r="R312" s="108" t="str">
        <f>IFERROR(INDEX(Setup!$L$44:$L$70,MATCH(M312,Setup!$K$44:$K$70,0))&amp;"","")</f>
        <v/>
      </c>
      <c r="S312" s="108" t="str">
        <f>Setup!$C$30</f>
        <v>USD</v>
      </c>
      <c r="T312" s="109" t="str">
        <f>IFERROR(INDEX('Data Sheet'!$B$198:$B$275,MATCH(I312,'Data Sheet'!$F$198:$F$275,0)),"")</f>
        <v/>
      </c>
      <c r="U312" s="110" t="str">
        <f>IFERROR(INDEX('Data Sheet'!$D$198:$D$275,MATCH(I312,'Data Sheet'!$F$198:$F$275,0)),"")</f>
        <v/>
      </c>
      <c r="V312" s="99"/>
      <c r="W312" s="195" t="str">
        <f>IF(V312=Setup!$C$30,"Grant",IF(V312=Setup!$C$31,"Local",IF(V312=Setup!$C$32,"Other",IF(ISBLANK(V312),"","Other"))))</f>
        <v/>
      </c>
      <c r="X312" s="255"/>
      <c r="Y312" s="259" t="str">
        <f>IF(X312&lt;&gt;"",X312/VLOOKUP($V312,Setup!$C$30:$D$41,2,0),"")</f>
        <v/>
      </c>
      <c r="Z312" s="262"/>
      <c r="AA312" s="256" t="str">
        <f t="shared" si="132"/>
        <v/>
      </c>
      <c r="AB312" s="262"/>
      <c r="AC312" s="258" t="str">
        <f t="shared" si="133"/>
        <v/>
      </c>
      <c r="AD312" s="262"/>
      <c r="AE312" s="258" t="str">
        <f t="shared" si="134"/>
        <v/>
      </c>
      <c r="AF312" s="262"/>
      <c r="AG312" s="256" t="str">
        <f t="shared" si="135"/>
        <v/>
      </c>
      <c r="AH312" s="256" t="str">
        <f t="shared" si="136"/>
        <v/>
      </c>
      <c r="AI312" s="256" t="str">
        <f t="shared" si="137"/>
        <v/>
      </c>
      <c r="AJ312" s="111"/>
      <c r="AK312" s="255"/>
      <c r="AL312" s="259" t="str">
        <f>IF(AK312&lt;&gt;"",AK312/VLOOKUP($V312,Setup!$C$30:$D$41,2,0),"")</f>
        <v/>
      </c>
      <c r="AM312" s="266"/>
      <c r="AN312" s="258" t="str">
        <f t="shared" si="138"/>
        <v/>
      </c>
      <c r="AO312" s="266"/>
      <c r="AP312" s="258" t="str">
        <f t="shared" si="139"/>
        <v/>
      </c>
      <c r="AQ312" s="266"/>
      <c r="AR312" s="258" t="str">
        <f t="shared" si="140"/>
        <v/>
      </c>
      <c r="AS312" s="266"/>
      <c r="AT312" s="256" t="str">
        <f t="shared" si="141"/>
        <v/>
      </c>
      <c r="AU312" s="256" t="str">
        <f t="shared" si="142"/>
        <v/>
      </c>
      <c r="AV312" s="256" t="str">
        <f t="shared" si="143"/>
        <v/>
      </c>
      <c r="AW312" s="267"/>
      <c r="AX312" s="255"/>
      <c r="AY312" s="259" t="str">
        <f>IF(AX312&lt;&gt;"",AX312/VLOOKUP($V312,Setup!$C$30:$D$41,2,0),"")</f>
        <v/>
      </c>
      <c r="AZ312" s="268"/>
      <c r="BA312" s="258" t="str">
        <f t="shared" si="144"/>
        <v/>
      </c>
      <c r="BB312" s="268"/>
      <c r="BC312" s="258" t="str">
        <f t="shared" si="145"/>
        <v/>
      </c>
      <c r="BD312" s="268"/>
      <c r="BE312" s="258" t="str">
        <f t="shared" si="146"/>
        <v/>
      </c>
      <c r="BF312" s="268"/>
      <c r="BG312" s="256" t="str">
        <f t="shared" si="147"/>
        <v/>
      </c>
      <c r="BH312" s="256" t="str">
        <f t="shared" si="148"/>
        <v/>
      </c>
      <c r="BI312" s="256" t="str">
        <f t="shared" si="149"/>
        <v/>
      </c>
      <c r="BJ312" s="267"/>
      <c r="BK312" s="255"/>
      <c r="BL312" s="259" t="str">
        <f>IF(BK312&lt;&gt;"",BK312/VLOOKUP($V312,Setup!$C$30:$D$41,2,0),"")</f>
        <v/>
      </c>
      <c r="BM312" s="268"/>
      <c r="BN312" s="258" t="str">
        <f t="shared" si="150"/>
        <v/>
      </c>
      <c r="BO312" s="268"/>
      <c r="BP312" s="258" t="str">
        <f t="shared" si="151"/>
        <v/>
      </c>
      <c r="BQ312" s="268"/>
      <c r="BR312" s="258" t="str">
        <f t="shared" si="152"/>
        <v/>
      </c>
      <c r="BS312" s="268"/>
      <c r="BT312" s="256" t="str">
        <f t="shared" si="153"/>
        <v/>
      </c>
      <c r="BU312" s="256" t="str">
        <f t="shared" si="154"/>
        <v/>
      </c>
      <c r="BV312" s="256" t="str">
        <f t="shared" si="155"/>
        <v/>
      </c>
      <c r="BW312" s="267"/>
      <c r="BX312" s="256" t="str">
        <f t="shared" si="156"/>
        <v/>
      </c>
      <c r="BY312" s="256" t="str">
        <f t="shared" si="157"/>
        <v/>
      </c>
      <c r="BZ312" s="281"/>
      <c r="CA312" s="282"/>
      <c r="CC312" s="112" t="str">
        <f t="shared" ca="1" si="158"/>
        <v/>
      </c>
      <c r="CF312" s="284"/>
      <c r="CG312" s="284"/>
      <c r="CH312" s="284"/>
      <c r="CI312" s="284"/>
      <c r="CL312" s="356" t="str">
        <f>IFERROR(VLOOKUP(C312,'Data Sheet'!$A$3:$B$26,2,FALSE),"")</f>
        <v/>
      </c>
    </row>
    <row r="313" spans="1:90" s="98" customFormat="1" ht="15.75" x14ac:dyDescent="0.2">
      <c r="A313" s="97"/>
      <c r="B313" s="105" t="str">
        <f t="shared" si="161"/>
        <v>--</v>
      </c>
      <c r="C313" s="276"/>
      <c r="D313" s="101" t="str">
        <f>IFERROR(IF(VLOOKUP(C313,'Data Sheet'!$A$3:$D$26,4,FALSE)=0,"",VLOOKUP(C313,'Data Sheet'!$A$3:$D$26,4,FALSE)),"")</f>
        <v/>
      </c>
      <c r="E313" s="279"/>
      <c r="F313" s="103" t="str">
        <f>IFERROR(IF(VLOOKUP(E313,'Data Sheet'!$C$29:$E$174,3,FALSE)=0,"",VLOOKUP(E313,'Data Sheet'!$C$29:$E$174,3,FALSE)),"")</f>
        <v/>
      </c>
      <c r="G313" s="106" t="str">
        <f t="shared" si="159"/>
        <v>-</v>
      </c>
      <c r="H313" s="273"/>
      <c r="I313" s="107"/>
      <c r="J313" s="249" t="e">
        <f t="shared" si="160"/>
        <v>#VALUE!</v>
      </c>
      <c r="K313" s="101" t="str">
        <f>IFERROR(INDEX('Data Sheet'!$C$198:$C$275,MATCH(I313,'Data Sheet'!$F$198:$F$275,0)),"")</f>
        <v/>
      </c>
      <c r="L313" s="250" t="str">
        <f>IFERROR(INDEX('Data Sheet'!$G$198:$G$275,MATCH(I313,'Data Sheet'!$F$198:$F$275,0)),"")</f>
        <v/>
      </c>
      <c r="M313" s="194"/>
      <c r="N313" s="248"/>
      <c r="O313" s="248"/>
      <c r="P313" s="108" t="str">
        <f>IFERROR(INDEX(Setup!$D$44:$D$70,MATCH(M313,Setup!$K$44:$K$70,0))&amp;"","")</f>
        <v/>
      </c>
      <c r="Q313" s="108" t="str">
        <f>IFERROR(INDEX(Setup!$E$44:$E$70,MATCH(M313,Setup!$K$44:$K$70,0))&amp;"","")</f>
        <v/>
      </c>
      <c r="R313" s="108" t="str">
        <f>IFERROR(INDEX(Setup!$L$44:$L$70,MATCH(M313,Setup!$K$44:$K$70,0))&amp;"","")</f>
        <v/>
      </c>
      <c r="S313" s="108" t="str">
        <f>Setup!$C$30</f>
        <v>USD</v>
      </c>
      <c r="T313" s="109" t="str">
        <f>IFERROR(INDEX('Data Sheet'!$B$198:$B$275,MATCH(I313,'Data Sheet'!$F$198:$F$275,0)),"")</f>
        <v/>
      </c>
      <c r="U313" s="110" t="str">
        <f>IFERROR(INDEX('Data Sheet'!$D$198:$D$275,MATCH(I313,'Data Sheet'!$F$198:$F$275,0)),"")</f>
        <v/>
      </c>
      <c r="V313" s="99"/>
      <c r="W313" s="195" t="str">
        <f>IF(V313=Setup!$C$30,"Grant",IF(V313=Setup!$C$31,"Local",IF(V313=Setup!$C$32,"Other",IF(ISBLANK(V313),"","Other"))))</f>
        <v/>
      </c>
      <c r="X313" s="255"/>
      <c r="Y313" s="259" t="str">
        <f>IF(X313&lt;&gt;"",X313/VLOOKUP($V313,Setup!$C$30:$D$41,2,0),"")</f>
        <v/>
      </c>
      <c r="Z313" s="262"/>
      <c r="AA313" s="256" t="str">
        <f t="shared" si="132"/>
        <v/>
      </c>
      <c r="AB313" s="262"/>
      <c r="AC313" s="258" t="str">
        <f t="shared" si="133"/>
        <v/>
      </c>
      <c r="AD313" s="262"/>
      <c r="AE313" s="258" t="str">
        <f t="shared" si="134"/>
        <v/>
      </c>
      <c r="AF313" s="262"/>
      <c r="AG313" s="256" t="str">
        <f t="shared" si="135"/>
        <v/>
      </c>
      <c r="AH313" s="256" t="str">
        <f t="shared" si="136"/>
        <v/>
      </c>
      <c r="AI313" s="256" t="str">
        <f t="shared" si="137"/>
        <v/>
      </c>
      <c r="AJ313" s="111"/>
      <c r="AK313" s="255"/>
      <c r="AL313" s="259" t="str">
        <f>IF(AK313&lt;&gt;"",AK313/VLOOKUP($V313,Setup!$C$30:$D$41,2,0),"")</f>
        <v/>
      </c>
      <c r="AM313" s="266"/>
      <c r="AN313" s="258" t="str">
        <f t="shared" si="138"/>
        <v/>
      </c>
      <c r="AO313" s="266"/>
      <c r="AP313" s="258" t="str">
        <f t="shared" si="139"/>
        <v/>
      </c>
      <c r="AQ313" s="266"/>
      <c r="AR313" s="258" t="str">
        <f t="shared" si="140"/>
        <v/>
      </c>
      <c r="AS313" s="266"/>
      <c r="AT313" s="256" t="str">
        <f t="shared" si="141"/>
        <v/>
      </c>
      <c r="AU313" s="256" t="str">
        <f t="shared" si="142"/>
        <v/>
      </c>
      <c r="AV313" s="256" t="str">
        <f t="shared" si="143"/>
        <v/>
      </c>
      <c r="AW313" s="267"/>
      <c r="AX313" s="255"/>
      <c r="AY313" s="259" t="str">
        <f>IF(AX313&lt;&gt;"",AX313/VLOOKUP($V313,Setup!$C$30:$D$41,2,0),"")</f>
        <v/>
      </c>
      <c r="AZ313" s="268"/>
      <c r="BA313" s="258" t="str">
        <f t="shared" si="144"/>
        <v/>
      </c>
      <c r="BB313" s="268"/>
      <c r="BC313" s="258" t="str">
        <f t="shared" si="145"/>
        <v/>
      </c>
      <c r="BD313" s="268"/>
      <c r="BE313" s="258" t="str">
        <f t="shared" si="146"/>
        <v/>
      </c>
      <c r="BF313" s="268"/>
      <c r="BG313" s="256" t="str">
        <f t="shared" si="147"/>
        <v/>
      </c>
      <c r="BH313" s="256" t="str">
        <f t="shared" si="148"/>
        <v/>
      </c>
      <c r="BI313" s="256" t="str">
        <f t="shared" si="149"/>
        <v/>
      </c>
      <c r="BJ313" s="267"/>
      <c r="BK313" s="255"/>
      <c r="BL313" s="259" t="str">
        <f>IF(BK313&lt;&gt;"",BK313/VLOOKUP($V313,Setup!$C$30:$D$41,2,0),"")</f>
        <v/>
      </c>
      <c r="BM313" s="268"/>
      <c r="BN313" s="258" t="str">
        <f t="shared" si="150"/>
        <v/>
      </c>
      <c r="BO313" s="268"/>
      <c r="BP313" s="258" t="str">
        <f t="shared" si="151"/>
        <v/>
      </c>
      <c r="BQ313" s="268"/>
      <c r="BR313" s="258" t="str">
        <f t="shared" si="152"/>
        <v/>
      </c>
      <c r="BS313" s="268"/>
      <c r="BT313" s="256" t="str">
        <f t="shared" si="153"/>
        <v/>
      </c>
      <c r="BU313" s="256" t="str">
        <f t="shared" si="154"/>
        <v/>
      </c>
      <c r="BV313" s="256" t="str">
        <f t="shared" si="155"/>
        <v/>
      </c>
      <c r="BW313" s="267"/>
      <c r="BX313" s="256" t="str">
        <f t="shared" si="156"/>
        <v/>
      </c>
      <c r="BY313" s="256" t="str">
        <f t="shared" si="157"/>
        <v/>
      </c>
      <c r="BZ313" s="281"/>
      <c r="CA313" s="282"/>
      <c r="CC313" s="112" t="str">
        <f t="shared" ca="1" si="158"/>
        <v/>
      </c>
      <c r="CF313" s="284"/>
      <c r="CG313" s="284"/>
      <c r="CH313" s="284"/>
      <c r="CI313" s="284"/>
      <c r="CL313" s="356" t="str">
        <f>IFERROR(VLOOKUP(C313,'Data Sheet'!$A$3:$B$26,2,FALSE),"")</f>
        <v/>
      </c>
    </row>
    <row r="314" spans="1:90" s="98" customFormat="1" ht="15.75" x14ac:dyDescent="0.2">
      <c r="A314" s="97"/>
      <c r="B314" s="105" t="str">
        <f t="shared" si="161"/>
        <v>--</v>
      </c>
      <c r="C314" s="276"/>
      <c r="D314" s="101" t="str">
        <f>IFERROR(IF(VLOOKUP(C314,'Data Sheet'!$A$3:$D$26,4,FALSE)=0,"",VLOOKUP(C314,'Data Sheet'!$A$3:$D$26,4,FALSE)),"")</f>
        <v/>
      </c>
      <c r="E314" s="279"/>
      <c r="F314" s="103" t="str">
        <f>IFERROR(IF(VLOOKUP(E314,'Data Sheet'!$C$29:$E$174,3,FALSE)=0,"",VLOOKUP(E314,'Data Sheet'!$C$29:$E$174,3,FALSE)),"")</f>
        <v/>
      </c>
      <c r="G314" s="106" t="str">
        <f t="shared" si="159"/>
        <v>-</v>
      </c>
      <c r="H314" s="273"/>
      <c r="I314" s="107"/>
      <c r="J314" s="249" t="e">
        <f t="shared" si="160"/>
        <v>#VALUE!</v>
      </c>
      <c r="K314" s="101" t="str">
        <f>IFERROR(INDEX('Data Sheet'!$C$198:$C$275,MATCH(I314,'Data Sheet'!$F$198:$F$275,0)),"")</f>
        <v/>
      </c>
      <c r="L314" s="250" t="str">
        <f>IFERROR(INDEX('Data Sheet'!$G$198:$G$275,MATCH(I314,'Data Sheet'!$F$198:$F$275,0)),"")</f>
        <v/>
      </c>
      <c r="M314" s="194"/>
      <c r="N314" s="248"/>
      <c r="O314" s="248"/>
      <c r="P314" s="108" t="str">
        <f>IFERROR(INDEX(Setup!$D$44:$D$70,MATCH(M314,Setup!$K$44:$K$70,0))&amp;"","")</f>
        <v/>
      </c>
      <c r="Q314" s="108" t="str">
        <f>IFERROR(INDEX(Setup!$E$44:$E$70,MATCH(M314,Setup!$K$44:$K$70,0))&amp;"","")</f>
        <v/>
      </c>
      <c r="R314" s="108" t="str">
        <f>IFERROR(INDEX(Setup!$L$44:$L$70,MATCH(M314,Setup!$K$44:$K$70,0))&amp;"","")</f>
        <v/>
      </c>
      <c r="S314" s="108" t="str">
        <f>Setup!$C$30</f>
        <v>USD</v>
      </c>
      <c r="T314" s="109" t="str">
        <f>IFERROR(INDEX('Data Sheet'!$B$198:$B$275,MATCH(I314,'Data Sheet'!$F$198:$F$275,0)),"")</f>
        <v/>
      </c>
      <c r="U314" s="110" t="str">
        <f>IFERROR(INDEX('Data Sheet'!$D$198:$D$275,MATCH(I314,'Data Sheet'!$F$198:$F$275,0)),"")</f>
        <v/>
      </c>
      <c r="V314" s="99"/>
      <c r="W314" s="195" t="str">
        <f>IF(V314=Setup!$C$30,"Grant",IF(V314=Setup!$C$31,"Local",IF(V314=Setup!$C$32,"Other",IF(ISBLANK(V314),"","Other"))))</f>
        <v/>
      </c>
      <c r="X314" s="255"/>
      <c r="Y314" s="259" t="str">
        <f>IF(X314&lt;&gt;"",X314/VLOOKUP($V314,Setup!$C$30:$D$41,2,0),"")</f>
        <v/>
      </c>
      <c r="Z314" s="262"/>
      <c r="AA314" s="256" t="str">
        <f t="shared" si="132"/>
        <v/>
      </c>
      <c r="AB314" s="262"/>
      <c r="AC314" s="258" t="str">
        <f t="shared" si="133"/>
        <v/>
      </c>
      <c r="AD314" s="262"/>
      <c r="AE314" s="258" t="str">
        <f t="shared" si="134"/>
        <v/>
      </c>
      <c r="AF314" s="262"/>
      <c r="AG314" s="256" t="str">
        <f t="shared" si="135"/>
        <v/>
      </c>
      <c r="AH314" s="256" t="str">
        <f t="shared" si="136"/>
        <v/>
      </c>
      <c r="AI314" s="256" t="str">
        <f t="shared" si="137"/>
        <v/>
      </c>
      <c r="AJ314" s="111"/>
      <c r="AK314" s="255"/>
      <c r="AL314" s="259" t="str">
        <f>IF(AK314&lt;&gt;"",AK314/VLOOKUP($V314,Setup!$C$30:$D$41,2,0),"")</f>
        <v/>
      </c>
      <c r="AM314" s="266"/>
      <c r="AN314" s="258" t="str">
        <f t="shared" si="138"/>
        <v/>
      </c>
      <c r="AO314" s="266"/>
      <c r="AP314" s="258" t="str">
        <f t="shared" si="139"/>
        <v/>
      </c>
      <c r="AQ314" s="266"/>
      <c r="AR314" s="258" t="str">
        <f t="shared" si="140"/>
        <v/>
      </c>
      <c r="AS314" s="266"/>
      <c r="AT314" s="256" t="str">
        <f t="shared" si="141"/>
        <v/>
      </c>
      <c r="AU314" s="256" t="str">
        <f t="shared" si="142"/>
        <v/>
      </c>
      <c r="AV314" s="256" t="str">
        <f t="shared" si="143"/>
        <v/>
      </c>
      <c r="AW314" s="267"/>
      <c r="AX314" s="255"/>
      <c r="AY314" s="259" t="str">
        <f>IF(AX314&lt;&gt;"",AX314/VLOOKUP($V314,Setup!$C$30:$D$41,2,0),"")</f>
        <v/>
      </c>
      <c r="AZ314" s="268"/>
      <c r="BA314" s="258" t="str">
        <f t="shared" si="144"/>
        <v/>
      </c>
      <c r="BB314" s="268"/>
      <c r="BC314" s="258" t="str">
        <f t="shared" si="145"/>
        <v/>
      </c>
      <c r="BD314" s="268"/>
      <c r="BE314" s="258" t="str">
        <f t="shared" si="146"/>
        <v/>
      </c>
      <c r="BF314" s="268"/>
      <c r="BG314" s="256" t="str">
        <f t="shared" si="147"/>
        <v/>
      </c>
      <c r="BH314" s="256" t="str">
        <f t="shared" si="148"/>
        <v/>
      </c>
      <c r="BI314" s="256" t="str">
        <f t="shared" si="149"/>
        <v/>
      </c>
      <c r="BJ314" s="267"/>
      <c r="BK314" s="255"/>
      <c r="BL314" s="259" t="str">
        <f>IF(BK314&lt;&gt;"",BK314/VLOOKUP($V314,Setup!$C$30:$D$41,2,0),"")</f>
        <v/>
      </c>
      <c r="BM314" s="268"/>
      <c r="BN314" s="258" t="str">
        <f t="shared" si="150"/>
        <v/>
      </c>
      <c r="BO314" s="268"/>
      <c r="BP314" s="258" t="str">
        <f t="shared" si="151"/>
        <v/>
      </c>
      <c r="BQ314" s="268"/>
      <c r="BR314" s="258" t="str">
        <f t="shared" si="152"/>
        <v/>
      </c>
      <c r="BS314" s="268"/>
      <c r="BT314" s="256" t="str">
        <f t="shared" si="153"/>
        <v/>
      </c>
      <c r="BU314" s="256" t="str">
        <f t="shared" si="154"/>
        <v/>
      </c>
      <c r="BV314" s="256" t="str">
        <f t="shared" si="155"/>
        <v/>
      </c>
      <c r="BW314" s="267"/>
      <c r="BX314" s="256" t="str">
        <f t="shared" si="156"/>
        <v/>
      </c>
      <c r="BY314" s="256" t="str">
        <f t="shared" si="157"/>
        <v/>
      </c>
      <c r="BZ314" s="281"/>
      <c r="CA314" s="282"/>
      <c r="CC314" s="112" t="str">
        <f t="shared" ca="1" si="158"/>
        <v/>
      </c>
      <c r="CF314" s="284"/>
      <c r="CG314" s="284"/>
      <c r="CH314" s="284"/>
      <c r="CI314" s="284"/>
      <c r="CL314" s="356" t="str">
        <f>IFERROR(VLOOKUP(C314,'Data Sheet'!$A$3:$B$26,2,FALSE),"")</f>
        <v/>
      </c>
    </row>
    <row r="315" spans="1:90" s="98" customFormat="1" ht="15.75" x14ac:dyDescent="0.2">
      <c r="A315" s="97"/>
      <c r="B315" s="105" t="str">
        <f t="shared" si="161"/>
        <v>--</v>
      </c>
      <c r="C315" s="276"/>
      <c r="D315" s="101" t="str">
        <f>IFERROR(IF(VLOOKUP(C315,'Data Sheet'!$A$3:$D$26,4,FALSE)=0,"",VLOOKUP(C315,'Data Sheet'!$A$3:$D$26,4,FALSE)),"")</f>
        <v/>
      </c>
      <c r="E315" s="279"/>
      <c r="F315" s="103" t="str">
        <f>IFERROR(IF(VLOOKUP(E315,'Data Sheet'!$C$29:$E$174,3,FALSE)=0,"",VLOOKUP(E315,'Data Sheet'!$C$29:$E$174,3,FALSE)),"")</f>
        <v/>
      </c>
      <c r="G315" s="106" t="str">
        <f t="shared" si="159"/>
        <v>-</v>
      </c>
      <c r="H315" s="273"/>
      <c r="I315" s="107"/>
      <c r="J315" s="249" t="e">
        <f t="shared" si="160"/>
        <v>#VALUE!</v>
      </c>
      <c r="K315" s="101" t="str">
        <f>IFERROR(INDEX('Data Sheet'!$C$198:$C$275,MATCH(I315,'Data Sheet'!$F$198:$F$275,0)),"")</f>
        <v/>
      </c>
      <c r="L315" s="250" t="str">
        <f>IFERROR(INDEX('Data Sheet'!$G$198:$G$275,MATCH(I315,'Data Sheet'!$F$198:$F$275,0)),"")</f>
        <v/>
      </c>
      <c r="M315" s="194"/>
      <c r="N315" s="248"/>
      <c r="O315" s="248"/>
      <c r="P315" s="108" t="str">
        <f>IFERROR(INDEX(Setup!$D$44:$D$70,MATCH(M315,Setup!$K$44:$K$70,0))&amp;"","")</f>
        <v/>
      </c>
      <c r="Q315" s="108" t="str">
        <f>IFERROR(INDEX(Setup!$E$44:$E$70,MATCH(M315,Setup!$K$44:$K$70,0))&amp;"","")</f>
        <v/>
      </c>
      <c r="R315" s="108" t="str">
        <f>IFERROR(INDEX(Setup!$L$44:$L$70,MATCH(M315,Setup!$K$44:$K$70,0))&amp;"","")</f>
        <v/>
      </c>
      <c r="S315" s="108" t="str">
        <f>Setup!$C$30</f>
        <v>USD</v>
      </c>
      <c r="T315" s="109" t="str">
        <f>IFERROR(INDEX('Data Sheet'!$B$198:$B$275,MATCH(I315,'Data Sheet'!$F$198:$F$275,0)),"")</f>
        <v/>
      </c>
      <c r="U315" s="110" t="str">
        <f>IFERROR(INDEX('Data Sheet'!$D$198:$D$275,MATCH(I315,'Data Sheet'!$F$198:$F$275,0)),"")</f>
        <v/>
      </c>
      <c r="V315" s="99"/>
      <c r="W315" s="195" t="str">
        <f>IF(V315=Setup!$C$30,"Grant",IF(V315=Setup!$C$31,"Local",IF(V315=Setup!$C$32,"Other",IF(ISBLANK(V315),"","Other"))))</f>
        <v/>
      </c>
      <c r="X315" s="255"/>
      <c r="Y315" s="259" t="str">
        <f>IF(X315&lt;&gt;"",X315/VLOOKUP($V315,Setup!$C$30:$D$41,2,0),"")</f>
        <v/>
      </c>
      <c r="Z315" s="262"/>
      <c r="AA315" s="256" t="str">
        <f t="shared" si="132"/>
        <v/>
      </c>
      <c r="AB315" s="262"/>
      <c r="AC315" s="258" t="str">
        <f t="shared" si="133"/>
        <v/>
      </c>
      <c r="AD315" s="262"/>
      <c r="AE315" s="258" t="str">
        <f t="shared" si="134"/>
        <v/>
      </c>
      <c r="AF315" s="262"/>
      <c r="AG315" s="256" t="str">
        <f t="shared" si="135"/>
        <v/>
      </c>
      <c r="AH315" s="256" t="str">
        <f t="shared" si="136"/>
        <v/>
      </c>
      <c r="AI315" s="256" t="str">
        <f t="shared" si="137"/>
        <v/>
      </c>
      <c r="AJ315" s="111"/>
      <c r="AK315" s="255"/>
      <c r="AL315" s="259" t="str">
        <f>IF(AK315&lt;&gt;"",AK315/VLOOKUP($V315,Setup!$C$30:$D$41,2,0),"")</f>
        <v/>
      </c>
      <c r="AM315" s="266"/>
      <c r="AN315" s="258" t="str">
        <f t="shared" si="138"/>
        <v/>
      </c>
      <c r="AO315" s="266"/>
      <c r="AP315" s="258" t="str">
        <f t="shared" si="139"/>
        <v/>
      </c>
      <c r="AQ315" s="266"/>
      <c r="AR315" s="258" t="str">
        <f t="shared" si="140"/>
        <v/>
      </c>
      <c r="AS315" s="266"/>
      <c r="AT315" s="256" t="str">
        <f t="shared" si="141"/>
        <v/>
      </c>
      <c r="AU315" s="256" t="str">
        <f t="shared" si="142"/>
        <v/>
      </c>
      <c r="AV315" s="256" t="str">
        <f t="shared" si="143"/>
        <v/>
      </c>
      <c r="AW315" s="267"/>
      <c r="AX315" s="255"/>
      <c r="AY315" s="259" t="str">
        <f>IF(AX315&lt;&gt;"",AX315/VLOOKUP($V315,Setup!$C$30:$D$41,2,0),"")</f>
        <v/>
      </c>
      <c r="AZ315" s="268"/>
      <c r="BA315" s="258" t="str">
        <f t="shared" si="144"/>
        <v/>
      </c>
      <c r="BB315" s="268"/>
      <c r="BC315" s="258" t="str">
        <f t="shared" si="145"/>
        <v/>
      </c>
      <c r="BD315" s="268"/>
      <c r="BE315" s="258" t="str">
        <f t="shared" si="146"/>
        <v/>
      </c>
      <c r="BF315" s="268"/>
      <c r="BG315" s="256" t="str">
        <f t="shared" si="147"/>
        <v/>
      </c>
      <c r="BH315" s="256" t="str">
        <f t="shared" si="148"/>
        <v/>
      </c>
      <c r="BI315" s="256" t="str">
        <f t="shared" si="149"/>
        <v/>
      </c>
      <c r="BJ315" s="267"/>
      <c r="BK315" s="255"/>
      <c r="BL315" s="259" t="str">
        <f>IF(BK315&lt;&gt;"",BK315/VLOOKUP($V315,Setup!$C$30:$D$41,2,0),"")</f>
        <v/>
      </c>
      <c r="BM315" s="268"/>
      <c r="BN315" s="258" t="str">
        <f t="shared" si="150"/>
        <v/>
      </c>
      <c r="BO315" s="268"/>
      <c r="BP315" s="258" t="str">
        <f t="shared" si="151"/>
        <v/>
      </c>
      <c r="BQ315" s="268"/>
      <c r="BR315" s="258" t="str">
        <f t="shared" si="152"/>
        <v/>
      </c>
      <c r="BS315" s="268"/>
      <c r="BT315" s="256" t="str">
        <f t="shared" si="153"/>
        <v/>
      </c>
      <c r="BU315" s="256" t="str">
        <f t="shared" si="154"/>
        <v/>
      </c>
      <c r="BV315" s="256" t="str">
        <f t="shared" si="155"/>
        <v/>
      </c>
      <c r="BW315" s="267"/>
      <c r="BX315" s="256" t="str">
        <f t="shared" si="156"/>
        <v/>
      </c>
      <c r="BY315" s="256" t="str">
        <f t="shared" si="157"/>
        <v/>
      </c>
      <c r="BZ315" s="281"/>
      <c r="CA315" s="282"/>
      <c r="CC315" s="112" t="str">
        <f t="shared" ca="1" si="158"/>
        <v/>
      </c>
      <c r="CF315" s="284"/>
      <c r="CG315" s="284"/>
      <c r="CH315" s="284"/>
      <c r="CI315" s="284"/>
      <c r="CL315" s="356" t="str">
        <f>IFERROR(VLOOKUP(C315,'Data Sheet'!$A$3:$B$26,2,FALSE),"")</f>
        <v/>
      </c>
    </row>
    <row r="316" spans="1:90" s="98" customFormat="1" ht="15.75" x14ac:dyDescent="0.2">
      <c r="A316" s="97"/>
      <c r="B316" s="105" t="str">
        <f t="shared" si="161"/>
        <v>--</v>
      </c>
      <c r="C316" s="276"/>
      <c r="D316" s="101" t="str">
        <f>IFERROR(IF(VLOOKUP(C316,'Data Sheet'!$A$3:$D$26,4,FALSE)=0,"",VLOOKUP(C316,'Data Sheet'!$A$3:$D$26,4,FALSE)),"")</f>
        <v/>
      </c>
      <c r="E316" s="279"/>
      <c r="F316" s="103" t="str">
        <f>IFERROR(IF(VLOOKUP(E316,'Data Sheet'!$C$29:$E$174,3,FALSE)=0,"",VLOOKUP(E316,'Data Sheet'!$C$29:$E$174,3,FALSE)),"")</f>
        <v/>
      </c>
      <c r="G316" s="106" t="str">
        <f t="shared" si="159"/>
        <v>-</v>
      </c>
      <c r="H316" s="273"/>
      <c r="I316" s="107"/>
      <c r="J316" s="249" t="e">
        <f t="shared" si="160"/>
        <v>#VALUE!</v>
      </c>
      <c r="K316" s="101" t="str">
        <f>IFERROR(INDEX('Data Sheet'!$C$198:$C$275,MATCH(I316,'Data Sheet'!$F$198:$F$275,0)),"")</f>
        <v/>
      </c>
      <c r="L316" s="250" t="str">
        <f>IFERROR(INDEX('Data Sheet'!$G$198:$G$275,MATCH(I316,'Data Sheet'!$F$198:$F$275,0)),"")</f>
        <v/>
      </c>
      <c r="M316" s="194"/>
      <c r="N316" s="248"/>
      <c r="O316" s="248"/>
      <c r="P316" s="108" t="str">
        <f>IFERROR(INDEX(Setup!$D$44:$D$70,MATCH(M316,Setup!$K$44:$K$70,0))&amp;"","")</f>
        <v/>
      </c>
      <c r="Q316" s="108" t="str">
        <f>IFERROR(INDEX(Setup!$E$44:$E$70,MATCH(M316,Setup!$K$44:$K$70,0))&amp;"","")</f>
        <v/>
      </c>
      <c r="R316" s="108" t="str">
        <f>IFERROR(INDEX(Setup!$L$44:$L$70,MATCH(M316,Setup!$K$44:$K$70,0))&amp;"","")</f>
        <v/>
      </c>
      <c r="S316" s="108" t="str">
        <f>Setup!$C$30</f>
        <v>USD</v>
      </c>
      <c r="T316" s="109" t="str">
        <f>IFERROR(INDEX('Data Sheet'!$B$198:$B$275,MATCH(I316,'Data Sheet'!$F$198:$F$275,0)),"")</f>
        <v/>
      </c>
      <c r="U316" s="110" t="str">
        <f>IFERROR(INDEX('Data Sheet'!$D$198:$D$275,MATCH(I316,'Data Sheet'!$F$198:$F$275,0)),"")</f>
        <v/>
      </c>
      <c r="V316" s="99"/>
      <c r="W316" s="195" t="str">
        <f>IF(V316=Setup!$C$30,"Grant",IF(V316=Setup!$C$31,"Local",IF(V316=Setup!$C$32,"Other",IF(ISBLANK(V316),"","Other"))))</f>
        <v/>
      </c>
      <c r="X316" s="255"/>
      <c r="Y316" s="259" t="str">
        <f>IF(X316&lt;&gt;"",X316/VLOOKUP($V316,Setup!$C$30:$D$41,2,0),"")</f>
        <v/>
      </c>
      <c r="Z316" s="262"/>
      <c r="AA316" s="256" t="str">
        <f t="shared" si="132"/>
        <v/>
      </c>
      <c r="AB316" s="262"/>
      <c r="AC316" s="258" t="str">
        <f t="shared" si="133"/>
        <v/>
      </c>
      <c r="AD316" s="262"/>
      <c r="AE316" s="258" t="str">
        <f t="shared" si="134"/>
        <v/>
      </c>
      <c r="AF316" s="262"/>
      <c r="AG316" s="256" t="str">
        <f t="shared" si="135"/>
        <v/>
      </c>
      <c r="AH316" s="256" t="str">
        <f t="shared" si="136"/>
        <v/>
      </c>
      <c r="AI316" s="256" t="str">
        <f t="shared" si="137"/>
        <v/>
      </c>
      <c r="AJ316" s="111"/>
      <c r="AK316" s="255"/>
      <c r="AL316" s="259" t="str">
        <f>IF(AK316&lt;&gt;"",AK316/VLOOKUP($V316,Setup!$C$30:$D$41,2,0),"")</f>
        <v/>
      </c>
      <c r="AM316" s="266"/>
      <c r="AN316" s="258" t="str">
        <f t="shared" si="138"/>
        <v/>
      </c>
      <c r="AO316" s="266"/>
      <c r="AP316" s="258" t="str">
        <f t="shared" si="139"/>
        <v/>
      </c>
      <c r="AQ316" s="266"/>
      <c r="AR316" s="258" t="str">
        <f t="shared" si="140"/>
        <v/>
      </c>
      <c r="AS316" s="266"/>
      <c r="AT316" s="256" t="str">
        <f t="shared" si="141"/>
        <v/>
      </c>
      <c r="AU316" s="256" t="str">
        <f t="shared" si="142"/>
        <v/>
      </c>
      <c r="AV316" s="256" t="str">
        <f t="shared" si="143"/>
        <v/>
      </c>
      <c r="AW316" s="267"/>
      <c r="AX316" s="255"/>
      <c r="AY316" s="259" t="str">
        <f>IF(AX316&lt;&gt;"",AX316/VLOOKUP($V316,Setup!$C$30:$D$41,2,0),"")</f>
        <v/>
      </c>
      <c r="AZ316" s="268"/>
      <c r="BA316" s="258" t="str">
        <f t="shared" si="144"/>
        <v/>
      </c>
      <c r="BB316" s="268"/>
      <c r="BC316" s="258" t="str">
        <f t="shared" si="145"/>
        <v/>
      </c>
      <c r="BD316" s="268"/>
      <c r="BE316" s="258" t="str">
        <f t="shared" si="146"/>
        <v/>
      </c>
      <c r="BF316" s="268"/>
      <c r="BG316" s="256" t="str">
        <f t="shared" si="147"/>
        <v/>
      </c>
      <c r="BH316" s="256" t="str">
        <f t="shared" si="148"/>
        <v/>
      </c>
      <c r="BI316" s="256" t="str">
        <f t="shared" si="149"/>
        <v/>
      </c>
      <c r="BJ316" s="267"/>
      <c r="BK316" s="255"/>
      <c r="BL316" s="259" t="str">
        <f>IF(BK316&lt;&gt;"",BK316/VLOOKUP($V316,Setup!$C$30:$D$41,2,0),"")</f>
        <v/>
      </c>
      <c r="BM316" s="268"/>
      <c r="BN316" s="258" t="str">
        <f t="shared" si="150"/>
        <v/>
      </c>
      <c r="BO316" s="268"/>
      <c r="BP316" s="258" t="str">
        <f t="shared" si="151"/>
        <v/>
      </c>
      <c r="BQ316" s="268"/>
      <c r="BR316" s="258" t="str">
        <f t="shared" si="152"/>
        <v/>
      </c>
      <c r="BS316" s="268"/>
      <c r="BT316" s="256" t="str">
        <f t="shared" si="153"/>
        <v/>
      </c>
      <c r="BU316" s="256" t="str">
        <f t="shared" si="154"/>
        <v/>
      </c>
      <c r="BV316" s="256" t="str">
        <f t="shared" si="155"/>
        <v/>
      </c>
      <c r="BW316" s="267"/>
      <c r="BX316" s="256" t="str">
        <f t="shared" si="156"/>
        <v/>
      </c>
      <c r="BY316" s="256" t="str">
        <f t="shared" si="157"/>
        <v/>
      </c>
      <c r="BZ316" s="281"/>
      <c r="CA316" s="282"/>
      <c r="CC316" s="112" t="str">
        <f t="shared" ca="1" si="158"/>
        <v/>
      </c>
      <c r="CF316" s="284"/>
      <c r="CG316" s="284"/>
      <c r="CH316" s="284"/>
      <c r="CI316" s="284"/>
      <c r="CL316" s="356" t="str">
        <f>IFERROR(VLOOKUP(C316,'Data Sheet'!$A$3:$B$26,2,FALSE),"")</f>
        <v/>
      </c>
    </row>
    <row r="317" spans="1:90" s="98" customFormat="1" ht="15.75" x14ac:dyDescent="0.2">
      <c r="A317" s="97"/>
      <c r="B317" s="105" t="str">
        <f t="shared" si="161"/>
        <v>--</v>
      </c>
      <c r="C317" s="276"/>
      <c r="D317" s="101" t="str">
        <f>IFERROR(IF(VLOOKUP(C317,'Data Sheet'!$A$3:$D$26,4,FALSE)=0,"",VLOOKUP(C317,'Data Sheet'!$A$3:$D$26,4,FALSE)),"")</f>
        <v/>
      </c>
      <c r="E317" s="279"/>
      <c r="F317" s="103" t="str">
        <f>IFERROR(IF(VLOOKUP(E317,'Data Sheet'!$C$29:$E$174,3,FALSE)=0,"",VLOOKUP(E317,'Data Sheet'!$C$29:$E$174,3,FALSE)),"")</f>
        <v/>
      </c>
      <c r="G317" s="106" t="str">
        <f t="shared" si="159"/>
        <v>-</v>
      </c>
      <c r="H317" s="273"/>
      <c r="I317" s="107"/>
      <c r="J317" s="249" t="e">
        <f t="shared" si="160"/>
        <v>#VALUE!</v>
      </c>
      <c r="K317" s="101" t="str">
        <f>IFERROR(INDEX('Data Sheet'!$C$198:$C$275,MATCH(I317,'Data Sheet'!$F$198:$F$275,0)),"")</f>
        <v/>
      </c>
      <c r="L317" s="250" t="str">
        <f>IFERROR(INDEX('Data Sheet'!$G$198:$G$275,MATCH(I317,'Data Sheet'!$F$198:$F$275,0)),"")</f>
        <v/>
      </c>
      <c r="M317" s="194"/>
      <c r="N317" s="248"/>
      <c r="O317" s="248"/>
      <c r="P317" s="108" t="str">
        <f>IFERROR(INDEX(Setup!$D$44:$D$70,MATCH(M317,Setup!$K$44:$K$70,0))&amp;"","")</f>
        <v/>
      </c>
      <c r="Q317" s="108" t="str">
        <f>IFERROR(INDEX(Setup!$E$44:$E$70,MATCH(M317,Setup!$K$44:$K$70,0))&amp;"","")</f>
        <v/>
      </c>
      <c r="R317" s="108" t="str">
        <f>IFERROR(INDEX(Setup!$L$44:$L$70,MATCH(M317,Setup!$K$44:$K$70,0))&amp;"","")</f>
        <v/>
      </c>
      <c r="S317" s="108" t="str">
        <f>Setup!$C$30</f>
        <v>USD</v>
      </c>
      <c r="T317" s="109" t="str">
        <f>IFERROR(INDEX('Data Sheet'!$B$198:$B$275,MATCH(I317,'Data Sheet'!$F$198:$F$275,0)),"")</f>
        <v/>
      </c>
      <c r="U317" s="110" t="str">
        <f>IFERROR(INDEX('Data Sheet'!$D$198:$D$275,MATCH(I317,'Data Sheet'!$F$198:$F$275,0)),"")</f>
        <v/>
      </c>
      <c r="V317" s="99"/>
      <c r="W317" s="195" t="str">
        <f>IF(V317=Setup!$C$30,"Grant",IF(V317=Setup!$C$31,"Local",IF(V317=Setup!$C$32,"Other",IF(ISBLANK(V317),"","Other"))))</f>
        <v/>
      </c>
      <c r="X317" s="255"/>
      <c r="Y317" s="259" t="str">
        <f>IF(X317&lt;&gt;"",X317/VLOOKUP($V317,Setup!$C$30:$D$41,2,0),"")</f>
        <v/>
      </c>
      <c r="Z317" s="262"/>
      <c r="AA317" s="256" t="str">
        <f t="shared" si="132"/>
        <v/>
      </c>
      <c r="AB317" s="262"/>
      <c r="AC317" s="258" t="str">
        <f t="shared" si="133"/>
        <v/>
      </c>
      <c r="AD317" s="262"/>
      <c r="AE317" s="258" t="str">
        <f t="shared" si="134"/>
        <v/>
      </c>
      <c r="AF317" s="262"/>
      <c r="AG317" s="256" t="str">
        <f t="shared" si="135"/>
        <v/>
      </c>
      <c r="AH317" s="256" t="str">
        <f t="shared" si="136"/>
        <v/>
      </c>
      <c r="AI317" s="256" t="str">
        <f t="shared" si="137"/>
        <v/>
      </c>
      <c r="AJ317" s="111"/>
      <c r="AK317" s="255"/>
      <c r="AL317" s="259" t="str">
        <f>IF(AK317&lt;&gt;"",AK317/VLOOKUP($V317,Setup!$C$30:$D$41,2,0),"")</f>
        <v/>
      </c>
      <c r="AM317" s="266"/>
      <c r="AN317" s="258" t="str">
        <f t="shared" si="138"/>
        <v/>
      </c>
      <c r="AO317" s="266"/>
      <c r="AP317" s="258" t="str">
        <f t="shared" si="139"/>
        <v/>
      </c>
      <c r="AQ317" s="266"/>
      <c r="AR317" s="258" t="str">
        <f t="shared" si="140"/>
        <v/>
      </c>
      <c r="AS317" s="266"/>
      <c r="AT317" s="256" t="str">
        <f t="shared" si="141"/>
        <v/>
      </c>
      <c r="AU317" s="256" t="str">
        <f t="shared" si="142"/>
        <v/>
      </c>
      <c r="AV317" s="256" t="str">
        <f t="shared" si="143"/>
        <v/>
      </c>
      <c r="AW317" s="267"/>
      <c r="AX317" s="255"/>
      <c r="AY317" s="259" t="str">
        <f>IF(AX317&lt;&gt;"",AX317/VLOOKUP($V317,Setup!$C$30:$D$41,2,0),"")</f>
        <v/>
      </c>
      <c r="AZ317" s="268"/>
      <c r="BA317" s="258" t="str">
        <f t="shared" si="144"/>
        <v/>
      </c>
      <c r="BB317" s="268"/>
      <c r="BC317" s="258" t="str">
        <f t="shared" si="145"/>
        <v/>
      </c>
      <c r="BD317" s="268"/>
      <c r="BE317" s="258" t="str">
        <f t="shared" si="146"/>
        <v/>
      </c>
      <c r="BF317" s="268"/>
      <c r="BG317" s="256" t="str">
        <f t="shared" si="147"/>
        <v/>
      </c>
      <c r="BH317" s="256" t="str">
        <f t="shared" si="148"/>
        <v/>
      </c>
      <c r="BI317" s="256" t="str">
        <f t="shared" si="149"/>
        <v/>
      </c>
      <c r="BJ317" s="267"/>
      <c r="BK317" s="255"/>
      <c r="BL317" s="259" t="str">
        <f>IF(BK317&lt;&gt;"",BK317/VLOOKUP($V317,Setup!$C$30:$D$41,2,0),"")</f>
        <v/>
      </c>
      <c r="BM317" s="268"/>
      <c r="BN317" s="258" t="str">
        <f t="shared" si="150"/>
        <v/>
      </c>
      <c r="BO317" s="268"/>
      <c r="BP317" s="258" t="str">
        <f t="shared" si="151"/>
        <v/>
      </c>
      <c r="BQ317" s="268"/>
      <c r="BR317" s="258" t="str">
        <f t="shared" si="152"/>
        <v/>
      </c>
      <c r="BS317" s="268"/>
      <c r="BT317" s="256" t="str">
        <f t="shared" si="153"/>
        <v/>
      </c>
      <c r="BU317" s="256" t="str">
        <f t="shared" si="154"/>
        <v/>
      </c>
      <c r="BV317" s="256" t="str">
        <f t="shared" si="155"/>
        <v/>
      </c>
      <c r="BW317" s="267"/>
      <c r="BX317" s="256" t="str">
        <f t="shared" si="156"/>
        <v/>
      </c>
      <c r="BY317" s="256" t="str">
        <f t="shared" si="157"/>
        <v/>
      </c>
      <c r="BZ317" s="281"/>
      <c r="CA317" s="282"/>
      <c r="CC317" s="112" t="str">
        <f t="shared" ca="1" si="158"/>
        <v/>
      </c>
      <c r="CF317" s="284"/>
      <c r="CG317" s="284"/>
      <c r="CH317" s="284"/>
      <c r="CI317" s="284"/>
      <c r="CL317" s="356" t="str">
        <f>IFERROR(VLOOKUP(C317,'Data Sheet'!$A$3:$B$26,2,FALSE),"")</f>
        <v/>
      </c>
    </row>
    <row r="318" spans="1:90" s="98" customFormat="1" ht="15.75" x14ac:dyDescent="0.2">
      <c r="A318" s="97"/>
      <c r="B318" s="105" t="str">
        <f t="shared" si="161"/>
        <v>--</v>
      </c>
      <c r="C318" s="276"/>
      <c r="D318" s="101" t="str">
        <f>IFERROR(IF(VLOOKUP(C318,'Data Sheet'!$A$3:$D$26,4,FALSE)=0,"",VLOOKUP(C318,'Data Sheet'!$A$3:$D$26,4,FALSE)),"")</f>
        <v/>
      </c>
      <c r="E318" s="279"/>
      <c r="F318" s="103" t="str">
        <f>IFERROR(IF(VLOOKUP(E318,'Data Sheet'!$C$29:$E$174,3,FALSE)=0,"",VLOOKUP(E318,'Data Sheet'!$C$29:$E$174,3,FALSE)),"")</f>
        <v/>
      </c>
      <c r="G318" s="106" t="str">
        <f t="shared" si="159"/>
        <v>-</v>
      </c>
      <c r="H318" s="273"/>
      <c r="I318" s="107"/>
      <c r="J318" s="249" t="e">
        <f t="shared" si="160"/>
        <v>#VALUE!</v>
      </c>
      <c r="K318" s="101" t="str">
        <f>IFERROR(INDEX('Data Sheet'!$C$198:$C$275,MATCH(I318,'Data Sheet'!$F$198:$F$275,0)),"")</f>
        <v/>
      </c>
      <c r="L318" s="250" t="str">
        <f>IFERROR(INDEX('Data Sheet'!$G$198:$G$275,MATCH(I318,'Data Sheet'!$F$198:$F$275,0)),"")</f>
        <v/>
      </c>
      <c r="M318" s="194"/>
      <c r="N318" s="248"/>
      <c r="O318" s="248"/>
      <c r="P318" s="108" t="str">
        <f>IFERROR(INDEX(Setup!$D$44:$D$70,MATCH(M318,Setup!$K$44:$K$70,0))&amp;"","")</f>
        <v/>
      </c>
      <c r="Q318" s="108" t="str">
        <f>IFERROR(INDEX(Setup!$E$44:$E$70,MATCH(M318,Setup!$K$44:$K$70,0))&amp;"","")</f>
        <v/>
      </c>
      <c r="R318" s="108" t="str">
        <f>IFERROR(INDEX(Setup!$L$44:$L$70,MATCH(M318,Setup!$K$44:$K$70,0))&amp;"","")</f>
        <v/>
      </c>
      <c r="S318" s="108" t="str">
        <f>Setup!$C$30</f>
        <v>USD</v>
      </c>
      <c r="T318" s="109" t="str">
        <f>IFERROR(INDEX('Data Sheet'!$B$198:$B$275,MATCH(I318,'Data Sheet'!$F$198:$F$275,0)),"")</f>
        <v/>
      </c>
      <c r="U318" s="110" t="str">
        <f>IFERROR(INDEX('Data Sheet'!$D$198:$D$275,MATCH(I318,'Data Sheet'!$F$198:$F$275,0)),"")</f>
        <v/>
      </c>
      <c r="V318" s="99"/>
      <c r="W318" s="195" t="str">
        <f>IF(V318=Setup!$C$30,"Grant",IF(V318=Setup!$C$31,"Local",IF(V318=Setup!$C$32,"Other",IF(ISBLANK(V318),"","Other"))))</f>
        <v/>
      </c>
      <c r="X318" s="255"/>
      <c r="Y318" s="259" t="str">
        <f>IF(X318&lt;&gt;"",X318/VLOOKUP($V318,Setup!$C$30:$D$41,2,0),"")</f>
        <v/>
      </c>
      <c r="Z318" s="262"/>
      <c r="AA318" s="256" t="str">
        <f t="shared" si="132"/>
        <v/>
      </c>
      <c r="AB318" s="262"/>
      <c r="AC318" s="258" t="str">
        <f t="shared" si="133"/>
        <v/>
      </c>
      <c r="AD318" s="262"/>
      <c r="AE318" s="258" t="str">
        <f t="shared" si="134"/>
        <v/>
      </c>
      <c r="AF318" s="262"/>
      <c r="AG318" s="256" t="str">
        <f t="shared" si="135"/>
        <v/>
      </c>
      <c r="AH318" s="256" t="str">
        <f t="shared" si="136"/>
        <v/>
      </c>
      <c r="AI318" s="256" t="str">
        <f t="shared" si="137"/>
        <v/>
      </c>
      <c r="AJ318" s="111"/>
      <c r="AK318" s="255"/>
      <c r="AL318" s="259" t="str">
        <f>IF(AK318&lt;&gt;"",AK318/VLOOKUP($V318,Setup!$C$30:$D$41,2,0),"")</f>
        <v/>
      </c>
      <c r="AM318" s="266"/>
      <c r="AN318" s="258" t="str">
        <f t="shared" si="138"/>
        <v/>
      </c>
      <c r="AO318" s="266"/>
      <c r="AP318" s="258" t="str">
        <f t="shared" si="139"/>
        <v/>
      </c>
      <c r="AQ318" s="266"/>
      <c r="AR318" s="258" t="str">
        <f t="shared" si="140"/>
        <v/>
      </c>
      <c r="AS318" s="266"/>
      <c r="AT318" s="256" t="str">
        <f t="shared" si="141"/>
        <v/>
      </c>
      <c r="AU318" s="256" t="str">
        <f t="shared" si="142"/>
        <v/>
      </c>
      <c r="AV318" s="256" t="str">
        <f t="shared" si="143"/>
        <v/>
      </c>
      <c r="AW318" s="267"/>
      <c r="AX318" s="255"/>
      <c r="AY318" s="259" t="str">
        <f>IF(AX318&lt;&gt;"",AX318/VLOOKUP($V318,Setup!$C$30:$D$41,2,0),"")</f>
        <v/>
      </c>
      <c r="AZ318" s="268"/>
      <c r="BA318" s="258" t="str">
        <f t="shared" si="144"/>
        <v/>
      </c>
      <c r="BB318" s="268"/>
      <c r="BC318" s="258" t="str">
        <f t="shared" si="145"/>
        <v/>
      </c>
      <c r="BD318" s="268"/>
      <c r="BE318" s="258" t="str">
        <f t="shared" si="146"/>
        <v/>
      </c>
      <c r="BF318" s="268"/>
      <c r="BG318" s="256" t="str">
        <f t="shared" si="147"/>
        <v/>
      </c>
      <c r="BH318" s="256" t="str">
        <f t="shared" si="148"/>
        <v/>
      </c>
      <c r="BI318" s="256" t="str">
        <f t="shared" si="149"/>
        <v/>
      </c>
      <c r="BJ318" s="267"/>
      <c r="BK318" s="255"/>
      <c r="BL318" s="259" t="str">
        <f>IF(BK318&lt;&gt;"",BK318/VLOOKUP($V318,Setup!$C$30:$D$41,2,0),"")</f>
        <v/>
      </c>
      <c r="BM318" s="268"/>
      <c r="BN318" s="258" t="str">
        <f t="shared" si="150"/>
        <v/>
      </c>
      <c r="BO318" s="268"/>
      <c r="BP318" s="258" t="str">
        <f t="shared" si="151"/>
        <v/>
      </c>
      <c r="BQ318" s="268"/>
      <c r="BR318" s="258" t="str">
        <f t="shared" si="152"/>
        <v/>
      </c>
      <c r="BS318" s="268"/>
      <c r="BT318" s="256" t="str">
        <f t="shared" si="153"/>
        <v/>
      </c>
      <c r="BU318" s="256" t="str">
        <f t="shared" si="154"/>
        <v/>
      </c>
      <c r="BV318" s="256" t="str">
        <f t="shared" si="155"/>
        <v/>
      </c>
      <c r="BW318" s="267"/>
      <c r="BX318" s="256" t="str">
        <f t="shared" si="156"/>
        <v/>
      </c>
      <c r="BY318" s="256" t="str">
        <f t="shared" si="157"/>
        <v/>
      </c>
      <c r="BZ318" s="281"/>
      <c r="CA318" s="282"/>
      <c r="CC318" s="112" t="str">
        <f t="shared" ca="1" si="158"/>
        <v/>
      </c>
      <c r="CF318" s="284"/>
      <c r="CG318" s="284"/>
      <c r="CH318" s="284"/>
      <c r="CI318" s="284"/>
      <c r="CL318" s="356" t="str">
        <f>IFERROR(VLOOKUP(C318,'Data Sheet'!$A$3:$B$26,2,FALSE),"")</f>
        <v/>
      </c>
    </row>
    <row r="319" spans="1:90" s="98" customFormat="1" ht="15.75" x14ac:dyDescent="0.2">
      <c r="A319" s="97"/>
      <c r="B319" s="105" t="str">
        <f t="shared" si="161"/>
        <v>--</v>
      </c>
      <c r="C319" s="276"/>
      <c r="D319" s="101" t="str">
        <f>IFERROR(IF(VLOOKUP(C319,'Data Sheet'!$A$3:$D$26,4,FALSE)=0,"",VLOOKUP(C319,'Data Sheet'!$A$3:$D$26,4,FALSE)),"")</f>
        <v/>
      </c>
      <c r="E319" s="279"/>
      <c r="F319" s="103" t="str">
        <f>IFERROR(IF(VLOOKUP(E319,'Data Sheet'!$C$29:$E$174,3,FALSE)=0,"",VLOOKUP(E319,'Data Sheet'!$C$29:$E$174,3,FALSE)),"")</f>
        <v/>
      </c>
      <c r="G319" s="106" t="str">
        <f t="shared" si="159"/>
        <v>-</v>
      </c>
      <c r="H319" s="273"/>
      <c r="I319" s="107"/>
      <c r="J319" s="249" t="e">
        <f t="shared" si="160"/>
        <v>#VALUE!</v>
      </c>
      <c r="K319" s="101" t="str">
        <f>IFERROR(INDEX('Data Sheet'!$C$198:$C$275,MATCH(I319,'Data Sheet'!$F$198:$F$275,0)),"")</f>
        <v/>
      </c>
      <c r="L319" s="250" t="str">
        <f>IFERROR(INDEX('Data Sheet'!$G$198:$G$275,MATCH(I319,'Data Sheet'!$F$198:$F$275,0)),"")</f>
        <v/>
      </c>
      <c r="M319" s="194"/>
      <c r="N319" s="248"/>
      <c r="O319" s="248"/>
      <c r="P319" s="108" t="str">
        <f>IFERROR(INDEX(Setup!$D$44:$D$70,MATCH(M319,Setup!$K$44:$K$70,0))&amp;"","")</f>
        <v/>
      </c>
      <c r="Q319" s="108" t="str">
        <f>IFERROR(INDEX(Setup!$E$44:$E$70,MATCH(M319,Setup!$K$44:$K$70,0))&amp;"","")</f>
        <v/>
      </c>
      <c r="R319" s="108" t="str">
        <f>IFERROR(INDEX(Setup!$L$44:$L$70,MATCH(M319,Setup!$K$44:$K$70,0))&amp;"","")</f>
        <v/>
      </c>
      <c r="S319" s="108" t="str">
        <f>Setup!$C$30</f>
        <v>USD</v>
      </c>
      <c r="T319" s="109" t="str">
        <f>IFERROR(INDEX('Data Sheet'!$B$198:$B$275,MATCH(I319,'Data Sheet'!$F$198:$F$275,0)),"")</f>
        <v/>
      </c>
      <c r="U319" s="110" t="str">
        <f>IFERROR(INDEX('Data Sheet'!$D$198:$D$275,MATCH(I319,'Data Sheet'!$F$198:$F$275,0)),"")</f>
        <v/>
      </c>
      <c r="V319" s="99"/>
      <c r="W319" s="195" t="str">
        <f>IF(V319=Setup!$C$30,"Grant",IF(V319=Setup!$C$31,"Local",IF(V319=Setup!$C$32,"Other",IF(ISBLANK(V319),"","Other"))))</f>
        <v/>
      </c>
      <c r="X319" s="255"/>
      <c r="Y319" s="259" t="str">
        <f>IF(X319&lt;&gt;"",X319/VLOOKUP($V319,Setup!$C$30:$D$41,2,0),"")</f>
        <v/>
      </c>
      <c r="Z319" s="262"/>
      <c r="AA319" s="256" t="str">
        <f t="shared" si="132"/>
        <v/>
      </c>
      <c r="AB319" s="262"/>
      <c r="AC319" s="258" t="str">
        <f t="shared" si="133"/>
        <v/>
      </c>
      <c r="AD319" s="262"/>
      <c r="AE319" s="258" t="str">
        <f t="shared" si="134"/>
        <v/>
      </c>
      <c r="AF319" s="262"/>
      <c r="AG319" s="256" t="str">
        <f t="shared" si="135"/>
        <v/>
      </c>
      <c r="AH319" s="256" t="str">
        <f t="shared" si="136"/>
        <v/>
      </c>
      <c r="AI319" s="256" t="str">
        <f t="shared" si="137"/>
        <v/>
      </c>
      <c r="AJ319" s="111"/>
      <c r="AK319" s="255"/>
      <c r="AL319" s="259" t="str">
        <f>IF(AK319&lt;&gt;"",AK319/VLOOKUP($V319,Setup!$C$30:$D$41,2,0),"")</f>
        <v/>
      </c>
      <c r="AM319" s="266"/>
      <c r="AN319" s="258" t="str">
        <f t="shared" si="138"/>
        <v/>
      </c>
      <c r="AO319" s="266"/>
      <c r="AP319" s="258" t="str">
        <f t="shared" si="139"/>
        <v/>
      </c>
      <c r="AQ319" s="266"/>
      <c r="AR319" s="258" t="str">
        <f t="shared" si="140"/>
        <v/>
      </c>
      <c r="AS319" s="266"/>
      <c r="AT319" s="256" t="str">
        <f t="shared" si="141"/>
        <v/>
      </c>
      <c r="AU319" s="256" t="str">
        <f t="shared" si="142"/>
        <v/>
      </c>
      <c r="AV319" s="256" t="str">
        <f t="shared" si="143"/>
        <v/>
      </c>
      <c r="AW319" s="267"/>
      <c r="AX319" s="255"/>
      <c r="AY319" s="259" t="str">
        <f>IF(AX319&lt;&gt;"",AX319/VLOOKUP($V319,Setup!$C$30:$D$41,2,0),"")</f>
        <v/>
      </c>
      <c r="AZ319" s="268"/>
      <c r="BA319" s="258" t="str">
        <f t="shared" si="144"/>
        <v/>
      </c>
      <c r="BB319" s="268"/>
      <c r="BC319" s="258" t="str">
        <f t="shared" si="145"/>
        <v/>
      </c>
      <c r="BD319" s="268"/>
      <c r="BE319" s="258" t="str">
        <f t="shared" si="146"/>
        <v/>
      </c>
      <c r="BF319" s="268"/>
      <c r="BG319" s="256" t="str">
        <f t="shared" si="147"/>
        <v/>
      </c>
      <c r="BH319" s="256" t="str">
        <f t="shared" si="148"/>
        <v/>
      </c>
      <c r="BI319" s="256" t="str">
        <f t="shared" si="149"/>
        <v/>
      </c>
      <c r="BJ319" s="267"/>
      <c r="BK319" s="255"/>
      <c r="BL319" s="259" t="str">
        <f>IF(BK319&lt;&gt;"",BK319/VLOOKUP($V319,Setup!$C$30:$D$41,2,0),"")</f>
        <v/>
      </c>
      <c r="BM319" s="268"/>
      <c r="BN319" s="258" t="str">
        <f t="shared" si="150"/>
        <v/>
      </c>
      <c r="BO319" s="268"/>
      <c r="BP319" s="258" t="str">
        <f t="shared" si="151"/>
        <v/>
      </c>
      <c r="BQ319" s="268"/>
      <c r="BR319" s="258" t="str">
        <f t="shared" si="152"/>
        <v/>
      </c>
      <c r="BS319" s="268"/>
      <c r="BT319" s="256" t="str">
        <f t="shared" si="153"/>
        <v/>
      </c>
      <c r="BU319" s="256" t="str">
        <f t="shared" si="154"/>
        <v/>
      </c>
      <c r="BV319" s="256" t="str">
        <f t="shared" si="155"/>
        <v/>
      </c>
      <c r="BW319" s="267"/>
      <c r="BX319" s="256" t="str">
        <f t="shared" si="156"/>
        <v/>
      </c>
      <c r="BY319" s="256" t="str">
        <f t="shared" si="157"/>
        <v/>
      </c>
      <c r="BZ319" s="281"/>
      <c r="CA319" s="282"/>
      <c r="CC319" s="112" t="str">
        <f t="shared" ca="1" si="158"/>
        <v/>
      </c>
      <c r="CF319" s="284"/>
      <c r="CG319" s="284"/>
      <c r="CH319" s="284"/>
      <c r="CI319" s="284"/>
      <c r="CL319" s="356" t="str">
        <f>IFERROR(VLOOKUP(C319,'Data Sheet'!$A$3:$B$26,2,FALSE),"")</f>
        <v/>
      </c>
    </row>
    <row r="320" spans="1:90" s="98" customFormat="1" ht="15.75" x14ac:dyDescent="0.2">
      <c r="A320" s="97"/>
      <c r="B320" s="105" t="str">
        <f t="shared" si="161"/>
        <v>--</v>
      </c>
      <c r="C320" s="276"/>
      <c r="D320" s="101" t="str">
        <f>IFERROR(IF(VLOOKUP(C320,'Data Sheet'!$A$3:$D$26,4,FALSE)=0,"",VLOOKUP(C320,'Data Sheet'!$A$3:$D$26,4,FALSE)),"")</f>
        <v/>
      </c>
      <c r="E320" s="279"/>
      <c r="F320" s="103" t="str">
        <f>IFERROR(IF(VLOOKUP(E320,'Data Sheet'!$C$29:$E$174,3,FALSE)=0,"",VLOOKUP(E320,'Data Sheet'!$C$29:$E$174,3,FALSE)),"")</f>
        <v/>
      </c>
      <c r="G320" s="106" t="str">
        <f t="shared" si="159"/>
        <v>-</v>
      </c>
      <c r="H320" s="273"/>
      <c r="I320" s="107"/>
      <c r="J320" s="249" t="e">
        <f t="shared" si="160"/>
        <v>#VALUE!</v>
      </c>
      <c r="K320" s="101" t="str">
        <f>IFERROR(INDEX('Data Sheet'!$C$198:$C$275,MATCH(I320,'Data Sheet'!$F$198:$F$275,0)),"")</f>
        <v/>
      </c>
      <c r="L320" s="250" t="str">
        <f>IFERROR(INDEX('Data Sheet'!$G$198:$G$275,MATCH(I320,'Data Sheet'!$F$198:$F$275,0)),"")</f>
        <v/>
      </c>
      <c r="M320" s="194"/>
      <c r="N320" s="248"/>
      <c r="O320" s="248"/>
      <c r="P320" s="108" t="str">
        <f>IFERROR(INDEX(Setup!$D$44:$D$70,MATCH(M320,Setup!$K$44:$K$70,0))&amp;"","")</f>
        <v/>
      </c>
      <c r="Q320" s="108" t="str">
        <f>IFERROR(INDEX(Setup!$E$44:$E$70,MATCH(M320,Setup!$K$44:$K$70,0))&amp;"","")</f>
        <v/>
      </c>
      <c r="R320" s="108" t="str">
        <f>IFERROR(INDEX(Setup!$L$44:$L$70,MATCH(M320,Setup!$K$44:$K$70,0))&amp;"","")</f>
        <v/>
      </c>
      <c r="S320" s="108" t="str">
        <f>Setup!$C$30</f>
        <v>USD</v>
      </c>
      <c r="T320" s="109" t="str">
        <f>IFERROR(INDEX('Data Sheet'!$B$198:$B$275,MATCH(I320,'Data Sheet'!$F$198:$F$275,0)),"")</f>
        <v/>
      </c>
      <c r="U320" s="110" t="str">
        <f>IFERROR(INDEX('Data Sheet'!$D$198:$D$275,MATCH(I320,'Data Sheet'!$F$198:$F$275,0)),"")</f>
        <v/>
      </c>
      <c r="V320" s="99"/>
      <c r="W320" s="195" t="str">
        <f>IF(V320=Setup!$C$30,"Grant",IF(V320=Setup!$C$31,"Local",IF(V320=Setup!$C$32,"Other",IF(ISBLANK(V320),"","Other"))))</f>
        <v/>
      </c>
      <c r="X320" s="255"/>
      <c r="Y320" s="259" t="str">
        <f>IF(X320&lt;&gt;"",X320/VLOOKUP($V320,Setup!$C$30:$D$41,2,0),"")</f>
        <v/>
      </c>
      <c r="Z320" s="262"/>
      <c r="AA320" s="256" t="str">
        <f t="shared" si="132"/>
        <v/>
      </c>
      <c r="AB320" s="262"/>
      <c r="AC320" s="258" t="str">
        <f t="shared" si="133"/>
        <v/>
      </c>
      <c r="AD320" s="262"/>
      <c r="AE320" s="258" t="str">
        <f t="shared" si="134"/>
        <v/>
      </c>
      <c r="AF320" s="262"/>
      <c r="AG320" s="256" t="str">
        <f t="shared" si="135"/>
        <v/>
      </c>
      <c r="AH320" s="256" t="str">
        <f t="shared" si="136"/>
        <v/>
      </c>
      <c r="AI320" s="256" t="str">
        <f t="shared" si="137"/>
        <v/>
      </c>
      <c r="AJ320" s="111"/>
      <c r="AK320" s="255"/>
      <c r="AL320" s="259" t="str">
        <f>IF(AK320&lt;&gt;"",AK320/VLOOKUP($V320,Setup!$C$30:$D$41,2,0),"")</f>
        <v/>
      </c>
      <c r="AM320" s="266"/>
      <c r="AN320" s="258" t="str">
        <f t="shared" si="138"/>
        <v/>
      </c>
      <c r="AO320" s="266"/>
      <c r="AP320" s="258" t="str">
        <f t="shared" si="139"/>
        <v/>
      </c>
      <c r="AQ320" s="266"/>
      <c r="AR320" s="258" t="str">
        <f t="shared" si="140"/>
        <v/>
      </c>
      <c r="AS320" s="266"/>
      <c r="AT320" s="256" t="str">
        <f t="shared" si="141"/>
        <v/>
      </c>
      <c r="AU320" s="256" t="str">
        <f t="shared" si="142"/>
        <v/>
      </c>
      <c r="AV320" s="256" t="str">
        <f t="shared" si="143"/>
        <v/>
      </c>
      <c r="AW320" s="267"/>
      <c r="AX320" s="255"/>
      <c r="AY320" s="259" t="str">
        <f>IF(AX320&lt;&gt;"",AX320/VLOOKUP($V320,Setup!$C$30:$D$41,2,0),"")</f>
        <v/>
      </c>
      <c r="AZ320" s="268"/>
      <c r="BA320" s="258" t="str">
        <f t="shared" si="144"/>
        <v/>
      </c>
      <c r="BB320" s="268"/>
      <c r="BC320" s="258" t="str">
        <f t="shared" si="145"/>
        <v/>
      </c>
      <c r="BD320" s="268"/>
      <c r="BE320" s="258" t="str">
        <f t="shared" si="146"/>
        <v/>
      </c>
      <c r="BF320" s="268"/>
      <c r="BG320" s="256" t="str">
        <f t="shared" si="147"/>
        <v/>
      </c>
      <c r="BH320" s="256" t="str">
        <f t="shared" si="148"/>
        <v/>
      </c>
      <c r="BI320" s="256" t="str">
        <f t="shared" si="149"/>
        <v/>
      </c>
      <c r="BJ320" s="267"/>
      <c r="BK320" s="255"/>
      <c r="BL320" s="259" t="str">
        <f>IF(BK320&lt;&gt;"",BK320/VLOOKUP($V320,Setup!$C$30:$D$41,2,0),"")</f>
        <v/>
      </c>
      <c r="BM320" s="268"/>
      <c r="BN320" s="258" t="str">
        <f t="shared" si="150"/>
        <v/>
      </c>
      <c r="BO320" s="268"/>
      <c r="BP320" s="258" t="str">
        <f t="shared" si="151"/>
        <v/>
      </c>
      <c r="BQ320" s="268"/>
      <c r="BR320" s="258" t="str">
        <f t="shared" si="152"/>
        <v/>
      </c>
      <c r="BS320" s="268"/>
      <c r="BT320" s="256" t="str">
        <f t="shared" si="153"/>
        <v/>
      </c>
      <c r="BU320" s="256" t="str">
        <f t="shared" si="154"/>
        <v/>
      </c>
      <c r="BV320" s="256" t="str">
        <f t="shared" si="155"/>
        <v/>
      </c>
      <c r="BW320" s="267"/>
      <c r="BX320" s="256" t="str">
        <f t="shared" si="156"/>
        <v/>
      </c>
      <c r="BY320" s="256" t="str">
        <f t="shared" si="157"/>
        <v/>
      </c>
      <c r="BZ320" s="281"/>
      <c r="CA320" s="282"/>
      <c r="CC320" s="112" t="str">
        <f t="shared" ca="1" si="158"/>
        <v/>
      </c>
      <c r="CF320" s="284"/>
      <c r="CG320" s="284"/>
      <c r="CH320" s="284"/>
      <c r="CI320" s="284"/>
      <c r="CL320" s="356" t="str">
        <f>IFERROR(VLOOKUP(C320,'Data Sheet'!$A$3:$B$26,2,FALSE),"")</f>
        <v/>
      </c>
    </row>
    <row r="321" spans="1:90" s="98" customFormat="1" ht="15.75" x14ac:dyDescent="0.2">
      <c r="A321" s="97"/>
      <c r="B321" s="105" t="str">
        <f t="shared" si="161"/>
        <v>--</v>
      </c>
      <c r="C321" s="276"/>
      <c r="D321" s="101" t="str">
        <f>IFERROR(IF(VLOOKUP(C321,'Data Sheet'!$A$3:$D$26,4,FALSE)=0,"",VLOOKUP(C321,'Data Sheet'!$A$3:$D$26,4,FALSE)),"")</f>
        <v/>
      </c>
      <c r="E321" s="279"/>
      <c r="F321" s="103" t="str">
        <f>IFERROR(IF(VLOOKUP(E321,'Data Sheet'!$C$29:$E$174,3,FALSE)=0,"",VLOOKUP(E321,'Data Sheet'!$C$29:$E$174,3,FALSE)),"")</f>
        <v/>
      </c>
      <c r="G321" s="106" t="str">
        <f t="shared" si="159"/>
        <v>-</v>
      </c>
      <c r="H321" s="273"/>
      <c r="I321" s="107"/>
      <c r="J321" s="249" t="e">
        <f t="shared" si="160"/>
        <v>#VALUE!</v>
      </c>
      <c r="K321" s="101" t="str">
        <f>IFERROR(INDEX('Data Sheet'!$C$198:$C$275,MATCH(I321,'Data Sheet'!$F$198:$F$275,0)),"")</f>
        <v/>
      </c>
      <c r="L321" s="250" t="str">
        <f>IFERROR(INDEX('Data Sheet'!$G$198:$G$275,MATCH(I321,'Data Sheet'!$F$198:$F$275,0)),"")</f>
        <v/>
      </c>
      <c r="M321" s="194"/>
      <c r="N321" s="248"/>
      <c r="O321" s="248"/>
      <c r="P321" s="108" t="str">
        <f>IFERROR(INDEX(Setup!$D$44:$D$70,MATCH(M321,Setup!$K$44:$K$70,0))&amp;"","")</f>
        <v/>
      </c>
      <c r="Q321" s="108" t="str">
        <f>IFERROR(INDEX(Setup!$E$44:$E$70,MATCH(M321,Setup!$K$44:$K$70,0))&amp;"","")</f>
        <v/>
      </c>
      <c r="R321" s="108" t="str">
        <f>IFERROR(INDEX(Setup!$L$44:$L$70,MATCH(M321,Setup!$K$44:$K$70,0))&amp;"","")</f>
        <v/>
      </c>
      <c r="S321" s="108" t="str">
        <f>Setup!$C$30</f>
        <v>USD</v>
      </c>
      <c r="T321" s="109" t="str">
        <f>IFERROR(INDEX('Data Sheet'!$B$198:$B$275,MATCH(I321,'Data Sheet'!$F$198:$F$275,0)),"")</f>
        <v/>
      </c>
      <c r="U321" s="110" t="str">
        <f>IFERROR(INDEX('Data Sheet'!$D$198:$D$275,MATCH(I321,'Data Sheet'!$F$198:$F$275,0)),"")</f>
        <v/>
      </c>
      <c r="V321" s="99"/>
      <c r="W321" s="195" t="str">
        <f>IF(V321=Setup!$C$30,"Grant",IF(V321=Setup!$C$31,"Local",IF(V321=Setup!$C$32,"Other",IF(ISBLANK(V321),"","Other"))))</f>
        <v/>
      </c>
      <c r="X321" s="255"/>
      <c r="Y321" s="259" t="str">
        <f>IF(X321&lt;&gt;"",X321/VLOOKUP($V321,Setup!$C$30:$D$41,2,0),"")</f>
        <v/>
      </c>
      <c r="Z321" s="262"/>
      <c r="AA321" s="256" t="str">
        <f t="shared" si="132"/>
        <v/>
      </c>
      <c r="AB321" s="262"/>
      <c r="AC321" s="258" t="str">
        <f t="shared" si="133"/>
        <v/>
      </c>
      <c r="AD321" s="262"/>
      <c r="AE321" s="258" t="str">
        <f t="shared" si="134"/>
        <v/>
      </c>
      <c r="AF321" s="262"/>
      <c r="AG321" s="256" t="str">
        <f t="shared" si="135"/>
        <v/>
      </c>
      <c r="AH321" s="256" t="str">
        <f t="shared" si="136"/>
        <v/>
      </c>
      <c r="AI321" s="256" t="str">
        <f t="shared" si="137"/>
        <v/>
      </c>
      <c r="AJ321" s="111"/>
      <c r="AK321" s="255"/>
      <c r="AL321" s="259" t="str">
        <f>IF(AK321&lt;&gt;"",AK321/VLOOKUP($V321,Setup!$C$30:$D$41,2,0),"")</f>
        <v/>
      </c>
      <c r="AM321" s="266"/>
      <c r="AN321" s="258" t="str">
        <f t="shared" si="138"/>
        <v/>
      </c>
      <c r="AO321" s="266"/>
      <c r="AP321" s="258" t="str">
        <f t="shared" si="139"/>
        <v/>
      </c>
      <c r="AQ321" s="266"/>
      <c r="AR321" s="258" t="str">
        <f t="shared" si="140"/>
        <v/>
      </c>
      <c r="AS321" s="266"/>
      <c r="AT321" s="256" t="str">
        <f t="shared" si="141"/>
        <v/>
      </c>
      <c r="AU321" s="256" t="str">
        <f t="shared" si="142"/>
        <v/>
      </c>
      <c r="AV321" s="256" t="str">
        <f t="shared" si="143"/>
        <v/>
      </c>
      <c r="AW321" s="267"/>
      <c r="AX321" s="255"/>
      <c r="AY321" s="259" t="str">
        <f>IF(AX321&lt;&gt;"",AX321/VLOOKUP($V321,Setup!$C$30:$D$41,2,0),"")</f>
        <v/>
      </c>
      <c r="AZ321" s="268"/>
      <c r="BA321" s="258" t="str">
        <f t="shared" si="144"/>
        <v/>
      </c>
      <c r="BB321" s="268"/>
      <c r="BC321" s="258" t="str">
        <f t="shared" si="145"/>
        <v/>
      </c>
      <c r="BD321" s="268"/>
      <c r="BE321" s="258" t="str">
        <f t="shared" si="146"/>
        <v/>
      </c>
      <c r="BF321" s="268"/>
      <c r="BG321" s="256" t="str">
        <f t="shared" si="147"/>
        <v/>
      </c>
      <c r="BH321" s="256" t="str">
        <f t="shared" si="148"/>
        <v/>
      </c>
      <c r="BI321" s="256" t="str">
        <f t="shared" si="149"/>
        <v/>
      </c>
      <c r="BJ321" s="267"/>
      <c r="BK321" s="255"/>
      <c r="BL321" s="259" t="str">
        <f>IF(BK321&lt;&gt;"",BK321/VLOOKUP($V321,Setup!$C$30:$D$41,2,0),"")</f>
        <v/>
      </c>
      <c r="BM321" s="268"/>
      <c r="BN321" s="258" t="str">
        <f t="shared" si="150"/>
        <v/>
      </c>
      <c r="BO321" s="268"/>
      <c r="BP321" s="258" t="str">
        <f t="shared" si="151"/>
        <v/>
      </c>
      <c r="BQ321" s="268"/>
      <c r="BR321" s="258" t="str">
        <f t="shared" si="152"/>
        <v/>
      </c>
      <c r="BS321" s="268"/>
      <c r="BT321" s="256" t="str">
        <f t="shared" si="153"/>
        <v/>
      </c>
      <c r="BU321" s="256" t="str">
        <f t="shared" si="154"/>
        <v/>
      </c>
      <c r="BV321" s="256" t="str">
        <f t="shared" si="155"/>
        <v/>
      </c>
      <c r="BW321" s="267"/>
      <c r="BX321" s="256" t="str">
        <f t="shared" si="156"/>
        <v/>
      </c>
      <c r="BY321" s="256" t="str">
        <f t="shared" si="157"/>
        <v/>
      </c>
      <c r="BZ321" s="281"/>
      <c r="CA321" s="282"/>
      <c r="CC321" s="112" t="str">
        <f t="shared" ca="1" si="158"/>
        <v/>
      </c>
      <c r="CF321" s="284"/>
      <c r="CG321" s="284"/>
      <c r="CH321" s="284"/>
      <c r="CI321" s="284"/>
      <c r="CL321" s="356" t="str">
        <f>IFERROR(VLOOKUP(C321,'Data Sheet'!$A$3:$B$26,2,FALSE),"")</f>
        <v/>
      </c>
    </row>
    <row r="322" spans="1:90" s="98" customFormat="1" ht="15.75" x14ac:dyDescent="0.2">
      <c r="A322" s="97"/>
      <c r="B322" s="105" t="str">
        <f t="shared" si="161"/>
        <v>--</v>
      </c>
      <c r="C322" s="276"/>
      <c r="D322" s="101" t="str">
        <f>IFERROR(IF(VLOOKUP(C322,'Data Sheet'!$A$3:$D$26,4,FALSE)=0,"",VLOOKUP(C322,'Data Sheet'!$A$3:$D$26,4,FALSE)),"")</f>
        <v/>
      </c>
      <c r="E322" s="279"/>
      <c r="F322" s="103" t="str">
        <f>IFERROR(IF(VLOOKUP(E322,'Data Sheet'!$C$29:$E$174,3,FALSE)=0,"",VLOOKUP(E322,'Data Sheet'!$C$29:$E$174,3,FALSE)),"")</f>
        <v/>
      </c>
      <c r="G322" s="106" t="str">
        <f t="shared" si="159"/>
        <v>-</v>
      </c>
      <c r="H322" s="273"/>
      <c r="I322" s="107"/>
      <c r="J322" s="249" t="e">
        <f t="shared" si="160"/>
        <v>#VALUE!</v>
      </c>
      <c r="K322" s="101" t="str">
        <f>IFERROR(INDEX('Data Sheet'!$C$198:$C$275,MATCH(I322,'Data Sheet'!$F$198:$F$275,0)),"")</f>
        <v/>
      </c>
      <c r="L322" s="250" t="str">
        <f>IFERROR(INDEX('Data Sheet'!$G$198:$G$275,MATCH(I322,'Data Sheet'!$F$198:$F$275,0)),"")</f>
        <v/>
      </c>
      <c r="M322" s="194"/>
      <c r="N322" s="248"/>
      <c r="O322" s="248"/>
      <c r="P322" s="108" t="str">
        <f>IFERROR(INDEX(Setup!$D$44:$D$70,MATCH(M322,Setup!$K$44:$K$70,0))&amp;"","")</f>
        <v/>
      </c>
      <c r="Q322" s="108" t="str">
        <f>IFERROR(INDEX(Setup!$E$44:$E$70,MATCH(M322,Setup!$K$44:$K$70,0))&amp;"","")</f>
        <v/>
      </c>
      <c r="R322" s="108" t="str">
        <f>IFERROR(INDEX(Setup!$L$44:$L$70,MATCH(M322,Setup!$K$44:$K$70,0))&amp;"","")</f>
        <v/>
      </c>
      <c r="S322" s="108" t="str">
        <f>Setup!$C$30</f>
        <v>USD</v>
      </c>
      <c r="T322" s="109" t="str">
        <f>IFERROR(INDEX('Data Sheet'!$B$198:$B$275,MATCH(I322,'Data Sheet'!$F$198:$F$275,0)),"")</f>
        <v/>
      </c>
      <c r="U322" s="110" t="str">
        <f>IFERROR(INDEX('Data Sheet'!$D$198:$D$275,MATCH(I322,'Data Sheet'!$F$198:$F$275,0)),"")</f>
        <v/>
      </c>
      <c r="V322" s="99"/>
      <c r="W322" s="195" t="str">
        <f>IF(V322=Setup!$C$30,"Grant",IF(V322=Setup!$C$31,"Local",IF(V322=Setup!$C$32,"Other",IF(ISBLANK(V322),"","Other"))))</f>
        <v/>
      </c>
      <c r="X322" s="255"/>
      <c r="Y322" s="259" t="str">
        <f>IF(X322&lt;&gt;"",X322/VLOOKUP($V322,Setup!$C$30:$D$41,2,0),"")</f>
        <v/>
      </c>
      <c r="Z322" s="262"/>
      <c r="AA322" s="256" t="str">
        <f t="shared" si="132"/>
        <v/>
      </c>
      <c r="AB322" s="262"/>
      <c r="AC322" s="258" t="str">
        <f t="shared" si="133"/>
        <v/>
      </c>
      <c r="AD322" s="262"/>
      <c r="AE322" s="258" t="str">
        <f t="shared" si="134"/>
        <v/>
      </c>
      <c r="AF322" s="262"/>
      <c r="AG322" s="256" t="str">
        <f t="shared" si="135"/>
        <v/>
      </c>
      <c r="AH322" s="256" t="str">
        <f t="shared" si="136"/>
        <v/>
      </c>
      <c r="AI322" s="256" t="str">
        <f t="shared" si="137"/>
        <v/>
      </c>
      <c r="AJ322" s="111"/>
      <c r="AK322" s="255"/>
      <c r="AL322" s="259" t="str">
        <f>IF(AK322&lt;&gt;"",AK322/VLOOKUP($V322,Setup!$C$30:$D$41,2,0),"")</f>
        <v/>
      </c>
      <c r="AM322" s="266"/>
      <c r="AN322" s="258" t="str">
        <f t="shared" si="138"/>
        <v/>
      </c>
      <c r="AO322" s="266"/>
      <c r="AP322" s="258" t="str">
        <f t="shared" si="139"/>
        <v/>
      </c>
      <c r="AQ322" s="266"/>
      <c r="AR322" s="258" t="str">
        <f t="shared" si="140"/>
        <v/>
      </c>
      <c r="AS322" s="266"/>
      <c r="AT322" s="256" t="str">
        <f t="shared" si="141"/>
        <v/>
      </c>
      <c r="AU322" s="256" t="str">
        <f t="shared" si="142"/>
        <v/>
      </c>
      <c r="AV322" s="256" t="str">
        <f t="shared" si="143"/>
        <v/>
      </c>
      <c r="AW322" s="267"/>
      <c r="AX322" s="255"/>
      <c r="AY322" s="259" t="str">
        <f>IF(AX322&lt;&gt;"",AX322/VLOOKUP($V322,Setup!$C$30:$D$41,2,0),"")</f>
        <v/>
      </c>
      <c r="AZ322" s="268"/>
      <c r="BA322" s="258" t="str">
        <f t="shared" si="144"/>
        <v/>
      </c>
      <c r="BB322" s="268"/>
      <c r="BC322" s="258" t="str">
        <f t="shared" si="145"/>
        <v/>
      </c>
      <c r="BD322" s="268"/>
      <c r="BE322" s="258" t="str">
        <f t="shared" si="146"/>
        <v/>
      </c>
      <c r="BF322" s="268"/>
      <c r="BG322" s="256" t="str">
        <f t="shared" si="147"/>
        <v/>
      </c>
      <c r="BH322" s="256" t="str">
        <f t="shared" si="148"/>
        <v/>
      </c>
      <c r="BI322" s="256" t="str">
        <f t="shared" si="149"/>
        <v/>
      </c>
      <c r="BJ322" s="267"/>
      <c r="BK322" s="255"/>
      <c r="BL322" s="259" t="str">
        <f>IF(BK322&lt;&gt;"",BK322/VLOOKUP($V322,Setup!$C$30:$D$41,2,0),"")</f>
        <v/>
      </c>
      <c r="BM322" s="268"/>
      <c r="BN322" s="258" t="str">
        <f t="shared" si="150"/>
        <v/>
      </c>
      <c r="BO322" s="268"/>
      <c r="BP322" s="258" t="str">
        <f t="shared" si="151"/>
        <v/>
      </c>
      <c r="BQ322" s="268"/>
      <c r="BR322" s="258" t="str">
        <f t="shared" si="152"/>
        <v/>
      </c>
      <c r="BS322" s="268"/>
      <c r="BT322" s="256" t="str">
        <f t="shared" si="153"/>
        <v/>
      </c>
      <c r="BU322" s="256" t="str">
        <f t="shared" si="154"/>
        <v/>
      </c>
      <c r="BV322" s="256" t="str">
        <f t="shared" si="155"/>
        <v/>
      </c>
      <c r="BW322" s="267"/>
      <c r="BX322" s="256" t="str">
        <f t="shared" si="156"/>
        <v/>
      </c>
      <c r="BY322" s="256" t="str">
        <f t="shared" si="157"/>
        <v/>
      </c>
      <c r="BZ322" s="281"/>
      <c r="CA322" s="282"/>
      <c r="CC322" s="112" t="str">
        <f t="shared" ca="1" si="158"/>
        <v/>
      </c>
      <c r="CF322" s="284"/>
      <c r="CG322" s="284"/>
      <c r="CH322" s="284"/>
      <c r="CI322" s="284"/>
      <c r="CL322" s="356" t="str">
        <f>IFERROR(VLOOKUP(C322,'Data Sheet'!$A$3:$B$26,2,FALSE),"")</f>
        <v/>
      </c>
    </row>
    <row r="323" spans="1:90" s="98" customFormat="1" ht="15.75" x14ac:dyDescent="0.2">
      <c r="A323" s="97"/>
      <c r="B323" s="105" t="str">
        <f t="shared" si="161"/>
        <v>--</v>
      </c>
      <c r="C323" s="276"/>
      <c r="D323" s="101" t="str">
        <f>IFERROR(IF(VLOOKUP(C323,'Data Sheet'!$A$3:$D$26,4,FALSE)=0,"",VLOOKUP(C323,'Data Sheet'!$A$3:$D$26,4,FALSE)),"")</f>
        <v/>
      </c>
      <c r="E323" s="279"/>
      <c r="F323" s="103" t="str">
        <f>IFERROR(IF(VLOOKUP(E323,'Data Sheet'!$C$29:$E$174,3,FALSE)=0,"",VLOOKUP(E323,'Data Sheet'!$C$29:$E$174,3,FALSE)),"")</f>
        <v/>
      </c>
      <c r="G323" s="106" t="str">
        <f t="shared" si="159"/>
        <v>-</v>
      </c>
      <c r="H323" s="273"/>
      <c r="I323" s="107"/>
      <c r="J323" s="249" t="e">
        <f t="shared" si="160"/>
        <v>#VALUE!</v>
      </c>
      <c r="K323" s="101" t="str">
        <f>IFERROR(INDEX('Data Sheet'!$C$198:$C$275,MATCH(I323,'Data Sheet'!$F$198:$F$275,0)),"")</f>
        <v/>
      </c>
      <c r="L323" s="250" t="str">
        <f>IFERROR(INDEX('Data Sheet'!$G$198:$G$275,MATCH(I323,'Data Sheet'!$F$198:$F$275,0)),"")</f>
        <v/>
      </c>
      <c r="M323" s="194"/>
      <c r="N323" s="248"/>
      <c r="O323" s="248"/>
      <c r="P323" s="108" t="str">
        <f>IFERROR(INDEX(Setup!$D$44:$D$70,MATCH(M323,Setup!$K$44:$K$70,0))&amp;"","")</f>
        <v/>
      </c>
      <c r="Q323" s="108" t="str">
        <f>IFERROR(INDEX(Setup!$E$44:$E$70,MATCH(M323,Setup!$K$44:$K$70,0))&amp;"","")</f>
        <v/>
      </c>
      <c r="R323" s="108" t="str">
        <f>IFERROR(INDEX(Setup!$L$44:$L$70,MATCH(M323,Setup!$K$44:$K$70,0))&amp;"","")</f>
        <v/>
      </c>
      <c r="S323" s="108" t="str">
        <f>Setup!$C$30</f>
        <v>USD</v>
      </c>
      <c r="T323" s="109" t="str">
        <f>IFERROR(INDEX('Data Sheet'!$B$198:$B$275,MATCH(I323,'Data Sheet'!$F$198:$F$275,0)),"")</f>
        <v/>
      </c>
      <c r="U323" s="110" t="str">
        <f>IFERROR(INDEX('Data Sheet'!$D$198:$D$275,MATCH(I323,'Data Sheet'!$F$198:$F$275,0)),"")</f>
        <v/>
      </c>
      <c r="V323" s="99"/>
      <c r="W323" s="195" t="str">
        <f>IF(V323=Setup!$C$30,"Grant",IF(V323=Setup!$C$31,"Local",IF(V323=Setup!$C$32,"Other",IF(ISBLANK(V323),"","Other"))))</f>
        <v/>
      </c>
      <c r="X323" s="255"/>
      <c r="Y323" s="259" t="str">
        <f>IF(X323&lt;&gt;"",X323/VLOOKUP($V323,Setup!$C$30:$D$41,2,0),"")</f>
        <v/>
      </c>
      <c r="Z323" s="262"/>
      <c r="AA323" s="256" t="str">
        <f t="shared" si="132"/>
        <v/>
      </c>
      <c r="AB323" s="262"/>
      <c r="AC323" s="258" t="str">
        <f t="shared" si="133"/>
        <v/>
      </c>
      <c r="AD323" s="262"/>
      <c r="AE323" s="258" t="str">
        <f t="shared" si="134"/>
        <v/>
      </c>
      <c r="AF323" s="262"/>
      <c r="AG323" s="256" t="str">
        <f t="shared" si="135"/>
        <v/>
      </c>
      <c r="AH323" s="256" t="str">
        <f t="shared" si="136"/>
        <v/>
      </c>
      <c r="AI323" s="256" t="str">
        <f t="shared" si="137"/>
        <v/>
      </c>
      <c r="AJ323" s="111"/>
      <c r="AK323" s="255"/>
      <c r="AL323" s="259" t="str">
        <f>IF(AK323&lt;&gt;"",AK323/VLOOKUP($V323,Setup!$C$30:$D$41,2,0),"")</f>
        <v/>
      </c>
      <c r="AM323" s="266"/>
      <c r="AN323" s="258" t="str">
        <f t="shared" si="138"/>
        <v/>
      </c>
      <c r="AO323" s="266"/>
      <c r="AP323" s="258" t="str">
        <f t="shared" si="139"/>
        <v/>
      </c>
      <c r="AQ323" s="266"/>
      <c r="AR323" s="258" t="str">
        <f t="shared" si="140"/>
        <v/>
      </c>
      <c r="AS323" s="266"/>
      <c r="AT323" s="256" t="str">
        <f t="shared" si="141"/>
        <v/>
      </c>
      <c r="AU323" s="256" t="str">
        <f t="shared" si="142"/>
        <v/>
      </c>
      <c r="AV323" s="256" t="str">
        <f t="shared" si="143"/>
        <v/>
      </c>
      <c r="AW323" s="267"/>
      <c r="AX323" s="255"/>
      <c r="AY323" s="259" t="str">
        <f>IF(AX323&lt;&gt;"",AX323/VLOOKUP($V323,Setup!$C$30:$D$41,2,0),"")</f>
        <v/>
      </c>
      <c r="AZ323" s="268"/>
      <c r="BA323" s="258" t="str">
        <f t="shared" si="144"/>
        <v/>
      </c>
      <c r="BB323" s="268"/>
      <c r="BC323" s="258" t="str">
        <f t="shared" si="145"/>
        <v/>
      </c>
      <c r="BD323" s="268"/>
      <c r="BE323" s="258" t="str">
        <f t="shared" si="146"/>
        <v/>
      </c>
      <c r="BF323" s="268"/>
      <c r="BG323" s="256" t="str">
        <f t="shared" si="147"/>
        <v/>
      </c>
      <c r="BH323" s="256" t="str">
        <f t="shared" si="148"/>
        <v/>
      </c>
      <c r="BI323" s="256" t="str">
        <f t="shared" si="149"/>
        <v/>
      </c>
      <c r="BJ323" s="267"/>
      <c r="BK323" s="255"/>
      <c r="BL323" s="259" t="str">
        <f>IF(BK323&lt;&gt;"",BK323/VLOOKUP($V323,Setup!$C$30:$D$41,2,0),"")</f>
        <v/>
      </c>
      <c r="BM323" s="268"/>
      <c r="BN323" s="258" t="str">
        <f t="shared" si="150"/>
        <v/>
      </c>
      <c r="BO323" s="268"/>
      <c r="BP323" s="258" t="str">
        <f t="shared" si="151"/>
        <v/>
      </c>
      <c r="BQ323" s="268"/>
      <c r="BR323" s="258" t="str">
        <f t="shared" si="152"/>
        <v/>
      </c>
      <c r="BS323" s="268"/>
      <c r="BT323" s="256" t="str">
        <f t="shared" si="153"/>
        <v/>
      </c>
      <c r="BU323" s="256" t="str">
        <f t="shared" si="154"/>
        <v/>
      </c>
      <c r="BV323" s="256" t="str">
        <f t="shared" si="155"/>
        <v/>
      </c>
      <c r="BW323" s="267"/>
      <c r="BX323" s="256" t="str">
        <f t="shared" si="156"/>
        <v/>
      </c>
      <c r="BY323" s="256" t="str">
        <f t="shared" si="157"/>
        <v/>
      </c>
      <c r="BZ323" s="281"/>
      <c r="CA323" s="282"/>
      <c r="CC323" s="112" t="str">
        <f t="shared" ca="1" si="158"/>
        <v/>
      </c>
      <c r="CF323" s="284"/>
      <c r="CG323" s="284"/>
      <c r="CH323" s="284"/>
      <c r="CI323" s="284"/>
      <c r="CL323" s="356" t="str">
        <f>IFERROR(VLOOKUP(C323,'Data Sheet'!$A$3:$B$26,2,FALSE),"")</f>
        <v/>
      </c>
    </row>
    <row r="324" spans="1:90" s="98" customFormat="1" ht="15.75" x14ac:dyDescent="0.2">
      <c r="A324" s="97"/>
      <c r="B324" s="105" t="str">
        <f t="shared" si="161"/>
        <v>--</v>
      </c>
      <c r="C324" s="276"/>
      <c r="D324" s="101" t="str">
        <f>IFERROR(IF(VLOOKUP(C324,'Data Sheet'!$A$3:$D$26,4,FALSE)=0,"",VLOOKUP(C324,'Data Sheet'!$A$3:$D$26,4,FALSE)),"")</f>
        <v/>
      </c>
      <c r="E324" s="279"/>
      <c r="F324" s="103" t="str">
        <f>IFERROR(IF(VLOOKUP(E324,'Data Sheet'!$C$29:$E$174,3,FALSE)=0,"",VLOOKUP(E324,'Data Sheet'!$C$29:$E$174,3,FALSE)),"")</f>
        <v/>
      </c>
      <c r="G324" s="106" t="str">
        <f t="shared" si="159"/>
        <v>-</v>
      </c>
      <c r="H324" s="273"/>
      <c r="I324" s="107"/>
      <c r="J324" s="249" t="e">
        <f t="shared" si="160"/>
        <v>#VALUE!</v>
      </c>
      <c r="K324" s="101" t="str">
        <f>IFERROR(INDEX('Data Sheet'!$C$198:$C$275,MATCH(I324,'Data Sheet'!$F$198:$F$275,0)),"")</f>
        <v/>
      </c>
      <c r="L324" s="250" t="str">
        <f>IFERROR(INDEX('Data Sheet'!$G$198:$G$275,MATCH(I324,'Data Sheet'!$F$198:$F$275,0)),"")</f>
        <v/>
      </c>
      <c r="M324" s="194"/>
      <c r="N324" s="248"/>
      <c r="O324" s="248"/>
      <c r="P324" s="108" t="str">
        <f>IFERROR(INDEX(Setup!$D$44:$D$70,MATCH(M324,Setup!$K$44:$K$70,0))&amp;"","")</f>
        <v/>
      </c>
      <c r="Q324" s="108" t="str">
        <f>IFERROR(INDEX(Setup!$E$44:$E$70,MATCH(M324,Setup!$K$44:$K$70,0))&amp;"","")</f>
        <v/>
      </c>
      <c r="R324" s="108" t="str">
        <f>IFERROR(INDEX(Setup!$L$44:$L$70,MATCH(M324,Setup!$K$44:$K$70,0))&amp;"","")</f>
        <v/>
      </c>
      <c r="S324" s="108" t="str">
        <f>Setup!$C$30</f>
        <v>USD</v>
      </c>
      <c r="T324" s="109" t="str">
        <f>IFERROR(INDEX('Data Sheet'!$B$198:$B$275,MATCH(I324,'Data Sheet'!$F$198:$F$275,0)),"")</f>
        <v/>
      </c>
      <c r="U324" s="110" t="str">
        <f>IFERROR(INDEX('Data Sheet'!$D$198:$D$275,MATCH(I324,'Data Sheet'!$F$198:$F$275,0)),"")</f>
        <v/>
      </c>
      <c r="V324" s="99"/>
      <c r="W324" s="195" t="str">
        <f>IF(V324=Setup!$C$30,"Grant",IF(V324=Setup!$C$31,"Local",IF(V324=Setup!$C$32,"Other",IF(ISBLANK(V324),"","Other"))))</f>
        <v/>
      </c>
      <c r="X324" s="255"/>
      <c r="Y324" s="259" t="str">
        <f>IF(X324&lt;&gt;"",X324/VLOOKUP($V324,Setup!$C$30:$D$41,2,0),"")</f>
        <v/>
      </c>
      <c r="Z324" s="262"/>
      <c r="AA324" s="256" t="str">
        <f t="shared" si="132"/>
        <v/>
      </c>
      <c r="AB324" s="262"/>
      <c r="AC324" s="258" t="str">
        <f t="shared" si="133"/>
        <v/>
      </c>
      <c r="AD324" s="262"/>
      <c r="AE324" s="258" t="str">
        <f t="shared" si="134"/>
        <v/>
      </c>
      <c r="AF324" s="262"/>
      <c r="AG324" s="256" t="str">
        <f t="shared" si="135"/>
        <v/>
      </c>
      <c r="AH324" s="256" t="str">
        <f t="shared" si="136"/>
        <v/>
      </c>
      <c r="AI324" s="256" t="str">
        <f t="shared" si="137"/>
        <v/>
      </c>
      <c r="AJ324" s="111"/>
      <c r="AK324" s="255"/>
      <c r="AL324" s="259" t="str">
        <f>IF(AK324&lt;&gt;"",AK324/VLOOKUP($V324,Setup!$C$30:$D$41,2,0),"")</f>
        <v/>
      </c>
      <c r="AM324" s="266"/>
      <c r="AN324" s="258" t="str">
        <f t="shared" si="138"/>
        <v/>
      </c>
      <c r="AO324" s="266"/>
      <c r="AP324" s="258" t="str">
        <f t="shared" si="139"/>
        <v/>
      </c>
      <c r="AQ324" s="266"/>
      <c r="AR324" s="258" t="str">
        <f t="shared" si="140"/>
        <v/>
      </c>
      <c r="AS324" s="266"/>
      <c r="AT324" s="256" t="str">
        <f t="shared" si="141"/>
        <v/>
      </c>
      <c r="AU324" s="256" t="str">
        <f t="shared" si="142"/>
        <v/>
      </c>
      <c r="AV324" s="256" t="str">
        <f t="shared" si="143"/>
        <v/>
      </c>
      <c r="AW324" s="267"/>
      <c r="AX324" s="255"/>
      <c r="AY324" s="259" t="str">
        <f>IF(AX324&lt;&gt;"",AX324/VLOOKUP($V324,Setup!$C$30:$D$41,2,0),"")</f>
        <v/>
      </c>
      <c r="AZ324" s="268"/>
      <c r="BA324" s="258" t="str">
        <f t="shared" si="144"/>
        <v/>
      </c>
      <c r="BB324" s="268"/>
      <c r="BC324" s="258" t="str">
        <f t="shared" si="145"/>
        <v/>
      </c>
      <c r="BD324" s="268"/>
      <c r="BE324" s="258" t="str">
        <f t="shared" si="146"/>
        <v/>
      </c>
      <c r="BF324" s="268"/>
      <c r="BG324" s="256" t="str">
        <f t="shared" si="147"/>
        <v/>
      </c>
      <c r="BH324" s="256" t="str">
        <f t="shared" si="148"/>
        <v/>
      </c>
      <c r="BI324" s="256" t="str">
        <f t="shared" si="149"/>
        <v/>
      </c>
      <c r="BJ324" s="267"/>
      <c r="BK324" s="255"/>
      <c r="BL324" s="259" t="str">
        <f>IF(BK324&lt;&gt;"",BK324/VLOOKUP($V324,Setup!$C$30:$D$41,2,0),"")</f>
        <v/>
      </c>
      <c r="BM324" s="268"/>
      <c r="BN324" s="258" t="str">
        <f t="shared" si="150"/>
        <v/>
      </c>
      <c r="BO324" s="268"/>
      <c r="BP324" s="258" t="str">
        <f t="shared" si="151"/>
        <v/>
      </c>
      <c r="BQ324" s="268"/>
      <c r="BR324" s="258" t="str">
        <f t="shared" si="152"/>
        <v/>
      </c>
      <c r="BS324" s="268"/>
      <c r="BT324" s="256" t="str">
        <f t="shared" si="153"/>
        <v/>
      </c>
      <c r="BU324" s="256" t="str">
        <f t="shared" si="154"/>
        <v/>
      </c>
      <c r="BV324" s="256" t="str">
        <f t="shared" si="155"/>
        <v/>
      </c>
      <c r="BW324" s="267"/>
      <c r="BX324" s="256" t="str">
        <f t="shared" si="156"/>
        <v/>
      </c>
      <c r="BY324" s="256" t="str">
        <f t="shared" si="157"/>
        <v/>
      </c>
      <c r="BZ324" s="281"/>
      <c r="CA324" s="282"/>
      <c r="CC324" s="112" t="str">
        <f t="shared" ca="1" si="158"/>
        <v/>
      </c>
      <c r="CF324" s="284"/>
      <c r="CG324" s="284"/>
      <c r="CH324" s="284"/>
      <c r="CI324" s="284"/>
      <c r="CL324" s="356" t="str">
        <f>IFERROR(VLOOKUP(C324,'Data Sheet'!$A$3:$B$26,2,FALSE),"")</f>
        <v/>
      </c>
    </row>
    <row r="325" spans="1:90" s="98" customFormat="1" ht="15.75" x14ac:dyDescent="0.2">
      <c r="A325" s="97"/>
      <c r="B325" s="105" t="str">
        <f t="shared" si="161"/>
        <v>--</v>
      </c>
      <c r="C325" s="276"/>
      <c r="D325" s="101" t="str">
        <f>IFERROR(IF(VLOOKUP(C325,'Data Sheet'!$A$3:$D$26,4,FALSE)=0,"",VLOOKUP(C325,'Data Sheet'!$A$3:$D$26,4,FALSE)),"")</f>
        <v/>
      </c>
      <c r="E325" s="279"/>
      <c r="F325" s="103" t="str">
        <f>IFERROR(IF(VLOOKUP(E325,'Data Sheet'!$C$29:$E$174,3,FALSE)=0,"",VLOOKUP(E325,'Data Sheet'!$C$29:$E$174,3,FALSE)),"")</f>
        <v/>
      </c>
      <c r="G325" s="106" t="str">
        <f t="shared" si="159"/>
        <v>-</v>
      </c>
      <c r="H325" s="273"/>
      <c r="I325" s="107"/>
      <c r="J325" s="249" t="e">
        <f t="shared" si="160"/>
        <v>#VALUE!</v>
      </c>
      <c r="K325" s="101" t="str">
        <f>IFERROR(INDEX('Data Sheet'!$C$198:$C$275,MATCH(I325,'Data Sheet'!$F$198:$F$275,0)),"")</f>
        <v/>
      </c>
      <c r="L325" s="250" t="str">
        <f>IFERROR(INDEX('Data Sheet'!$G$198:$G$275,MATCH(I325,'Data Sheet'!$F$198:$F$275,0)),"")</f>
        <v/>
      </c>
      <c r="M325" s="194"/>
      <c r="N325" s="248"/>
      <c r="O325" s="248"/>
      <c r="P325" s="108" t="str">
        <f>IFERROR(INDEX(Setup!$D$44:$D$70,MATCH(M325,Setup!$K$44:$K$70,0))&amp;"","")</f>
        <v/>
      </c>
      <c r="Q325" s="108" t="str">
        <f>IFERROR(INDEX(Setup!$E$44:$E$70,MATCH(M325,Setup!$K$44:$K$70,0))&amp;"","")</f>
        <v/>
      </c>
      <c r="R325" s="108" t="str">
        <f>IFERROR(INDEX(Setup!$L$44:$L$70,MATCH(M325,Setup!$K$44:$K$70,0))&amp;"","")</f>
        <v/>
      </c>
      <c r="S325" s="108" t="str">
        <f>Setup!$C$30</f>
        <v>USD</v>
      </c>
      <c r="T325" s="109" t="str">
        <f>IFERROR(INDEX('Data Sheet'!$B$198:$B$275,MATCH(I325,'Data Sheet'!$F$198:$F$275,0)),"")</f>
        <v/>
      </c>
      <c r="U325" s="110" t="str">
        <f>IFERROR(INDEX('Data Sheet'!$D$198:$D$275,MATCH(I325,'Data Sheet'!$F$198:$F$275,0)),"")</f>
        <v/>
      </c>
      <c r="V325" s="99"/>
      <c r="W325" s="195" t="str">
        <f>IF(V325=Setup!$C$30,"Grant",IF(V325=Setup!$C$31,"Local",IF(V325=Setup!$C$32,"Other",IF(ISBLANK(V325),"","Other"))))</f>
        <v/>
      </c>
      <c r="X325" s="255"/>
      <c r="Y325" s="259" t="str">
        <f>IF(X325&lt;&gt;"",X325/VLOOKUP($V325,Setup!$C$30:$D$41,2,0),"")</f>
        <v/>
      </c>
      <c r="Z325" s="262"/>
      <c r="AA325" s="256" t="str">
        <f t="shared" ref="AA325:AA388" si="162">IFERROR(IF(AND(NOT(Z325=""),NOT(Y325="")),Z325*Y325,""),"")</f>
        <v/>
      </c>
      <c r="AB325" s="262"/>
      <c r="AC325" s="258" t="str">
        <f t="shared" ref="AC325:AC388" si="163">IFERROR(IF(AND(NOT(AB325=""),NOT(Y325="")),AB325*Y325,""),"")</f>
        <v/>
      </c>
      <c r="AD325" s="262"/>
      <c r="AE325" s="258" t="str">
        <f t="shared" ref="AE325:AE388" si="164">IFERROR(IF(AND(NOT(AD325=""),NOT(Y325="")),AD325*Y325,""),"")</f>
        <v/>
      </c>
      <c r="AF325" s="262"/>
      <c r="AG325" s="256" t="str">
        <f t="shared" ref="AG325:AG388" si="165">IFERROR(IF(AND(NOT(AF325=""),NOT(Y325="")),AF325*Y325,""),"")</f>
        <v/>
      </c>
      <c r="AH325" s="256" t="str">
        <f t="shared" ref="AH325:AH388" si="166">IFERROR(IF(OR(NOT(Z325=""),NOT(AF325=""),NOT(AB325=""),NOT(AD325="")),Z325+AF325+AB325+AD325,""),"")</f>
        <v/>
      </c>
      <c r="AI325" s="256" t="str">
        <f t="shared" ref="AI325:AI388" si="167">IF(SUM(AA325,AC325,AE325,AG325)&gt;0,SUM(AA325,AC325,AE325,AG325),"")</f>
        <v/>
      </c>
      <c r="AJ325" s="111"/>
      <c r="AK325" s="255"/>
      <c r="AL325" s="259" t="str">
        <f>IF(AK325&lt;&gt;"",AK325/VLOOKUP($V325,Setup!$C$30:$D$41,2,0),"")</f>
        <v/>
      </c>
      <c r="AM325" s="266"/>
      <c r="AN325" s="258" t="str">
        <f t="shared" ref="AN325:AN388" si="168">IFERROR(IF(AND(NOT(AM325=""),NOT(AL325="")),AM325*$AL325,""),"")</f>
        <v/>
      </c>
      <c r="AO325" s="266"/>
      <c r="AP325" s="258" t="str">
        <f t="shared" ref="AP325:AP388" si="169">IFERROR(IF(AND(NOT(AO325=""),NOT(AL325="")),AO325*$AL325,""),"")</f>
        <v/>
      </c>
      <c r="AQ325" s="266"/>
      <c r="AR325" s="258" t="str">
        <f t="shared" ref="AR325:AR388" si="170">IFERROR(IF(AND(NOT(AQ325=""),NOT(AL325="")),AQ325*$AL325,""),"")</f>
        <v/>
      </c>
      <c r="AS325" s="266"/>
      <c r="AT325" s="256" t="str">
        <f t="shared" ref="AT325:AT388" si="171">IFERROR(IF(AND(NOT(AS325=""),NOT(AL325="")),AS325*$AL325,""),"")</f>
        <v/>
      </c>
      <c r="AU325" s="256" t="str">
        <f t="shared" ref="AU325:AU388" si="172">IFERROR(IF(OR(NOT(AM325=""),NOT(AS325=""),NOT(AO325=""),NOT(AQ325="")),AM325+AS325+AO325+AQ325,""),"")</f>
        <v/>
      </c>
      <c r="AV325" s="256" t="str">
        <f t="shared" ref="AV325:AV388" si="173">IF(SUM(AN325,AT325,AP325,AR325)&gt;0,SUM(AN325,AT325,AP325,AR325),"")</f>
        <v/>
      </c>
      <c r="AW325" s="267"/>
      <c r="AX325" s="255"/>
      <c r="AY325" s="259" t="str">
        <f>IF(AX325&lt;&gt;"",AX325/VLOOKUP($V325,Setup!$C$30:$D$41,2,0),"")</f>
        <v/>
      </c>
      <c r="AZ325" s="268"/>
      <c r="BA325" s="258" t="str">
        <f t="shared" ref="BA325:BA388" si="174">IFERROR(IF(AND(NOT(AZ325=""),NOT(AY325="")),AZ325*$AY325,""),"")</f>
        <v/>
      </c>
      <c r="BB325" s="268"/>
      <c r="BC325" s="258" t="str">
        <f t="shared" ref="BC325:BC388" si="175">IFERROR(IF(AND(NOT(BB325=""),NOT(AY325="")),BB325*$AY325,""),"")</f>
        <v/>
      </c>
      <c r="BD325" s="268"/>
      <c r="BE325" s="258" t="str">
        <f t="shared" ref="BE325:BE388" si="176">IFERROR(IF(AND(NOT(BD325=""),NOT(AY325="")),BD325*$AY325,""),"")</f>
        <v/>
      </c>
      <c r="BF325" s="268"/>
      <c r="BG325" s="256" t="str">
        <f t="shared" ref="BG325:BG388" si="177">IFERROR(IF(AND(NOT(BF325=""),NOT(AY325="")),BF325*$AY325,""),"")</f>
        <v/>
      </c>
      <c r="BH325" s="256" t="str">
        <f t="shared" ref="BH325:BH388" si="178">IFERROR(IF(OR(NOT(AZ325=""),NOT(BF325=""),NOT(BB325=""),NOT(BD325="")),AZ325+BF325+BB325+BD325,""),"")</f>
        <v/>
      </c>
      <c r="BI325" s="256" t="str">
        <f t="shared" ref="BI325:BI388" si="179">IF(SUM(BA325,BG325,BC325,BE325)&gt;0,SUM(BA325,BG325,BC325,BE325),"")</f>
        <v/>
      </c>
      <c r="BJ325" s="267"/>
      <c r="BK325" s="255"/>
      <c r="BL325" s="259" t="str">
        <f>IF(BK325&lt;&gt;"",BK325/VLOOKUP($V325,Setup!$C$30:$D$41,2,0),"")</f>
        <v/>
      </c>
      <c r="BM325" s="268"/>
      <c r="BN325" s="258" t="str">
        <f t="shared" ref="BN325:BN388" si="180">IFERROR(IF(AND(NOT(BM325=""),NOT(BL325="")),BM325*$BL325,""),"")</f>
        <v/>
      </c>
      <c r="BO325" s="268"/>
      <c r="BP325" s="258" t="str">
        <f t="shared" ref="BP325:BP388" si="181">IFERROR(IF(AND(NOT(BO325=""),NOT(BL325="")),BO325*$BL325,""),"")</f>
        <v/>
      </c>
      <c r="BQ325" s="268"/>
      <c r="BR325" s="258" t="str">
        <f t="shared" ref="BR325:BR388" si="182">IFERROR(IF(AND(NOT(BQ325=""),NOT(BL325="")),BQ325*$BL325,""),"")</f>
        <v/>
      </c>
      <c r="BS325" s="268"/>
      <c r="BT325" s="256" t="str">
        <f t="shared" ref="BT325:BT388" si="183">IFERROR(IF(AND(NOT(BS325=""),NOT(BL325="")),BS325*$BL325,""),"")</f>
        <v/>
      </c>
      <c r="BU325" s="256" t="str">
        <f t="shared" ref="BU325:BU388" si="184">IFERROR(IF(OR(NOT(BM325=""),NOT(BS325=""),NOT(BO325=""),NOT(BQ325="")),BM325+BS325+BO325+BQ325,""),"")</f>
        <v/>
      </c>
      <c r="BV325" s="256" t="str">
        <f t="shared" ref="BV325:BV388" si="185">IF(SUM(BN325,BT325,BP325,BR325)&gt;0,SUM(BN325,BT325,BP325,BR325),"")</f>
        <v/>
      </c>
      <c r="BW325" s="267"/>
      <c r="BX325" s="256" t="str">
        <f t="shared" ref="BX325:BX388" si="186">IF(SUM(AH325,AU325,BH325,BU325)&gt;0,SUM(AH325,AU325,BH325,BU325),"")</f>
        <v/>
      </c>
      <c r="BY325" s="256" t="str">
        <f t="shared" ref="BY325:BY388" si="187">IF(SUM(AI325,AV325,BI325,BV325)&gt;0,SUM(AI325,AV325,BI325,BV325),"")</f>
        <v/>
      </c>
      <c r="BZ325" s="281"/>
      <c r="CA325" s="282"/>
      <c r="CC325" s="112" t="str">
        <f t="shared" ref="CC325:CC388" ca="1" si="188">IF(OR(B325="--",IFERROR(MATCH(B325,OFFSET(B$4,0,0,ROW()-1,1),0),1)&lt;&gt;1),"",1)</f>
        <v/>
      </c>
      <c r="CF325" s="284"/>
      <c r="CG325" s="284"/>
      <c r="CH325" s="284"/>
      <c r="CI325" s="284"/>
      <c r="CL325" s="356" t="str">
        <f>IFERROR(VLOOKUP(C325,'Data Sheet'!$A$3:$B$26,2,FALSE),"")</f>
        <v/>
      </c>
    </row>
    <row r="326" spans="1:90" s="98" customFormat="1" ht="15.75" x14ac:dyDescent="0.2">
      <c r="A326" s="97"/>
      <c r="B326" s="105" t="str">
        <f t="shared" si="161"/>
        <v>--</v>
      </c>
      <c r="C326" s="276"/>
      <c r="D326" s="101" t="str">
        <f>IFERROR(IF(VLOOKUP(C326,'Data Sheet'!$A$3:$D$26,4,FALSE)=0,"",VLOOKUP(C326,'Data Sheet'!$A$3:$D$26,4,FALSE)),"")</f>
        <v/>
      </c>
      <c r="E326" s="279"/>
      <c r="F326" s="103" t="str">
        <f>IFERROR(IF(VLOOKUP(E326,'Data Sheet'!$C$29:$E$174,3,FALSE)=0,"",VLOOKUP(E326,'Data Sheet'!$C$29:$E$174,3,FALSE)),"")</f>
        <v/>
      </c>
      <c r="G326" s="106" t="str">
        <f t="shared" ref="G326:G389" si="189">CONCATENATE(D326,"-",F326)</f>
        <v>-</v>
      </c>
      <c r="H326" s="273"/>
      <c r="I326" s="107"/>
      <c r="J326" s="249" t="e">
        <f t="shared" ref="J326:J389" si="190">LEFT(I326,SEARCH(".",I326,1)+1)</f>
        <v>#VALUE!</v>
      </c>
      <c r="K326" s="101" t="str">
        <f>IFERROR(INDEX('Data Sheet'!$C$198:$C$275,MATCH(I326,'Data Sheet'!$F$198:$F$275,0)),"")</f>
        <v/>
      </c>
      <c r="L326" s="250" t="str">
        <f>IFERROR(INDEX('Data Sheet'!$G$198:$G$275,MATCH(I326,'Data Sheet'!$F$198:$F$275,0)),"")</f>
        <v/>
      </c>
      <c r="M326" s="194"/>
      <c r="N326" s="248"/>
      <c r="O326" s="248"/>
      <c r="P326" s="108" t="str">
        <f>IFERROR(INDEX(Setup!$D$44:$D$70,MATCH(M326,Setup!$K$44:$K$70,0))&amp;"","")</f>
        <v/>
      </c>
      <c r="Q326" s="108" t="str">
        <f>IFERROR(INDEX(Setup!$E$44:$E$70,MATCH(M326,Setup!$K$44:$K$70,0))&amp;"","")</f>
        <v/>
      </c>
      <c r="R326" s="108" t="str">
        <f>IFERROR(INDEX(Setup!$L$44:$L$70,MATCH(M326,Setup!$K$44:$K$70,0))&amp;"","")</f>
        <v/>
      </c>
      <c r="S326" s="108" t="str">
        <f>Setup!$C$30</f>
        <v>USD</v>
      </c>
      <c r="T326" s="109" t="str">
        <f>IFERROR(INDEX('Data Sheet'!$B$198:$B$275,MATCH(I326,'Data Sheet'!$F$198:$F$275,0)),"")</f>
        <v/>
      </c>
      <c r="U326" s="110" t="str">
        <f>IFERROR(INDEX('Data Sheet'!$D$198:$D$275,MATCH(I326,'Data Sheet'!$F$198:$F$275,0)),"")</f>
        <v/>
      </c>
      <c r="V326" s="99"/>
      <c r="W326" s="195" t="str">
        <f>IF(V326=Setup!$C$30,"Grant",IF(V326=Setup!$C$31,"Local",IF(V326=Setup!$C$32,"Other",IF(ISBLANK(V326),"","Other"))))</f>
        <v/>
      </c>
      <c r="X326" s="255"/>
      <c r="Y326" s="259" t="str">
        <f>IF(X326&lt;&gt;"",X326/VLOOKUP($V326,Setup!$C$30:$D$41,2,0),"")</f>
        <v/>
      </c>
      <c r="Z326" s="262"/>
      <c r="AA326" s="256" t="str">
        <f t="shared" si="162"/>
        <v/>
      </c>
      <c r="AB326" s="262"/>
      <c r="AC326" s="258" t="str">
        <f t="shared" si="163"/>
        <v/>
      </c>
      <c r="AD326" s="262"/>
      <c r="AE326" s="258" t="str">
        <f t="shared" si="164"/>
        <v/>
      </c>
      <c r="AF326" s="262"/>
      <c r="AG326" s="256" t="str">
        <f t="shared" si="165"/>
        <v/>
      </c>
      <c r="AH326" s="256" t="str">
        <f t="shared" si="166"/>
        <v/>
      </c>
      <c r="AI326" s="256" t="str">
        <f t="shared" si="167"/>
        <v/>
      </c>
      <c r="AJ326" s="111"/>
      <c r="AK326" s="255"/>
      <c r="AL326" s="259" t="str">
        <f>IF(AK326&lt;&gt;"",AK326/VLOOKUP($V326,Setup!$C$30:$D$41,2,0),"")</f>
        <v/>
      </c>
      <c r="AM326" s="266"/>
      <c r="AN326" s="258" t="str">
        <f t="shared" si="168"/>
        <v/>
      </c>
      <c r="AO326" s="266"/>
      <c r="AP326" s="258" t="str">
        <f t="shared" si="169"/>
        <v/>
      </c>
      <c r="AQ326" s="266"/>
      <c r="AR326" s="258" t="str">
        <f t="shared" si="170"/>
        <v/>
      </c>
      <c r="AS326" s="266"/>
      <c r="AT326" s="256" t="str">
        <f t="shared" si="171"/>
        <v/>
      </c>
      <c r="AU326" s="256" t="str">
        <f t="shared" si="172"/>
        <v/>
      </c>
      <c r="AV326" s="256" t="str">
        <f t="shared" si="173"/>
        <v/>
      </c>
      <c r="AW326" s="267"/>
      <c r="AX326" s="255"/>
      <c r="AY326" s="259" t="str">
        <f>IF(AX326&lt;&gt;"",AX326/VLOOKUP($V326,Setup!$C$30:$D$41,2,0),"")</f>
        <v/>
      </c>
      <c r="AZ326" s="268"/>
      <c r="BA326" s="258" t="str">
        <f t="shared" si="174"/>
        <v/>
      </c>
      <c r="BB326" s="268"/>
      <c r="BC326" s="258" t="str">
        <f t="shared" si="175"/>
        <v/>
      </c>
      <c r="BD326" s="268"/>
      <c r="BE326" s="258" t="str">
        <f t="shared" si="176"/>
        <v/>
      </c>
      <c r="BF326" s="268"/>
      <c r="BG326" s="256" t="str">
        <f t="shared" si="177"/>
        <v/>
      </c>
      <c r="BH326" s="256" t="str">
        <f t="shared" si="178"/>
        <v/>
      </c>
      <c r="BI326" s="256" t="str">
        <f t="shared" si="179"/>
        <v/>
      </c>
      <c r="BJ326" s="267"/>
      <c r="BK326" s="255"/>
      <c r="BL326" s="259" t="str">
        <f>IF(BK326&lt;&gt;"",BK326/VLOOKUP($V326,Setup!$C$30:$D$41,2,0),"")</f>
        <v/>
      </c>
      <c r="BM326" s="268"/>
      <c r="BN326" s="258" t="str">
        <f t="shared" si="180"/>
        <v/>
      </c>
      <c r="BO326" s="268"/>
      <c r="BP326" s="258" t="str">
        <f t="shared" si="181"/>
        <v/>
      </c>
      <c r="BQ326" s="268"/>
      <c r="BR326" s="258" t="str">
        <f t="shared" si="182"/>
        <v/>
      </c>
      <c r="BS326" s="268"/>
      <c r="BT326" s="256" t="str">
        <f t="shared" si="183"/>
        <v/>
      </c>
      <c r="BU326" s="256" t="str">
        <f t="shared" si="184"/>
        <v/>
      </c>
      <c r="BV326" s="256" t="str">
        <f t="shared" si="185"/>
        <v/>
      </c>
      <c r="BW326" s="267"/>
      <c r="BX326" s="256" t="str">
        <f t="shared" si="186"/>
        <v/>
      </c>
      <c r="BY326" s="256" t="str">
        <f t="shared" si="187"/>
        <v/>
      </c>
      <c r="BZ326" s="281"/>
      <c r="CA326" s="282"/>
      <c r="CC326" s="112" t="str">
        <f t="shared" ca="1" si="188"/>
        <v/>
      </c>
      <c r="CF326" s="284"/>
      <c r="CG326" s="284"/>
      <c r="CH326" s="284"/>
      <c r="CI326" s="284"/>
      <c r="CL326" s="356" t="str">
        <f>IFERROR(VLOOKUP(C326,'Data Sheet'!$A$3:$B$26,2,FALSE),"")</f>
        <v/>
      </c>
    </row>
    <row r="327" spans="1:90" s="98" customFormat="1" ht="15.75" x14ac:dyDescent="0.2">
      <c r="A327" s="97"/>
      <c r="B327" s="105" t="str">
        <f t="shared" si="161"/>
        <v>--</v>
      </c>
      <c r="C327" s="276"/>
      <c r="D327" s="101" t="str">
        <f>IFERROR(IF(VLOOKUP(C327,'Data Sheet'!$A$3:$D$26,4,FALSE)=0,"",VLOOKUP(C327,'Data Sheet'!$A$3:$D$26,4,FALSE)),"")</f>
        <v/>
      </c>
      <c r="E327" s="279"/>
      <c r="F327" s="103" t="str">
        <f>IFERROR(IF(VLOOKUP(E327,'Data Sheet'!$C$29:$E$174,3,FALSE)=0,"",VLOOKUP(E327,'Data Sheet'!$C$29:$E$174,3,FALSE)),"")</f>
        <v/>
      </c>
      <c r="G327" s="106" t="str">
        <f t="shared" si="189"/>
        <v>-</v>
      </c>
      <c r="H327" s="273"/>
      <c r="I327" s="107"/>
      <c r="J327" s="249" t="e">
        <f t="shared" si="190"/>
        <v>#VALUE!</v>
      </c>
      <c r="K327" s="101" t="str">
        <f>IFERROR(INDEX('Data Sheet'!$C$198:$C$275,MATCH(I327,'Data Sheet'!$F$198:$F$275,0)),"")</f>
        <v/>
      </c>
      <c r="L327" s="250" t="str">
        <f>IFERROR(INDEX('Data Sheet'!$G$198:$G$275,MATCH(I327,'Data Sheet'!$F$198:$F$275,0)),"")</f>
        <v/>
      </c>
      <c r="M327" s="194"/>
      <c r="N327" s="248"/>
      <c r="O327" s="248"/>
      <c r="P327" s="108" t="str">
        <f>IFERROR(INDEX(Setup!$D$44:$D$70,MATCH(M327,Setup!$K$44:$K$70,0))&amp;"","")</f>
        <v/>
      </c>
      <c r="Q327" s="108" t="str">
        <f>IFERROR(INDEX(Setup!$E$44:$E$70,MATCH(M327,Setup!$K$44:$K$70,0))&amp;"","")</f>
        <v/>
      </c>
      <c r="R327" s="108" t="str">
        <f>IFERROR(INDEX(Setup!$L$44:$L$70,MATCH(M327,Setup!$K$44:$K$70,0))&amp;"","")</f>
        <v/>
      </c>
      <c r="S327" s="108" t="str">
        <f>Setup!$C$30</f>
        <v>USD</v>
      </c>
      <c r="T327" s="109" t="str">
        <f>IFERROR(INDEX('Data Sheet'!$B$198:$B$275,MATCH(I327,'Data Sheet'!$F$198:$F$275,0)),"")</f>
        <v/>
      </c>
      <c r="U327" s="110" t="str">
        <f>IFERROR(INDEX('Data Sheet'!$D$198:$D$275,MATCH(I327,'Data Sheet'!$F$198:$F$275,0)),"")</f>
        <v/>
      </c>
      <c r="V327" s="99"/>
      <c r="W327" s="195" t="str">
        <f>IF(V327=Setup!$C$30,"Grant",IF(V327=Setup!$C$31,"Local",IF(V327=Setup!$C$32,"Other",IF(ISBLANK(V327),"","Other"))))</f>
        <v/>
      </c>
      <c r="X327" s="255"/>
      <c r="Y327" s="259" t="str">
        <f>IF(X327&lt;&gt;"",X327/VLOOKUP($V327,Setup!$C$30:$D$41,2,0),"")</f>
        <v/>
      </c>
      <c r="Z327" s="262"/>
      <c r="AA327" s="256" t="str">
        <f t="shared" si="162"/>
        <v/>
      </c>
      <c r="AB327" s="262"/>
      <c r="AC327" s="258" t="str">
        <f t="shared" si="163"/>
        <v/>
      </c>
      <c r="AD327" s="262"/>
      <c r="AE327" s="258" t="str">
        <f t="shared" si="164"/>
        <v/>
      </c>
      <c r="AF327" s="262"/>
      <c r="AG327" s="256" t="str">
        <f t="shared" si="165"/>
        <v/>
      </c>
      <c r="AH327" s="256" t="str">
        <f t="shared" si="166"/>
        <v/>
      </c>
      <c r="AI327" s="256" t="str">
        <f t="shared" si="167"/>
        <v/>
      </c>
      <c r="AJ327" s="111"/>
      <c r="AK327" s="255"/>
      <c r="AL327" s="259" t="str">
        <f>IF(AK327&lt;&gt;"",AK327/VLOOKUP($V327,Setup!$C$30:$D$41,2,0),"")</f>
        <v/>
      </c>
      <c r="AM327" s="266"/>
      <c r="AN327" s="258" t="str">
        <f t="shared" si="168"/>
        <v/>
      </c>
      <c r="AO327" s="266"/>
      <c r="AP327" s="258" t="str">
        <f t="shared" si="169"/>
        <v/>
      </c>
      <c r="AQ327" s="266"/>
      <c r="AR327" s="258" t="str">
        <f t="shared" si="170"/>
        <v/>
      </c>
      <c r="AS327" s="266"/>
      <c r="AT327" s="256" t="str">
        <f t="shared" si="171"/>
        <v/>
      </c>
      <c r="AU327" s="256" t="str">
        <f t="shared" si="172"/>
        <v/>
      </c>
      <c r="AV327" s="256" t="str">
        <f t="shared" si="173"/>
        <v/>
      </c>
      <c r="AW327" s="267"/>
      <c r="AX327" s="255"/>
      <c r="AY327" s="259" t="str">
        <f>IF(AX327&lt;&gt;"",AX327/VLOOKUP($V327,Setup!$C$30:$D$41,2,0),"")</f>
        <v/>
      </c>
      <c r="AZ327" s="268"/>
      <c r="BA327" s="258" t="str">
        <f t="shared" si="174"/>
        <v/>
      </c>
      <c r="BB327" s="268"/>
      <c r="BC327" s="258" t="str">
        <f t="shared" si="175"/>
        <v/>
      </c>
      <c r="BD327" s="268"/>
      <c r="BE327" s="258" t="str">
        <f t="shared" si="176"/>
        <v/>
      </c>
      <c r="BF327" s="268"/>
      <c r="BG327" s="256" t="str">
        <f t="shared" si="177"/>
        <v/>
      </c>
      <c r="BH327" s="256" t="str">
        <f t="shared" si="178"/>
        <v/>
      </c>
      <c r="BI327" s="256" t="str">
        <f t="shared" si="179"/>
        <v/>
      </c>
      <c r="BJ327" s="267"/>
      <c r="BK327" s="255"/>
      <c r="BL327" s="259" t="str">
        <f>IF(BK327&lt;&gt;"",BK327/VLOOKUP($V327,Setup!$C$30:$D$41,2,0),"")</f>
        <v/>
      </c>
      <c r="BM327" s="268"/>
      <c r="BN327" s="258" t="str">
        <f t="shared" si="180"/>
        <v/>
      </c>
      <c r="BO327" s="268"/>
      <c r="BP327" s="258" t="str">
        <f t="shared" si="181"/>
        <v/>
      </c>
      <c r="BQ327" s="268"/>
      <c r="BR327" s="258" t="str">
        <f t="shared" si="182"/>
        <v/>
      </c>
      <c r="BS327" s="268"/>
      <c r="BT327" s="256" t="str">
        <f t="shared" si="183"/>
        <v/>
      </c>
      <c r="BU327" s="256" t="str">
        <f t="shared" si="184"/>
        <v/>
      </c>
      <c r="BV327" s="256" t="str">
        <f t="shared" si="185"/>
        <v/>
      </c>
      <c r="BW327" s="267"/>
      <c r="BX327" s="256" t="str">
        <f t="shared" si="186"/>
        <v/>
      </c>
      <c r="BY327" s="256" t="str">
        <f t="shared" si="187"/>
        <v/>
      </c>
      <c r="BZ327" s="281"/>
      <c r="CA327" s="282"/>
      <c r="CC327" s="112" t="str">
        <f t="shared" ca="1" si="188"/>
        <v/>
      </c>
      <c r="CF327" s="284"/>
      <c r="CG327" s="284"/>
      <c r="CH327" s="284"/>
      <c r="CI327" s="284"/>
      <c r="CL327" s="356" t="str">
        <f>IFERROR(VLOOKUP(C327,'Data Sheet'!$A$3:$B$26,2,FALSE),"")</f>
        <v/>
      </c>
    </row>
    <row r="328" spans="1:90" s="98" customFormat="1" ht="15.75" x14ac:dyDescent="0.2">
      <c r="A328" s="97"/>
      <c r="B328" s="105" t="str">
        <f t="shared" si="161"/>
        <v>--</v>
      </c>
      <c r="C328" s="276"/>
      <c r="D328" s="101" t="str">
        <f>IFERROR(IF(VLOOKUP(C328,'Data Sheet'!$A$3:$D$26,4,FALSE)=0,"",VLOOKUP(C328,'Data Sheet'!$A$3:$D$26,4,FALSE)),"")</f>
        <v/>
      </c>
      <c r="E328" s="279"/>
      <c r="F328" s="103" t="str">
        <f>IFERROR(IF(VLOOKUP(E328,'Data Sheet'!$C$29:$E$174,3,FALSE)=0,"",VLOOKUP(E328,'Data Sheet'!$C$29:$E$174,3,FALSE)),"")</f>
        <v/>
      </c>
      <c r="G328" s="106" t="str">
        <f t="shared" si="189"/>
        <v>-</v>
      </c>
      <c r="H328" s="273"/>
      <c r="I328" s="107"/>
      <c r="J328" s="249" t="e">
        <f t="shared" si="190"/>
        <v>#VALUE!</v>
      </c>
      <c r="K328" s="101" t="str">
        <f>IFERROR(INDEX('Data Sheet'!$C$198:$C$275,MATCH(I328,'Data Sheet'!$F$198:$F$275,0)),"")</f>
        <v/>
      </c>
      <c r="L328" s="250" t="str">
        <f>IFERROR(INDEX('Data Sheet'!$G$198:$G$275,MATCH(I328,'Data Sheet'!$F$198:$F$275,0)),"")</f>
        <v/>
      </c>
      <c r="M328" s="194"/>
      <c r="N328" s="248"/>
      <c r="O328" s="248"/>
      <c r="P328" s="108" t="str">
        <f>IFERROR(INDEX(Setup!$D$44:$D$70,MATCH(M328,Setup!$K$44:$K$70,0))&amp;"","")</f>
        <v/>
      </c>
      <c r="Q328" s="108" t="str">
        <f>IFERROR(INDEX(Setup!$E$44:$E$70,MATCH(M328,Setup!$K$44:$K$70,0))&amp;"","")</f>
        <v/>
      </c>
      <c r="R328" s="108" t="str">
        <f>IFERROR(INDEX(Setup!$L$44:$L$70,MATCH(M328,Setup!$K$44:$K$70,0))&amp;"","")</f>
        <v/>
      </c>
      <c r="S328" s="108" t="str">
        <f>Setup!$C$30</f>
        <v>USD</v>
      </c>
      <c r="T328" s="109" t="str">
        <f>IFERROR(INDEX('Data Sheet'!$B$198:$B$275,MATCH(I328,'Data Sheet'!$F$198:$F$275,0)),"")</f>
        <v/>
      </c>
      <c r="U328" s="110" t="str">
        <f>IFERROR(INDEX('Data Sheet'!$D$198:$D$275,MATCH(I328,'Data Sheet'!$F$198:$F$275,0)),"")</f>
        <v/>
      </c>
      <c r="V328" s="99"/>
      <c r="W328" s="195" t="str">
        <f>IF(V328=Setup!$C$30,"Grant",IF(V328=Setup!$C$31,"Local",IF(V328=Setup!$C$32,"Other",IF(ISBLANK(V328),"","Other"))))</f>
        <v/>
      </c>
      <c r="X328" s="255"/>
      <c r="Y328" s="259" t="str">
        <f>IF(X328&lt;&gt;"",X328/VLOOKUP($V328,Setup!$C$30:$D$41,2,0),"")</f>
        <v/>
      </c>
      <c r="Z328" s="262"/>
      <c r="AA328" s="256" t="str">
        <f t="shared" si="162"/>
        <v/>
      </c>
      <c r="AB328" s="262"/>
      <c r="AC328" s="258" t="str">
        <f t="shared" si="163"/>
        <v/>
      </c>
      <c r="AD328" s="262"/>
      <c r="AE328" s="258" t="str">
        <f t="shared" si="164"/>
        <v/>
      </c>
      <c r="AF328" s="262"/>
      <c r="AG328" s="256" t="str">
        <f t="shared" si="165"/>
        <v/>
      </c>
      <c r="AH328" s="256" t="str">
        <f t="shared" si="166"/>
        <v/>
      </c>
      <c r="AI328" s="256" t="str">
        <f t="shared" si="167"/>
        <v/>
      </c>
      <c r="AJ328" s="111"/>
      <c r="AK328" s="255"/>
      <c r="AL328" s="259" t="str">
        <f>IF(AK328&lt;&gt;"",AK328/VLOOKUP($V328,Setup!$C$30:$D$41,2,0),"")</f>
        <v/>
      </c>
      <c r="AM328" s="266"/>
      <c r="AN328" s="258" t="str">
        <f t="shared" si="168"/>
        <v/>
      </c>
      <c r="AO328" s="266"/>
      <c r="AP328" s="258" t="str">
        <f t="shared" si="169"/>
        <v/>
      </c>
      <c r="AQ328" s="266"/>
      <c r="AR328" s="258" t="str">
        <f t="shared" si="170"/>
        <v/>
      </c>
      <c r="AS328" s="266"/>
      <c r="AT328" s="256" t="str">
        <f t="shared" si="171"/>
        <v/>
      </c>
      <c r="AU328" s="256" t="str">
        <f t="shared" si="172"/>
        <v/>
      </c>
      <c r="AV328" s="256" t="str">
        <f t="shared" si="173"/>
        <v/>
      </c>
      <c r="AW328" s="267"/>
      <c r="AX328" s="255"/>
      <c r="AY328" s="259" t="str">
        <f>IF(AX328&lt;&gt;"",AX328/VLOOKUP($V328,Setup!$C$30:$D$41,2,0),"")</f>
        <v/>
      </c>
      <c r="AZ328" s="268"/>
      <c r="BA328" s="258" t="str">
        <f t="shared" si="174"/>
        <v/>
      </c>
      <c r="BB328" s="268"/>
      <c r="BC328" s="258" t="str">
        <f t="shared" si="175"/>
        <v/>
      </c>
      <c r="BD328" s="268"/>
      <c r="BE328" s="258" t="str">
        <f t="shared" si="176"/>
        <v/>
      </c>
      <c r="BF328" s="268"/>
      <c r="BG328" s="256" t="str">
        <f t="shared" si="177"/>
        <v/>
      </c>
      <c r="BH328" s="256" t="str">
        <f t="shared" si="178"/>
        <v/>
      </c>
      <c r="BI328" s="256" t="str">
        <f t="shared" si="179"/>
        <v/>
      </c>
      <c r="BJ328" s="267"/>
      <c r="BK328" s="255"/>
      <c r="BL328" s="259" t="str">
        <f>IF(BK328&lt;&gt;"",BK328/VLOOKUP($V328,Setup!$C$30:$D$41,2,0),"")</f>
        <v/>
      </c>
      <c r="BM328" s="268"/>
      <c r="BN328" s="258" t="str">
        <f t="shared" si="180"/>
        <v/>
      </c>
      <c r="BO328" s="268"/>
      <c r="BP328" s="258" t="str">
        <f t="shared" si="181"/>
        <v/>
      </c>
      <c r="BQ328" s="268"/>
      <c r="BR328" s="258" t="str">
        <f t="shared" si="182"/>
        <v/>
      </c>
      <c r="BS328" s="268"/>
      <c r="BT328" s="256" t="str">
        <f t="shared" si="183"/>
        <v/>
      </c>
      <c r="BU328" s="256" t="str">
        <f t="shared" si="184"/>
        <v/>
      </c>
      <c r="BV328" s="256" t="str">
        <f t="shared" si="185"/>
        <v/>
      </c>
      <c r="BW328" s="267"/>
      <c r="BX328" s="256" t="str">
        <f t="shared" si="186"/>
        <v/>
      </c>
      <c r="BY328" s="256" t="str">
        <f t="shared" si="187"/>
        <v/>
      </c>
      <c r="BZ328" s="281"/>
      <c r="CA328" s="282"/>
      <c r="CC328" s="112" t="str">
        <f t="shared" ca="1" si="188"/>
        <v/>
      </c>
      <c r="CF328" s="284"/>
      <c r="CG328" s="284"/>
      <c r="CH328" s="284"/>
      <c r="CI328" s="284"/>
      <c r="CL328" s="356" t="str">
        <f>IFERROR(VLOOKUP(C328,'Data Sheet'!$A$3:$B$26,2,FALSE),"")</f>
        <v/>
      </c>
    </row>
    <row r="329" spans="1:90" s="98" customFormat="1" ht="15.75" x14ac:dyDescent="0.2">
      <c r="A329" s="97"/>
      <c r="B329" s="105" t="str">
        <f t="shared" si="161"/>
        <v>--</v>
      </c>
      <c r="C329" s="276"/>
      <c r="D329" s="101" t="str">
        <f>IFERROR(IF(VLOOKUP(C329,'Data Sheet'!$A$3:$D$26,4,FALSE)=0,"",VLOOKUP(C329,'Data Sheet'!$A$3:$D$26,4,FALSE)),"")</f>
        <v/>
      </c>
      <c r="E329" s="279"/>
      <c r="F329" s="103" t="str">
        <f>IFERROR(IF(VLOOKUP(E329,'Data Sheet'!$C$29:$E$174,3,FALSE)=0,"",VLOOKUP(E329,'Data Sheet'!$C$29:$E$174,3,FALSE)),"")</f>
        <v/>
      </c>
      <c r="G329" s="106" t="str">
        <f t="shared" si="189"/>
        <v>-</v>
      </c>
      <c r="H329" s="273"/>
      <c r="I329" s="107"/>
      <c r="J329" s="249" t="e">
        <f t="shared" si="190"/>
        <v>#VALUE!</v>
      </c>
      <c r="K329" s="101" t="str">
        <f>IFERROR(INDEX('Data Sheet'!$C$198:$C$275,MATCH(I329,'Data Sheet'!$F$198:$F$275,0)),"")</f>
        <v/>
      </c>
      <c r="L329" s="250" t="str">
        <f>IFERROR(INDEX('Data Sheet'!$G$198:$G$275,MATCH(I329,'Data Sheet'!$F$198:$F$275,0)),"")</f>
        <v/>
      </c>
      <c r="M329" s="194"/>
      <c r="N329" s="248"/>
      <c r="O329" s="248"/>
      <c r="P329" s="108" t="str">
        <f>IFERROR(INDEX(Setup!$D$44:$D$70,MATCH(M329,Setup!$K$44:$K$70,0))&amp;"","")</f>
        <v/>
      </c>
      <c r="Q329" s="108" t="str">
        <f>IFERROR(INDEX(Setup!$E$44:$E$70,MATCH(M329,Setup!$K$44:$K$70,0))&amp;"","")</f>
        <v/>
      </c>
      <c r="R329" s="108" t="str">
        <f>IFERROR(INDEX(Setup!$L$44:$L$70,MATCH(M329,Setup!$K$44:$K$70,0))&amp;"","")</f>
        <v/>
      </c>
      <c r="S329" s="108" t="str">
        <f>Setup!$C$30</f>
        <v>USD</v>
      </c>
      <c r="T329" s="109" t="str">
        <f>IFERROR(INDEX('Data Sheet'!$B$198:$B$275,MATCH(I329,'Data Sheet'!$F$198:$F$275,0)),"")</f>
        <v/>
      </c>
      <c r="U329" s="110" t="str">
        <f>IFERROR(INDEX('Data Sheet'!$D$198:$D$275,MATCH(I329,'Data Sheet'!$F$198:$F$275,0)),"")</f>
        <v/>
      </c>
      <c r="V329" s="99"/>
      <c r="W329" s="195" t="str">
        <f>IF(V329=Setup!$C$30,"Grant",IF(V329=Setup!$C$31,"Local",IF(V329=Setup!$C$32,"Other",IF(ISBLANK(V329),"","Other"))))</f>
        <v/>
      </c>
      <c r="X329" s="255"/>
      <c r="Y329" s="259" t="str">
        <f>IF(X329&lt;&gt;"",X329/VLOOKUP($V329,Setup!$C$30:$D$41,2,0),"")</f>
        <v/>
      </c>
      <c r="Z329" s="262"/>
      <c r="AA329" s="256" t="str">
        <f t="shared" si="162"/>
        <v/>
      </c>
      <c r="AB329" s="262"/>
      <c r="AC329" s="258" t="str">
        <f t="shared" si="163"/>
        <v/>
      </c>
      <c r="AD329" s="262"/>
      <c r="AE329" s="258" t="str">
        <f t="shared" si="164"/>
        <v/>
      </c>
      <c r="AF329" s="262"/>
      <c r="AG329" s="256" t="str">
        <f t="shared" si="165"/>
        <v/>
      </c>
      <c r="AH329" s="256" t="str">
        <f t="shared" si="166"/>
        <v/>
      </c>
      <c r="AI329" s="256" t="str">
        <f t="shared" si="167"/>
        <v/>
      </c>
      <c r="AJ329" s="111"/>
      <c r="AK329" s="255"/>
      <c r="AL329" s="259" t="str">
        <f>IF(AK329&lt;&gt;"",AK329/VLOOKUP($V329,Setup!$C$30:$D$41,2,0),"")</f>
        <v/>
      </c>
      <c r="AM329" s="266"/>
      <c r="AN329" s="258" t="str">
        <f t="shared" si="168"/>
        <v/>
      </c>
      <c r="AO329" s="266"/>
      <c r="AP329" s="258" t="str">
        <f t="shared" si="169"/>
        <v/>
      </c>
      <c r="AQ329" s="266"/>
      <c r="AR329" s="258" t="str">
        <f t="shared" si="170"/>
        <v/>
      </c>
      <c r="AS329" s="266"/>
      <c r="AT329" s="256" t="str">
        <f t="shared" si="171"/>
        <v/>
      </c>
      <c r="AU329" s="256" t="str">
        <f t="shared" si="172"/>
        <v/>
      </c>
      <c r="AV329" s="256" t="str">
        <f t="shared" si="173"/>
        <v/>
      </c>
      <c r="AW329" s="267"/>
      <c r="AX329" s="255"/>
      <c r="AY329" s="259" t="str">
        <f>IF(AX329&lt;&gt;"",AX329/VLOOKUP($V329,Setup!$C$30:$D$41,2,0),"")</f>
        <v/>
      </c>
      <c r="AZ329" s="268"/>
      <c r="BA329" s="258" t="str">
        <f t="shared" si="174"/>
        <v/>
      </c>
      <c r="BB329" s="268"/>
      <c r="BC329" s="258" t="str">
        <f t="shared" si="175"/>
        <v/>
      </c>
      <c r="BD329" s="268"/>
      <c r="BE329" s="258" t="str">
        <f t="shared" si="176"/>
        <v/>
      </c>
      <c r="BF329" s="268"/>
      <c r="BG329" s="256" t="str">
        <f t="shared" si="177"/>
        <v/>
      </c>
      <c r="BH329" s="256" t="str">
        <f t="shared" si="178"/>
        <v/>
      </c>
      <c r="BI329" s="256" t="str">
        <f t="shared" si="179"/>
        <v/>
      </c>
      <c r="BJ329" s="267"/>
      <c r="BK329" s="255"/>
      <c r="BL329" s="259" t="str">
        <f>IF(BK329&lt;&gt;"",BK329/VLOOKUP($V329,Setup!$C$30:$D$41,2,0),"")</f>
        <v/>
      </c>
      <c r="BM329" s="268"/>
      <c r="BN329" s="258" t="str">
        <f t="shared" si="180"/>
        <v/>
      </c>
      <c r="BO329" s="268"/>
      <c r="BP329" s="258" t="str">
        <f t="shared" si="181"/>
        <v/>
      </c>
      <c r="BQ329" s="268"/>
      <c r="BR329" s="258" t="str">
        <f t="shared" si="182"/>
        <v/>
      </c>
      <c r="BS329" s="268"/>
      <c r="BT329" s="256" t="str">
        <f t="shared" si="183"/>
        <v/>
      </c>
      <c r="BU329" s="256" t="str">
        <f t="shared" si="184"/>
        <v/>
      </c>
      <c r="BV329" s="256" t="str">
        <f t="shared" si="185"/>
        <v/>
      </c>
      <c r="BW329" s="267"/>
      <c r="BX329" s="256" t="str">
        <f t="shared" si="186"/>
        <v/>
      </c>
      <c r="BY329" s="256" t="str">
        <f t="shared" si="187"/>
        <v/>
      </c>
      <c r="BZ329" s="281"/>
      <c r="CA329" s="282"/>
      <c r="CC329" s="112" t="str">
        <f t="shared" ca="1" si="188"/>
        <v/>
      </c>
      <c r="CF329" s="284"/>
      <c r="CG329" s="284"/>
      <c r="CH329" s="284"/>
      <c r="CI329" s="284"/>
      <c r="CL329" s="356" t="str">
        <f>IFERROR(VLOOKUP(C329,'Data Sheet'!$A$3:$B$26,2,FALSE),"")</f>
        <v/>
      </c>
    </row>
    <row r="330" spans="1:90" s="98" customFormat="1" ht="15.75" x14ac:dyDescent="0.2">
      <c r="A330" s="97"/>
      <c r="B330" s="105" t="str">
        <f t="shared" si="161"/>
        <v>--</v>
      </c>
      <c r="C330" s="276"/>
      <c r="D330" s="101" t="str">
        <f>IFERROR(IF(VLOOKUP(C330,'Data Sheet'!$A$3:$D$26,4,FALSE)=0,"",VLOOKUP(C330,'Data Sheet'!$A$3:$D$26,4,FALSE)),"")</f>
        <v/>
      </c>
      <c r="E330" s="279"/>
      <c r="F330" s="103" t="str">
        <f>IFERROR(IF(VLOOKUP(E330,'Data Sheet'!$C$29:$E$174,3,FALSE)=0,"",VLOOKUP(E330,'Data Sheet'!$C$29:$E$174,3,FALSE)),"")</f>
        <v/>
      </c>
      <c r="G330" s="106" t="str">
        <f t="shared" si="189"/>
        <v>-</v>
      </c>
      <c r="H330" s="273"/>
      <c r="I330" s="107"/>
      <c r="J330" s="249" t="e">
        <f t="shared" si="190"/>
        <v>#VALUE!</v>
      </c>
      <c r="K330" s="101" t="str">
        <f>IFERROR(INDEX('Data Sheet'!$C$198:$C$275,MATCH(I330,'Data Sheet'!$F$198:$F$275,0)),"")</f>
        <v/>
      </c>
      <c r="L330" s="250" t="str">
        <f>IFERROR(INDEX('Data Sheet'!$G$198:$G$275,MATCH(I330,'Data Sheet'!$F$198:$F$275,0)),"")</f>
        <v/>
      </c>
      <c r="M330" s="194"/>
      <c r="N330" s="248"/>
      <c r="O330" s="248"/>
      <c r="P330" s="108" t="str">
        <f>IFERROR(INDEX(Setup!$D$44:$D$70,MATCH(M330,Setup!$K$44:$K$70,0))&amp;"","")</f>
        <v/>
      </c>
      <c r="Q330" s="108" t="str">
        <f>IFERROR(INDEX(Setup!$E$44:$E$70,MATCH(M330,Setup!$K$44:$K$70,0))&amp;"","")</f>
        <v/>
      </c>
      <c r="R330" s="108" t="str">
        <f>IFERROR(INDEX(Setup!$L$44:$L$70,MATCH(M330,Setup!$K$44:$K$70,0))&amp;"","")</f>
        <v/>
      </c>
      <c r="S330" s="108" t="str">
        <f>Setup!$C$30</f>
        <v>USD</v>
      </c>
      <c r="T330" s="109" t="str">
        <f>IFERROR(INDEX('Data Sheet'!$B$198:$B$275,MATCH(I330,'Data Sheet'!$F$198:$F$275,0)),"")</f>
        <v/>
      </c>
      <c r="U330" s="110" t="str">
        <f>IFERROR(INDEX('Data Sheet'!$D$198:$D$275,MATCH(I330,'Data Sheet'!$F$198:$F$275,0)),"")</f>
        <v/>
      </c>
      <c r="V330" s="99"/>
      <c r="W330" s="195" t="str">
        <f>IF(V330=Setup!$C$30,"Grant",IF(V330=Setup!$C$31,"Local",IF(V330=Setup!$C$32,"Other",IF(ISBLANK(V330),"","Other"))))</f>
        <v/>
      </c>
      <c r="X330" s="255"/>
      <c r="Y330" s="259" t="str">
        <f>IF(X330&lt;&gt;"",X330/VLOOKUP($V330,Setup!$C$30:$D$41,2,0),"")</f>
        <v/>
      </c>
      <c r="Z330" s="262"/>
      <c r="AA330" s="256" t="str">
        <f t="shared" si="162"/>
        <v/>
      </c>
      <c r="AB330" s="262"/>
      <c r="AC330" s="258" t="str">
        <f t="shared" si="163"/>
        <v/>
      </c>
      <c r="AD330" s="262"/>
      <c r="AE330" s="258" t="str">
        <f t="shared" si="164"/>
        <v/>
      </c>
      <c r="AF330" s="262"/>
      <c r="AG330" s="256" t="str">
        <f t="shared" si="165"/>
        <v/>
      </c>
      <c r="AH330" s="256" t="str">
        <f t="shared" si="166"/>
        <v/>
      </c>
      <c r="AI330" s="256" t="str">
        <f t="shared" si="167"/>
        <v/>
      </c>
      <c r="AJ330" s="111"/>
      <c r="AK330" s="255"/>
      <c r="AL330" s="259" t="str">
        <f>IF(AK330&lt;&gt;"",AK330/VLOOKUP($V330,Setup!$C$30:$D$41,2,0),"")</f>
        <v/>
      </c>
      <c r="AM330" s="266"/>
      <c r="AN330" s="258" t="str">
        <f t="shared" si="168"/>
        <v/>
      </c>
      <c r="AO330" s="266"/>
      <c r="AP330" s="258" t="str">
        <f t="shared" si="169"/>
        <v/>
      </c>
      <c r="AQ330" s="266"/>
      <c r="AR330" s="258" t="str">
        <f t="shared" si="170"/>
        <v/>
      </c>
      <c r="AS330" s="266"/>
      <c r="AT330" s="256" t="str">
        <f t="shared" si="171"/>
        <v/>
      </c>
      <c r="AU330" s="256" t="str">
        <f t="shared" si="172"/>
        <v/>
      </c>
      <c r="AV330" s="256" t="str">
        <f t="shared" si="173"/>
        <v/>
      </c>
      <c r="AW330" s="267"/>
      <c r="AX330" s="255"/>
      <c r="AY330" s="259" t="str">
        <f>IF(AX330&lt;&gt;"",AX330/VLOOKUP($V330,Setup!$C$30:$D$41,2,0),"")</f>
        <v/>
      </c>
      <c r="AZ330" s="268"/>
      <c r="BA330" s="258" t="str">
        <f t="shared" si="174"/>
        <v/>
      </c>
      <c r="BB330" s="268"/>
      <c r="BC330" s="258" t="str">
        <f t="shared" si="175"/>
        <v/>
      </c>
      <c r="BD330" s="268"/>
      <c r="BE330" s="258" t="str">
        <f t="shared" si="176"/>
        <v/>
      </c>
      <c r="BF330" s="268"/>
      <c r="BG330" s="256" t="str">
        <f t="shared" si="177"/>
        <v/>
      </c>
      <c r="BH330" s="256" t="str">
        <f t="shared" si="178"/>
        <v/>
      </c>
      <c r="BI330" s="256" t="str">
        <f t="shared" si="179"/>
        <v/>
      </c>
      <c r="BJ330" s="267"/>
      <c r="BK330" s="255"/>
      <c r="BL330" s="259" t="str">
        <f>IF(BK330&lt;&gt;"",BK330/VLOOKUP($V330,Setup!$C$30:$D$41,2,0),"")</f>
        <v/>
      </c>
      <c r="BM330" s="268"/>
      <c r="BN330" s="258" t="str">
        <f t="shared" si="180"/>
        <v/>
      </c>
      <c r="BO330" s="268"/>
      <c r="BP330" s="258" t="str">
        <f t="shared" si="181"/>
        <v/>
      </c>
      <c r="BQ330" s="268"/>
      <c r="BR330" s="258" t="str">
        <f t="shared" si="182"/>
        <v/>
      </c>
      <c r="BS330" s="268"/>
      <c r="BT330" s="256" t="str">
        <f t="shared" si="183"/>
        <v/>
      </c>
      <c r="BU330" s="256" t="str">
        <f t="shared" si="184"/>
        <v/>
      </c>
      <c r="BV330" s="256" t="str">
        <f t="shared" si="185"/>
        <v/>
      </c>
      <c r="BW330" s="267"/>
      <c r="BX330" s="256" t="str">
        <f t="shared" si="186"/>
        <v/>
      </c>
      <c r="BY330" s="256" t="str">
        <f t="shared" si="187"/>
        <v/>
      </c>
      <c r="BZ330" s="281"/>
      <c r="CA330" s="282"/>
      <c r="CC330" s="112" t="str">
        <f t="shared" ca="1" si="188"/>
        <v/>
      </c>
      <c r="CF330" s="284"/>
      <c r="CG330" s="284"/>
      <c r="CH330" s="284"/>
      <c r="CI330" s="284"/>
      <c r="CL330" s="356" t="str">
        <f>IFERROR(VLOOKUP(C330,'Data Sheet'!$A$3:$B$26,2,FALSE),"")</f>
        <v/>
      </c>
    </row>
    <row r="331" spans="1:90" s="98" customFormat="1" ht="15.75" x14ac:dyDescent="0.2">
      <c r="A331" s="97"/>
      <c r="B331" s="105" t="str">
        <f t="shared" si="161"/>
        <v>--</v>
      </c>
      <c r="C331" s="276"/>
      <c r="D331" s="101" t="str">
        <f>IFERROR(IF(VLOOKUP(C331,'Data Sheet'!$A$3:$D$26,4,FALSE)=0,"",VLOOKUP(C331,'Data Sheet'!$A$3:$D$26,4,FALSE)),"")</f>
        <v/>
      </c>
      <c r="E331" s="279"/>
      <c r="F331" s="103" t="str">
        <f>IFERROR(IF(VLOOKUP(E331,'Data Sheet'!$C$29:$E$174,3,FALSE)=0,"",VLOOKUP(E331,'Data Sheet'!$C$29:$E$174,3,FALSE)),"")</f>
        <v/>
      </c>
      <c r="G331" s="106" t="str">
        <f t="shared" si="189"/>
        <v>-</v>
      </c>
      <c r="H331" s="273"/>
      <c r="I331" s="107"/>
      <c r="J331" s="249" t="e">
        <f t="shared" si="190"/>
        <v>#VALUE!</v>
      </c>
      <c r="K331" s="101" t="str">
        <f>IFERROR(INDEX('Data Sheet'!$C$198:$C$275,MATCH(I331,'Data Sheet'!$F$198:$F$275,0)),"")</f>
        <v/>
      </c>
      <c r="L331" s="250" t="str">
        <f>IFERROR(INDEX('Data Sheet'!$G$198:$G$275,MATCH(I331,'Data Sheet'!$F$198:$F$275,0)),"")</f>
        <v/>
      </c>
      <c r="M331" s="194"/>
      <c r="N331" s="248"/>
      <c r="O331" s="248"/>
      <c r="P331" s="108" t="str">
        <f>IFERROR(INDEX(Setup!$D$44:$D$70,MATCH(M331,Setup!$K$44:$K$70,0))&amp;"","")</f>
        <v/>
      </c>
      <c r="Q331" s="108" t="str">
        <f>IFERROR(INDEX(Setup!$E$44:$E$70,MATCH(M331,Setup!$K$44:$K$70,0))&amp;"","")</f>
        <v/>
      </c>
      <c r="R331" s="108" t="str">
        <f>IFERROR(INDEX(Setup!$L$44:$L$70,MATCH(M331,Setup!$K$44:$K$70,0))&amp;"","")</f>
        <v/>
      </c>
      <c r="S331" s="108" t="str">
        <f>Setup!$C$30</f>
        <v>USD</v>
      </c>
      <c r="T331" s="109" t="str">
        <f>IFERROR(INDEX('Data Sheet'!$B$198:$B$275,MATCH(I331,'Data Sheet'!$F$198:$F$275,0)),"")</f>
        <v/>
      </c>
      <c r="U331" s="110" t="str">
        <f>IFERROR(INDEX('Data Sheet'!$D$198:$D$275,MATCH(I331,'Data Sheet'!$F$198:$F$275,0)),"")</f>
        <v/>
      </c>
      <c r="V331" s="99"/>
      <c r="W331" s="195" t="str">
        <f>IF(V331=Setup!$C$30,"Grant",IF(V331=Setup!$C$31,"Local",IF(V331=Setup!$C$32,"Other",IF(ISBLANK(V331),"","Other"))))</f>
        <v/>
      </c>
      <c r="X331" s="255"/>
      <c r="Y331" s="259" t="str">
        <f>IF(X331&lt;&gt;"",X331/VLOOKUP($V331,Setup!$C$30:$D$41,2,0),"")</f>
        <v/>
      </c>
      <c r="Z331" s="262"/>
      <c r="AA331" s="256" t="str">
        <f t="shared" si="162"/>
        <v/>
      </c>
      <c r="AB331" s="262"/>
      <c r="AC331" s="258" t="str">
        <f t="shared" si="163"/>
        <v/>
      </c>
      <c r="AD331" s="262"/>
      <c r="AE331" s="258" t="str">
        <f t="shared" si="164"/>
        <v/>
      </c>
      <c r="AF331" s="262"/>
      <c r="AG331" s="256" t="str">
        <f t="shared" si="165"/>
        <v/>
      </c>
      <c r="AH331" s="256" t="str">
        <f t="shared" si="166"/>
        <v/>
      </c>
      <c r="AI331" s="256" t="str">
        <f t="shared" si="167"/>
        <v/>
      </c>
      <c r="AJ331" s="111"/>
      <c r="AK331" s="255"/>
      <c r="AL331" s="259" t="str">
        <f>IF(AK331&lt;&gt;"",AK331/VLOOKUP($V331,Setup!$C$30:$D$41,2,0),"")</f>
        <v/>
      </c>
      <c r="AM331" s="266"/>
      <c r="AN331" s="258" t="str">
        <f t="shared" si="168"/>
        <v/>
      </c>
      <c r="AO331" s="266"/>
      <c r="AP331" s="258" t="str">
        <f t="shared" si="169"/>
        <v/>
      </c>
      <c r="AQ331" s="266"/>
      <c r="AR331" s="258" t="str">
        <f t="shared" si="170"/>
        <v/>
      </c>
      <c r="AS331" s="266"/>
      <c r="AT331" s="256" t="str">
        <f t="shared" si="171"/>
        <v/>
      </c>
      <c r="AU331" s="256" t="str">
        <f t="shared" si="172"/>
        <v/>
      </c>
      <c r="AV331" s="256" t="str">
        <f t="shared" si="173"/>
        <v/>
      </c>
      <c r="AW331" s="267"/>
      <c r="AX331" s="255"/>
      <c r="AY331" s="259" t="str">
        <f>IF(AX331&lt;&gt;"",AX331/VLOOKUP($V331,Setup!$C$30:$D$41,2,0),"")</f>
        <v/>
      </c>
      <c r="AZ331" s="268"/>
      <c r="BA331" s="258" t="str">
        <f t="shared" si="174"/>
        <v/>
      </c>
      <c r="BB331" s="268"/>
      <c r="BC331" s="258" t="str">
        <f t="shared" si="175"/>
        <v/>
      </c>
      <c r="BD331" s="268"/>
      <c r="BE331" s="258" t="str">
        <f t="shared" si="176"/>
        <v/>
      </c>
      <c r="BF331" s="268"/>
      <c r="BG331" s="256" t="str">
        <f t="shared" si="177"/>
        <v/>
      </c>
      <c r="BH331" s="256" t="str">
        <f t="shared" si="178"/>
        <v/>
      </c>
      <c r="BI331" s="256" t="str">
        <f t="shared" si="179"/>
        <v/>
      </c>
      <c r="BJ331" s="267"/>
      <c r="BK331" s="255"/>
      <c r="BL331" s="259" t="str">
        <f>IF(BK331&lt;&gt;"",BK331/VLOOKUP($V331,Setup!$C$30:$D$41,2,0),"")</f>
        <v/>
      </c>
      <c r="BM331" s="268"/>
      <c r="BN331" s="258" t="str">
        <f t="shared" si="180"/>
        <v/>
      </c>
      <c r="BO331" s="268"/>
      <c r="BP331" s="258" t="str">
        <f t="shared" si="181"/>
        <v/>
      </c>
      <c r="BQ331" s="268"/>
      <c r="BR331" s="258" t="str">
        <f t="shared" si="182"/>
        <v/>
      </c>
      <c r="BS331" s="268"/>
      <c r="BT331" s="256" t="str">
        <f t="shared" si="183"/>
        <v/>
      </c>
      <c r="BU331" s="256" t="str">
        <f t="shared" si="184"/>
        <v/>
      </c>
      <c r="BV331" s="256" t="str">
        <f t="shared" si="185"/>
        <v/>
      </c>
      <c r="BW331" s="267"/>
      <c r="BX331" s="256" t="str">
        <f t="shared" si="186"/>
        <v/>
      </c>
      <c r="BY331" s="256" t="str">
        <f t="shared" si="187"/>
        <v/>
      </c>
      <c r="BZ331" s="281"/>
      <c r="CA331" s="282"/>
      <c r="CC331" s="112" t="str">
        <f t="shared" ca="1" si="188"/>
        <v/>
      </c>
      <c r="CF331" s="284"/>
      <c r="CG331" s="284"/>
      <c r="CH331" s="284"/>
      <c r="CI331" s="284"/>
      <c r="CL331" s="356" t="str">
        <f>IFERROR(VLOOKUP(C331,'Data Sheet'!$A$3:$B$26,2,FALSE),"")</f>
        <v/>
      </c>
    </row>
    <row r="332" spans="1:90" s="98" customFormat="1" ht="15.75" x14ac:dyDescent="0.2">
      <c r="A332" s="97"/>
      <c r="B332" s="105" t="str">
        <f t="shared" si="161"/>
        <v>--</v>
      </c>
      <c r="C332" s="276"/>
      <c r="D332" s="101" t="str">
        <f>IFERROR(IF(VLOOKUP(C332,'Data Sheet'!$A$3:$D$26,4,FALSE)=0,"",VLOOKUP(C332,'Data Sheet'!$A$3:$D$26,4,FALSE)),"")</f>
        <v/>
      </c>
      <c r="E332" s="279"/>
      <c r="F332" s="103" t="str">
        <f>IFERROR(IF(VLOOKUP(E332,'Data Sheet'!$C$29:$E$174,3,FALSE)=0,"",VLOOKUP(E332,'Data Sheet'!$C$29:$E$174,3,FALSE)),"")</f>
        <v/>
      </c>
      <c r="G332" s="106" t="str">
        <f t="shared" si="189"/>
        <v>-</v>
      </c>
      <c r="H332" s="273"/>
      <c r="I332" s="107"/>
      <c r="J332" s="249" t="e">
        <f t="shared" si="190"/>
        <v>#VALUE!</v>
      </c>
      <c r="K332" s="101" t="str">
        <f>IFERROR(INDEX('Data Sheet'!$C$198:$C$275,MATCH(I332,'Data Sheet'!$F$198:$F$275,0)),"")</f>
        <v/>
      </c>
      <c r="L332" s="250" t="str">
        <f>IFERROR(INDEX('Data Sheet'!$G$198:$G$275,MATCH(I332,'Data Sheet'!$F$198:$F$275,0)),"")</f>
        <v/>
      </c>
      <c r="M332" s="194"/>
      <c r="N332" s="248"/>
      <c r="O332" s="248"/>
      <c r="P332" s="108" t="str">
        <f>IFERROR(INDEX(Setup!$D$44:$D$70,MATCH(M332,Setup!$K$44:$K$70,0))&amp;"","")</f>
        <v/>
      </c>
      <c r="Q332" s="108" t="str">
        <f>IFERROR(INDEX(Setup!$E$44:$E$70,MATCH(M332,Setup!$K$44:$K$70,0))&amp;"","")</f>
        <v/>
      </c>
      <c r="R332" s="108" t="str">
        <f>IFERROR(INDEX(Setup!$L$44:$L$70,MATCH(M332,Setup!$K$44:$K$70,0))&amp;"","")</f>
        <v/>
      </c>
      <c r="S332" s="108" t="str">
        <f>Setup!$C$30</f>
        <v>USD</v>
      </c>
      <c r="T332" s="109" t="str">
        <f>IFERROR(INDEX('Data Sheet'!$B$198:$B$275,MATCH(I332,'Data Sheet'!$F$198:$F$275,0)),"")</f>
        <v/>
      </c>
      <c r="U332" s="110" t="str">
        <f>IFERROR(INDEX('Data Sheet'!$D$198:$D$275,MATCH(I332,'Data Sheet'!$F$198:$F$275,0)),"")</f>
        <v/>
      </c>
      <c r="V332" s="99"/>
      <c r="W332" s="195" t="str">
        <f>IF(V332=Setup!$C$30,"Grant",IF(V332=Setup!$C$31,"Local",IF(V332=Setup!$C$32,"Other",IF(ISBLANK(V332),"","Other"))))</f>
        <v/>
      </c>
      <c r="X332" s="255"/>
      <c r="Y332" s="259" t="str">
        <f>IF(X332&lt;&gt;"",X332/VLOOKUP($V332,Setup!$C$30:$D$41,2,0),"")</f>
        <v/>
      </c>
      <c r="Z332" s="262"/>
      <c r="AA332" s="256" t="str">
        <f t="shared" si="162"/>
        <v/>
      </c>
      <c r="AB332" s="262"/>
      <c r="AC332" s="258" t="str">
        <f t="shared" si="163"/>
        <v/>
      </c>
      <c r="AD332" s="262"/>
      <c r="AE332" s="258" t="str">
        <f t="shared" si="164"/>
        <v/>
      </c>
      <c r="AF332" s="262"/>
      <c r="AG332" s="256" t="str">
        <f t="shared" si="165"/>
        <v/>
      </c>
      <c r="AH332" s="256" t="str">
        <f t="shared" si="166"/>
        <v/>
      </c>
      <c r="AI332" s="256" t="str">
        <f t="shared" si="167"/>
        <v/>
      </c>
      <c r="AJ332" s="111"/>
      <c r="AK332" s="255"/>
      <c r="AL332" s="259" t="str">
        <f>IF(AK332&lt;&gt;"",AK332/VLOOKUP($V332,Setup!$C$30:$D$41,2,0),"")</f>
        <v/>
      </c>
      <c r="AM332" s="266"/>
      <c r="AN332" s="258" t="str">
        <f t="shared" si="168"/>
        <v/>
      </c>
      <c r="AO332" s="266"/>
      <c r="AP332" s="258" t="str">
        <f t="shared" si="169"/>
        <v/>
      </c>
      <c r="AQ332" s="266"/>
      <c r="AR332" s="258" t="str">
        <f t="shared" si="170"/>
        <v/>
      </c>
      <c r="AS332" s="266"/>
      <c r="AT332" s="256" t="str">
        <f t="shared" si="171"/>
        <v/>
      </c>
      <c r="AU332" s="256" t="str">
        <f t="shared" si="172"/>
        <v/>
      </c>
      <c r="AV332" s="256" t="str">
        <f t="shared" si="173"/>
        <v/>
      </c>
      <c r="AW332" s="267"/>
      <c r="AX332" s="255"/>
      <c r="AY332" s="259" t="str">
        <f>IF(AX332&lt;&gt;"",AX332/VLOOKUP($V332,Setup!$C$30:$D$41,2,0),"")</f>
        <v/>
      </c>
      <c r="AZ332" s="268"/>
      <c r="BA332" s="258" t="str">
        <f t="shared" si="174"/>
        <v/>
      </c>
      <c r="BB332" s="268"/>
      <c r="BC332" s="258" t="str">
        <f t="shared" si="175"/>
        <v/>
      </c>
      <c r="BD332" s="268"/>
      <c r="BE332" s="258" t="str">
        <f t="shared" si="176"/>
        <v/>
      </c>
      <c r="BF332" s="268"/>
      <c r="BG332" s="256" t="str">
        <f t="shared" si="177"/>
        <v/>
      </c>
      <c r="BH332" s="256" t="str">
        <f t="shared" si="178"/>
        <v/>
      </c>
      <c r="BI332" s="256" t="str">
        <f t="shared" si="179"/>
        <v/>
      </c>
      <c r="BJ332" s="267"/>
      <c r="BK332" s="255"/>
      <c r="BL332" s="259" t="str">
        <f>IF(BK332&lt;&gt;"",BK332/VLOOKUP($V332,Setup!$C$30:$D$41,2,0),"")</f>
        <v/>
      </c>
      <c r="BM332" s="268"/>
      <c r="BN332" s="258" t="str">
        <f t="shared" si="180"/>
        <v/>
      </c>
      <c r="BO332" s="268"/>
      <c r="BP332" s="258" t="str">
        <f t="shared" si="181"/>
        <v/>
      </c>
      <c r="BQ332" s="268"/>
      <c r="BR332" s="258" t="str">
        <f t="shared" si="182"/>
        <v/>
      </c>
      <c r="BS332" s="268"/>
      <c r="BT332" s="256" t="str">
        <f t="shared" si="183"/>
        <v/>
      </c>
      <c r="BU332" s="256" t="str">
        <f t="shared" si="184"/>
        <v/>
      </c>
      <c r="BV332" s="256" t="str">
        <f t="shared" si="185"/>
        <v/>
      </c>
      <c r="BW332" s="267"/>
      <c r="BX332" s="256" t="str">
        <f t="shared" si="186"/>
        <v/>
      </c>
      <c r="BY332" s="256" t="str">
        <f t="shared" si="187"/>
        <v/>
      </c>
      <c r="BZ332" s="281"/>
      <c r="CA332" s="282"/>
      <c r="CC332" s="112" t="str">
        <f t="shared" ca="1" si="188"/>
        <v/>
      </c>
      <c r="CF332" s="284"/>
      <c r="CG332" s="284"/>
      <c r="CH332" s="284"/>
      <c r="CI332" s="284"/>
      <c r="CL332" s="356" t="str">
        <f>IFERROR(VLOOKUP(C332,'Data Sheet'!$A$3:$B$26,2,FALSE),"")</f>
        <v/>
      </c>
    </row>
    <row r="333" spans="1:90" s="98" customFormat="1" ht="15.75" x14ac:dyDescent="0.2">
      <c r="A333" s="97"/>
      <c r="B333" s="105" t="str">
        <f t="shared" si="161"/>
        <v>--</v>
      </c>
      <c r="C333" s="276"/>
      <c r="D333" s="101" t="str">
        <f>IFERROR(IF(VLOOKUP(C333,'Data Sheet'!$A$3:$D$26,4,FALSE)=0,"",VLOOKUP(C333,'Data Sheet'!$A$3:$D$26,4,FALSE)),"")</f>
        <v/>
      </c>
      <c r="E333" s="279"/>
      <c r="F333" s="103" t="str">
        <f>IFERROR(IF(VLOOKUP(E333,'Data Sheet'!$C$29:$E$174,3,FALSE)=0,"",VLOOKUP(E333,'Data Sheet'!$C$29:$E$174,3,FALSE)),"")</f>
        <v/>
      </c>
      <c r="G333" s="106" t="str">
        <f t="shared" si="189"/>
        <v>-</v>
      </c>
      <c r="H333" s="273"/>
      <c r="I333" s="107"/>
      <c r="J333" s="249" t="e">
        <f t="shared" si="190"/>
        <v>#VALUE!</v>
      </c>
      <c r="K333" s="101" t="str">
        <f>IFERROR(INDEX('Data Sheet'!$C$198:$C$275,MATCH(I333,'Data Sheet'!$F$198:$F$275,0)),"")</f>
        <v/>
      </c>
      <c r="L333" s="250" t="str">
        <f>IFERROR(INDEX('Data Sheet'!$G$198:$G$275,MATCH(I333,'Data Sheet'!$F$198:$F$275,0)),"")</f>
        <v/>
      </c>
      <c r="M333" s="194"/>
      <c r="N333" s="248"/>
      <c r="O333" s="248"/>
      <c r="P333" s="108" t="str">
        <f>IFERROR(INDEX(Setup!$D$44:$D$70,MATCH(M333,Setup!$K$44:$K$70,0))&amp;"","")</f>
        <v/>
      </c>
      <c r="Q333" s="108" t="str">
        <f>IFERROR(INDEX(Setup!$E$44:$E$70,MATCH(M333,Setup!$K$44:$K$70,0))&amp;"","")</f>
        <v/>
      </c>
      <c r="R333" s="108" t="str">
        <f>IFERROR(INDEX(Setup!$L$44:$L$70,MATCH(M333,Setup!$K$44:$K$70,0))&amp;"","")</f>
        <v/>
      </c>
      <c r="S333" s="108" t="str">
        <f>Setup!$C$30</f>
        <v>USD</v>
      </c>
      <c r="T333" s="109" t="str">
        <f>IFERROR(INDEX('Data Sheet'!$B$198:$B$275,MATCH(I333,'Data Sheet'!$F$198:$F$275,0)),"")</f>
        <v/>
      </c>
      <c r="U333" s="110" t="str">
        <f>IFERROR(INDEX('Data Sheet'!$D$198:$D$275,MATCH(I333,'Data Sheet'!$F$198:$F$275,0)),"")</f>
        <v/>
      </c>
      <c r="V333" s="99"/>
      <c r="W333" s="195" t="str">
        <f>IF(V333=Setup!$C$30,"Grant",IF(V333=Setup!$C$31,"Local",IF(V333=Setup!$C$32,"Other",IF(ISBLANK(V333),"","Other"))))</f>
        <v/>
      </c>
      <c r="X333" s="255"/>
      <c r="Y333" s="259" t="str">
        <f>IF(X333&lt;&gt;"",X333/VLOOKUP($V333,Setup!$C$30:$D$41,2,0),"")</f>
        <v/>
      </c>
      <c r="Z333" s="262"/>
      <c r="AA333" s="256" t="str">
        <f t="shared" si="162"/>
        <v/>
      </c>
      <c r="AB333" s="262"/>
      <c r="AC333" s="258" t="str">
        <f t="shared" si="163"/>
        <v/>
      </c>
      <c r="AD333" s="262"/>
      <c r="AE333" s="258" t="str">
        <f t="shared" si="164"/>
        <v/>
      </c>
      <c r="AF333" s="262"/>
      <c r="AG333" s="256" t="str">
        <f t="shared" si="165"/>
        <v/>
      </c>
      <c r="AH333" s="256" t="str">
        <f t="shared" si="166"/>
        <v/>
      </c>
      <c r="AI333" s="256" t="str">
        <f t="shared" si="167"/>
        <v/>
      </c>
      <c r="AJ333" s="111"/>
      <c r="AK333" s="255"/>
      <c r="AL333" s="259" t="str">
        <f>IF(AK333&lt;&gt;"",AK333/VLOOKUP($V333,Setup!$C$30:$D$41,2,0),"")</f>
        <v/>
      </c>
      <c r="AM333" s="266"/>
      <c r="AN333" s="258" t="str">
        <f t="shared" si="168"/>
        <v/>
      </c>
      <c r="AO333" s="266"/>
      <c r="AP333" s="258" t="str">
        <f t="shared" si="169"/>
        <v/>
      </c>
      <c r="AQ333" s="266"/>
      <c r="AR333" s="258" t="str">
        <f t="shared" si="170"/>
        <v/>
      </c>
      <c r="AS333" s="266"/>
      <c r="AT333" s="256" t="str">
        <f t="shared" si="171"/>
        <v/>
      </c>
      <c r="AU333" s="256" t="str">
        <f t="shared" si="172"/>
        <v/>
      </c>
      <c r="AV333" s="256" t="str">
        <f t="shared" si="173"/>
        <v/>
      </c>
      <c r="AW333" s="267"/>
      <c r="AX333" s="255"/>
      <c r="AY333" s="259" t="str">
        <f>IF(AX333&lt;&gt;"",AX333/VLOOKUP($V333,Setup!$C$30:$D$41,2,0),"")</f>
        <v/>
      </c>
      <c r="AZ333" s="268"/>
      <c r="BA333" s="258" t="str">
        <f t="shared" si="174"/>
        <v/>
      </c>
      <c r="BB333" s="268"/>
      <c r="BC333" s="258" t="str">
        <f t="shared" si="175"/>
        <v/>
      </c>
      <c r="BD333" s="268"/>
      <c r="BE333" s="258" t="str">
        <f t="shared" si="176"/>
        <v/>
      </c>
      <c r="BF333" s="268"/>
      <c r="BG333" s="256" t="str">
        <f t="shared" si="177"/>
        <v/>
      </c>
      <c r="BH333" s="256" t="str">
        <f t="shared" si="178"/>
        <v/>
      </c>
      <c r="BI333" s="256" t="str">
        <f t="shared" si="179"/>
        <v/>
      </c>
      <c r="BJ333" s="267"/>
      <c r="BK333" s="255"/>
      <c r="BL333" s="259" t="str">
        <f>IF(BK333&lt;&gt;"",BK333/VLOOKUP($V333,Setup!$C$30:$D$41,2,0),"")</f>
        <v/>
      </c>
      <c r="BM333" s="268"/>
      <c r="BN333" s="258" t="str">
        <f t="shared" si="180"/>
        <v/>
      </c>
      <c r="BO333" s="268"/>
      <c r="BP333" s="258" t="str">
        <f t="shared" si="181"/>
        <v/>
      </c>
      <c r="BQ333" s="268"/>
      <c r="BR333" s="258" t="str">
        <f t="shared" si="182"/>
        <v/>
      </c>
      <c r="BS333" s="268"/>
      <c r="BT333" s="256" t="str">
        <f t="shared" si="183"/>
        <v/>
      </c>
      <c r="BU333" s="256" t="str">
        <f t="shared" si="184"/>
        <v/>
      </c>
      <c r="BV333" s="256" t="str">
        <f t="shared" si="185"/>
        <v/>
      </c>
      <c r="BW333" s="267"/>
      <c r="BX333" s="256" t="str">
        <f t="shared" si="186"/>
        <v/>
      </c>
      <c r="BY333" s="256" t="str">
        <f t="shared" si="187"/>
        <v/>
      </c>
      <c r="BZ333" s="281"/>
      <c r="CA333" s="282"/>
      <c r="CC333" s="112" t="str">
        <f t="shared" ca="1" si="188"/>
        <v/>
      </c>
      <c r="CF333" s="284"/>
      <c r="CG333" s="284"/>
      <c r="CH333" s="284"/>
      <c r="CI333" s="284"/>
      <c r="CL333" s="356" t="str">
        <f>IFERROR(VLOOKUP(C333,'Data Sheet'!$A$3:$B$26,2,FALSE),"")</f>
        <v/>
      </c>
    </row>
    <row r="334" spans="1:90" s="98" customFormat="1" ht="15.75" x14ac:dyDescent="0.2">
      <c r="A334" s="97"/>
      <c r="B334" s="105" t="str">
        <f t="shared" ref="B334:B397" si="191">CONCATENATE(D334,"-",F334,"-",N334)</f>
        <v>--</v>
      </c>
      <c r="C334" s="276"/>
      <c r="D334" s="101" t="str">
        <f>IFERROR(IF(VLOOKUP(C334,'Data Sheet'!$A$3:$D$26,4,FALSE)=0,"",VLOOKUP(C334,'Data Sheet'!$A$3:$D$26,4,FALSE)),"")</f>
        <v/>
      </c>
      <c r="E334" s="279"/>
      <c r="F334" s="103" t="str">
        <f>IFERROR(IF(VLOOKUP(E334,'Data Sheet'!$C$29:$E$174,3,FALSE)=0,"",VLOOKUP(E334,'Data Sheet'!$C$29:$E$174,3,FALSE)),"")</f>
        <v/>
      </c>
      <c r="G334" s="106" t="str">
        <f t="shared" si="189"/>
        <v>-</v>
      </c>
      <c r="H334" s="273"/>
      <c r="I334" s="107"/>
      <c r="J334" s="249" t="e">
        <f t="shared" si="190"/>
        <v>#VALUE!</v>
      </c>
      <c r="K334" s="101" t="str">
        <f>IFERROR(INDEX('Data Sheet'!$C$198:$C$275,MATCH(I334,'Data Sheet'!$F$198:$F$275,0)),"")</f>
        <v/>
      </c>
      <c r="L334" s="250" t="str">
        <f>IFERROR(INDEX('Data Sheet'!$G$198:$G$275,MATCH(I334,'Data Sheet'!$F$198:$F$275,0)),"")</f>
        <v/>
      </c>
      <c r="M334" s="194"/>
      <c r="N334" s="248"/>
      <c r="O334" s="248"/>
      <c r="P334" s="108" t="str">
        <f>IFERROR(INDEX(Setup!$D$44:$D$70,MATCH(M334,Setup!$K$44:$K$70,0))&amp;"","")</f>
        <v/>
      </c>
      <c r="Q334" s="108" t="str">
        <f>IFERROR(INDEX(Setup!$E$44:$E$70,MATCH(M334,Setup!$K$44:$K$70,0))&amp;"","")</f>
        <v/>
      </c>
      <c r="R334" s="108" t="str">
        <f>IFERROR(INDEX(Setup!$L$44:$L$70,MATCH(M334,Setup!$K$44:$K$70,0))&amp;"","")</f>
        <v/>
      </c>
      <c r="S334" s="108" t="str">
        <f>Setup!$C$30</f>
        <v>USD</v>
      </c>
      <c r="T334" s="109" t="str">
        <f>IFERROR(INDEX('Data Sheet'!$B$198:$B$275,MATCH(I334,'Data Sheet'!$F$198:$F$275,0)),"")</f>
        <v/>
      </c>
      <c r="U334" s="110" t="str">
        <f>IFERROR(INDEX('Data Sheet'!$D$198:$D$275,MATCH(I334,'Data Sheet'!$F$198:$F$275,0)),"")</f>
        <v/>
      </c>
      <c r="V334" s="99"/>
      <c r="W334" s="195" t="str">
        <f>IF(V334=Setup!$C$30,"Grant",IF(V334=Setup!$C$31,"Local",IF(V334=Setup!$C$32,"Other",IF(ISBLANK(V334),"","Other"))))</f>
        <v/>
      </c>
      <c r="X334" s="255"/>
      <c r="Y334" s="259" t="str">
        <f>IF(X334&lt;&gt;"",X334/VLOOKUP($V334,Setup!$C$30:$D$41,2,0),"")</f>
        <v/>
      </c>
      <c r="Z334" s="262"/>
      <c r="AA334" s="256" t="str">
        <f t="shared" si="162"/>
        <v/>
      </c>
      <c r="AB334" s="262"/>
      <c r="AC334" s="258" t="str">
        <f t="shared" si="163"/>
        <v/>
      </c>
      <c r="AD334" s="262"/>
      <c r="AE334" s="258" t="str">
        <f t="shared" si="164"/>
        <v/>
      </c>
      <c r="AF334" s="262"/>
      <c r="AG334" s="256" t="str">
        <f t="shared" si="165"/>
        <v/>
      </c>
      <c r="AH334" s="256" t="str">
        <f t="shared" si="166"/>
        <v/>
      </c>
      <c r="AI334" s="256" t="str">
        <f t="shared" si="167"/>
        <v/>
      </c>
      <c r="AJ334" s="111"/>
      <c r="AK334" s="255"/>
      <c r="AL334" s="259" t="str">
        <f>IF(AK334&lt;&gt;"",AK334/VLOOKUP($V334,Setup!$C$30:$D$41,2,0),"")</f>
        <v/>
      </c>
      <c r="AM334" s="266"/>
      <c r="AN334" s="258" t="str">
        <f t="shared" si="168"/>
        <v/>
      </c>
      <c r="AO334" s="266"/>
      <c r="AP334" s="258" t="str">
        <f t="shared" si="169"/>
        <v/>
      </c>
      <c r="AQ334" s="266"/>
      <c r="AR334" s="258" t="str">
        <f t="shared" si="170"/>
        <v/>
      </c>
      <c r="AS334" s="266"/>
      <c r="AT334" s="256" t="str">
        <f t="shared" si="171"/>
        <v/>
      </c>
      <c r="AU334" s="256" t="str">
        <f t="shared" si="172"/>
        <v/>
      </c>
      <c r="AV334" s="256" t="str">
        <f t="shared" si="173"/>
        <v/>
      </c>
      <c r="AW334" s="267"/>
      <c r="AX334" s="255"/>
      <c r="AY334" s="259" t="str">
        <f>IF(AX334&lt;&gt;"",AX334/VLOOKUP($V334,Setup!$C$30:$D$41,2,0),"")</f>
        <v/>
      </c>
      <c r="AZ334" s="268"/>
      <c r="BA334" s="258" t="str">
        <f t="shared" si="174"/>
        <v/>
      </c>
      <c r="BB334" s="268"/>
      <c r="BC334" s="258" t="str">
        <f t="shared" si="175"/>
        <v/>
      </c>
      <c r="BD334" s="268"/>
      <c r="BE334" s="258" t="str">
        <f t="shared" si="176"/>
        <v/>
      </c>
      <c r="BF334" s="268"/>
      <c r="BG334" s="256" t="str">
        <f t="shared" si="177"/>
        <v/>
      </c>
      <c r="BH334" s="256" t="str">
        <f t="shared" si="178"/>
        <v/>
      </c>
      <c r="BI334" s="256" t="str">
        <f t="shared" si="179"/>
        <v/>
      </c>
      <c r="BJ334" s="267"/>
      <c r="BK334" s="255"/>
      <c r="BL334" s="259" t="str">
        <f>IF(BK334&lt;&gt;"",BK334/VLOOKUP($V334,Setup!$C$30:$D$41,2,0),"")</f>
        <v/>
      </c>
      <c r="BM334" s="268"/>
      <c r="BN334" s="258" t="str">
        <f t="shared" si="180"/>
        <v/>
      </c>
      <c r="BO334" s="268"/>
      <c r="BP334" s="258" t="str">
        <f t="shared" si="181"/>
        <v/>
      </c>
      <c r="BQ334" s="268"/>
      <c r="BR334" s="258" t="str">
        <f t="shared" si="182"/>
        <v/>
      </c>
      <c r="BS334" s="268"/>
      <c r="BT334" s="256" t="str">
        <f t="shared" si="183"/>
        <v/>
      </c>
      <c r="BU334" s="256" t="str">
        <f t="shared" si="184"/>
        <v/>
      </c>
      <c r="BV334" s="256" t="str">
        <f t="shared" si="185"/>
        <v/>
      </c>
      <c r="BW334" s="267"/>
      <c r="BX334" s="256" t="str">
        <f t="shared" si="186"/>
        <v/>
      </c>
      <c r="BY334" s="256" t="str">
        <f t="shared" si="187"/>
        <v/>
      </c>
      <c r="BZ334" s="281"/>
      <c r="CA334" s="282"/>
      <c r="CC334" s="112" t="str">
        <f t="shared" ca="1" si="188"/>
        <v/>
      </c>
      <c r="CF334" s="284"/>
      <c r="CG334" s="284"/>
      <c r="CH334" s="284"/>
      <c r="CI334" s="284"/>
      <c r="CL334" s="356" t="str">
        <f>IFERROR(VLOOKUP(C334,'Data Sheet'!$A$3:$B$26,2,FALSE),"")</f>
        <v/>
      </c>
    </row>
    <row r="335" spans="1:90" s="98" customFormat="1" ht="15.75" x14ac:dyDescent="0.2">
      <c r="A335" s="97"/>
      <c r="B335" s="105" t="str">
        <f t="shared" si="191"/>
        <v>--</v>
      </c>
      <c r="C335" s="276"/>
      <c r="D335" s="101" t="str">
        <f>IFERROR(IF(VLOOKUP(C335,'Data Sheet'!$A$3:$D$26,4,FALSE)=0,"",VLOOKUP(C335,'Data Sheet'!$A$3:$D$26,4,FALSE)),"")</f>
        <v/>
      </c>
      <c r="E335" s="279"/>
      <c r="F335" s="103" t="str">
        <f>IFERROR(IF(VLOOKUP(E335,'Data Sheet'!$C$29:$E$174,3,FALSE)=0,"",VLOOKUP(E335,'Data Sheet'!$C$29:$E$174,3,FALSE)),"")</f>
        <v/>
      </c>
      <c r="G335" s="106" t="str">
        <f t="shared" si="189"/>
        <v>-</v>
      </c>
      <c r="H335" s="273"/>
      <c r="I335" s="107"/>
      <c r="J335" s="249" t="e">
        <f t="shared" si="190"/>
        <v>#VALUE!</v>
      </c>
      <c r="K335" s="101" t="str">
        <f>IFERROR(INDEX('Data Sheet'!$C$198:$C$275,MATCH(I335,'Data Sheet'!$F$198:$F$275,0)),"")</f>
        <v/>
      </c>
      <c r="L335" s="250" t="str">
        <f>IFERROR(INDEX('Data Sheet'!$G$198:$G$275,MATCH(I335,'Data Sheet'!$F$198:$F$275,0)),"")</f>
        <v/>
      </c>
      <c r="M335" s="194"/>
      <c r="N335" s="248"/>
      <c r="O335" s="248"/>
      <c r="P335" s="108" t="str">
        <f>IFERROR(INDEX(Setup!$D$44:$D$70,MATCH(M335,Setup!$K$44:$K$70,0))&amp;"","")</f>
        <v/>
      </c>
      <c r="Q335" s="108" t="str">
        <f>IFERROR(INDEX(Setup!$E$44:$E$70,MATCH(M335,Setup!$K$44:$K$70,0))&amp;"","")</f>
        <v/>
      </c>
      <c r="R335" s="108" t="str">
        <f>IFERROR(INDEX(Setup!$L$44:$L$70,MATCH(M335,Setup!$K$44:$K$70,0))&amp;"","")</f>
        <v/>
      </c>
      <c r="S335" s="108" t="str">
        <f>Setup!$C$30</f>
        <v>USD</v>
      </c>
      <c r="T335" s="109" t="str">
        <f>IFERROR(INDEX('Data Sheet'!$B$198:$B$275,MATCH(I335,'Data Sheet'!$F$198:$F$275,0)),"")</f>
        <v/>
      </c>
      <c r="U335" s="110" t="str">
        <f>IFERROR(INDEX('Data Sheet'!$D$198:$D$275,MATCH(I335,'Data Sheet'!$F$198:$F$275,0)),"")</f>
        <v/>
      </c>
      <c r="V335" s="99"/>
      <c r="W335" s="195" t="str">
        <f>IF(V335=Setup!$C$30,"Grant",IF(V335=Setup!$C$31,"Local",IF(V335=Setup!$C$32,"Other",IF(ISBLANK(V335),"","Other"))))</f>
        <v/>
      </c>
      <c r="X335" s="255"/>
      <c r="Y335" s="259" t="str">
        <f>IF(X335&lt;&gt;"",X335/VLOOKUP($V335,Setup!$C$30:$D$41,2,0),"")</f>
        <v/>
      </c>
      <c r="Z335" s="262"/>
      <c r="AA335" s="256" t="str">
        <f t="shared" si="162"/>
        <v/>
      </c>
      <c r="AB335" s="262"/>
      <c r="AC335" s="258" t="str">
        <f t="shared" si="163"/>
        <v/>
      </c>
      <c r="AD335" s="262"/>
      <c r="AE335" s="258" t="str">
        <f t="shared" si="164"/>
        <v/>
      </c>
      <c r="AF335" s="262"/>
      <c r="AG335" s="256" t="str">
        <f t="shared" si="165"/>
        <v/>
      </c>
      <c r="AH335" s="256" t="str">
        <f t="shared" si="166"/>
        <v/>
      </c>
      <c r="AI335" s="256" t="str">
        <f t="shared" si="167"/>
        <v/>
      </c>
      <c r="AJ335" s="111"/>
      <c r="AK335" s="255"/>
      <c r="AL335" s="259" t="str">
        <f>IF(AK335&lt;&gt;"",AK335/VLOOKUP($V335,Setup!$C$30:$D$41,2,0),"")</f>
        <v/>
      </c>
      <c r="AM335" s="266"/>
      <c r="AN335" s="258" t="str">
        <f t="shared" si="168"/>
        <v/>
      </c>
      <c r="AO335" s="266"/>
      <c r="AP335" s="258" t="str">
        <f t="shared" si="169"/>
        <v/>
      </c>
      <c r="AQ335" s="266"/>
      <c r="AR335" s="258" t="str">
        <f t="shared" si="170"/>
        <v/>
      </c>
      <c r="AS335" s="266"/>
      <c r="AT335" s="256" t="str">
        <f t="shared" si="171"/>
        <v/>
      </c>
      <c r="AU335" s="256" t="str">
        <f t="shared" si="172"/>
        <v/>
      </c>
      <c r="AV335" s="256" t="str">
        <f t="shared" si="173"/>
        <v/>
      </c>
      <c r="AW335" s="267"/>
      <c r="AX335" s="255"/>
      <c r="AY335" s="259" t="str">
        <f>IF(AX335&lt;&gt;"",AX335/VLOOKUP($V335,Setup!$C$30:$D$41,2,0),"")</f>
        <v/>
      </c>
      <c r="AZ335" s="268"/>
      <c r="BA335" s="258" t="str">
        <f t="shared" si="174"/>
        <v/>
      </c>
      <c r="BB335" s="268"/>
      <c r="BC335" s="258" t="str">
        <f t="shared" si="175"/>
        <v/>
      </c>
      <c r="BD335" s="268"/>
      <c r="BE335" s="258" t="str">
        <f t="shared" si="176"/>
        <v/>
      </c>
      <c r="BF335" s="268"/>
      <c r="BG335" s="256" t="str">
        <f t="shared" si="177"/>
        <v/>
      </c>
      <c r="BH335" s="256" t="str">
        <f t="shared" si="178"/>
        <v/>
      </c>
      <c r="BI335" s="256" t="str">
        <f t="shared" si="179"/>
        <v/>
      </c>
      <c r="BJ335" s="267"/>
      <c r="BK335" s="255"/>
      <c r="BL335" s="259" t="str">
        <f>IF(BK335&lt;&gt;"",BK335/VLOOKUP($V335,Setup!$C$30:$D$41,2,0),"")</f>
        <v/>
      </c>
      <c r="BM335" s="268"/>
      <c r="BN335" s="258" t="str">
        <f t="shared" si="180"/>
        <v/>
      </c>
      <c r="BO335" s="268"/>
      <c r="BP335" s="258" t="str">
        <f t="shared" si="181"/>
        <v/>
      </c>
      <c r="BQ335" s="268"/>
      <c r="BR335" s="258" t="str">
        <f t="shared" si="182"/>
        <v/>
      </c>
      <c r="BS335" s="268"/>
      <c r="BT335" s="256" t="str">
        <f t="shared" si="183"/>
        <v/>
      </c>
      <c r="BU335" s="256" t="str">
        <f t="shared" si="184"/>
        <v/>
      </c>
      <c r="BV335" s="256" t="str">
        <f t="shared" si="185"/>
        <v/>
      </c>
      <c r="BW335" s="267"/>
      <c r="BX335" s="256" t="str">
        <f t="shared" si="186"/>
        <v/>
      </c>
      <c r="BY335" s="256" t="str">
        <f t="shared" si="187"/>
        <v/>
      </c>
      <c r="BZ335" s="281"/>
      <c r="CA335" s="282"/>
      <c r="CC335" s="112" t="str">
        <f t="shared" ca="1" si="188"/>
        <v/>
      </c>
      <c r="CF335" s="284"/>
      <c r="CG335" s="284"/>
      <c r="CH335" s="284"/>
      <c r="CI335" s="284"/>
      <c r="CL335" s="356" t="str">
        <f>IFERROR(VLOOKUP(C335,'Data Sheet'!$A$3:$B$26,2,FALSE),"")</f>
        <v/>
      </c>
    </row>
    <row r="336" spans="1:90" s="98" customFormat="1" ht="15.75" x14ac:dyDescent="0.2">
      <c r="A336" s="97"/>
      <c r="B336" s="105" t="str">
        <f t="shared" si="191"/>
        <v>--</v>
      </c>
      <c r="C336" s="276"/>
      <c r="D336" s="101" t="str">
        <f>IFERROR(IF(VLOOKUP(C336,'Data Sheet'!$A$3:$D$26,4,FALSE)=0,"",VLOOKUP(C336,'Data Sheet'!$A$3:$D$26,4,FALSE)),"")</f>
        <v/>
      </c>
      <c r="E336" s="279"/>
      <c r="F336" s="103" t="str">
        <f>IFERROR(IF(VLOOKUP(E336,'Data Sheet'!$C$29:$E$174,3,FALSE)=0,"",VLOOKUP(E336,'Data Sheet'!$C$29:$E$174,3,FALSE)),"")</f>
        <v/>
      </c>
      <c r="G336" s="106" t="str">
        <f t="shared" si="189"/>
        <v>-</v>
      </c>
      <c r="H336" s="273"/>
      <c r="I336" s="107"/>
      <c r="J336" s="249" t="e">
        <f t="shared" si="190"/>
        <v>#VALUE!</v>
      </c>
      <c r="K336" s="101" t="str">
        <f>IFERROR(INDEX('Data Sheet'!$C$198:$C$275,MATCH(I336,'Data Sheet'!$F$198:$F$275,0)),"")</f>
        <v/>
      </c>
      <c r="L336" s="250" t="str">
        <f>IFERROR(INDEX('Data Sheet'!$G$198:$G$275,MATCH(I336,'Data Sheet'!$F$198:$F$275,0)),"")</f>
        <v/>
      </c>
      <c r="M336" s="194"/>
      <c r="N336" s="248"/>
      <c r="O336" s="248"/>
      <c r="P336" s="108" t="str">
        <f>IFERROR(INDEX(Setup!$D$44:$D$70,MATCH(M336,Setup!$K$44:$K$70,0))&amp;"","")</f>
        <v/>
      </c>
      <c r="Q336" s="108" t="str">
        <f>IFERROR(INDEX(Setup!$E$44:$E$70,MATCH(M336,Setup!$K$44:$K$70,0))&amp;"","")</f>
        <v/>
      </c>
      <c r="R336" s="108" t="str">
        <f>IFERROR(INDEX(Setup!$L$44:$L$70,MATCH(M336,Setup!$K$44:$K$70,0))&amp;"","")</f>
        <v/>
      </c>
      <c r="S336" s="108" t="str">
        <f>Setup!$C$30</f>
        <v>USD</v>
      </c>
      <c r="T336" s="109" t="str">
        <f>IFERROR(INDEX('Data Sheet'!$B$198:$B$275,MATCH(I336,'Data Sheet'!$F$198:$F$275,0)),"")</f>
        <v/>
      </c>
      <c r="U336" s="110" t="str">
        <f>IFERROR(INDEX('Data Sheet'!$D$198:$D$275,MATCH(I336,'Data Sheet'!$F$198:$F$275,0)),"")</f>
        <v/>
      </c>
      <c r="V336" s="99"/>
      <c r="W336" s="195" t="str">
        <f>IF(V336=Setup!$C$30,"Grant",IF(V336=Setup!$C$31,"Local",IF(V336=Setup!$C$32,"Other",IF(ISBLANK(V336),"","Other"))))</f>
        <v/>
      </c>
      <c r="X336" s="255"/>
      <c r="Y336" s="259" t="str">
        <f>IF(X336&lt;&gt;"",X336/VLOOKUP($V336,Setup!$C$30:$D$41,2,0),"")</f>
        <v/>
      </c>
      <c r="Z336" s="262"/>
      <c r="AA336" s="256" t="str">
        <f t="shared" si="162"/>
        <v/>
      </c>
      <c r="AB336" s="262"/>
      <c r="AC336" s="258" t="str">
        <f t="shared" si="163"/>
        <v/>
      </c>
      <c r="AD336" s="262"/>
      <c r="AE336" s="258" t="str">
        <f t="shared" si="164"/>
        <v/>
      </c>
      <c r="AF336" s="262"/>
      <c r="AG336" s="256" t="str">
        <f t="shared" si="165"/>
        <v/>
      </c>
      <c r="AH336" s="256" t="str">
        <f t="shared" si="166"/>
        <v/>
      </c>
      <c r="AI336" s="256" t="str">
        <f t="shared" si="167"/>
        <v/>
      </c>
      <c r="AJ336" s="111"/>
      <c r="AK336" s="255"/>
      <c r="AL336" s="259" t="str">
        <f>IF(AK336&lt;&gt;"",AK336/VLOOKUP($V336,Setup!$C$30:$D$41,2,0),"")</f>
        <v/>
      </c>
      <c r="AM336" s="266"/>
      <c r="AN336" s="258" t="str">
        <f t="shared" si="168"/>
        <v/>
      </c>
      <c r="AO336" s="266"/>
      <c r="AP336" s="258" t="str">
        <f t="shared" si="169"/>
        <v/>
      </c>
      <c r="AQ336" s="266"/>
      <c r="AR336" s="258" t="str">
        <f t="shared" si="170"/>
        <v/>
      </c>
      <c r="AS336" s="266"/>
      <c r="AT336" s="256" t="str">
        <f t="shared" si="171"/>
        <v/>
      </c>
      <c r="AU336" s="256" t="str">
        <f t="shared" si="172"/>
        <v/>
      </c>
      <c r="AV336" s="256" t="str">
        <f t="shared" si="173"/>
        <v/>
      </c>
      <c r="AW336" s="267"/>
      <c r="AX336" s="255"/>
      <c r="AY336" s="259" t="str">
        <f>IF(AX336&lt;&gt;"",AX336/VLOOKUP($V336,Setup!$C$30:$D$41,2,0),"")</f>
        <v/>
      </c>
      <c r="AZ336" s="268"/>
      <c r="BA336" s="258" t="str">
        <f t="shared" si="174"/>
        <v/>
      </c>
      <c r="BB336" s="268"/>
      <c r="BC336" s="258" t="str">
        <f t="shared" si="175"/>
        <v/>
      </c>
      <c r="BD336" s="268"/>
      <c r="BE336" s="258" t="str">
        <f t="shared" si="176"/>
        <v/>
      </c>
      <c r="BF336" s="268"/>
      <c r="BG336" s="256" t="str">
        <f t="shared" si="177"/>
        <v/>
      </c>
      <c r="BH336" s="256" t="str">
        <f t="shared" si="178"/>
        <v/>
      </c>
      <c r="BI336" s="256" t="str">
        <f t="shared" si="179"/>
        <v/>
      </c>
      <c r="BJ336" s="267"/>
      <c r="BK336" s="255"/>
      <c r="BL336" s="259" t="str">
        <f>IF(BK336&lt;&gt;"",BK336/VLOOKUP($V336,Setup!$C$30:$D$41,2,0),"")</f>
        <v/>
      </c>
      <c r="BM336" s="268"/>
      <c r="BN336" s="258" t="str">
        <f t="shared" si="180"/>
        <v/>
      </c>
      <c r="BO336" s="268"/>
      <c r="BP336" s="258" t="str">
        <f t="shared" si="181"/>
        <v/>
      </c>
      <c r="BQ336" s="268"/>
      <c r="BR336" s="258" t="str">
        <f t="shared" si="182"/>
        <v/>
      </c>
      <c r="BS336" s="268"/>
      <c r="BT336" s="256" t="str">
        <f t="shared" si="183"/>
        <v/>
      </c>
      <c r="BU336" s="256" t="str">
        <f t="shared" si="184"/>
        <v/>
      </c>
      <c r="BV336" s="256" t="str">
        <f t="shared" si="185"/>
        <v/>
      </c>
      <c r="BW336" s="267"/>
      <c r="BX336" s="256" t="str">
        <f t="shared" si="186"/>
        <v/>
      </c>
      <c r="BY336" s="256" t="str">
        <f t="shared" si="187"/>
        <v/>
      </c>
      <c r="BZ336" s="281"/>
      <c r="CA336" s="282"/>
      <c r="CC336" s="112" t="str">
        <f t="shared" ca="1" si="188"/>
        <v/>
      </c>
      <c r="CF336" s="284"/>
      <c r="CG336" s="284"/>
      <c r="CH336" s="284"/>
      <c r="CI336" s="284"/>
      <c r="CL336" s="356" t="str">
        <f>IFERROR(VLOOKUP(C336,'Data Sheet'!$A$3:$B$26,2,FALSE),"")</f>
        <v/>
      </c>
    </row>
    <row r="337" spans="1:90" s="98" customFormat="1" ht="15.75" x14ac:dyDescent="0.2">
      <c r="A337" s="97"/>
      <c r="B337" s="105" t="str">
        <f t="shared" si="191"/>
        <v>--</v>
      </c>
      <c r="C337" s="276"/>
      <c r="D337" s="101" t="str">
        <f>IFERROR(IF(VLOOKUP(C337,'Data Sheet'!$A$3:$D$26,4,FALSE)=0,"",VLOOKUP(C337,'Data Sheet'!$A$3:$D$26,4,FALSE)),"")</f>
        <v/>
      </c>
      <c r="E337" s="279"/>
      <c r="F337" s="103" t="str">
        <f>IFERROR(IF(VLOOKUP(E337,'Data Sheet'!$C$29:$E$174,3,FALSE)=0,"",VLOOKUP(E337,'Data Sheet'!$C$29:$E$174,3,FALSE)),"")</f>
        <v/>
      </c>
      <c r="G337" s="106" t="str">
        <f t="shared" si="189"/>
        <v>-</v>
      </c>
      <c r="H337" s="273"/>
      <c r="I337" s="107"/>
      <c r="J337" s="249" t="e">
        <f t="shared" si="190"/>
        <v>#VALUE!</v>
      </c>
      <c r="K337" s="101" t="str">
        <f>IFERROR(INDEX('Data Sheet'!$C$198:$C$275,MATCH(I337,'Data Sheet'!$F$198:$F$275,0)),"")</f>
        <v/>
      </c>
      <c r="L337" s="250" t="str">
        <f>IFERROR(INDEX('Data Sheet'!$G$198:$G$275,MATCH(I337,'Data Sheet'!$F$198:$F$275,0)),"")</f>
        <v/>
      </c>
      <c r="M337" s="194"/>
      <c r="N337" s="248"/>
      <c r="O337" s="248"/>
      <c r="P337" s="108" t="str">
        <f>IFERROR(INDEX(Setup!$D$44:$D$70,MATCH(M337,Setup!$K$44:$K$70,0))&amp;"","")</f>
        <v/>
      </c>
      <c r="Q337" s="108" t="str">
        <f>IFERROR(INDEX(Setup!$E$44:$E$70,MATCH(M337,Setup!$K$44:$K$70,0))&amp;"","")</f>
        <v/>
      </c>
      <c r="R337" s="108" t="str">
        <f>IFERROR(INDEX(Setup!$L$44:$L$70,MATCH(M337,Setup!$K$44:$K$70,0))&amp;"","")</f>
        <v/>
      </c>
      <c r="S337" s="108" t="str">
        <f>Setup!$C$30</f>
        <v>USD</v>
      </c>
      <c r="T337" s="109" t="str">
        <f>IFERROR(INDEX('Data Sheet'!$B$198:$B$275,MATCH(I337,'Data Sheet'!$F$198:$F$275,0)),"")</f>
        <v/>
      </c>
      <c r="U337" s="110" t="str">
        <f>IFERROR(INDEX('Data Sheet'!$D$198:$D$275,MATCH(I337,'Data Sheet'!$F$198:$F$275,0)),"")</f>
        <v/>
      </c>
      <c r="V337" s="99"/>
      <c r="W337" s="195" t="str">
        <f>IF(V337=Setup!$C$30,"Grant",IF(V337=Setup!$C$31,"Local",IF(V337=Setup!$C$32,"Other",IF(ISBLANK(V337),"","Other"))))</f>
        <v/>
      </c>
      <c r="X337" s="255"/>
      <c r="Y337" s="259" t="str">
        <f>IF(X337&lt;&gt;"",X337/VLOOKUP($V337,Setup!$C$30:$D$41,2,0),"")</f>
        <v/>
      </c>
      <c r="Z337" s="262"/>
      <c r="AA337" s="256" t="str">
        <f t="shared" si="162"/>
        <v/>
      </c>
      <c r="AB337" s="262"/>
      <c r="AC337" s="258" t="str">
        <f t="shared" si="163"/>
        <v/>
      </c>
      <c r="AD337" s="262"/>
      <c r="AE337" s="258" t="str">
        <f t="shared" si="164"/>
        <v/>
      </c>
      <c r="AF337" s="262"/>
      <c r="AG337" s="256" t="str">
        <f t="shared" si="165"/>
        <v/>
      </c>
      <c r="AH337" s="256" t="str">
        <f t="shared" si="166"/>
        <v/>
      </c>
      <c r="AI337" s="256" t="str">
        <f t="shared" si="167"/>
        <v/>
      </c>
      <c r="AJ337" s="111"/>
      <c r="AK337" s="255"/>
      <c r="AL337" s="259" t="str">
        <f>IF(AK337&lt;&gt;"",AK337/VLOOKUP($V337,Setup!$C$30:$D$41,2,0),"")</f>
        <v/>
      </c>
      <c r="AM337" s="266"/>
      <c r="AN337" s="258" t="str">
        <f t="shared" si="168"/>
        <v/>
      </c>
      <c r="AO337" s="266"/>
      <c r="AP337" s="258" t="str">
        <f t="shared" si="169"/>
        <v/>
      </c>
      <c r="AQ337" s="266"/>
      <c r="AR337" s="258" t="str">
        <f t="shared" si="170"/>
        <v/>
      </c>
      <c r="AS337" s="266"/>
      <c r="AT337" s="256" t="str">
        <f t="shared" si="171"/>
        <v/>
      </c>
      <c r="AU337" s="256" t="str">
        <f t="shared" si="172"/>
        <v/>
      </c>
      <c r="AV337" s="256" t="str">
        <f t="shared" si="173"/>
        <v/>
      </c>
      <c r="AW337" s="267"/>
      <c r="AX337" s="255"/>
      <c r="AY337" s="259" t="str">
        <f>IF(AX337&lt;&gt;"",AX337/VLOOKUP($V337,Setup!$C$30:$D$41,2,0),"")</f>
        <v/>
      </c>
      <c r="AZ337" s="268"/>
      <c r="BA337" s="258" t="str">
        <f t="shared" si="174"/>
        <v/>
      </c>
      <c r="BB337" s="268"/>
      <c r="BC337" s="258" t="str">
        <f t="shared" si="175"/>
        <v/>
      </c>
      <c r="BD337" s="268"/>
      <c r="BE337" s="258" t="str">
        <f t="shared" si="176"/>
        <v/>
      </c>
      <c r="BF337" s="268"/>
      <c r="BG337" s="256" t="str">
        <f t="shared" si="177"/>
        <v/>
      </c>
      <c r="BH337" s="256" t="str">
        <f t="shared" si="178"/>
        <v/>
      </c>
      <c r="BI337" s="256" t="str">
        <f t="shared" si="179"/>
        <v/>
      </c>
      <c r="BJ337" s="267"/>
      <c r="BK337" s="255"/>
      <c r="BL337" s="259" t="str">
        <f>IF(BK337&lt;&gt;"",BK337/VLOOKUP($V337,Setup!$C$30:$D$41,2,0),"")</f>
        <v/>
      </c>
      <c r="BM337" s="268"/>
      <c r="BN337" s="258" t="str">
        <f t="shared" si="180"/>
        <v/>
      </c>
      <c r="BO337" s="268"/>
      <c r="BP337" s="258" t="str">
        <f t="shared" si="181"/>
        <v/>
      </c>
      <c r="BQ337" s="268"/>
      <c r="BR337" s="258" t="str">
        <f t="shared" si="182"/>
        <v/>
      </c>
      <c r="BS337" s="268"/>
      <c r="BT337" s="256" t="str">
        <f t="shared" si="183"/>
        <v/>
      </c>
      <c r="BU337" s="256" t="str">
        <f t="shared" si="184"/>
        <v/>
      </c>
      <c r="BV337" s="256" t="str">
        <f t="shared" si="185"/>
        <v/>
      </c>
      <c r="BW337" s="267"/>
      <c r="BX337" s="256" t="str">
        <f t="shared" si="186"/>
        <v/>
      </c>
      <c r="BY337" s="256" t="str">
        <f t="shared" si="187"/>
        <v/>
      </c>
      <c r="BZ337" s="281"/>
      <c r="CA337" s="282"/>
      <c r="CC337" s="112" t="str">
        <f t="shared" ca="1" si="188"/>
        <v/>
      </c>
      <c r="CF337" s="284"/>
      <c r="CG337" s="284"/>
      <c r="CH337" s="284"/>
      <c r="CI337" s="284"/>
      <c r="CL337" s="356" t="str">
        <f>IFERROR(VLOOKUP(C337,'Data Sheet'!$A$3:$B$26,2,FALSE),"")</f>
        <v/>
      </c>
    </row>
    <row r="338" spans="1:90" s="98" customFormat="1" ht="15.75" x14ac:dyDescent="0.2">
      <c r="A338" s="97"/>
      <c r="B338" s="105" t="str">
        <f t="shared" si="191"/>
        <v>--</v>
      </c>
      <c r="C338" s="276"/>
      <c r="D338" s="101" t="str">
        <f>IFERROR(IF(VLOOKUP(C338,'Data Sheet'!$A$3:$D$26,4,FALSE)=0,"",VLOOKUP(C338,'Data Sheet'!$A$3:$D$26,4,FALSE)),"")</f>
        <v/>
      </c>
      <c r="E338" s="279"/>
      <c r="F338" s="103" t="str">
        <f>IFERROR(IF(VLOOKUP(E338,'Data Sheet'!$C$29:$E$174,3,FALSE)=0,"",VLOOKUP(E338,'Data Sheet'!$C$29:$E$174,3,FALSE)),"")</f>
        <v/>
      </c>
      <c r="G338" s="106" t="str">
        <f t="shared" si="189"/>
        <v>-</v>
      </c>
      <c r="H338" s="273"/>
      <c r="I338" s="107"/>
      <c r="J338" s="249" t="e">
        <f t="shared" si="190"/>
        <v>#VALUE!</v>
      </c>
      <c r="K338" s="101" t="str">
        <f>IFERROR(INDEX('Data Sheet'!$C$198:$C$275,MATCH(I338,'Data Sheet'!$F$198:$F$275,0)),"")</f>
        <v/>
      </c>
      <c r="L338" s="250" t="str">
        <f>IFERROR(INDEX('Data Sheet'!$G$198:$G$275,MATCH(I338,'Data Sheet'!$F$198:$F$275,0)),"")</f>
        <v/>
      </c>
      <c r="M338" s="194"/>
      <c r="N338" s="248"/>
      <c r="O338" s="248"/>
      <c r="P338" s="108" t="str">
        <f>IFERROR(INDEX(Setup!$D$44:$D$70,MATCH(M338,Setup!$K$44:$K$70,0))&amp;"","")</f>
        <v/>
      </c>
      <c r="Q338" s="108" t="str">
        <f>IFERROR(INDEX(Setup!$E$44:$E$70,MATCH(M338,Setup!$K$44:$K$70,0))&amp;"","")</f>
        <v/>
      </c>
      <c r="R338" s="108" t="str">
        <f>IFERROR(INDEX(Setup!$L$44:$L$70,MATCH(M338,Setup!$K$44:$K$70,0))&amp;"","")</f>
        <v/>
      </c>
      <c r="S338" s="108" t="str">
        <f>Setup!$C$30</f>
        <v>USD</v>
      </c>
      <c r="T338" s="109" t="str">
        <f>IFERROR(INDEX('Data Sheet'!$B$198:$B$275,MATCH(I338,'Data Sheet'!$F$198:$F$275,0)),"")</f>
        <v/>
      </c>
      <c r="U338" s="110" t="str">
        <f>IFERROR(INDEX('Data Sheet'!$D$198:$D$275,MATCH(I338,'Data Sheet'!$F$198:$F$275,0)),"")</f>
        <v/>
      </c>
      <c r="V338" s="99"/>
      <c r="W338" s="195" t="str">
        <f>IF(V338=Setup!$C$30,"Grant",IF(V338=Setup!$C$31,"Local",IF(V338=Setup!$C$32,"Other",IF(ISBLANK(V338),"","Other"))))</f>
        <v/>
      </c>
      <c r="X338" s="255"/>
      <c r="Y338" s="259" t="str">
        <f>IF(X338&lt;&gt;"",X338/VLOOKUP($V338,Setup!$C$30:$D$41,2,0),"")</f>
        <v/>
      </c>
      <c r="Z338" s="262"/>
      <c r="AA338" s="256" t="str">
        <f t="shared" si="162"/>
        <v/>
      </c>
      <c r="AB338" s="262"/>
      <c r="AC338" s="258" t="str">
        <f t="shared" si="163"/>
        <v/>
      </c>
      <c r="AD338" s="262"/>
      <c r="AE338" s="258" t="str">
        <f t="shared" si="164"/>
        <v/>
      </c>
      <c r="AF338" s="262"/>
      <c r="AG338" s="256" t="str">
        <f t="shared" si="165"/>
        <v/>
      </c>
      <c r="AH338" s="256" t="str">
        <f t="shared" si="166"/>
        <v/>
      </c>
      <c r="AI338" s="256" t="str">
        <f t="shared" si="167"/>
        <v/>
      </c>
      <c r="AJ338" s="111"/>
      <c r="AK338" s="255"/>
      <c r="AL338" s="259" t="str">
        <f>IF(AK338&lt;&gt;"",AK338/VLOOKUP($V338,Setup!$C$30:$D$41,2,0),"")</f>
        <v/>
      </c>
      <c r="AM338" s="266"/>
      <c r="AN338" s="258" t="str">
        <f t="shared" si="168"/>
        <v/>
      </c>
      <c r="AO338" s="266"/>
      <c r="AP338" s="258" t="str">
        <f t="shared" si="169"/>
        <v/>
      </c>
      <c r="AQ338" s="266"/>
      <c r="AR338" s="258" t="str">
        <f t="shared" si="170"/>
        <v/>
      </c>
      <c r="AS338" s="266"/>
      <c r="AT338" s="256" t="str">
        <f t="shared" si="171"/>
        <v/>
      </c>
      <c r="AU338" s="256" t="str">
        <f t="shared" si="172"/>
        <v/>
      </c>
      <c r="AV338" s="256" t="str">
        <f t="shared" si="173"/>
        <v/>
      </c>
      <c r="AW338" s="267"/>
      <c r="AX338" s="255"/>
      <c r="AY338" s="259" t="str">
        <f>IF(AX338&lt;&gt;"",AX338/VLOOKUP($V338,Setup!$C$30:$D$41,2,0),"")</f>
        <v/>
      </c>
      <c r="AZ338" s="268"/>
      <c r="BA338" s="258" t="str">
        <f t="shared" si="174"/>
        <v/>
      </c>
      <c r="BB338" s="268"/>
      <c r="BC338" s="258" t="str">
        <f t="shared" si="175"/>
        <v/>
      </c>
      <c r="BD338" s="268"/>
      <c r="BE338" s="258" t="str">
        <f t="shared" si="176"/>
        <v/>
      </c>
      <c r="BF338" s="268"/>
      <c r="BG338" s="256" t="str">
        <f t="shared" si="177"/>
        <v/>
      </c>
      <c r="BH338" s="256" t="str">
        <f t="shared" si="178"/>
        <v/>
      </c>
      <c r="BI338" s="256" t="str">
        <f t="shared" si="179"/>
        <v/>
      </c>
      <c r="BJ338" s="267"/>
      <c r="BK338" s="255"/>
      <c r="BL338" s="259" t="str">
        <f>IF(BK338&lt;&gt;"",BK338/VLOOKUP($V338,Setup!$C$30:$D$41,2,0),"")</f>
        <v/>
      </c>
      <c r="BM338" s="268"/>
      <c r="BN338" s="258" t="str">
        <f t="shared" si="180"/>
        <v/>
      </c>
      <c r="BO338" s="268"/>
      <c r="BP338" s="258" t="str">
        <f t="shared" si="181"/>
        <v/>
      </c>
      <c r="BQ338" s="268"/>
      <c r="BR338" s="258" t="str">
        <f t="shared" si="182"/>
        <v/>
      </c>
      <c r="BS338" s="268"/>
      <c r="BT338" s="256" t="str">
        <f t="shared" si="183"/>
        <v/>
      </c>
      <c r="BU338" s="256" t="str">
        <f t="shared" si="184"/>
        <v/>
      </c>
      <c r="BV338" s="256" t="str">
        <f t="shared" si="185"/>
        <v/>
      </c>
      <c r="BW338" s="267"/>
      <c r="BX338" s="256" t="str">
        <f t="shared" si="186"/>
        <v/>
      </c>
      <c r="BY338" s="256" t="str">
        <f t="shared" si="187"/>
        <v/>
      </c>
      <c r="BZ338" s="281"/>
      <c r="CA338" s="282"/>
      <c r="CC338" s="112" t="str">
        <f t="shared" ca="1" si="188"/>
        <v/>
      </c>
      <c r="CF338" s="284"/>
      <c r="CG338" s="284"/>
      <c r="CH338" s="284"/>
      <c r="CI338" s="284"/>
      <c r="CL338" s="356" t="str">
        <f>IFERROR(VLOOKUP(C338,'Data Sheet'!$A$3:$B$26,2,FALSE),"")</f>
        <v/>
      </c>
    </row>
    <row r="339" spans="1:90" s="98" customFormat="1" ht="15.75" x14ac:dyDescent="0.2">
      <c r="A339" s="97"/>
      <c r="B339" s="105" t="str">
        <f t="shared" si="191"/>
        <v>--</v>
      </c>
      <c r="C339" s="276"/>
      <c r="D339" s="101" t="str">
        <f>IFERROR(IF(VLOOKUP(C339,'Data Sheet'!$A$3:$D$26,4,FALSE)=0,"",VLOOKUP(C339,'Data Sheet'!$A$3:$D$26,4,FALSE)),"")</f>
        <v/>
      </c>
      <c r="E339" s="279"/>
      <c r="F339" s="103" t="str">
        <f>IFERROR(IF(VLOOKUP(E339,'Data Sheet'!$C$29:$E$174,3,FALSE)=0,"",VLOOKUP(E339,'Data Sheet'!$C$29:$E$174,3,FALSE)),"")</f>
        <v/>
      </c>
      <c r="G339" s="106" t="str">
        <f t="shared" si="189"/>
        <v>-</v>
      </c>
      <c r="H339" s="273"/>
      <c r="I339" s="107"/>
      <c r="J339" s="249" t="e">
        <f t="shared" si="190"/>
        <v>#VALUE!</v>
      </c>
      <c r="K339" s="101" t="str">
        <f>IFERROR(INDEX('Data Sheet'!$C$198:$C$275,MATCH(I339,'Data Sheet'!$F$198:$F$275,0)),"")</f>
        <v/>
      </c>
      <c r="L339" s="250" t="str">
        <f>IFERROR(INDEX('Data Sheet'!$G$198:$G$275,MATCH(I339,'Data Sheet'!$F$198:$F$275,0)),"")</f>
        <v/>
      </c>
      <c r="M339" s="194"/>
      <c r="N339" s="248"/>
      <c r="O339" s="248"/>
      <c r="P339" s="108" t="str">
        <f>IFERROR(INDEX(Setup!$D$44:$D$70,MATCH(M339,Setup!$K$44:$K$70,0))&amp;"","")</f>
        <v/>
      </c>
      <c r="Q339" s="108" t="str">
        <f>IFERROR(INDEX(Setup!$E$44:$E$70,MATCH(M339,Setup!$K$44:$K$70,0))&amp;"","")</f>
        <v/>
      </c>
      <c r="R339" s="108" t="str">
        <f>IFERROR(INDEX(Setup!$L$44:$L$70,MATCH(M339,Setup!$K$44:$K$70,0))&amp;"","")</f>
        <v/>
      </c>
      <c r="S339" s="108" t="str">
        <f>Setup!$C$30</f>
        <v>USD</v>
      </c>
      <c r="T339" s="109" t="str">
        <f>IFERROR(INDEX('Data Sheet'!$B$198:$B$275,MATCH(I339,'Data Sheet'!$F$198:$F$275,0)),"")</f>
        <v/>
      </c>
      <c r="U339" s="110" t="str">
        <f>IFERROR(INDEX('Data Sheet'!$D$198:$D$275,MATCH(I339,'Data Sheet'!$F$198:$F$275,0)),"")</f>
        <v/>
      </c>
      <c r="V339" s="99"/>
      <c r="W339" s="195" t="str">
        <f>IF(V339=Setup!$C$30,"Grant",IF(V339=Setup!$C$31,"Local",IF(V339=Setup!$C$32,"Other",IF(ISBLANK(V339),"","Other"))))</f>
        <v/>
      </c>
      <c r="X339" s="255"/>
      <c r="Y339" s="259" t="str">
        <f>IF(X339&lt;&gt;"",X339/VLOOKUP($V339,Setup!$C$30:$D$41,2,0),"")</f>
        <v/>
      </c>
      <c r="Z339" s="262"/>
      <c r="AA339" s="256" t="str">
        <f t="shared" si="162"/>
        <v/>
      </c>
      <c r="AB339" s="262"/>
      <c r="AC339" s="258" t="str">
        <f t="shared" si="163"/>
        <v/>
      </c>
      <c r="AD339" s="262"/>
      <c r="AE339" s="258" t="str">
        <f t="shared" si="164"/>
        <v/>
      </c>
      <c r="AF339" s="262"/>
      <c r="AG339" s="256" t="str">
        <f t="shared" si="165"/>
        <v/>
      </c>
      <c r="AH339" s="256" t="str">
        <f t="shared" si="166"/>
        <v/>
      </c>
      <c r="AI339" s="256" t="str">
        <f t="shared" si="167"/>
        <v/>
      </c>
      <c r="AJ339" s="111"/>
      <c r="AK339" s="255"/>
      <c r="AL339" s="259" t="str">
        <f>IF(AK339&lt;&gt;"",AK339/VLOOKUP($V339,Setup!$C$30:$D$41,2,0),"")</f>
        <v/>
      </c>
      <c r="AM339" s="266"/>
      <c r="AN339" s="258" t="str">
        <f t="shared" si="168"/>
        <v/>
      </c>
      <c r="AO339" s="266"/>
      <c r="AP339" s="258" t="str">
        <f t="shared" si="169"/>
        <v/>
      </c>
      <c r="AQ339" s="266"/>
      <c r="AR339" s="258" t="str">
        <f t="shared" si="170"/>
        <v/>
      </c>
      <c r="AS339" s="266"/>
      <c r="AT339" s="256" t="str">
        <f t="shared" si="171"/>
        <v/>
      </c>
      <c r="AU339" s="256" t="str">
        <f t="shared" si="172"/>
        <v/>
      </c>
      <c r="AV339" s="256" t="str">
        <f t="shared" si="173"/>
        <v/>
      </c>
      <c r="AW339" s="267"/>
      <c r="AX339" s="255"/>
      <c r="AY339" s="259" t="str">
        <f>IF(AX339&lt;&gt;"",AX339/VLOOKUP($V339,Setup!$C$30:$D$41,2,0),"")</f>
        <v/>
      </c>
      <c r="AZ339" s="268"/>
      <c r="BA339" s="258" t="str">
        <f t="shared" si="174"/>
        <v/>
      </c>
      <c r="BB339" s="268"/>
      <c r="BC339" s="258" t="str">
        <f t="shared" si="175"/>
        <v/>
      </c>
      <c r="BD339" s="268"/>
      <c r="BE339" s="258" t="str">
        <f t="shared" si="176"/>
        <v/>
      </c>
      <c r="BF339" s="268"/>
      <c r="BG339" s="256" t="str">
        <f t="shared" si="177"/>
        <v/>
      </c>
      <c r="BH339" s="256" t="str">
        <f t="shared" si="178"/>
        <v/>
      </c>
      <c r="BI339" s="256" t="str">
        <f t="shared" si="179"/>
        <v/>
      </c>
      <c r="BJ339" s="267"/>
      <c r="BK339" s="255"/>
      <c r="BL339" s="259" t="str">
        <f>IF(BK339&lt;&gt;"",BK339/VLOOKUP($V339,Setup!$C$30:$D$41,2,0),"")</f>
        <v/>
      </c>
      <c r="BM339" s="268"/>
      <c r="BN339" s="258" t="str">
        <f t="shared" si="180"/>
        <v/>
      </c>
      <c r="BO339" s="268"/>
      <c r="BP339" s="258" t="str">
        <f t="shared" si="181"/>
        <v/>
      </c>
      <c r="BQ339" s="268"/>
      <c r="BR339" s="258" t="str">
        <f t="shared" si="182"/>
        <v/>
      </c>
      <c r="BS339" s="268"/>
      <c r="BT339" s="256" t="str">
        <f t="shared" si="183"/>
        <v/>
      </c>
      <c r="BU339" s="256" t="str">
        <f t="shared" si="184"/>
        <v/>
      </c>
      <c r="BV339" s="256" t="str">
        <f t="shared" si="185"/>
        <v/>
      </c>
      <c r="BW339" s="267"/>
      <c r="BX339" s="256" t="str">
        <f t="shared" si="186"/>
        <v/>
      </c>
      <c r="BY339" s="256" t="str">
        <f t="shared" si="187"/>
        <v/>
      </c>
      <c r="BZ339" s="281"/>
      <c r="CA339" s="282"/>
      <c r="CC339" s="112" t="str">
        <f t="shared" ca="1" si="188"/>
        <v/>
      </c>
      <c r="CF339" s="284"/>
      <c r="CG339" s="284"/>
      <c r="CH339" s="284"/>
      <c r="CI339" s="284"/>
      <c r="CL339" s="356" t="str">
        <f>IFERROR(VLOOKUP(C339,'Data Sheet'!$A$3:$B$26,2,FALSE),"")</f>
        <v/>
      </c>
    </row>
    <row r="340" spans="1:90" s="98" customFormat="1" ht="15.75" x14ac:dyDescent="0.2">
      <c r="A340" s="97"/>
      <c r="B340" s="105" t="str">
        <f t="shared" si="191"/>
        <v>--</v>
      </c>
      <c r="C340" s="276"/>
      <c r="D340" s="101" t="str">
        <f>IFERROR(IF(VLOOKUP(C340,'Data Sheet'!$A$3:$D$26,4,FALSE)=0,"",VLOOKUP(C340,'Data Sheet'!$A$3:$D$26,4,FALSE)),"")</f>
        <v/>
      </c>
      <c r="E340" s="279"/>
      <c r="F340" s="103" t="str">
        <f>IFERROR(IF(VLOOKUP(E340,'Data Sheet'!$C$29:$E$174,3,FALSE)=0,"",VLOOKUP(E340,'Data Sheet'!$C$29:$E$174,3,FALSE)),"")</f>
        <v/>
      </c>
      <c r="G340" s="106" t="str">
        <f t="shared" si="189"/>
        <v>-</v>
      </c>
      <c r="H340" s="273"/>
      <c r="I340" s="107"/>
      <c r="J340" s="249" t="e">
        <f t="shared" si="190"/>
        <v>#VALUE!</v>
      </c>
      <c r="K340" s="101" t="str">
        <f>IFERROR(INDEX('Data Sheet'!$C$198:$C$275,MATCH(I340,'Data Sheet'!$F$198:$F$275,0)),"")</f>
        <v/>
      </c>
      <c r="L340" s="250" t="str">
        <f>IFERROR(INDEX('Data Sheet'!$G$198:$G$275,MATCH(I340,'Data Sheet'!$F$198:$F$275,0)),"")</f>
        <v/>
      </c>
      <c r="M340" s="194"/>
      <c r="N340" s="248"/>
      <c r="O340" s="248"/>
      <c r="P340" s="108" t="str">
        <f>IFERROR(INDEX(Setup!$D$44:$D$70,MATCH(M340,Setup!$K$44:$K$70,0))&amp;"","")</f>
        <v/>
      </c>
      <c r="Q340" s="108" t="str">
        <f>IFERROR(INDEX(Setup!$E$44:$E$70,MATCH(M340,Setup!$K$44:$K$70,0))&amp;"","")</f>
        <v/>
      </c>
      <c r="R340" s="108" t="str">
        <f>IFERROR(INDEX(Setup!$L$44:$L$70,MATCH(M340,Setup!$K$44:$K$70,0))&amp;"","")</f>
        <v/>
      </c>
      <c r="S340" s="108" t="str">
        <f>Setup!$C$30</f>
        <v>USD</v>
      </c>
      <c r="T340" s="109" t="str">
        <f>IFERROR(INDEX('Data Sheet'!$B$198:$B$275,MATCH(I340,'Data Sheet'!$F$198:$F$275,0)),"")</f>
        <v/>
      </c>
      <c r="U340" s="110" t="str">
        <f>IFERROR(INDEX('Data Sheet'!$D$198:$D$275,MATCH(I340,'Data Sheet'!$F$198:$F$275,0)),"")</f>
        <v/>
      </c>
      <c r="V340" s="99"/>
      <c r="W340" s="195" t="str">
        <f>IF(V340=Setup!$C$30,"Grant",IF(V340=Setup!$C$31,"Local",IF(V340=Setup!$C$32,"Other",IF(ISBLANK(V340),"","Other"))))</f>
        <v/>
      </c>
      <c r="X340" s="255"/>
      <c r="Y340" s="259" t="str">
        <f>IF(X340&lt;&gt;"",X340/VLOOKUP($V340,Setup!$C$30:$D$41,2,0),"")</f>
        <v/>
      </c>
      <c r="Z340" s="262"/>
      <c r="AA340" s="256" t="str">
        <f t="shared" si="162"/>
        <v/>
      </c>
      <c r="AB340" s="262"/>
      <c r="AC340" s="258" t="str">
        <f t="shared" si="163"/>
        <v/>
      </c>
      <c r="AD340" s="262"/>
      <c r="AE340" s="258" t="str">
        <f t="shared" si="164"/>
        <v/>
      </c>
      <c r="AF340" s="262"/>
      <c r="AG340" s="256" t="str">
        <f t="shared" si="165"/>
        <v/>
      </c>
      <c r="AH340" s="256" t="str">
        <f t="shared" si="166"/>
        <v/>
      </c>
      <c r="AI340" s="256" t="str">
        <f t="shared" si="167"/>
        <v/>
      </c>
      <c r="AJ340" s="111"/>
      <c r="AK340" s="255"/>
      <c r="AL340" s="259" t="str">
        <f>IF(AK340&lt;&gt;"",AK340/VLOOKUP($V340,Setup!$C$30:$D$41,2,0),"")</f>
        <v/>
      </c>
      <c r="AM340" s="266"/>
      <c r="AN340" s="258" t="str">
        <f t="shared" si="168"/>
        <v/>
      </c>
      <c r="AO340" s="266"/>
      <c r="AP340" s="258" t="str">
        <f t="shared" si="169"/>
        <v/>
      </c>
      <c r="AQ340" s="266"/>
      <c r="AR340" s="258" t="str">
        <f t="shared" si="170"/>
        <v/>
      </c>
      <c r="AS340" s="266"/>
      <c r="AT340" s="256" t="str">
        <f t="shared" si="171"/>
        <v/>
      </c>
      <c r="AU340" s="256" t="str">
        <f t="shared" si="172"/>
        <v/>
      </c>
      <c r="AV340" s="256" t="str">
        <f t="shared" si="173"/>
        <v/>
      </c>
      <c r="AW340" s="267"/>
      <c r="AX340" s="255"/>
      <c r="AY340" s="259" t="str">
        <f>IF(AX340&lt;&gt;"",AX340/VLOOKUP($V340,Setup!$C$30:$D$41,2,0),"")</f>
        <v/>
      </c>
      <c r="AZ340" s="268"/>
      <c r="BA340" s="258" t="str">
        <f t="shared" si="174"/>
        <v/>
      </c>
      <c r="BB340" s="268"/>
      <c r="BC340" s="258" t="str">
        <f t="shared" si="175"/>
        <v/>
      </c>
      <c r="BD340" s="268"/>
      <c r="BE340" s="258" t="str">
        <f t="shared" si="176"/>
        <v/>
      </c>
      <c r="BF340" s="268"/>
      <c r="BG340" s="256" t="str">
        <f t="shared" si="177"/>
        <v/>
      </c>
      <c r="BH340" s="256" t="str">
        <f t="shared" si="178"/>
        <v/>
      </c>
      <c r="BI340" s="256" t="str">
        <f t="shared" si="179"/>
        <v/>
      </c>
      <c r="BJ340" s="267"/>
      <c r="BK340" s="255"/>
      <c r="BL340" s="259" t="str">
        <f>IF(BK340&lt;&gt;"",BK340/VLOOKUP($V340,Setup!$C$30:$D$41,2,0),"")</f>
        <v/>
      </c>
      <c r="BM340" s="268"/>
      <c r="BN340" s="258" t="str">
        <f t="shared" si="180"/>
        <v/>
      </c>
      <c r="BO340" s="268"/>
      <c r="BP340" s="258" t="str">
        <f t="shared" si="181"/>
        <v/>
      </c>
      <c r="BQ340" s="268"/>
      <c r="BR340" s="258" t="str">
        <f t="shared" si="182"/>
        <v/>
      </c>
      <c r="BS340" s="268"/>
      <c r="BT340" s="256" t="str">
        <f t="shared" si="183"/>
        <v/>
      </c>
      <c r="BU340" s="256" t="str">
        <f t="shared" si="184"/>
        <v/>
      </c>
      <c r="BV340" s="256" t="str">
        <f t="shared" si="185"/>
        <v/>
      </c>
      <c r="BW340" s="267"/>
      <c r="BX340" s="256" t="str">
        <f t="shared" si="186"/>
        <v/>
      </c>
      <c r="BY340" s="256" t="str">
        <f t="shared" si="187"/>
        <v/>
      </c>
      <c r="BZ340" s="281"/>
      <c r="CA340" s="282"/>
      <c r="CC340" s="112" t="str">
        <f t="shared" ca="1" si="188"/>
        <v/>
      </c>
      <c r="CF340" s="284"/>
      <c r="CG340" s="284"/>
      <c r="CH340" s="284"/>
      <c r="CI340" s="284"/>
      <c r="CL340" s="356" t="str">
        <f>IFERROR(VLOOKUP(C340,'Data Sheet'!$A$3:$B$26,2,FALSE),"")</f>
        <v/>
      </c>
    </row>
    <row r="341" spans="1:90" s="98" customFormat="1" ht="15.75" x14ac:dyDescent="0.2">
      <c r="A341" s="97"/>
      <c r="B341" s="105" t="str">
        <f t="shared" si="191"/>
        <v>--</v>
      </c>
      <c r="C341" s="276"/>
      <c r="D341" s="101" t="str">
        <f>IFERROR(IF(VLOOKUP(C341,'Data Sheet'!$A$3:$D$26,4,FALSE)=0,"",VLOOKUP(C341,'Data Sheet'!$A$3:$D$26,4,FALSE)),"")</f>
        <v/>
      </c>
      <c r="E341" s="279"/>
      <c r="F341" s="103" t="str">
        <f>IFERROR(IF(VLOOKUP(E341,'Data Sheet'!$C$29:$E$174,3,FALSE)=0,"",VLOOKUP(E341,'Data Sheet'!$C$29:$E$174,3,FALSE)),"")</f>
        <v/>
      </c>
      <c r="G341" s="106" t="str">
        <f t="shared" si="189"/>
        <v>-</v>
      </c>
      <c r="H341" s="273"/>
      <c r="I341" s="107"/>
      <c r="J341" s="249" t="e">
        <f t="shared" si="190"/>
        <v>#VALUE!</v>
      </c>
      <c r="K341" s="101" t="str">
        <f>IFERROR(INDEX('Data Sheet'!$C$198:$C$275,MATCH(I341,'Data Sheet'!$F$198:$F$275,0)),"")</f>
        <v/>
      </c>
      <c r="L341" s="250" t="str">
        <f>IFERROR(INDEX('Data Sheet'!$G$198:$G$275,MATCH(I341,'Data Sheet'!$F$198:$F$275,0)),"")</f>
        <v/>
      </c>
      <c r="M341" s="194"/>
      <c r="N341" s="248"/>
      <c r="O341" s="248"/>
      <c r="P341" s="108" t="str">
        <f>IFERROR(INDEX(Setup!$D$44:$D$70,MATCH(M341,Setup!$K$44:$K$70,0))&amp;"","")</f>
        <v/>
      </c>
      <c r="Q341" s="108" t="str">
        <f>IFERROR(INDEX(Setup!$E$44:$E$70,MATCH(M341,Setup!$K$44:$K$70,0))&amp;"","")</f>
        <v/>
      </c>
      <c r="R341" s="108" t="str">
        <f>IFERROR(INDEX(Setup!$L$44:$L$70,MATCH(M341,Setup!$K$44:$K$70,0))&amp;"","")</f>
        <v/>
      </c>
      <c r="S341" s="108" t="str">
        <f>Setup!$C$30</f>
        <v>USD</v>
      </c>
      <c r="T341" s="109" t="str">
        <f>IFERROR(INDEX('Data Sheet'!$B$198:$B$275,MATCH(I341,'Data Sheet'!$F$198:$F$275,0)),"")</f>
        <v/>
      </c>
      <c r="U341" s="110" t="str">
        <f>IFERROR(INDEX('Data Sheet'!$D$198:$D$275,MATCH(I341,'Data Sheet'!$F$198:$F$275,0)),"")</f>
        <v/>
      </c>
      <c r="V341" s="99"/>
      <c r="W341" s="195" t="str">
        <f>IF(V341=Setup!$C$30,"Grant",IF(V341=Setup!$C$31,"Local",IF(V341=Setup!$C$32,"Other",IF(ISBLANK(V341),"","Other"))))</f>
        <v/>
      </c>
      <c r="X341" s="255"/>
      <c r="Y341" s="259" t="str">
        <f>IF(X341&lt;&gt;"",X341/VLOOKUP($V341,Setup!$C$30:$D$41,2,0),"")</f>
        <v/>
      </c>
      <c r="Z341" s="262"/>
      <c r="AA341" s="256" t="str">
        <f t="shared" si="162"/>
        <v/>
      </c>
      <c r="AB341" s="262"/>
      <c r="AC341" s="258" t="str">
        <f t="shared" si="163"/>
        <v/>
      </c>
      <c r="AD341" s="262"/>
      <c r="AE341" s="258" t="str">
        <f t="shared" si="164"/>
        <v/>
      </c>
      <c r="AF341" s="262"/>
      <c r="AG341" s="256" t="str">
        <f t="shared" si="165"/>
        <v/>
      </c>
      <c r="AH341" s="256" t="str">
        <f t="shared" si="166"/>
        <v/>
      </c>
      <c r="AI341" s="256" t="str">
        <f t="shared" si="167"/>
        <v/>
      </c>
      <c r="AJ341" s="111"/>
      <c r="AK341" s="255"/>
      <c r="AL341" s="259" t="str">
        <f>IF(AK341&lt;&gt;"",AK341/VLOOKUP($V341,Setup!$C$30:$D$41,2,0),"")</f>
        <v/>
      </c>
      <c r="AM341" s="266"/>
      <c r="AN341" s="258" t="str">
        <f t="shared" si="168"/>
        <v/>
      </c>
      <c r="AO341" s="266"/>
      <c r="AP341" s="258" t="str">
        <f t="shared" si="169"/>
        <v/>
      </c>
      <c r="AQ341" s="266"/>
      <c r="AR341" s="258" t="str">
        <f t="shared" si="170"/>
        <v/>
      </c>
      <c r="AS341" s="266"/>
      <c r="AT341" s="256" t="str">
        <f t="shared" si="171"/>
        <v/>
      </c>
      <c r="AU341" s="256" t="str">
        <f t="shared" si="172"/>
        <v/>
      </c>
      <c r="AV341" s="256" t="str">
        <f t="shared" si="173"/>
        <v/>
      </c>
      <c r="AW341" s="267"/>
      <c r="AX341" s="255"/>
      <c r="AY341" s="259" t="str">
        <f>IF(AX341&lt;&gt;"",AX341/VLOOKUP($V341,Setup!$C$30:$D$41,2,0),"")</f>
        <v/>
      </c>
      <c r="AZ341" s="268"/>
      <c r="BA341" s="258" t="str">
        <f t="shared" si="174"/>
        <v/>
      </c>
      <c r="BB341" s="268"/>
      <c r="BC341" s="258" t="str">
        <f t="shared" si="175"/>
        <v/>
      </c>
      <c r="BD341" s="268"/>
      <c r="BE341" s="258" t="str">
        <f t="shared" si="176"/>
        <v/>
      </c>
      <c r="BF341" s="268"/>
      <c r="BG341" s="256" t="str">
        <f t="shared" si="177"/>
        <v/>
      </c>
      <c r="BH341" s="256" t="str">
        <f t="shared" si="178"/>
        <v/>
      </c>
      <c r="BI341" s="256" t="str">
        <f t="shared" si="179"/>
        <v/>
      </c>
      <c r="BJ341" s="267"/>
      <c r="BK341" s="255"/>
      <c r="BL341" s="259" t="str">
        <f>IF(BK341&lt;&gt;"",BK341/VLOOKUP($V341,Setup!$C$30:$D$41,2,0),"")</f>
        <v/>
      </c>
      <c r="BM341" s="268"/>
      <c r="BN341" s="258" t="str">
        <f t="shared" si="180"/>
        <v/>
      </c>
      <c r="BO341" s="268"/>
      <c r="BP341" s="258" t="str">
        <f t="shared" si="181"/>
        <v/>
      </c>
      <c r="BQ341" s="268"/>
      <c r="BR341" s="258" t="str">
        <f t="shared" si="182"/>
        <v/>
      </c>
      <c r="BS341" s="268"/>
      <c r="BT341" s="256" t="str">
        <f t="shared" si="183"/>
        <v/>
      </c>
      <c r="BU341" s="256" t="str">
        <f t="shared" si="184"/>
        <v/>
      </c>
      <c r="BV341" s="256" t="str">
        <f t="shared" si="185"/>
        <v/>
      </c>
      <c r="BW341" s="267"/>
      <c r="BX341" s="256" t="str">
        <f t="shared" si="186"/>
        <v/>
      </c>
      <c r="BY341" s="256" t="str">
        <f t="shared" si="187"/>
        <v/>
      </c>
      <c r="BZ341" s="281"/>
      <c r="CA341" s="282"/>
      <c r="CC341" s="112" t="str">
        <f t="shared" ca="1" si="188"/>
        <v/>
      </c>
      <c r="CF341" s="284"/>
      <c r="CG341" s="284"/>
      <c r="CH341" s="284"/>
      <c r="CI341" s="284"/>
      <c r="CL341" s="356" t="str">
        <f>IFERROR(VLOOKUP(C341,'Data Sheet'!$A$3:$B$26,2,FALSE),"")</f>
        <v/>
      </c>
    </row>
    <row r="342" spans="1:90" s="98" customFormat="1" ht="15.75" x14ac:dyDescent="0.2">
      <c r="A342" s="97"/>
      <c r="B342" s="105" t="str">
        <f t="shared" si="191"/>
        <v>--</v>
      </c>
      <c r="C342" s="276"/>
      <c r="D342" s="101" t="str">
        <f>IFERROR(IF(VLOOKUP(C342,'Data Sheet'!$A$3:$D$26,4,FALSE)=0,"",VLOOKUP(C342,'Data Sheet'!$A$3:$D$26,4,FALSE)),"")</f>
        <v/>
      </c>
      <c r="E342" s="279"/>
      <c r="F342" s="103" t="str">
        <f>IFERROR(IF(VLOOKUP(E342,'Data Sheet'!$C$29:$E$174,3,FALSE)=0,"",VLOOKUP(E342,'Data Sheet'!$C$29:$E$174,3,FALSE)),"")</f>
        <v/>
      </c>
      <c r="G342" s="106" t="str">
        <f t="shared" si="189"/>
        <v>-</v>
      </c>
      <c r="H342" s="273"/>
      <c r="I342" s="107"/>
      <c r="J342" s="249" t="e">
        <f t="shared" si="190"/>
        <v>#VALUE!</v>
      </c>
      <c r="K342" s="101" t="str">
        <f>IFERROR(INDEX('Data Sheet'!$C$198:$C$275,MATCH(I342,'Data Sheet'!$F$198:$F$275,0)),"")</f>
        <v/>
      </c>
      <c r="L342" s="250" t="str">
        <f>IFERROR(INDEX('Data Sheet'!$G$198:$G$275,MATCH(I342,'Data Sheet'!$F$198:$F$275,0)),"")</f>
        <v/>
      </c>
      <c r="M342" s="194"/>
      <c r="N342" s="248"/>
      <c r="O342" s="248"/>
      <c r="P342" s="108" t="str">
        <f>IFERROR(INDEX(Setup!$D$44:$D$70,MATCH(M342,Setup!$K$44:$K$70,0))&amp;"","")</f>
        <v/>
      </c>
      <c r="Q342" s="108" t="str">
        <f>IFERROR(INDEX(Setup!$E$44:$E$70,MATCH(M342,Setup!$K$44:$K$70,0))&amp;"","")</f>
        <v/>
      </c>
      <c r="R342" s="108" t="str">
        <f>IFERROR(INDEX(Setup!$L$44:$L$70,MATCH(M342,Setup!$K$44:$K$70,0))&amp;"","")</f>
        <v/>
      </c>
      <c r="S342" s="108" t="str">
        <f>Setup!$C$30</f>
        <v>USD</v>
      </c>
      <c r="T342" s="109" t="str">
        <f>IFERROR(INDEX('Data Sheet'!$B$198:$B$275,MATCH(I342,'Data Sheet'!$F$198:$F$275,0)),"")</f>
        <v/>
      </c>
      <c r="U342" s="110" t="str">
        <f>IFERROR(INDEX('Data Sheet'!$D$198:$D$275,MATCH(I342,'Data Sheet'!$F$198:$F$275,0)),"")</f>
        <v/>
      </c>
      <c r="V342" s="99"/>
      <c r="W342" s="195" t="str">
        <f>IF(V342=Setup!$C$30,"Grant",IF(V342=Setup!$C$31,"Local",IF(V342=Setup!$C$32,"Other",IF(ISBLANK(V342),"","Other"))))</f>
        <v/>
      </c>
      <c r="X342" s="255"/>
      <c r="Y342" s="259" t="str">
        <f>IF(X342&lt;&gt;"",X342/VLOOKUP($V342,Setup!$C$30:$D$41,2,0),"")</f>
        <v/>
      </c>
      <c r="Z342" s="262"/>
      <c r="AA342" s="256" t="str">
        <f t="shared" si="162"/>
        <v/>
      </c>
      <c r="AB342" s="262"/>
      <c r="AC342" s="258" t="str">
        <f t="shared" si="163"/>
        <v/>
      </c>
      <c r="AD342" s="262"/>
      <c r="AE342" s="258" t="str">
        <f t="shared" si="164"/>
        <v/>
      </c>
      <c r="AF342" s="262"/>
      <c r="AG342" s="256" t="str">
        <f t="shared" si="165"/>
        <v/>
      </c>
      <c r="AH342" s="256" t="str">
        <f t="shared" si="166"/>
        <v/>
      </c>
      <c r="AI342" s="256" t="str">
        <f t="shared" si="167"/>
        <v/>
      </c>
      <c r="AJ342" s="111"/>
      <c r="AK342" s="255"/>
      <c r="AL342" s="259" t="str">
        <f>IF(AK342&lt;&gt;"",AK342/VLOOKUP($V342,Setup!$C$30:$D$41,2,0),"")</f>
        <v/>
      </c>
      <c r="AM342" s="266"/>
      <c r="AN342" s="258" t="str">
        <f t="shared" si="168"/>
        <v/>
      </c>
      <c r="AO342" s="266"/>
      <c r="AP342" s="258" t="str">
        <f t="shared" si="169"/>
        <v/>
      </c>
      <c r="AQ342" s="266"/>
      <c r="AR342" s="258" t="str">
        <f t="shared" si="170"/>
        <v/>
      </c>
      <c r="AS342" s="266"/>
      <c r="AT342" s="256" t="str">
        <f t="shared" si="171"/>
        <v/>
      </c>
      <c r="AU342" s="256" t="str">
        <f t="shared" si="172"/>
        <v/>
      </c>
      <c r="AV342" s="256" t="str">
        <f t="shared" si="173"/>
        <v/>
      </c>
      <c r="AW342" s="267"/>
      <c r="AX342" s="255"/>
      <c r="AY342" s="259" t="str">
        <f>IF(AX342&lt;&gt;"",AX342/VLOOKUP($V342,Setup!$C$30:$D$41,2,0),"")</f>
        <v/>
      </c>
      <c r="AZ342" s="268"/>
      <c r="BA342" s="258" t="str">
        <f t="shared" si="174"/>
        <v/>
      </c>
      <c r="BB342" s="268"/>
      <c r="BC342" s="258" t="str">
        <f t="shared" si="175"/>
        <v/>
      </c>
      <c r="BD342" s="268"/>
      <c r="BE342" s="258" t="str">
        <f t="shared" si="176"/>
        <v/>
      </c>
      <c r="BF342" s="268"/>
      <c r="BG342" s="256" t="str">
        <f t="shared" si="177"/>
        <v/>
      </c>
      <c r="BH342" s="256" t="str">
        <f t="shared" si="178"/>
        <v/>
      </c>
      <c r="BI342" s="256" t="str">
        <f t="shared" si="179"/>
        <v/>
      </c>
      <c r="BJ342" s="267"/>
      <c r="BK342" s="255"/>
      <c r="BL342" s="259" t="str">
        <f>IF(BK342&lt;&gt;"",BK342/VLOOKUP($V342,Setup!$C$30:$D$41,2,0),"")</f>
        <v/>
      </c>
      <c r="BM342" s="268"/>
      <c r="BN342" s="258" t="str">
        <f t="shared" si="180"/>
        <v/>
      </c>
      <c r="BO342" s="268"/>
      <c r="BP342" s="258" t="str">
        <f t="shared" si="181"/>
        <v/>
      </c>
      <c r="BQ342" s="268"/>
      <c r="BR342" s="258" t="str">
        <f t="shared" si="182"/>
        <v/>
      </c>
      <c r="BS342" s="268"/>
      <c r="BT342" s="256" t="str">
        <f t="shared" si="183"/>
        <v/>
      </c>
      <c r="BU342" s="256" t="str">
        <f t="shared" si="184"/>
        <v/>
      </c>
      <c r="BV342" s="256" t="str">
        <f t="shared" si="185"/>
        <v/>
      </c>
      <c r="BW342" s="267"/>
      <c r="BX342" s="256" t="str">
        <f t="shared" si="186"/>
        <v/>
      </c>
      <c r="BY342" s="256" t="str">
        <f t="shared" si="187"/>
        <v/>
      </c>
      <c r="BZ342" s="281"/>
      <c r="CA342" s="282"/>
      <c r="CC342" s="112" t="str">
        <f t="shared" ca="1" si="188"/>
        <v/>
      </c>
      <c r="CF342" s="284"/>
      <c r="CG342" s="284"/>
      <c r="CH342" s="284"/>
      <c r="CI342" s="284"/>
      <c r="CL342" s="356" t="str">
        <f>IFERROR(VLOOKUP(C342,'Data Sheet'!$A$3:$B$26,2,FALSE),"")</f>
        <v/>
      </c>
    </row>
    <row r="343" spans="1:90" s="98" customFormat="1" ht="15.75" x14ac:dyDescent="0.2">
      <c r="A343" s="97"/>
      <c r="B343" s="105" t="str">
        <f t="shared" si="191"/>
        <v>--</v>
      </c>
      <c r="C343" s="276"/>
      <c r="D343" s="101" t="str">
        <f>IFERROR(IF(VLOOKUP(C343,'Data Sheet'!$A$3:$D$26,4,FALSE)=0,"",VLOOKUP(C343,'Data Sheet'!$A$3:$D$26,4,FALSE)),"")</f>
        <v/>
      </c>
      <c r="E343" s="279"/>
      <c r="F343" s="103" t="str">
        <f>IFERROR(IF(VLOOKUP(E343,'Data Sheet'!$C$29:$E$174,3,FALSE)=0,"",VLOOKUP(E343,'Data Sheet'!$C$29:$E$174,3,FALSE)),"")</f>
        <v/>
      </c>
      <c r="G343" s="106" t="str">
        <f t="shared" si="189"/>
        <v>-</v>
      </c>
      <c r="H343" s="273"/>
      <c r="I343" s="107"/>
      <c r="J343" s="249" t="e">
        <f t="shared" si="190"/>
        <v>#VALUE!</v>
      </c>
      <c r="K343" s="101" t="str">
        <f>IFERROR(INDEX('Data Sheet'!$C$198:$C$275,MATCH(I343,'Data Sheet'!$F$198:$F$275,0)),"")</f>
        <v/>
      </c>
      <c r="L343" s="250" t="str">
        <f>IFERROR(INDEX('Data Sheet'!$G$198:$G$275,MATCH(I343,'Data Sheet'!$F$198:$F$275,0)),"")</f>
        <v/>
      </c>
      <c r="M343" s="194"/>
      <c r="N343" s="248"/>
      <c r="O343" s="248"/>
      <c r="P343" s="108" t="str">
        <f>IFERROR(INDEX(Setup!$D$44:$D$70,MATCH(M343,Setup!$K$44:$K$70,0))&amp;"","")</f>
        <v/>
      </c>
      <c r="Q343" s="108" t="str">
        <f>IFERROR(INDEX(Setup!$E$44:$E$70,MATCH(M343,Setup!$K$44:$K$70,0))&amp;"","")</f>
        <v/>
      </c>
      <c r="R343" s="108" t="str">
        <f>IFERROR(INDEX(Setup!$L$44:$L$70,MATCH(M343,Setup!$K$44:$K$70,0))&amp;"","")</f>
        <v/>
      </c>
      <c r="S343" s="108" t="str">
        <f>Setup!$C$30</f>
        <v>USD</v>
      </c>
      <c r="T343" s="109" t="str">
        <f>IFERROR(INDEX('Data Sheet'!$B$198:$B$275,MATCH(I343,'Data Sheet'!$F$198:$F$275,0)),"")</f>
        <v/>
      </c>
      <c r="U343" s="110" t="str">
        <f>IFERROR(INDEX('Data Sheet'!$D$198:$D$275,MATCH(I343,'Data Sheet'!$F$198:$F$275,0)),"")</f>
        <v/>
      </c>
      <c r="V343" s="99"/>
      <c r="W343" s="195" t="str">
        <f>IF(V343=Setup!$C$30,"Grant",IF(V343=Setup!$C$31,"Local",IF(V343=Setup!$C$32,"Other",IF(ISBLANK(V343),"","Other"))))</f>
        <v/>
      </c>
      <c r="X343" s="255"/>
      <c r="Y343" s="259" t="str">
        <f>IF(X343&lt;&gt;"",X343/VLOOKUP($V343,Setup!$C$30:$D$41,2,0),"")</f>
        <v/>
      </c>
      <c r="Z343" s="262"/>
      <c r="AA343" s="256" t="str">
        <f t="shared" si="162"/>
        <v/>
      </c>
      <c r="AB343" s="262"/>
      <c r="AC343" s="258" t="str">
        <f t="shared" si="163"/>
        <v/>
      </c>
      <c r="AD343" s="262"/>
      <c r="AE343" s="258" t="str">
        <f t="shared" si="164"/>
        <v/>
      </c>
      <c r="AF343" s="262"/>
      <c r="AG343" s="256" t="str">
        <f t="shared" si="165"/>
        <v/>
      </c>
      <c r="AH343" s="256" t="str">
        <f t="shared" si="166"/>
        <v/>
      </c>
      <c r="AI343" s="256" t="str">
        <f t="shared" si="167"/>
        <v/>
      </c>
      <c r="AJ343" s="111"/>
      <c r="AK343" s="255"/>
      <c r="AL343" s="259" t="str">
        <f>IF(AK343&lt;&gt;"",AK343/VLOOKUP($V343,Setup!$C$30:$D$41,2,0),"")</f>
        <v/>
      </c>
      <c r="AM343" s="266"/>
      <c r="AN343" s="258" t="str">
        <f t="shared" si="168"/>
        <v/>
      </c>
      <c r="AO343" s="266"/>
      <c r="AP343" s="258" t="str">
        <f t="shared" si="169"/>
        <v/>
      </c>
      <c r="AQ343" s="266"/>
      <c r="AR343" s="258" t="str">
        <f t="shared" si="170"/>
        <v/>
      </c>
      <c r="AS343" s="266"/>
      <c r="AT343" s="256" t="str">
        <f t="shared" si="171"/>
        <v/>
      </c>
      <c r="AU343" s="256" t="str">
        <f t="shared" si="172"/>
        <v/>
      </c>
      <c r="AV343" s="256" t="str">
        <f t="shared" si="173"/>
        <v/>
      </c>
      <c r="AW343" s="267"/>
      <c r="AX343" s="255"/>
      <c r="AY343" s="259" t="str">
        <f>IF(AX343&lt;&gt;"",AX343/VLOOKUP($V343,Setup!$C$30:$D$41,2,0),"")</f>
        <v/>
      </c>
      <c r="AZ343" s="268"/>
      <c r="BA343" s="258" t="str">
        <f t="shared" si="174"/>
        <v/>
      </c>
      <c r="BB343" s="268"/>
      <c r="BC343" s="258" t="str">
        <f t="shared" si="175"/>
        <v/>
      </c>
      <c r="BD343" s="268"/>
      <c r="BE343" s="258" t="str">
        <f t="shared" si="176"/>
        <v/>
      </c>
      <c r="BF343" s="268"/>
      <c r="BG343" s="256" t="str">
        <f t="shared" si="177"/>
        <v/>
      </c>
      <c r="BH343" s="256" t="str">
        <f t="shared" si="178"/>
        <v/>
      </c>
      <c r="BI343" s="256" t="str">
        <f t="shared" si="179"/>
        <v/>
      </c>
      <c r="BJ343" s="267"/>
      <c r="BK343" s="255"/>
      <c r="BL343" s="259" t="str">
        <f>IF(BK343&lt;&gt;"",BK343/VLOOKUP($V343,Setup!$C$30:$D$41,2,0),"")</f>
        <v/>
      </c>
      <c r="BM343" s="268"/>
      <c r="BN343" s="258" t="str">
        <f t="shared" si="180"/>
        <v/>
      </c>
      <c r="BO343" s="268"/>
      <c r="BP343" s="258" t="str">
        <f t="shared" si="181"/>
        <v/>
      </c>
      <c r="BQ343" s="268"/>
      <c r="BR343" s="258" t="str">
        <f t="shared" si="182"/>
        <v/>
      </c>
      <c r="BS343" s="268"/>
      <c r="BT343" s="256" t="str">
        <f t="shared" si="183"/>
        <v/>
      </c>
      <c r="BU343" s="256" t="str">
        <f t="shared" si="184"/>
        <v/>
      </c>
      <c r="BV343" s="256" t="str">
        <f t="shared" si="185"/>
        <v/>
      </c>
      <c r="BW343" s="267"/>
      <c r="BX343" s="256" t="str">
        <f t="shared" si="186"/>
        <v/>
      </c>
      <c r="BY343" s="256" t="str">
        <f t="shared" si="187"/>
        <v/>
      </c>
      <c r="BZ343" s="281"/>
      <c r="CA343" s="282"/>
      <c r="CC343" s="112" t="str">
        <f t="shared" ca="1" si="188"/>
        <v/>
      </c>
      <c r="CF343" s="284"/>
      <c r="CG343" s="284"/>
      <c r="CH343" s="284"/>
      <c r="CI343" s="284"/>
      <c r="CL343" s="356" t="str">
        <f>IFERROR(VLOOKUP(C343,'Data Sheet'!$A$3:$B$26,2,FALSE),"")</f>
        <v/>
      </c>
    </row>
    <row r="344" spans="1:90" s="98" customFormat="1" ht="15.75" x14ac:dyDescent="0.2">
      <c r="A344" s="97"/>
      <c r="B344" s="105" t="str">
        <f t="shared" si="191"/>
        <v>--</v>
      </c>
      <c r="C344" s="276"/>
      <c r="D344" s="101" t="str">
        <f>IFERROR(IF(VLOOKUP(C344,'Data Sheet'!$A$3:$D$26,4,FALSE)=0,"",VLOOKUP(C344,'Data Sheet'!$A$3:$D$26,4,FALSE)),"")</f>
        <v/>
      </c>
      <c r="E344" s="279"/>
      <c r="F344" s="103" t="str">
        <f>IFERROR(IF(VLOOKUP(E344,'Data Sheet'!$C$29:$E$174,3,FALSE)=0,"",VLOOKUP(E344,'Data Sheet'!$C$29:$E$174,3,FALSE)),"")</f>
        <v/>
      </c>
      <c r="G344" s="106" t="str">
        <f t="shared" si="189"/>
        <v>-</v>
      </c>
      <c r="H344" s="273"/>
      <c r="I344" s="107"/>
      <c r="J344" s="249" t="e">
        <f t="shared" si="190"/>
        <v>#VALUE!</v>
      </c>
      <c r="K344" s="101" t="str">
        <f>IFERROR(INDEX('Data Sheet'!$C$198:$C$275,MATCH(I344,'Data Sheet'!$F$198:$F$275,0)),"")</f>
        <v/>
      </c>
      <c r="L344" s="250" t="str">
        <f>IFERROR(INDEX('Data Sheet'!$G$198:$G$275,MATCH(I344,'Data Sheet'!$F$198:$F$275,0)),"")</f>
        <v/>
      </c>
      <c r="M344" s="194"/>
      <c r="N344" s="248"/>
      <c r="O344" s="248"/>
      <c r="P344" s="108" t="str">
        <f>IFERROR(INDEX(Setup!$D$44:$D$70,MATCH(M344,Setup!$K$44:$K$70,0))&amp;"","")</f>
        <v/>
      </c>
      <c r="Q344" s="108" t="str">
        <f>IFERROR(INDEX(Setup!$E$44:$E$70,MATCH(M344,Setup!$K$44:$K$70,0))&amp;"","")</f>
        <v/>
      </c>
      <c r="R344" s="108" t="str">
        <f>IFERROR(INDEX(Setup!$L$44:$L$70,MATCH(M344,Setup!$K$44:$K$70,0))&amp;"","")</f>
        <v/>
      </c>
      <c r="S344" s="108" t="str">
        <f>Setup!$C$30</f>
        <v>USD</v>
      </c>
      <c r="T344" s="109" t="str">
        <f>IFERROR(INDEX('Data Sheet'!$B$198:$B$275,MATCH(I344,'Data Sheet'!$F$198:$F$275,0)),"")</f>
        <v/>
      </c>
      <c r="U344" s="110" t="str">
        <f>IFERROR(INDEX('Data Sheet'!$D$198:$D$275,MATCH(I344,'Data Sheet'!$F$198:$F$275,0)),"")</f>
        <v/>
      </c>
      <c r="V344" s="99"/>
      <c r="W344" s="195" t="str">
        <f>IF(V344=Setup!$C$30,"Grant",IF(V344=Setup!$C$31,"Local",IF(V344=Setup!$C$32,"Other",IF(ISBLANK(V344),"","Other"))))</f>
        <v/>
      </c>
      <c r="X344" s="255"/>
      <c r="Y344" s="259" t="str">
        <f>IF(X344&lt;&gt;"",X344/VLOOKUP($V344,Setup!$C$30:$D$41,2,0),"")</f>
        <v/>
      </c>
      <c r="Z344" s="262"/>
      <c r="AA344" s="256" t="str">
        <f t="shared" si="162"/>
        <v/>
      </c>
      <c r="AB344" s="262"/>
      <c r="AC344" s="258" t="str">
        <f t="shared" si="163"/>
        <v/>
      </c>
      <c r="AD344" s="262"/>
      <c r="AE344" s="258" t="str">
        <f t="shared" si="164"/>
        <v/>
      </c>
      <c r="AF344" s="262"/>
      <c r="AG344" s="256" t="str">
        <f t="shared" si="165"/>
        <v/>
      </c>
      <c r="AH344" s="256" t="str">
        <f t="shared" si="166"/>
        <v/>
      </c>
      <c r="AI344" s="256" t="str">
        <f t="shared" si="167"/>
        <v/>
      </c>
      <c r="AJ344" s="111"/>
      <c r="AK344" s="255"/>
      <c r="AL344" s="259" t="str">
        <f>IF(AK344&lt;&gt;"",AK344/VLOOKUP($V344,Setup!$C$30:$D$41,2,0),"")</f>
        <v/>
      </c>
      <c r="AM344" s="266"/>
      <c r="AN344" s="258" t="str">
        <f t="shared" si="168"/>
        <v/>
      </c>
      <c r="AO344" s="266"/>
      <c r="AP344" s="258" t="str">
        <f t="shared" si="169"/>
        <v/>
      </c>
      <c r="AQ344" s="266"/>
      <c r="AR344" s="258" t="str">
        <f t="shared" si="170"/>
        <v/>
      </c>
      <c r="AS344" s="266"/>
      <c r="AT344" s="256" t="str">
        <f t="shared" si="171"/>
        <v/>
      </c>
      <c r="AU344" s="256" t="str">
        <f t="shared" si="172"/>
        <v/>
      </c>
      <c r="AV344" s="256" t="str">
        <f t="shared" si="173"/>
        <v/>
      </c>
      <c r="AW344" s="267"/>
      <c r="AX344" s="255"/>
      <c r="AY344" s="259" t="str">
        <f>IF(AX344&lt;&gt;"",AX344/VLOOKUP($V344,Setup!$C$30:$D$41,2,0),"")</f>
        <v/>
      </c>
      <c r="AZ344" s="268"/>
      <c r="BA344" s="258" t="str">
        <f t="shared" si="174"/>
        <v/>
      </c>
      <c r="BB344" s="268"/>
      <c r="BC344" s="258" t="str">
        <f t="shared" si="175"/>
        <v/>
      </c>
      <c r="BD344" s="268"/>
      <c r="BE344" s="258" t="str">
        <f t="shared" si="176"/>
        <v/>
      </c>
      <c r="BF344" s="268"/>
      <c r="BG344" s="256" t="str">
        <f t="shared" si="177"/>
        <v/>
      </c>
      <c r="BH344" s="256" t="str">
        <f t="shared" si="178"/>
        <v/>
      </c>
      <c r="BI344" s="256" t="str">
        <f t="shared" si="179"/>
        <v/>
      </c>
      <c r="BJ344" s="267"/>
      <c r="BK344" s="255"/>
      <c r="BL344" s="259" t="str">
        <f>IF(BK344&lt;&gt;"",BK344/VLOOKUP($V344,Setup!$C$30:$D$41,2,0),"")</f>
        <v/>
      </c>
      <c r="BM344" s="268"/>
      <c r="BN344" s="258" t="str">
        <f t="shared" si="180"/>
        <v/>
      </c>
      <c r="BO344" s="268"/>
      <c r="BP344" s="258" t="str">
        <f t="shared" si="181"/>
        <v/>
      </c>
      <c r="BQ344" s="268"/>
      <c r="BR344" s="258" t="str">
        <f t="shared" si="182"/>
        <v/>
      </c>
      <c r="BS344" s="268"/>
      <c r="BT344" s="256" t="str">
        <f t="shared" si="183"/>
        <v/>
      </c>
      <c r="BU344" s="256" t="str">
        <f t="shared" si="184"/>
        <v/>
      </c>
      <c r="BV344" s="256" t="str">
        <f t="shared" si="185"/>
        <v/>
      </c>
      <c r="BW344" s="267"/>
      <c r="BX344" s="256" t="str">
        <f t="shared" si="186"/>
        <v/>
      </c>
      <c r="BY344" s="256" t="str">
        <f t="shared" si="187"/>
        <v/>
      </c>
      <c r="BZ344" s="281"/>
      <c r="CA344" s="282"/>
      <c r="CC344" s="112" t="str">
        <f t="shared" ca="1" si="188"/>
        <v/>
      </c>
      <c r="CF344" s="284"/>
      <c r="CG344" s="284"/>
      <c r="CH344" s="284"/>
      <c r="CI344" s="284"/>
      <c r="CL344" s="356" t="str">
        <f>IFERROR(VLOOKUP(C344,'Data Sheet'!$A$3:$B$26,2,FALSE),"")</f>
        <v/>
      </c>
    </row>
    <row r="345" spans="1:90" s="98" customFormat="1" ht="15.75" x14ac:dyDescent="0.2">
      <c r="A345" s="97"/>
      <c r="B345" s="105" t="str">
        <f t="shared" si="191"/>
        <v>--</v>
      </c>
      <c r="C345" s="276"/>
      <c r="D345" s="101" t="str">
        <f>IFERROR(IF(VLOOKUP(C345,'Data Sheet'!$A$3:$D$26,4,FALSE)=0,"",VLOOKUP(C345,'Data Sheet'!$A$3:$D$26,4,FALSE)),"")</f>
        <v/>
      </c>
      <c r="E345" s="279"/>
      <c r="F345" s="103" t="str">
        <f>IFERROR(IF(VLOOKUP(E345,'Data Sheet'!$C$29:$E$174,3,FALSE)=0,"",VLOOKUP(E345,'Data Sheet'!$C$29:$E$174,3,FALSE)),"")</f>
        <v/>
      </c>
      <c r="G345" s="106" t="str">
        <f t="shared" si="189"/>
        <v>-</v>
      </c>
      <c r="H345" s="273"/>
      <c r="I345" s="107"/>
      <c r="J345" s="249" t="e">
        <f t="shared" si="190"/>
        <v>#VALUE!</v>
      </c>
      <c r="K345" s="101" t="str">
        <f>IFERROR(INDEX('Data Sheet'!$C$198:$C$275,MATCH(I345,'Data Sheet'!$F$198:$F$275,0)),"")</f>
        <v/>
      </c>
      <c r="L345" s="250" t="str">
        <f>IFERROR(INDEX('Data Sheet'!$G$198:$G$275,MATCH(I345,'Data Sheet'!$F$198:$F$275,0)),"")</f>
        <v/>
      </c>
      <c r="M345" s="194"/>
      <c r="N345" s="248"/>
      <c r="O345" s="248"/>
      <c r="P345" s="108" t="str">
        <f>IFERROR(INDEX(Setup!$D$44:$D$70,MATCH(M345,Setup!$K$44:$K$70,0))&amp;"","")</f>
        <v/>
      </c>
      <c r="Q345" s="108" t="str">
        <f>IFERROR(INDEX(Setup!$E$44:$E$70,MATCH(M345,Setup!$K$44:$K$70,0))&amp;"","")</f>
        <v/>
      </c>
      <c r="R345" s="108" t="str">
        <f>IFERROR(INDEX(Setup!$L$44:$L$70,MATCH(M345,Setup!$K$44:$K$70,0))&amp;"","")</f>
        <v/>
      </c>
      <c r="S345" s="108" t="str">
        <f>Setup!$C$30</f>
        <v>USD</v>
      </c>
      <c r="T345" s="109" t="str">
        <f>IFERROR(INDEX('Data Sheet'!$B$198:$B$275,MATCH(I345,'Data Sheet'!$F$198:$F$275,0)),"")</f>
        <v/>
      </c>
      <c r="U345" s="110" t="str">
        <f>IFERROR(INDEX('Data Sheet'!$D$198:$D$275,MATCH(I345,'Data Sheet'!$F$198:$F$275,0)),"")</f>
        <v/>
      </c>
      <c r="V345" s="99"/>
      <c r="W345" s="195" t="str">
        <f>IF(V345=Setup!$C$30,"Grant",IF(V345=Setup!$C$31,"Local",IF(V345=Setup!$C$32,"Other",IF(ISBLANK(V345),"","Other"))))</f>
        <v/>
      </c>
      <c r="X345" s="255"/>
      <c r="Y345" s="259" t="str">
        <f>IF(X345&lt;&gt;"",X345/VLOOKUP($V345,Setup!$C$30:$D$41,2,0),"")</f>
        <v/>
      </c>
      <c r="Z345" s="262"/>
      <c r="AA345" s="256" t="str">
        <f t="shared" si="162"/>
        <v/>
      </c>
      <c r="AB345" s="262"/>
      <c r="AC345" s="258" t="str">
        <f t="shared" si="163"/>
        <v/>
      </c>
      <c r="AD345" s="262"/>
      <c r="AE345" s="258" t="str">
        <f t="shared" si="164"/>
        <v/>
      </c>
      <c r="AF345" s="262"/>
      <c r="AG345" s="256" t="str">
        <f t="shared" si="165"/>
        <v/>
      </c>
      <c r="AH345" s="256" t="str">
        <f t="shared" si="166"/>
        <v/>
      </c>
      <c r="AI345" s="256" t="str">
        <f t="shared" si="167"/>
        <v/>
      </c>
      <c r="AJ345" s="111"/>
      <c r="AK345" s="255"/>
      <c r="AL345" s="259" t="str">
        <f>IF(AK345&lt;&gt;"",AK345/VLOOKUP($V345,Setup!$C$30:$D$41,2,0),"")</f>
        <v/>
      </c>
      <c r="AM345" s="266"/>
      <c r="AN345" s="258" t="str">
        <f t="shared" si="168"/>
        <v/>
      </c>
      <c r="AO345" s="266"/>
      <c r="AP345" s="258" t="str">
        <f t="shared" si="169"/>
        <v/>
      </c>
      <c r="AQ345" s="266"/>
      <c r="AR345" s="258" t="str">
        <f t="shared" si="170"/>
        <v/>
      </c>
      <c r="AS345" s="266"/>
      <c r="AT345" s="256" t="str">
        <f t="shared" si="171"/>
        <v/>
      </c>
      <c r="AU345" s="256" t="str">
        <f t="shared" si="172"/>
        <v/>
      </c>
      <c r="AV345" s="256" t="str">
        <f t="shared" si="173"/>
        <v/>
      </c>
      <c r="AW345" s="267"/>
      <c r="AX345" s="255"/>
      <c r="AY345" s="259" t="str">
        <f>IF(AX345&lt;&gt;"",AX345/VLOOKUP($V345,Setup!$C$30:$D$41,2,0),"")</f>
        <v/>
      </c>
      <c r="AZ345" s="268"/>
      <c r="BA345" s="258" t="str">
        <f t="shared" si="174"/>
        <v/>
      </c>
      <c r="BB345" s="268"/>
      <c r="BC345" s="258" t="str">
        <f t="shared" si="175"/>
        <v/>
      </c>
      <c r="BD345" s="268"/>
      <c r="BE345" s="258" t="str">
        <f t="shared" si="176"/>
        <v/>
      </c>
      <c r="BF345" s="268"/>
      <c r="BG345" s="256" t="str">
        <f t="shared" si="177"/>
        <v/>
      </c>
      <c r="BH345" s="256" t="str">
        <f t="shared" si="178"/>
        <v/>
      </c>
      <c r="BI345" s="256" t="str">
        <f t="shared" si="179"/>
        <v/>
      </c>
      <c r="BJ345" s="267"/>
      <c r="BK345" s="255"/>
      <c r="BL345" s="259" t="str">
        <f>IF(BK345&lt;&gt;"",BK345/VLOOKUP($V345,Setup!$C$30:$D$41,2,0),"")</f>
        <v/>
      </c>
      <c r="BM345" s="268"/>
      <c r="BN345" s="258" t="str">
        <f t="shared" si="180"/>
        <v/>
      </c>
      <c r="BO345" s="268"/>
      <c r="BP345" s="258" t="str">
        <f t="shared" si="181"/>
        <v/>
      </c>
      <c r="BQ345" s="268"/>
      <c r="BR345" s="258" t="str">
        <f t="shared" si="182"/>
        <v/>
      </c>
      <c r="BS345" s="268"/>
      <c r="BT345" s="256" t="str">
        <f t="shared" si="183"/>
        <v/>
      </c>
      <c r="BU345" s="256" t="str">
        <f t="shared" si="184"/>
        <v/>
      </c>
      <c r="BV345" s="256" t="str">
        <f t="shared" si="185"/>
        <v/>
      </c>
      <c r="BW345" s="267"/>
      <c r="BX345" s="256" t="str">
        <f t="shared" si="186"/>
        <v/>
      </c>
      <c r="BY345" s="256" t="str">
        <f t="shared" si="187"/>
        <v/>
      </c>
      <c r="BZ345" s="281"/>
      <c r="CA345" s="282"/>
      <c r="CC345" s="112" t="str">
        <f t="shared" ca="1" si="188"/>
        <v/>
      </c>
      <c r="CF345" s="284"/>
      <c r="CG345" s="284"/>
      <c r="CH345" s="284"/>
      <c r="CI345" s="284"/>
      <c r="CL345" s="356" t="str">
        <f>IFERROR(VLOOKUP(C345,'Data Sheet'!$A$3:$B$26,2,FALSE),"")</f>
        <v/>
      </c>
    </row>
    <row r="346" spans="1:90" s="98" customFormat="1" ht="15.75" x14ac:dyDescent="0.2">
      <c r="A346" s="97"/>
      <c r="B346" s="105" t="str">
        <f t="shared" si="191"/>
        <v>--</v>
      </c>
      <c r="C346" s="276"/>
      <c r="D346" s="101" t="str">
        <f>IFERROR(IF(VLOOKUP(C346,'Data Sheet'!$A$3:$D$26,4,FALSE)=0,"",VLOOKUP(C346,'Data Sheet'!$A$3:$D$26,4,FALSE)),"")</f>
        <v/>
      </c>
      <c r="E346" s="279"/>
      <c r="F346" s="103" t="str">
        <f>IFERROR(IF(VLOOKUP(E346,'Data Sheet'!$C$29:$E$174,3,FALSE)=0,"",VLOOKUP(E346,'Data Sheet'!$C$29:$E$174,3,FALSE)),"")</f>
        <v/>
      </c>
      <c r="G346" s="106" t="str">
        <f t="shared" si="189"/>
        <v>-</v>
      </c>
      <c r="H346" s="273"/>
      <c r="I346" s="107"/>
      <c r="J346" s="249" t="e">
        <f t="shared" si="190"/>
        <v>#VALUE!</v>
      </c>
      <c r="K346" s="101" t="str">
        <f>IFERROR(INDEX('Data Sheet'!$C$198:$C$275,MATCH(I346,'Data Sheet'!$F$198:$F$275,0)),"")</f>
        <v/>
      </c>
      <c r="L346" s="250" t="str">
        <f>IFERROR(INDEX('Data Sheet'!$G$198:$G$275,MATCH(I346,'Data Sheet'!$F$198:$F$275,0)),"")</f>
        <v/>
      </c>
      <c r="M346" s="194"/>
      <c r="N346" s="248"/>
      <c r="O346" s="248"/>
      <c r="P346" s="108" t="str">
        <f>IFERROR(INDEX(Setup!$D$44:$D$70,MATCH(M346,Setup!$K$44:$K$70,0))&amp;"","")</f>
        <v/>
      </c>
      <c r="Q346" s="108" t="str">
        <f>IFERROR(INDEX(Setup!$E$44:$E$70,MATCH(M346,Setup!$K$44:$K$70,0))&amp;"","")</f>
        <v/>
      </c>
      <c r="R346" s="108" t="str">
        <f>IFERROR(INDEX(Setup!$L$44:$L$70,MATCH(M346,Setup!$K$44:$K$70,0))&amp;"","")</f>
        <v/>
      </c>
      <c r="S346" s="108" t="str">
        <f>Setup!$C$30</f>
        <v>USD</v>
      </c>
      <c r="T346" s="109" t="str">
        <f>IFERROR(INDEX('Data Sheet'!$B$198:$B$275,MATCH(I346,'Data Sheet'!$F$198:$F$275,0)),"")</f>
        <v/>
      </c>
      <c r="U346" s="110" t="str">
        <f>IFERROR(INDEX('Data Sheet'!$D$198:$D$275,MATCH(I346,'Data Sheet'!$F$198:$F$275,0)),"")</f>
        <v/>
      </c>
      <c r="V346" s="99"/>
      <c r="W346" s="195" t="str">
        <f>IF(V346=Setup!$C$30,"Grant",IF(V346=Setup!$C$31,"Local",IF(V346=Setup!$C$32,"Other",IF(ISBLANK(V346),"","Other"))))</f>
        <v/>
      </c>
      <c r="X346" s="255"/>
      <c r="Y346" s="259" t="str">
        <f>IF(X346&lt;&gt;"",X346/VLOOKUP($V346,Setup!$C$30:$D$41,2,0),"")</f>
        <v/>
      </c>
      <c r="Z346" s="262"/>
      <c r="AA346" s="256" t="str">
        <f t="shared" si="162"/>
        <v/>
      </c>
      <c r="AB346" s="262"/>
      <c r="AC346" s="258" t="str">
        <f t="shared" si="163"/>
        <v/>
      </c>
      <c r="AD346" s="262"/>
      <c r="AE346" s="258" t="str">
        <f t="shared" si="164"/>
        <v/>
      </c>
      <c r="AF346" s="262"/>
      <c r="AG346" s="256" t="str">
        <f t="shared" si="165"/>
        <v/>
      </c>
      <c r="AH346" s="256" t="str">
        <f t="shared" si="166"/>
        <v/>
      </c>
      <c r="AI346" s="256" t="str">
        <f t="shared" si="167"/>
        <v/>
      </c>
      <c r="AJ346" s="111"/>
      <c r="AK346" s="255"/>
      <c r="AL346" s="259" t="str">
        <f>IF(AK346&lt;&gt;"",AK346/VLOOKUP($V346,Setup!$C$30:$D$41,2,0),"")</f>
        <v/>
      </c>
      <c r="AM346" s="266"/>
      <c r="AN346" s="258" t="str">
        <f t="shared" si="168"/>
        <v/>
      </c>
      <c r="AO346" s="266"/>
      <c r="AP346" s="258" t="str">
        <f t="shared" si="169"/>
        <v/>
      </c>
      <c r="AQ346" s="266"/>
      <c r="AR346" s="258" t="str">
        <f t="shared" si="170"/>
        <v/>
      </c>
      <c r="AS346" s="266"/>
      <c r="AT346" s="256" t="str">
        <f t="shared" si="171"/>
        <v/>
      </c>
      <c r="AU346" s="256" t="str">
        <f t="shared" si="172"/>
        <v/>
      </c>
      <c r="AV346" s="256" t="str">
        <f t="shared" si="173"/>
        <v/>
      </c>
      <c r="AW346" s="267"/>
      <c r="AX346" s="255"/>
      <c r="AY346" s="259" t="str">
        <f>IF(AX346&lt;&gt;"",AX346/VLOOKUP($V346,Setup!$C$30:$D$41,2,0),"")</f>
        <v/>
      </c>
      <c r="AZ346" s="268"/>
      <c r="BA346" s="258" t="str">
        <f t="shared" si="174"/>
        <v/>
      </c>
      <c r="BB346" s="268"/>
      <c r="BC346" s="258" t="str">
        <f t="shared" si="175"/>
        <v/>
      </c>
      <c r="BD346" s="268"/>
      <c r="BE346" s="258" t="str">
        <f t="shared" si="176"/>
        <v/>
      </c>
      <c r="BF346" s="268"/>
      <c r="BG346" s="256" t="str">
        <f t="shared" si="177"/>
        <v/>
      </c>
      <c r="BH346" s="256" t="str">
        <f t="shared" si="178"/>
        <v/>
      </c>
      <c r="BI346" s="256" t="str">
        <f t="shared" si="179"/>
        <v/>
      </c>
      <c r="BJ346" s="267"/>
      <c r="BK346" s="255"/>
      <c r="BL346" s="259" t="str">
        <f>IF(BK346&lt;&gt;"",BK346/VLOOKUP($V346,Setup!$C$30:$D$41,2,0),"")</f>
        <v/>
      </c>
      <c r="BM346" s="268"/>
      <c r="BN346" s="258" t="str">
        <f t="shared" si="180"/>
        <v/>
      </c>
      <c r="BO346" s="268"/>
      <c r="BP346" s="258" t="str">
        <f t="shared" si="181"/>
        <v/>
      </c>
      <c r="BQ346" s="268"/>
      <c r="BR346" s="258" t="str">
        <f t="shared" si="182"/>
        <v/>
      </c>
      <c r="BS346" s="268"/>
      <c r="BT346" s="256" t="str">
        <f t="shared" si="183"/>
        <v/>
      </c>
      <c r="BU346" s="256" t="str">
        <f t="shared" si="184"/>
        <v/>
      </c>
      <c r="BV346" s="256" t="str">
        <f t="shared" si="185"/>
        <v/>
      </c>
      <c r="BW346" s="267"/>
      <c r="BX346" s="256" t="str">
        <f t="shared" si="186"/>
        <v/>
      </c>
      <c r="BY346" s="256" t="str">
        <f t="shared" si="187"/>
        <v/>
      </c>
      <c r="BZ346" s="281"/>
      <c r="CA346" s="282"/>
      <c r="CC346" s="112" t="str">
        <f t="shared" ca="1" si="188"/>
        <v/>
      </c>
      <c r="CF346" s="284"/>
      <c r="CG346" s="284"/>
      <c r="CH346" s="284"/>
      <c r="CI346" s="284"/>
      <c r="CL346" s="356" t="str">
        <f>IFERROR(VLOOKUP(C346,'Data Sheet'!$A$3:$B$26,2,FALSE),"")</f>
        <v/>
      </c>
    </row>
    <row r="347" spans="1:90" s="98" customFormat="1" ht="15.75" x14ac:dyDescent="0.2">
      <c r="A347" s="97"/>
      <c r="B347" s="105" t="str">
        <f t="shared" si="191"/>
        <v>--</v>
      </c>
      <c r="C347" s="276"/>
      <c r="D347" s="101" t="str">
        <f>IFERROR(IF(VLOOKUP(C347,'Data Sheet'!$A$3:$D$26,4,FALSE)=0,"",VLOOKUP(C347,'Data Sheet'!$A$3:$D$26,4,FALSE)),"")</f>
        <v/>
      </c>
      <c r="E347" s="279"/>
      <c r="F347" s="103" t="str">
        <f>IFERROR(IF(VLOOKUP(E347,'Data Sheet'!$C$29:$E$174,3,FALSE)=0,"",VLOOKUP(E347,'Data Sheet'!$C$29:$E$174,3,FALSE)),"")</f>
        <v/>
      </c>
      <c r="G347" s="106" t="str">
        <f t="shared" si="189"/>
        <v>-</v>
      </c>
      <c r="H347" s="273"/>
      <c r="I347" s="107"/>
      <c r="J347" s="249" t="e">
        <f t="shared" si="190"/>
        <v>#VALUE!</v>
      </c>
      <c r="K347" s="101" t="str">
        <f>IFERROR(INDEX('Data Sheet'!$C$198:$C$275,MATCH(I347,'Data Sheet'!$F$198:$F$275,0)),"")</f>
        <v/>
      </c>
      <c r="L347" s="250" t="str">
        <f>IFERROR(INDEX('Data Sheet'!$G$198:$G$275,MATCH(I347,'Data Sheet'!$F$198:$F$275,0)),"")</f>
        <v/>
      </c>
      <c r="M347" s="194"/>
      <c r="N347" s="248"/>
      <c r="O347" s="248"/>
      <c r="P347" s="108" t="str">
        <f>IFERROR(INDEX(Setup!$D$44:$D$70,MATCH(M347,Setup!$K$44:$K$70,0))&amp;"","")</f>
        <v/>
      </c>
      <c r="Q347" s="108" t="str">
        <f>IFERROR(INDEX(Setup!$E$44:$E$70,MATCH(M347,Setup!$K$44:$K$70,0))&amp;"","")</f>
        <v/>
      </c>
      <c r="R347" s="108" t="str">
        <f>IFERROR(INDEX(Setup!$L$44:$L$70,MATCH(M347,Setup!$K$44:$K$70,0))&amp;"","")</f>
        <v/>
      </c>
      <c r="S347" s="108" t="str">
        <f>Setup!$C$30</f>
        <v>USD</v>
      </c>
      <c r="T347" s="109" t="str">
        <f>IFERROR(INDEX('Data Sheet'!$B$198:$B$275,MATCH(I347,'Data Sheet'!$F$198:$F$275,0)),"")</f>
        <v/>
      </c>
      <c r="U347" s="110" t="str">
        <f>IFERROR(INDEX('Data Sheet'!$D$198:$D$275,MATCH(I347,'Data Sheet'!$F$198:$F$275,0)),"")</f>
        <v/>
      </c>
      <c r="V347" s="99"/>
      <c r="W347" s="195" t="str">
        <f>IF(V347=Setup!$C$30,"Grant",IF(V347=Setup!$C$31,"Local",IF(V347=Setup!$C$32,"Other",IF(ISBLANK(V347),"","Other"))))</f>
        <v/>
      </c>
      <c r="X347" s="255"/>
      <c r="Y347" s="259" t="str">
        <f>IF(X347&lt;&gt;"",X347/VLOOKUP($V347,Setup!$C$30:$D$41,2,0),"")</f>
        <v/>
      </c>
      <c r="Z347" s="262"/>
      <c r="AA347" s="256" t="str">
        <f t="shared" si="162"/>
        <v/>
      </c>
      <c r="AB347" s="262"/>
      <c r="AC347" s="258" t="str">
        <f t="shared" si="163"/>
        <v/>
      </c>
      <c r="AD347" s="262"/>
      <c r="AE347" s="258" t="str">
        <f t="shared" si="164"/>
        <v/>
      </c>
      <c r="AF347" s="262"/>
      <c r="AG347" s="256" t="str">
        <f t="shared" si="165"/>
        <v/>
      </c>
      <c r="AH347" s="256" t="str">
        <f t="shared" si="166"/>
        <v/>
      </c>
      <c r="AI347" s="256" t="str">
        <f t="shared" si="167"/>
        <v/>
      </c>
      <c r="AJ347" s="111"/>
      <c r="AK347" s="255"/>
      <c r="AL347" s="259" t="str">
        <f>IF(AK347&lt;&gt;"",AK347/VLOOKUP($V347,Setup!$C$30:$D$41,2,0),"")</f>
        <v/>
      </c>
      <c r="AM347" s="266"/>
      <c r="AN347" s="258" t="str">
        <f t="shared" si="168"/>
        <v/>
      </c>
      <c r="AO347" s="266"/>
      <c r="AP347" s="258" t="str">
        <f t="shared" si="169"/>
        <v/>
      </c>
      <c r="AQ347" s="266"/>
      <c r="AR347" s="258" t="str">
        <f t="shared" si="170"/>
        <v/>
      </c>
      <c r="AS347" s="266"/>
      <c r="AT347" s="256" t="str">
        <f t="shared" si="171"/>
        <v/>
      </c>
      <c r="AU347" s="256" t="str">
        <f t="shared" si="172"/>
        <v/>
      </c>
      <c r="AV347" s="256" t="str">
        <f t="shared" si="173"/>
        <v/>
      </c>
      <c r="AW347" s="267"/>
      <c r="AX347" s="255"/>
      <c r="AY347" s="259" t="str">
        <f>IF(AX347&lt;&gt;"",AX347/VLOOKUP($V347,Setup!$C$30:$D$41,2,0),"")</f>
        <v/>
      </c>
      <c r="AZ347" s="268"/>
      <c r="BA347" s="258" t="str">
        <f t="shared" si="174"/>
        <v/>
      </c>
      <c r="BB347" s="268"/>
      <c r="BC347" s="258" t="str">
        <f t="shared" si="175"/>
        <v/>
      </c>
      <c r="BD347" s="268"/>
      <c r="BE347" s="258" t="str">
        <f t="shared" si="176"/>
        <v/>
      </c>
      <c r="BF347" s="268"/>
      <c r="BG347" s="256" t="str">
        <f t="shared" si="177"/>
        <v/>
      </c>
      <c r="BH347" s="256" t="str">
        <f t="shared" si="178"/>
        <v/>
      </c>
      <c r="BI347" s="256" t="str">
        <f t="shared" si="179"/>
        <v/>
      </c>
      <c r="BJ347" s="267"/>
      <c r="BK347" s="255"/>
      <c r="BL347" s="259" t="str">
        <f>IF(BK347&lt;&gt;"",BK347/VLOOKUP($V347,Setup!$C$30:$D$41,2,0),"")</f>
        <v/>
      </c>
      <c r="BM347" s="268"/>
      <c r="BN347" s="258" t="str">
        <f t="shared" si="180"/>
        <v/>
      </c>
      <c r="BO347" s="268"/>
      <c r="BP347" s="258" t="str">
        <f t="shared" si="181"/>
        <v/>
      </c>
      <c r="BQ347" s="268"/>
      <c r="BR347" s="258" t="str">
        <f t="shared" si="182"/>
        <v/>
      </c>
      <c r="BS347" s="268"/>
      <c r="BT347" s="256" t="str">
        <f t="shared" si="183"/>
        <v/>
      </c>
      <c r="BU347" s="256" t="str">
        <f t="shared" si="184"/>
        <v/>
      </c>
      <c r="BV347" s="256" t="str">
        <f t="shared" si="185"/>
        <v/>
      </c>
      <c r="BW347" s="267"/>
      <c r="BX347" s="256" t="str">
        <f t="shared" si="186"/>
        <v/>
      </c>
      <c r="BY347" s="256" t="str">
        <f t="shared" si="187"/>
        <v/>
      </c>
      <c r="BZ347" s="281"/>
      <c r="CA347" s="282"/>
      <c r="CC347" s="112" t="str">
        <f t="shared" ca="1" si="188"/>
        <v/>
      </c>
      <c r="CF347" s="284"/>
      <c r="CG347" s="284"/>
      <c r="CH347" s="284"/>
      <c r="CI347" s="284"/>
      <c r="CL347" s="356" t="str">
        <f>IFERROR(VLOOKUP(C347,'Data Sheet'!$A$3:$B$26,2,FALSE),"")</f>
        <v/>
      </c>
    </row>
    <row r="348" spans="1:90" s="98" customFormat="1" ht="15.75" x14ac:dyDescent="0.2">
      <c r="A348" s="97"/>
      <c r="B348" s="105" t="str">
        <f t="shared" si="191"/>
        <v>--</v>
      </c>
      <c r="C348" s="276"/>
      <c r="D348" s="101" t="str">
        <f>IFERROR(IF(VLOOKUP(C348,'Data Sheet'!$A$3:$D$26,4,FALSE)=0,"",VLOOKUP(C348,'Data Sheet'!$A$3:$D$26,4,FALSE)),"")</f>
        <v/>
      </c>
      <c r="E348" s="279"/>
      <c r="F348" s="103" t="str">
        <f>IFERROR(IF(VLOOKUP(E348,'Data Sheet'!$C$29:$E$174,3,FALSE)=0,"",VLOOKUP(E348,'Data Sheet'!$C$29:$E$174,3,FALSE)),"")</f>
        <v/>
      </c>
      <c r="G348" s="106" t="str">
        <f t="shared" si="189"/>
        <v>-</v>
      </c>
      <c r="H348" s="273"/>
      <c r="I348" s="107"/>
      <c r="J348" s="249" t="e">
        <f t="shared" si="190"/>
        <v>#VALUE!</v>
      </c>
      <c r="K348" s="101" t="str">
        <f>IFERROR(INDEX('Data Sheet'!$C$198:$C$275,MATCH(I348,'Data Sheet'!$F$198:$F$275,0)),"")</f>
        <v/>
      </c>
      <c r="L348" s="250" t="str">
        <f>IFERROR(INDEX('Data Sheet'!$G$198:$G$275,MATCH(I348,'Data Sheet'!$F$198:$F$275,0)),"")</f>
        <v/>
      </c>
      <c r="M348" s="194"/>
      <c r="N348" s="248"/>
      <c r="O348" s="248"/>
      <c r="P348" s="108" t="str">
        <f>IFERROR(INDEX(Setup!$D$44:$D$70,MATCH(M348,Setup!$K$44:$K$70,0))&amp;"","")</f>
        <v/>
      </c>
      <c r="Q348" s="108" t="str">
        <f>IFERROR(INDEX(Setup!$E$44:$E$70,MATCH(M348,Setup!$K$44:$K$70,0))&amp;"","")</f>
        <v/>
      </c>
      <c r="R348" s="108" t="str">
        <f>IFERROR(INDEX(Setup!$L$44:$L$70,MATCH(M348,Setup!$K$44:$K$70,0))&amp;"","")</f>
        <v/>
      </c>
      <c r="S348" s="108" t="str">
        <f>Setup!$C$30</f>
        <v>USD</v>
      </c>
      <c r="T348" s="109" t="str">
        <f>IFERROR(INDEX('Data Sheet'!$B$198:$B$275,MATCH(I348,'Data Sheet'!$F$198:$F$275,0)),"")</f>
        <v/>
      </c>
      <c r="U348" s="110" t="str">
        <f>IFERROR(INDEX('Data Sheet'!$D$198:$D$275,MATCH(I348,'Data Sheet'!$F$198:$F$275,0)),"")</f>
        <v/>
      </c>
      <c r="V348" s="99"/>
      <c r="W348" s="195" t="str">
        <f>IF(V348=Setup!$C$30,"Grant",IF(V348=Setup!$C$31,"Local",IF(V348=Setup!$C$32,"Other",IF(ISBLANK(V348),"","Other"))))</f>
        <v/>
      </c>
      <c r="X348" s="255"/>
      <c r="Y348" s="259" t="str">
        <f>IF(X348&lt;&gt;"",X348/VLOOKUP($V348,Setup!$C$30:$D$41,2,0),"")</f>
        <v/>
      </c>
      <c r="Z348" s="262"/>
      <c r="AA348" s="256" t="str">
        <f t="shared" si="162"/>
        <v/>
      </c>
      <c r="AB348" s="262"/>
      <c r="AC348" s="258" t="str">
        <f t="shared" si="163"/>
        <v/>
      </c>
      <c r="AD348" s="262"/>
      <c r="AE348" s="258" t="str">
        <f t="shared" si="164"/>
        <v/>
      </c>
      <c r="AF348" s="262"/>
      <c r="AG348" s="256" t="str">
        <f t="shared" si="165"/>
        <v/>
      </c>
      <c r="AH348" s="256" t="str">
        <f t="shared" si="166"/>
        <v/>
      </c>
      <c r="AI348" s="256" t="str">
        <f t="shared" si="167"/>
        <v/>
      </c>
      <c r="AJ348" s="111"/>
      <c r="AK348" s="255"/>
      <c r="AL348" s="259" t="str">
        <f>IF(AK348&lt;&gt;"",AK348/VLOOKUP($V348,Setup!$C$30:$D$41,2,0),"")</f>
        <v/>
      </c>
      <c r="AM348" s="266"/>
      <c r="AN348" s="258" t="str">
        <f t="shared" si="168"/>
        <v/>
      </c>
      <c r="AO348" s="266"/>
      <c r="AP348" s="258" t="str">
        <f t="shared" si="169"/>
        <v/>
      </c>
      <c r="AQ348" s="266"/>
      <c r="AR348" s="258" t="str">
        <f t="shared" si="170"/>
        <v/>
      </c>
      <c r="AS348" s="266"/>
      <c r="AT348" s="256" t="str">
        <f t="shared" si="171"/>
        <v/>
      </c>
      <c r="AU348" s="256" t="str">
        <f t="shared" si="172"/>
        <v/>
      </c>
      <c r="AV348" s="256" t="str">
        <f t="shared" si="173"/>
        <v/>
      </c>
      <c r="AW348" s="267"/>
      <c r="AX348" s="255"/>
      <c r="AY348" s="259" t="str">
        <f>IF(AX348&lt;&gt;"",AX348/VLOOKUP($V348,Setup!$C$30:$D$41,2,0),"")</f>
        <v/>
      </c>
      <c r="AZ348" s="268"/>
      <c r="BA348" s="258" t="str">
        <f t="shared" si="174"/>
        <v/>
      </c>
      <c r="BB348" s="268"/>
      <c r="BC348" s="258" t="str">
        <f t="shared" si="175"/>
        <v/>
      </c>
      <c r="BD348" s="268"/>
      <c r="BE348" s="258" t="str">
        <f t="shared" si="176"/>
        <v/>
      </c>
      <c r="BF348" s="268"/>
      <c r="BG348" s="256" t="str">
        <f t="shared" si="177"/>
        <v/>
      </c>
      <c r="BH348" s="256" t="str">
        <f t="shared" si="178"/>
        <v/>
      </c>
      <c r="BI348" s="256" t="str">
        <f t="shared" si="179"/>
        <v/>
      </c>
      <c r="BJ348" s="267"/>
      <c r="BK348" s="255"/>
      <c r="BL348" s="259" t="str">
        <f>IF(BK348&lt;&gt;"",BK348/VLOOKUP($V348,Setup!$C$30:$D$41,2,0),"")</f>
        <v/>
      </c>
      <c r="BM348" s="268"/>
      <c r="BN348" s="258" t="str">
        <f t="shared" si="180"/>
        <v/>
      </c>
      <c r="BO348" s="268"/>
      <c r="BP348" s="258" t="str">
        <f t="shared" si="181"/>
        <v/>
      </c>
      <c r="BQ348" s="268"/>
      <c r="BR348" s="258" t="str">
        <f t="shared" si="182"/>
        <v/>
      </c>
      <c r="BS348" s="268"/>
      <c r="BT348" s="256" t="str">
        <f t="shared" si="183"/>
        <v/>
      </c>
      <c r="BU348" s="256" t="str">
        <f t="shared" si="184"/>
        <v/>
      </c>
      <c r="BV348" s="256" t="str">
        <f t="shared" si="185"/>
        <v/>
      </c>
      <c r="BW348" s="267"/>
      <c r="BX348" s="256" t="str">
        <f t="shared" si="186"/>
        <v/>
      </c>
      <c r="BY348" s="256" t="str">
        <f t="shared" si="187"/>
        <v/>
      </c>
      <c r="BZ348" s="281"/>
      <c r="CA348" s="282"/>
      <c r="CC348" s="112" t="str">
        <f t="shared" ca="1" si="188"/>
        <v/>
      </c>
      <c r="CF348" s="284"/>
      <c r="CG348" s="284"/>
      <c r="CH348" s="284"/>
      <c r="CI348" s="284"/>
      <c r="CL348" s="356" t="str">
        <f>IFERROR(VLOOKUP(C348,'Data Sheet'!$A$3:$B$26,2,FALSE),"")</f>
        <v/>
      </c>
    </row>
    <row r="349" spans="1:90" s="98" customFormat="1" ht="15.75" x14ac:dyDescent="0.2">
      <c r="A349" s="97"/>
      <c r="B349" s="105" t="str">
        <f t="shared" si="191"/>
        <v>--</v>
      </c>
      <c r="C349" s="276"/>
      <c r="D349" s="101" t="str">
        <f>IFERROR(IF(VLOOKUP(C349,'Data Sheet'!$A$3:$D$26,4,FALSE)=0,"",VLOOKUP(C349,'Data Sheet'!$A$3:$D$26,4,FALSE)),"")</f>
        <v/>
      </c>
      <c r="E349" s="279"/>
      <c r="F349" s="103" t="str">
        <f>IFERROR(IF(VLOOKUP(E349,'Data Sheet'!$C$29:$E$174,3,FALSE)=0,"",VLOOKUP(E349,'Data Sheet'!$C$29:$E$174,3,FALSE)),"")</f>
        <v/>
      </c>
      <c r="G349" s="106" t="str">
        <f t="shared" si="189"/>
        <v>-</v>
      </c>
      <c r="H349" s="273"/>
      <c r="I349" s="107"/>
      <c r="J349" s="249" t="e">
        <f t="shared" si="190"/>
        <v>#VALUE!</v>
      </c>
      <c r="K349" s="101" t="str">
        <f>IFERROR(INDEX('Data Sheet'!$C$198:$C$275,MATCH(I349,'Data Sheet'!$F$198:$F$275,0)),"")</f>
        <v/>
      </c>
      <c r="L349" s="250" t="str">
        <f>IFERROR(INDEX('Data Sheet'!$G$198:$G$275,MATCH(I349,'Data Sheet'!$F$198:$F$275,0)),"")</f>
        <v/>
      </c>
      <c r="M349" s="194"/>
      <c r="N349" s="248"/>
      <c r="O349" s="248"/>
      <c r="P349" s="108" t="str">
        <f>IFERROR(INDEX(Setup!$D$44:$D$70,MATCH(M349,Setup!$K$44:$K$70,0))&amp;"","")</f>
        <v/>
      </c>
      <c r="Q349" s="108" t="str">
        <f>IFERROR(INDEX(Setup!$E$44:$E$70,MATCH(M349,Setup!$K$44:$K$70,0))&amp;"","")</f>
        <v/>
      </c>
      <c r="R349" s="108" t="str">
        <f>IFERROR(INDEX(Setup!$L$44:$L$70,MATCH(M349,Setup!$K$44:$K$70,0))&amp;"","")</f>
        <v/>
      </c>
      <c r="S349" s="108" t="str">
        <f>Setup!$C$30</f>
        <v>USD</v>
      </c>
      <c r="T349" s="109" t="str">
        <f>IFERROR(INDEX('Data Sheet'!$B$198:$B$275,MATCH(I349,'Data Sheet'!$F$198:$F$275,0)),"")</f>
        <v/>
      </c>
      <c r="U349" s="110" t="str">
        <f>IFERROR(INDEX('Data Sheet'!$D$198:$D$275,MATCH(I349,'Data Sheet'!$F$198:$F$275,0)),"")</f>
        <v/>
      </c>
      <c r="V349" s="99"/>
      <c r="W349" s="195" t="str">
        <f>IF(V349=Setup!$C$30,"Grant",IF(V349=Setup!$C$31,"Local",IF(V349=Setup!$C$32,"Other",IF(ISBLANK(V349),"","Other"))))</f>
        <v/>
      </c>
      <c r="X349" s="255"/>
      <c r="Y349" s="259" t="str">
        <f>IF(X349&lt;&gt;"",X349/VLOOKUP($V349,Setup!$C$30:$D$41,2,0),"")</f>
        <v/>
      </c>
      <c r="Z349" s="262"/>
      <c r="AA349" s="256" t="str">
        <f t="shared" si="162"/>
        <v/>
      </c>
      <c r="AB349" s="262"/>
      <c r="AC349" s="258" t="str">
        <f t="shared" si="163"/>
        <v/>
      </c>
      <c r="AD349" s="262"/>
      <c r="AE349" s="258" t="str">
        <f t="shared" si="164"/>
        <v/>
      </c>
      <c r="AF349" s="262"/>
      <c r="AG349" s="256" t="str">
        <f t="shared" si="165"/>
        <v/>
      </c>
      <c r="AH349" s="256" t="str">
        <f t="shared" si="166"/>
        <v/>
      </c>
      <c r="AI349" s="256" t="str">
        <f t="shared" si="167"/>
        <v/>
      </c>
      <c r="AJ349" s="111"/>
      <c r="AK349" s="255"/>
      <c r="AL349" s="259" t="str">
        <f>IF(AK349&lt;&gt;"",AK349/VLOOKUP($V349,Setup!$C$30:$D$41,2,0),"")</f>
        <v/>
      </c>
      <c r="AM349" s="266"/>
      <c r="AN349" s="258" t="str">
        <f t="shared" si="168"/>
        <v/>
      </c>
      <c r="AO349" s="266"/>
      <c r="AP349" s="258" t="str">
        <f t="shared" si="169"/>
        <v/>
      </c>
      <c r="AQ349" s="266"/>
      <c r="AR349" s="258" t="str">
        <f t="shared" si="170"/>
        <v/>
      </c>
      <c r="AS349" s="266"/>
      <c r="AT349" s="256" t="str">
        <f t="shared" si="171"/>
        <v/>
      </c>
      <c r="AU349" s="256" t="str">
        <f t="shared" si="172"/>
        <v/>
      </c>
      <c r="AV349" s="256" t="str">
        <f t="shared" si="173"/>
        <v/>
      </c>
      <c r="AW349" s="267"/>
      <c r="AX349" s="255"/>
      <c r="AY349" s="259" t="str">
        <f>IF(AX349&lt;&gt;"",AX349/VLOOKUP($V349,Setup!$C$30:$D$41,2,0),"")</f>
        <v/>
      </c>
      <c r="AZ349" s="268"/>
      <c r="BA349" s="258" t="str">
        <f t="shared" si="174"/>
        <v/>
      </c>
      <c r="BB349" s="268"/>
      <c r="BC349" s="258" t="str">
        <f t="shared" si="175"/>
        <v/>
      </c>
      <c r="BD349" s="268"/>
      <c r="BE349" s="258" t="str">
        <f t="shared" si="176"/>
        <v/>
      </c>
      <c r="BF349" s="268"/>
      <c r="BG349" s="256" t="str">
        <f t="shared" si="177"/>
        <v/>
      </c>
      <c r="BH349" s="256" t="str">
        <f t="shared" si="178"/>
        <v/>
      </c>
      <c r="BI349" s="256" t="str">
        <f t="shared" si="179"/>
        <v/>
      </c>
      <c r="BJ349" s="267"/>
      <c r="BK349" s="255"/>
      <c r="BL349" s="259" t="str">
        <f>IF(BK349&lt;&gt;"",BK349/VLOOKUP($V349,Setup!$C$30:$D$41,2,0),"")</f>
        <v/>
      </c>
      <c r="BM349" s="268"/>
      <c r="BN349" s="258" t="str">
        <f t="shared" si="180"/>
        <v/>
      </c>
      <c r="BO349" s="268"/>
      <c r="BP349" s="258" t="str">
        <f t="shared" si="181"/>
        <v/>
      </c>
      <c r="BQ349" s="268"/>
      <c r="BR349" s="258" t="str">
        <f t="shared" si="182"/>
        <v/>
      </c>
      <c r="BS349" s="268"/>
      <c r="BT349" s="256" t="str">
        <f t="shared" si="183"/>
        <v/>
      </c>
      <c r="BU349" s="256" t="str">
        <f t="shared" si="184"/>
        <v/>
      </c>
      <c r="BV349" s="256" t="str">
        <f t="shared" si="185"/>
        <v/>
      </c>
      <c r="BW349" s="267"/>
      <c r="BX349" s="256" t="str">
        <f t="shared" si="186"/>
        <v/>
      </c>
      <c r="BY349" s="256" t="str">
        <f t="shared" si="187"/>
        <v/>
      </c>
      <c r="BZ349" s="281"/>
      <c r="CA349" s="282"/>
      <c r="CC349" s="112" t="str">
        <f t="shared" ca="1" si="188"/>
        <v/>
      </c>
      <c r="CF349" s="284"/>
      <c r="CG349" s="284"/>
      <c r="CH349" s="284"/>
      <c r="CI349" s="284"/>
      <c r="CL349" s="356" t="str">
        <f>IFERROR(VLOOKUP(C349,'Data Sheet'!$A$3:$B$26,2,FALSE),"")</f>
        <v/>
      </c>
    </row>
    <row r="350" spans="1:90" s="98" customFormat="1" ht="15.75" x14ac:dyDescent="0.2">
      <c r="A350" s="97"/>
      <c r="B350" s="105" t="str">
        <f t="shared" si="191"/>
        <v>--</v>
      </c>
      <c r="C350" s="276"/>
      <c r="D350" s="101" t="str">
        <f>IFERROR(IF(VLOOKUP(C350,'Data Sheet'!$A$3:$D$26,4,FALSE)=0,"",VLOOKUP(C350,'Data Sheet'!$A$3:$D$26,4,FALSE)),"")</f>
        <v/>
      </c>
      <c r="E350" s="279"/>
      <c r="F350" s="103" t="str">
        <f>IFERROR(IF(VLOOKUP(E350,'Data Sheet'!$C$29:$E$174,3,FALSE)=0,"",VLOOKUP(E350,'Data Sheet'!$C$29:$E$174,3,FALSE)),"")</f>
        <v/>
      </c>
      <c r="G350" s="106" t="str">
        <f t="shared" si="189"/>
        <v>-</v>
      </c>
      <c r="H350" s="273"/>
      <c r="I350" s="107"/>
      <c r="J350" s="249" t="e">
        <f t="shared" si="190"/>
        <v>#VALUE!</v>
      </c>
      <c r="K350" s="101" t="str">
        <f>IFERROR(INDEX('Data Sheet'!$C$198:$C$275,MATCH(I350,'Data Sheet'!$F$198:$F$275,0)),"")</f>
        <v/>
      </c>
      <c r="L350" s="250" t="str">
        <f>IFERROR(INDEX('Data Sheet'!$G$198:$G$275,MATCH(I350,'Data Sheet'!$F$198:$F$275,0)),"")</f>
        <v/>
      </c>
      <c r="M350" s="194"/>
      <c r="N350" s="248"/>
      <c r="O350" s="248"/>
      <c r="P350" s="108" t="str">
        <f>IFERROR(INDEX(Setup!$D$44:$D$70,MATCH(M350,Setup!$K$44:$K$70,0))&amp;"","")</f>
        <v/>
      </c>
      <c r="Q350" s="108" t="str">
        <f>IFERROR(INDEX(Setup!$E$44:$E$70,MATCH(M350,Setup!$K$44:$K$70,0))&amp;"","")</f>
        <v/>
      </c>
      <c r="R350" s="108" t="str">
        <f>IFERROR(INDEX(Setup!$L$44:$L$70,MATCH(M350,Setup!$K$44:$K$70,0))&amp;"","")</f>
        <v/>
      </c>
      <c r="S350" s="108" t="str">
        <f>Setup!$C$30</f>
        <v>USD</v>
      </c>
      <c r="T350" s="109" t="str">
        <f>IFERROR(INDEX('Data Sheet'!$B$198:$B$275,MATCH(I350,'Data Sheet'!$F$198:$F$275,0)),"")</f>
        <v/>
      </c>
      <c r="U350" s="110" t="str">
        <f>IFERROR(INDEX('Data Sheet'!$D$198:$D$275,MATCH(I350,'Data Sheet'!$F$198:$F$275,0)),"")</f>
        <v/>
      </c>
      <c r="V350" s="99"/>
      <c r="W350" s="195" t="str">
        <f>IF(V350=Setup!$C$30,"Grant",IF(V350=Setup!$C$31,"Local",IF(V350=Setup!$C$32,"Other",IF(ISBLANK(V350),"","Other"))))</f>
        <v/>
      </c>
      <c r="X350" s="255"/>
      <c r="Y350" s="259" t="str">
        <f>IF(X350&lt;&gt;"",X350/VLOOKUP($V350,Setup!$C$30:$D$41,2,0),"")</f>
        <v/>
      </c>
      <c r="Z350" s="262"/>
      <c r="AA350" s="256" t="str">
        <f t="shared" si="162"/>
        <v/>
      </c>
      <c r="AB350" s="262"/>
      <c r="AC350" s="258" t="str">
        <f t="shared" si="163"/>
        <v/>
      </c>
      <c r="AD350" s="262"/>
      <c r="AE350" s="258" t="str">
        <f t="shared" si="164"/>
        <v/>
      </c>
      <c r="AF350" s="262"/>
      <c r="AG350" s="256" t="str">
        <f t="shared" si="165"/>
        <v/>
      </c>
      <c r="AH350" s="256" t="str">
        <f t="shared" si="166"/>
        <v/>
      </c>
      <c r="AI350" s="256" t="str">
        <f t="shared" si="167"/>
        <v/>
      </c>
      <c r="AJ350" s="111"/>
      <c r="AK350" s="255"/>
      <c r="AL350" s="259" t="str">
        <f>IF(AK350&lt;&gt;"",AK350/VLOOKUP($V350,Setup!$C$30:$D$41,2,0),"")</f>
        <v/>
      </c>
      <c r="AM350" s="266"/>
      <c r="AN350" s="258" t="str">
        <f t="shared" si="168"/>
        <v/>
      </c>
      <c r="AO350" s="266"/>
      <c r="AP350" s="258" t="str">
        <f t="shared" si="169"/>
        <v/>
      </c>
      <c r="AQ350" s="266"/>
      <c r="AR350" s="258" t="str">
        <f t="shared" si="170"/>
        <v/>
      </c>
      <c r="AS350" s="266"/>
      <c r="AT350" s="256" t="str">
        <f t="shared" si="171"/>
        <v/>
      </c>
      <c r="AU350" s="256" t="str">
        <f t="shared" si="172"/>
        <v/>
      </c>
      <c r="AV350" s="256" t="str">
        <f t="shared" si="173"/>
        <v/>
      </c>
      <c r="AW350" s="267"/>
      <c r="AX350" s="255"/>
      <c r="AY350" s="259" t="str">
        <f>IF(AX350&lt;&gt;"",AX350/VLOOKUP($V350,Setup!$C$30:$D$41,2,0),"")</f>
        <v/>
      </c>
      <c r="AZ350" s="268"/>
      <c r="BA350" s="258" t="str">
        <f t="shared" si="174"/>
        <v/>
      </c>
      <c r="BB350" s="268"/>
      <c r="BC350" s="258" t="str">
        <f t="shared" si="175"/>
        <v/>
      </c>
      <c r="BD350" s="268"/>
      <c r="BE350" s="258" t="str">
        <f t="shared" si="176"/>
        <v/>
      </c>
      <c r="BF350" s="268"/>
      <c r="BG350" s="256" t="str">
        <f t="shared" si="177"/>
        <v/>
      </c>
      <c r="BH350" s="256" t="str">
        <f t="shared" si="178"/>
        <v/>
      </c>
      <c r="BI350" s="256" t="str">
        <f t="shared" si="179"/>
        <v/>
      </c>
      <c r="BJ350" s="267"/>
      <c r="BK350" s="255"/>
      <c r="BL350" s="259" t="str">
        <f>IF(BK350&lt;&gt;"",BK350/VLOOKUP($V350,Setup!$C$30:$D$41,2,0),"")</f>
        <v/>
      </c>
      <c r="BM350" s="268"/>
      <c r="BN350" s="258" t="str">
        <f t="shared" si="180"/>
        <v/>
      </c>
      <c r="BO350" s="268"/>
      <c r="BP350" s="258" t="str">
        <f t="shared" si="181"/>
        <v/>
      </c>
      <c r="BQ350" s="268"/>
      <c r="BR350" s="258" t="str">
        <f t="shared" si="182"/>
        <v/>
      </c>
      <c r="BS350" s="268"/>
      <c r="BT350" s="256" t="str">
        <f t="shared" si="183"/>
        <v/>
      </c>
      <c r="BU350" s="256" t="str">
        <f t="shared" si="184"/>
        <v/>
      </c>
      <c r="BV350" s="256" t="str">
        <f t="shared" si="185"/>
        <v/>
      </c>
      <c r="BW350" s="267"/>
      <c r="BX350" s="256" t="str">
        <f t="shared" si="186"/>
        <v/>
      </c>
      <c r="BY350" s="256" t="str">
        <f t="shared" si="187"/>
        <v/>
      </c>
      <c r="BZ350" s="281"/>
      <c r="CA350" s="282"/>
      <c r="CC350" s="112" t="str">
        <f t="shared" ca="1" si="188"/>
        <v/>
      </c>
      <c r="CF350" s="284"/>
      <c r="CG350" s="284"/>
      <c r="CH350" s="284"/>
      <c r="CI350" s="284"/>
      <c r="CL350" s="356" t="str">
        <f>IFERROR(VLOOKUP(C350,'Data Sheet'!$A$3:$B$26,2,FALSE),"")</f>
        <v/>
      </c>
    </row>
    <row r="351" spans="1:90" s="98" customFormat="1" ht="15.75" x14ac:dyDescent="0.2">
      <c r="A351" s="97"/>
      <c r="B351" s="105" t="str">
        <f t="shared" si="191"/>
        <v>--</v>
      </c>
      <c r="C351" s="276"/>
      <c r="D351" s="101" t="str">
        <f>IFERROR(IF(VLOOKUP(C351,'Data Sheet'!$A$3:$D$26,4,FALSE)=0,"",VLOOKUP(C351,'Data Sheet'!$A$3:$D$26,4,FALSE)),"")</f>
        <v/>
      </c>
      <c r="E351" s="279"/>
      <c r="F351" s="103" t="str">
        <f>IFERROR(IF(VLOOKUP(E351,'Data Sheet'!$C$29:$E$174,3,FALSE)=0,"",VLOOKUP(E351,'Data Sheet'!$C$29:$E$174,3,FALSE)),"")</f>
        <v/>
      </c>
      <c r="G351" s="106" t="str">
        <f t="shared" si="189"/>
        <v>-</v>
      </c>
      <c r="H351" s="273"/>
      <c r="I351" s="107"/>
      <c r="J351" s="249" t="e">
        <f t="shared" si="190"/>
        <v>#VALUE!</v>
      </c>
      <c r="K351" s="101" t="str">
        <f>IFERROR(INDEX('Data Sheet'!$C$198:$C$275,MATCH(I351,'Data Sheet'!$F$198:$F$275,0)),"")</f>
        <v/>
      </c>
      <c r="L351" s="250" t="str">
        <f>IFERROR(INDEX('Data Sheet'!$G$198:$G$275,MATCH(I351,'Data Sheet'!$F$198:$F$275,0)),"")</f>
        <v/>
      </c>
      <c r="M351" s="194"/>
      <c r="N351" s="248"/>
      <c r="O351" s="248"/>
      <c r="P351" s="108" t="str">
        <f>IFERROR(INDEX(Setup!$D$44:$D$70,MATCH(M351,Setup!$K$44:$K$70,0))&amp;"","")</f>
        <v/>
      </c>
      <c r="Q351" s="108" t="str">
        <f>IFERROR(INDEX(Setup!$E$44:$E$70,MATCH(M351,Setup!$K$44:$K$70,0))&amp;"","")</f>
        <v/>
      </c>
      <c r="R351" s="108" t="str">
        <f>IFERROR(INDEX(Setup!$L$44:$L$70,MATCH(M351,Setup!$K$44:$K$70,0))&amp;"","")</f>
        <v/>
      </c>
      <c r="S351" s="108" t="str">
        <f>Setup!$C$30</f>
        <v>USD</v>
      </c>
      <c r="T351" s="109" t="str">
        <f>IFERROR(INDEX('Data Sheet'!$B$198:$B$275,MATCH(I351,'Data Sheet'!$F$198:$F$275,0)),"")</f>
        <v/>
      </c>
      <c r="U351" s="110" t="str">
        <f>IFERROR(INDEX('Data Sheet'!$D$198:$D$275,MATCH(I351,'Data Sheet'!$F$198:$F$275,0)),"")</f>
        <v/>
      </c>
      <c r="V351" s="99"/>
      <c r="W351" s="195" t="str">
        <f>IF(V351=Setup!$C$30,"Grant",IF(V351=Setup!$C$31,"Local",IF(V351=Setup!$C$32,"Other",IF(ISBLANK(V351),"","Other"))))</f>
        <v/>
      </c>
      <c r="X351" s="255"/>
      <c r="Y351" s="259" t="str">
        <f>IF(X351&lt;&gt;"",X351/VLOOKUP($V351,Setup!$C$30:$D$41,2,0),"")</f>
        <v/>
      </c>
      <c r="Z351" s="262"/>
      <c r="AA351" s="256" t="str">
        <f t="shared" si="162"/>
        <v/>
      </c>
      <c r="AB351" s="262"/>
      <c r="AC351" s="258" t="str">
        <f t="shared" si="163"/>
        <v/>
      </c>
      <c r="AD351" s="262"/>
      <c r="AE351" s="258" t="str">
        <f t="shared" si="164"/>
        <v/>
      </c>
      <c r="AF351" s="262"/>
      <c r="AG351" s="256" t="str">
        <f t="shared" si="165"/>
        <v/>
      </c>
      <c r="AH351" s="256" t="str">
        <f t="shared" si="166"/>
        <v/>
      </c>
      <c r="AI351" s="256" t="str">
        <f t="shared" si="167"/>
        <v/>
      </c>
      <c r="AJ351" s="111"/>
      <c r="AK351" s="255"/>
      <c r="AL351" s="259" t="str">
        <f>IF(AK351&lt;&gt;"",AK351/VLOOKUP($V351,Setup!$C$30:$D$41,2,0),"")</f>
        <v/>
      </c>
      <c r="AM351" s="266"/>
      <c r="AN351" s="258" t="str">
        <f t="shared" si="168"/>
        <v/>
      </c>
      <c r="AO351" s="266"/>
      <c r="AP351" s="258" t="str">
        <f t="shared" si="169"/>
        <v/>
      </c>
      <c r="AQ351" s="266"/>
      <c r="AR351" s="258" t="str">
        <f t="shared" si="170"/>
        <v/>
      </c>
      <c r="AS351" s="266"/>
      <c r="AT351" s="256" t="str">
        <f t="shared" si="171"/>
        <v/>
      </c>
      <c r="AU351" s="256" t="str">
        <f t="shared" si="172"/>
        <v/>
      </c>
      <c r="AV351" s="256" t="str">
        <f t="shared" si="173"/>
        <v/>
      </c>
      <c r="AW351" s="267"/>
      <c r="AX351" s="255"/>
      <c r="AY351" s="259" t="str">
        <f>IF(AX351&lt;&gt;"",AX351/VLOOKUP($V351,Setup!$C$30:$D$41,2,0),"")</f>
        <v/>
      </c>
      <c r="AZ351" s="268"/>
      <c r="BA351" s="258" t="str">
        <f t="shared" si="174"/>
        <v/>
      </c>
      <c r="BB351" s="268"/>
      <c r="BC351" s="258" t="str">
        <f t="shared" si="175"/>
        <v/>
      </c>
      <c r="BD351" s="268"/>
      <c r="BE351" s="258" t="str">
        <f t="shared" si="176"/>
        <v/>
      </c>
      <c r="BF351" s="268"/>
      <c r="BG351" s="256" t="str">
        <f t="shared" si="177"/>
        <v/>
      </c>
      <c r="BH351" s="256" t="str">
        <f t="shared" si="178"/>
        <v/>
      </c>
      <c r="BI351" s="256" t="str">
        <f t="shared" si="179"/>
        <v/>
      </c>
      <c r="BJ351" s="267"/>
      <c r="BK351" s="255"/>
      <c r="BL351" s="259" t="str">
        <f>IF(BK351&lt;&gt;"",BK351/VLOOKUP($V351,Setup!$C$30:$D$41,2,0),"")</f>
        <v/>
      </c>
      <c r="BM351" s="268"/>
      <c r="BN351" s="258" t="str">
        <f t="shared" si="180"/>
        <v/>
      </c>
      <c r="BO351" s="268"/>
      <c r="BP351" s="258" t="str">
        <f t="shared" si="181"/>
        <v/>
      </c>
      <c r="BQ351" s="268"/>
      <c r="BR351" s="258" t="str">
        <f t="shared" si="182"/>
        <v/>
      </c>
      <c r="BS351" s="268"/>
      <c r="BT351" s="256" t="str">
        <f t="shared" si="183"/>
        <v/>
      </c>
      <c r="BU351" s="256" t="str">
        <f t="shared" si="184"/>
        <v/>
      </c>
      <c r="BV351" s="256" t="str">
        <f t="shared" si="185"/>
        <v/>
      </c>
      <c r="BW351" s="267"/>
      <c r="BX351" s="256" t="str">
        <f t="shared" si="186"/>
        <v/>
      </c>
      <c r="BY351" s="256" t="str">
        <f t="shared" si="187"/>
        <v/>
      </c>
      <c r="BZ351" s="281"/>
      <c r="CA351" s="282"/>
      <c r="CC351" s="112" t="str">
        <f t="shared" ca="1" si="188"/>
        <v/>
      </c>
      <c r="CF351" s="284"/>
      <c r="CG351" s="284"/>
      <c r="CH351" s="284"/>
      <c r="CI351" s="284"/>
      <c r="CL351" s="356" t="str">
        <f>IFERROR(VLOOKUP(C351,'Data Sheet'!$A$3:$B$26,2,FALSE),"")</f>
        <v/>
      </c>
    </row>
    <row r="352" spans="1:90" s="98" customFormat="1" ht="15.75" x14ac:dyDescent="0.2">
      <c r="A352" s="97"/>
      <c r="B352" s="105" t="str">
        <f t="shared" si="191"/>
        <v>--</v>
      </c>
      <c r="C352" s="276"/>
      <c r="D352" s="101" t="str">
        <f>IFERROR(IF(VLOOKUP(C352,'Data Sheet'!$A$3:$D$26,4,FALSE)=0,"",VLOOKUP(C352,'Data Sheet'!$A$3:$D$26,4,FALSE)),"")</f>
        <v/>
      </c>
      <c r="E352" s="279"/>
      <c r="F352" s="103" t="str">
        <f>IFERROR(IF(VLOOKUP(E352,'Data Sheet'!$C$29:$E$174,3,FALSE)=0,"",VLOOKUP(E352,'Data Sheet'!$C$29:$E$174,3,FALSE)),"")</f>
        <v/>
      </c>
      <c r="G352" s="106" t="str">
        <f t="shared" si="189"/>
        <v>-</v>
      </c>
      <c r="H352" s="273"/>
      <c r="I352" s="107"/>
      <c r="J352" s="249" t="e">
        <f t="shared" si="190"/>
        <v>#VALUE!</v>
      </c>
      <c r="K352" s="101" t="str">
        <f>IFERROR(INDEX('Data Sheet'!$C$198:$C$275,MATCH(I352,'Data Sheet'!$F$198:$F$275,0)),"")</f>
        <v/>
      </c>
      <c r="L352" s="250" t="str">
        <f>IFERROR(INDEX('Data Sheet'!$G$198:$G$275,MATCH(I352,'Data Sheet'!$F$198:$F$275,0)),"")</f>
        <v/>
      </c>
      <c r="M352" s="194"/>
      <c r="N352" s="248"/>
      <c r="O352" s="248"/>
      <c r="P352" s="108" t="str">
        <f>IFERROR(INDEX(Setup!$D$44:$D$70,MATCH(M352,Setup!$K$44:$K$70,0))&amp;"","")</f>
        <v/>
      </c>
      <c r="Q352" s="108" t="str">
        <f>IFERROR(INDEX(Setup!$E$44:$E$70,MATCH(M352,Setup!$K$44:$K$70,0))&amp;"","")</f>
        <v/>
      </c>
      <c r="R352" s="108" t="str">
        <f>IFERROR(INDEX(Setup!$L$44:$L$70,MATCH(M352,Setup!$K$44:$K$70,0))&amp;"","")</f>
        <v/>
      </c>
      <c r="S352" s="108" t="str">
        <f>Setup!$C$30</f>
        <v>USD</v>
      </c>
      <c r="T352" s="109" t="str">
        <f>IFERROR(INDEX('Data Sheet'!$B$198:$B$275,MATCH(I352,'Data Sheet'!$F$198:$F$275,0)),"")</f>
        <v/>
      </c>
      <c r="U352" s="110" t="str">
        <f>IFERROR(INDEX('Data Sheet'!$D$198:$D$275,MATCH(I352,'Data Sheet'!$F$198:$F$275,0)),"")</f>
        <v/>
      </c>
      <c r="V352" s="99"/>
      <c r="W352" s="195" t="str">
        <f>IF(V352=Setup!$C$30,"Grant",IF(V352=Setup!$C$31,"Local",IF(V352=Setup!$C$32,"Other",IF(ISBLANK(V352),"","Other"))))</f>
        <v/>
      </c>
      <c r="X352" s="255"/>
      <c r="Y352" s="259" t="str">
        <f>IF(X352&lt;&gt;"",X352/VLOOKUP($V352,Setup!$C$30:$D$41,2,0),"")</f>
        <v/>
      </c>
      <c r="Z352" s="262"/>
      <c r="AA352" s="256" t="str">
        <f t="shared" si="162"/>
        <v/>
      </c>
      <c r="AB352" s="262"/>
      <c r="AC352" s="258" t="str">
        <f t="shared" si="163"/>
        <v/>
      </c>
      <c r="AD352" s="262"/>
      <c r="AE352" s="258" t="str">
        <f t="shared" si="164"/>
        <v/>
      </c>
      <c r="AF352" s="262"/>
      <c r="AG352" s="256" t="str">
        <f t="shared" si="165"/>
        <v/>
      </c>
      <c r="AH352" s="256" t="str">
        <f t="shared" si="166"/>
        <v/>
      </c>
      <c r="AI352" s="256" t="str">
        <f t="shared" si="167"/>
        <v/>
      </c>
      <c r="AJ352" s="111"/>
      <c r="AK352" s="255"/>
      <c r="AL352" s="259" t="str">
        <f>IF(AK352&lt;&gt;"",AK352/VLOOKUP($V352,Setup!$C$30:$D$41,2,0),"")</f>
        <v/>
      </c>
      <c r="AM352" s="266"/>
      <c r="AN352" s="258" t="str">
        <f t="shared" si="168"/>
        <v/>
      </c>
      <c r="AO352" s="266"/>
      <c r="AP352" s="258" t="str">
        <f t="shared" si="169"/>
        <v/>
      </c>
      <c r="AQ352" s="266"/>
      <c r="AR352" s="258" t="str">
        <f t="shared" si="170"/>
        <v/>
      </c>
      <c r="AS352" s="266"/>
      <c r="AT352" s="256" t="str">
        <f t="shared" si="171"/>
        <v/>
      </c>
      <c r="AU352" s="256" t="str">
        <f t="shared" si="172"/>
        <v/>
      </c>
      <c r="AV352" s="256" t="str">
        <f t="shared" si="173"/>
        <v/>
      </c>
      <c r="AW352" s="267"/>
      <c r="AX352" s="255"/>
      <c r="AY352" s="259" t="str">
        <f>IF(AX352&lt;&gt;"",AX352/VLOOKUP($V352,Setup!$C$30:$D$41,2,0),"")</f>
        <v/>
      </c>
      <c r="AZ352" s="268"/>
      <c r="BA352" s="258" t="str">
        <f t="shared" si="174"/>
        <v/>
      </c>
      <c r="BB352" s="268"/>
      <c r="BC352" s="258" t="str">
        <f t="shared" si="175"/>
        <v/>
      </c>
      <c r="BD352" s="268"/>
      <c r="BE352" s="258" t="str">
        <f t="shared" si="176"/>
        <v/>
      </c>
      <c r="BF352" s="268"/>
      <c r="BG352" s="256" t="str">
        <f t="shared" si="177"/>
        <v/>
      </c>
      <c r="BH352" s="256" t="str">
        <f t="shared" si="178"/>
        <v/>
      </c>
      <c r="BI352" s="256" t="str">
        <f t="shared" si="179"/>
        <v/>
      </c>
      <c r="BJ352" s="267"/>
      <c r="BK352" s="255"/>
      <c r="BL352" s="259" t="str">
        <f>IF(BK352&lt;&gt;"",BK352/VLOOKUP($V352,Setup!$C$30:$D$41,2,0),"")</f>
        <v/>
      </c>
      <c r="BM352" s="268"/>
      <c r="BN352" s="258" t="str">
        <f t="shared" si="180"/>
        <v/>
      </c>
      <c r="BO352" s="268"/>
      <c r="BP352" s="258" t="str">
        <f t="shared" si="181"/>
        <v/>
      </c>
      <c r="BQ352" s="268"/>
      <c r="BR352" s="258" t="str">
        <f t="shared" si="182"/>
        <v/>
      </c>
      <c r="BS352" s="268"/>
      <c r="BT352" s="256" t="str">
        <f t="shared" si="183"/>
        <v/>
      </c>
      <c r="BU352" s="256" t="str">
        <f t="shared" si="184"/>
        <v/>
      </c>
      <c r="BV352" s="256" t="str">
        <f t="shared" si="185"/>
        <v/>
      </c>
      <c r="BW352" s="267"/>
      <c r="BX352" s="256" t="str">
        <f t="shared" si="186"/>
        <v/>
      </c>
      <c r="BY352" s="256" t="str">
        <f t="shared" si="187"/>
        <v/>
      </c>
      <c r="BZ352" s="281"/>
      <c r="CA352" s="282"/>
      <c r="CC352" s="112" t="str">
        <f t="shared" ca="1" si="188"/>
        <v/>
      </c>
      <c r="CF352" s="284"/>
      <c r="CG352" s="284"/>
      <c r="CH352" s="284"/>
      <c r="CI352" s="284"/>
      <c r="CL352" s="356" t="str">
        <f>IFERROR(VLOOKUP(C352,'Data Sheet'!$A$3:$B$26,2,FALSE),"")</f>
        <v/>
      </c>
    </row>
    <row r="353" spans="1:90" s="98" customFormat="1" ht="15.75" x14ac:dyDescent="0.2">
      <c r="A353" s="97"/>
      <c r="B353" s="105" t="str">
        <f t="shared" si="191"/>
        <v>--</v>
      </c>
      <c r="C353" s="276"/>
      <c r="D353" s="101" t="str">
        <f>IFERROR(IF(VLOOKUP(C353,'Data Sheet'!$A$3:$D$26,4,FALSE)=0,"",VLOOKUP(C353,'Data Sheet'!$A$3:$D$26,4,FALSE)),"")</f>
        <v/>
      </c>
      <c r="E353" s="279"/>
      <c r="F353" s="103" t="str">
        <f>IFERROR(IF(VLOOKUP(E353,'Data Sheet'!$C$29:$E$174,3,FALSE)=0,"",VLOOKUP(E353,'Data Sheet'!$C$29:$E$174,3,FALSE)),"")</f>
        <v/>
      </c>
      <c r="G353" s="106" t="str">
        <f t="shared" si="189"/>
        <v>-</v>
      </c>
      <c r="H353" s="273"/>
      <c r="I353" s="107"/>
      <c r="J353" s="249" t="e">
        <f t="shared" si="190"/>
        <v>#VALUE!</v>
      </c>
      <c r="K353" s="101" t="str">
        <f>IFERROR(INDEX('Data Sheet'!$C$198:$C$275,MATCH(I353,'Data Sheet'!$F$198:$F$275,0)),"")</f>
        <v/>
      </c>
      <c r="L353" s="250" t="str">
        <f>IFERROR(INDEX('Data Sheet'!$G$198:$G$275,MATCH(I353,'Data Sheet'!$F$198:$F$275,0)),"")</f>
        <v/>
      </c>
      <c r="M353" s="194"/>
      <c r="N353" s="248"/>
      <c r="O353" s="248"/>
      <c r="P353" s="108" t="str">
        <f>IFERROR(INDEX(Setup!$D$44:$D$70,MATCH(M353,Setup!$K$44:$K$70,0))&amp;"","")</f>
        <v/>
      </c>
      <c r="Q353" s="108" t="str">
        <f>IFERROR(INDEX(Setup!$E$44:$E$70,MATCH(M353,Setup!$K$44:$K$70,0))&amp;"","")</f>
        <v/>
      </c>
      <c r="R353" s="108" t="str">
        <f>IFERROR(INDEX(Setup!$L$44:$L$70,MATCH(M353,Setup!$K$44:$K$70,0))&amp;"","")</f>
        <v/>
      </c>
      <c r="S353" s="108" t="str">
        <f>Setup!$C$30</f>
        <v>USD</v>
      </c>
      <c r="T353" s="109" t="str">
        <f>IFERROR(INDEX('Data Sheet'!$B$198:$B$275,MATCH(I353,'Data Sheet'!$F$198:$F$275,0)),"")</f>
        <v/>
      </c>
      <c r="U353" s="110" t="str">
        <f>IFERROR(INDEX('Data Sheet'!$D$198:$D$275,MATCH(I353,'Data Sheet'!$F$198:$F$275,0)),"")</f>
        <v/>
      </c>
      <c r="V353" s="99"/>
      <c r="W353" s="195" t="str">
        <f>IF(V353=Setup!$C$30,"Grant",IF(V353=Setup!$C$31,"Local",IF(V353=Setup!$C$32,"Other",IF(ISBLANK(V353),"","Other"))))</f>
        <v/>
      </c>
      <c r="X353" s="255"/>
      <c r="Y353" s="259" t="str">
        <f>IF(X353&lt;&gt;"",X353/VLOOKUP($V353,Setup!$C$30:$D$41,2,0),"")</f>
        <v/>
      </c>
      <c r="Z353" s="262"/>
      <c r="AA353" s="256" t="str">
        <f t="shared" si="162"/>
        <v/>
      </c>
      <c r="AB353" s="262"/>
      <c r="AC353" s="258" t="str">
        <f t="shared" si="163"/>
        <v/>
      </c>
      <c r="AD353" s="262"/>
      <c r="AE353" s="258" t="str">
        <f t="shared" si="164"/>
        <v/>
      </c>
      <c r="AF353" s="262"/>
      <c r="AG353" s="256" t="str">
        <f t="shared" si="165"/>
        <v/>
      </c>
      <c r="AH353" s="256" t="str">
        <f t="shared" si="166"/>
        <v/>
      </c>
      <c r="AI353" s="256" t="str">
        <f t="shared" si="167"/>
        <v/>
      </c>
      <c r="AJ353" s="111"/>
      <c r="AK353" s="255"/>
      <c r="AL353" s="259" t="str">
        <f>IF(AK353&lt;&gt;"",AK353/VLOOKUP($V353,Setup!$C$30:$D$41,2,0),"")</f>
        <v/>
      </c>
      <c r="AM353" s="266"/>
      <c r="AN353" s="258" t="str">
        <f t="shared" si="168"/>
        <v/>
      </c>
      <c r="AO353" s="266"/>
      <c r="AP353" s="258" t="str">
        <f t="shared" si="169"/>
        <v/>
      </c>
      <c r="AQ353" s="266"/>
      <c r="AR353" s="258" t="str">
        <f t="shared" si="170"/>
        <v/>
      </c>
      <c r="AS353" s="266"/>
      <c r="AT353" s="256" t="str">
        <f t="shared" si="171"/>
        <v/>
      </c>
      <c r="AU353" s="256" t="str">
        <f t="shared" si="172"/>
        <v/>
      </c>
      <c r="AV353" s="256" t="str">
        <f t="shared" si="173"/>
        <v/>
      </c>
      <c r="AW353" s="267"/>
      <c r="AX353" s="255"/>
      <c r="AY353" s="259" t="str">
        <f>IF(AX353&lt;&gt;"",AX353/VLOOKUP($V353,Setup!$C$30:$D$41,2,0),"")</f>
        <v/>
      </c>
      <c r="AZ353" s="268"/>
      <c r="BA353" s="258" t="str">
        <f t="shared" si="174"/>
        <v/>
      </c>
      <c r="BB353" s="268"/>
      <c r="BC353" s="258" t="str">
        <f t="shared" si="175"/>
        <v/>
      </c>
      <c r="BD353" s="268"/>
      <c r="BE353" s="258" t="str">
        <f t="shared" si="176"/>
        <v/>
      </c>
      <c r="BF353" s="268"/>
      <c r="BG353" s="256" t="str">
        <f t="shared" si="177"/>
        <v/>
      </c>
      <c r="BH353" s="256" t="str">
        <f t="shared" si="178"/>
        <v/>
      </c>
      <c r="BI353" s="256" t="str">
        <f t="shared" si="179"/>
        <v/>
      </c>
      <c r="BJ353" s="267"/>
      <c r="BK353" s="255"/>
      <c r="BL353" s="259" t="str">
        <f>IF(BK353&lt;&gt;"",BK353/VLOOKUP($V353,Setup!$C$30:$D$41,2,0),"")</f>
        <v/>
      </c>
      <c r="BM353" s="268"/>
      <c r="BN353" s="258" t="str">
        <f t="shared" si="180"/>
        <v/>
      </c>
      <c r="BO353" s="268"/>
      <c r="BP353" s="258" t="str">
        <f t="shared" si="181"/>
        <v/>
      </c>
      <c r="BQ353" s="268"/>
      <c r="BR353" s="258" t="str">
        <f t="shared" si="182"/>
        <v/>
      </c>
      <c r="BS353" s="268"/>
      <c r="BT353" s="256" t="str">
        <f t="shared" si="183"/>
        <v/>
      </c>
      <c r="BU353" s="256" t="str">
        <f t="shared" si="184"/>
        <v/>
      </c>
      <c r="BV353" s="256" t="str">
        <f t="shared" si="185"/>
        <v/>
      </c>
      <c r="BW353" s="267"/>
      <c r="BX353" s="256" t="str">
        <f t="shared" si="186"/>
        <v/>
      </c>
      <c r="BY353" s="256" t="str">
        <f t="shared" si="187"/>
        <v/>
      </c>
      <c r="BZ353" s="281"/>
      <c r="CA353" s="282"/>
      <c r="CC353" s="112" t="str">
        <f t="shared" ca="1" si="188"/>
        <v/>
      </c>
      <c r="CF353" s="284"/>
      <c r="CG353" s="284"/>
      <c r="CH353" s="284"/>
      <c r="CI353" s="284"/>
      <c r="CL353" s="356" t="str">
        <f>IFERROR(VLOOKUP(C353,'Data Sheet'!$A$3:$B$26,2,FALSE),"")</f>
        <v/>
      </c>
    </row>
    <row r="354" spans="1:90" s="98" customFormat="1" ht="15.75" x14ac:dyDescent="0.2">
      <c r="A354" s="97"/>
      <c r="B354" s="105" t="str">
        <f t="shared" si="191"/>
        <v>--</v>
      </c>
      <c r="C354" s="276"/>
      <c r="D354" s="101" t="str">
        <f>IFERROR(IF(VLOOKUP(C354,'Data Sheet'!$A$3:$D$26,4,FALSE)=0,"",VLOOKUP(C354,'Data Sheet'!$A$3:$D$26,4,FALSE)),"")</f>
        <v/>
      </c>
      <c r="E354" s="279"/>
      <c r="F354" s="103" t="str">
        <f>IFERROR(IF(VLOOKUP(E354,'Data Sheet'!$C$29:$E$174,3,FALSE)=0,"",VLOOKUP(E354,'Data Sheet'!$C$29:$E$174,3,FALSE)),"")</f>
        <v/>
      </c>
      <c r="G354" s="106" t="str">
        <f t="shared" si="189"/>
        <v>-</v>
      </c>
      <c r="H354" s="273"/>
      <c r="I354" s="107"/>
      <c r="J354" s="249" t="e">
        <f t="shared" si="190"/>
        <v>#VALUE!</v>
      </c>
      <c r="K354" s="101" t="str">
        <f>IFERROR(INDEX('Data Sheet'!$C$198:$C$275,MATCH(I354,'Data Sheet'!$F$198:$F$275,0)),"")</f>
        <v/>
      </c>
      <c r="L354" s="250" t="str">
        <f>IFERROR(INDEX('Data Sheet'!$G$198:$G$275,MATCH(I354,'Data Sheet'!$F$198:$F$275,0)),"")</f>
        <v/>
      </c>
      <c r="M354" s="194"/>
      <c r="N354" s="248"/>
      <c r="O354" s="248"/>
      <c r="P354" s="108" t="str">
        <f>IFERROR(INDEX(Setup!$D$44:$D$70,MATCH(M354,Setup!$K$44:$K$70,0))&amp;"","")</f>
        <v/>
      </c>
      <c r="Q354" s="108" t="str">
        <f>IFERROR(INDEX(Setup!$E$44:$E$70,MATCH(M354,Setup!$K$44:$K$70,0))&amp;"","")</f>
        <v/>
      </c>
      <c r="R354" s="108" t="str">
        <f>IFERROR(INDEX(Setup!$L$44:$L$70,MATCH(M354,Setup!$K$44:$K$70,0))&amp;"","")</f>
        <v/>
      </c>
      <c r="S354" s="108" t="str">
        <f>Setup!$C$30</f>
        <v>USD</v>
      </c>
      <c r="T354" s="109" t="str">
        <f>IFERROR(INDEX('Data Sheet'!$B$198:$B$275,MATCH(I354,'Data Sheet'!$F$198:$F$275,0)),"")</f>
        <v/>
      </c>
      <c r="U354" s="110" t="str">
        <f>IFERROR(INDEX('Data Sheet'!$D$198:$D$275,MATCH(I354,'Data Sheet'!$F$198:$F$275,0)),"")</f>
        <v/>
      </c>
      <c r="V354" s="99"/>
      <c r="W354" s="195" t="str">
        <f>IF(V354=Setup!$C$30,"Grant",IF(V354=Setup!$C$31,"Local",IF(V354=Setup!$C$32,"Other",IF(ISBLANK(V354),"","Other"))))</f>
        <v/>
      </c>
      <c r="X354" s="255"/>
      <c r="Y354" s="259" t="str">
        <f>IF(X354&lt;&gt;"",X354/VLOOKUP($V354,Setup!$C$30:$D$41,2,0),"")</f>
        <v/>
      </c>
      <c r="Z354" s="262"/>
      <c r="AA354" s="256" t="str">
        <f t="shared" si="162"/>
        <v/>
      </c>
      <c r="AB354" s="262"/>
      <c r="AC354" s="258" t="str">
        <f t="shared" si="163"/>
        <v/>
      </c>
      <c r="AD354" s="262"/>
      <c r="AE354" s="258" t="str">
        <f t="shared" si="164"/>
        <v/>
      </c>
      <c r="AF354" s="262"/>
      <c r="AG354" s="256" t="str">
        <f t="shared" si="165"/>
        <v/>
      </c>
      <c r="AH354" s="256" t="str">
        <f t="shared" si="166"/>
        <v/>
      </c>
      <c r="AI354" s="256" t="str">
        <f t="shared" si="167"/>
        <v/>
      </c>
      <c r="AJ354" s="111"/>
      <c r="AK354" s="255"/>
      <c r="AL354" s="259" t="str">
        <f>IF(AK354&lt;&gt;"",AK354/VLOOKUP($V354,Setup!$C$30:$D$41,2,0),"")</f>
        <v/>
      </c>
      <c r="AM354" s="266"/>
      <c r="AN354" s="258" t="str">
        <f t="shared" si="168"/>
        <v/>
      </c>
      <c r="AO354" s="266"/>
      <c r="AP354" s="258" t="str">
        <f t="shared" si="169"/>
        <v/>
      </c>
      <c r="AQ354" s="266"/>
      <c r="AR354" s="258" t="str">
        <f t="shared" si="170"/>
        <v/>
      </c>
      <c r="AS354" s="266"/>
      <c r="AT354" s="256" t="str">
        <f t="shared" si="171"/>
        <v/>
      </c>
      <c r="AU354" s="256" t="str">
        <f t="shared" si="172"/>
        <v/>
      </c>
      <c r="AV354" s="256" t="str">
        <f t="shared" si="173"/>
        <v/>
      </c>
      <c r="AW354" s="267"/>
      <c r="AX354" s="255"/>
      <c r="AY354" s="259" t="str">
        <f>IF(AX354&lt;&gt;"",AX354/VLOOKUP($V354,Setup!$C$30:$D$41,2,0),"")</f>
        <v/>
      </c>
      <c r="AZ354" s="268"/>
      <c r="BA354" s="258" t="str">
        <f t="shared" si="174"/>
        <v/>
      </c>
      <c r="BB354" s="268"/>
      <c r="BC354" s="258" t="str">
        <f t="shared" si="175"/>
        <v/>
      </c>
      <c r="BD354" s="268"/>
      <c r="BE354" s="258" t="str">
        <f t="shared" si="176"/>
        <v/>
      </c>
      <c r="BF354" s="268"/>
      <c r="BG354" s="256" t="str">
        <f t="shared" si="177"/>
        <v/>
      </c>
      <c r="BH354" s="256" t="str">
        <f t="shared" si="178"/>
        <v/>
      </c>
      <c r="BI354" s="256" t="str">
        <f t="shared" si="179"/>
        <v/>
      </c>
      <c r="BJ354" s="267"/>
      <c r="BK354" s="255"/>
      <c r="BL354" s="259" t="str">
        <f>IF(BK354&lt;&gt;"",BK354/VLOOKUP($V354,Setup!$C$30:$D$41,2,0),"")</f>
        <v/>
      </c>
      <c r="BM354" s="268"/>
      <c r="BN354" s="258" t="str">
        <f t="shared" si="180"/>
        <v/>
      </c>
      <c r="BO354" s="268"/>
      <c r="BP354" s="258" t="str">
        <f t="shared" si="181"/>
        <v/>
      </c>
      <c r="BQ354" s="268"/>
      <c r="BR354" s="258" t="str">
        <f t="shared" si="182"/>
        <v/>
      </c>
      <c r="BS354" s="268"/>
      <c r="BT354" s="256" t="str">
        <f t="shared" si="183"/>
        <v/>
      </c>
      <c r="BU354" s="256" t="str">
        <f t="shared" si="184"/>
        <v/>
      </c>
      <c r="BV354" s="256" t="str">
        <f t="shared" si="185"/>
        <v/>
      </c>
      <c r="BW354" s="267"/>
      <c r="BX354" s="256" t="str">
        <f t="shared" si="186"/>
        <v/>
      </c>
      <c r="BY354" s="256" t="str">
        <f t="shared" si="187"/>
        <v/>
      </c>
      <c r="BZ354" s="281"/>
      <c r="CA354" s="282"/>
      <c r="CC354" s="112" t="str">
        <f t="shared" ca="1" si="188"/>
        <v/>
      </c>
      <c r="CF354" s="284"/>
      <c r="CG354" s="284"/>
      <c r="CH354" s="284"/>
      <c r="CI354" s="284"/>
      <c r="CL354" s="356" t="str">
        <f>IFERROR(VLOOKUP(C354,'Data Sheet'!$A$3:$B$26,2,FALSE),"")</f>
        <v/>
      </c>
    </row>
    <row r="355" spans="1:90" s="98" customFormat="1" ht="15.75" x14ac:dyDescent="0.2">
      <c r="A355" s="97"/>
      <c r="B355" s="105" t="str">
        <f t="shared" si="191"/>
        <v>--</v>
      </c>
      <c r="C355" s="276"/>
      <c r="D355" s="101" t="str">
        <f>IFERROR(IF(VLOOKUP(C355,'Data Sheet'!$A$3:$D$26,4,FALSE)=0,"",VLOOKUP(C355,'Data Sheet'!$A$3:$D$26,4,FALSE)),"")</f>
        <v/>
      </c>
      <c r="E355" s="279"/>
      <c r="F355" s="103" t="str">
        <f>IFERROR(IF(VLOOKUP(E355,'Data Sheet'!$C$29:$E$174,3,FALSE)=0,"",VLOOKUP(E355,'Data Sheet'!$C$29:$E$174,3,FALSE)),"")</f>
        <v/>
      </c>
      <c r="G355" s="106" t="str">
        <f t="shared" si="189"/>
        <v>-</v>
      </c>
      <c r="H355" s="273"/>
      <c r="I355" s="107"/>
      <c r="J355" s="249" t="e">
        <f t="shared" si="190"/>
        <v>#VALUE!</v>
      </c>
      <c r="K355" s="101" t="str">
        <f>IFERROR(INDEX('Data Sheet'!$C$198:$C$275,MATCH(I355,'Data Sheet'!$F$198:$F$275,0)),"")</f>
        <v/>
      </c>
      <c r="L355" s="250" t="str">
        <f>IFERROR(INDEX('Data Sheet'!$G$198:$G$275,MATCH(I355,'Data Sheet'!$F$198:$F$275,0)),"")</f>
        <v/>
      </c>
      <c r="M355" s="194"/>
      <c r="N355" s="248"/>
      <c r="O355" s="248"/>
      <c r="P355" s="108" t="str">
        <f>IFERROR(INDEX(Setup!$D$44:$D$70,MATCH(M355,Setup!$K$44:$K$70,0))&amp;"","")</f>
        <v/>
      </c>
      <c r="Q355" s="108" t="str">
        <f>IFERROR(INDEX(Setup!$E$44:$E$70,MATCH(M355,Setup!$K$44:$K$70,0))&amp;"","")</f>
        <v/>
      </c>
      <c r="R355" s="108" t="str">
        <f>IFERROR(INDEX(Setup!$L$44:$L$70,MATCH(M355,Setup!$K$44:$K$70,0))&amp;"","")</f>
        <v/>
      </c>
      <c r="S355" s="108" t="str">
        <f>Setup!$C$30</f>
        <v>USD</v>
      </c>
      <c r="T355" s="109" t="str">
        <f>IFERROR(INDEX('Data Sheet'!$B$198:$B$275,MATCH(I355,'Data Sheet'!$F$198:$F$275,0)),"")</f>
        <v/>
      </c>
      <c r="U355" s="110" t="str">
        <f>IFERROR(INDEX('Data Sheet'!$D$198:$D$275,MATCH(I355,'Data Sheet'!$F$198:$F$275,0)),"")</f>
        <v/>
      </c>
      <c r="V355" s="99"/>
      <c r="W355" s="195" t="str">
        <f>IF(V355=Setup!$C$30,"Grant",IF(V355=Setup!$C$31,"Local",IF(V355=Setup!$C$32,"Other",IF(ISBLANK(V355),"","Other"))))</f>
        <v/>
      </c>
      <c r="X355" s="255"/>
      <c r="Y355" s="259" t="str">
        <f>IF(X355&lt;&gt;"",X355/VLOOKUP($V355,Setup!$C$30:$D$41,2,0),"")</f>
        <v/>
      </c>
      <c r="Z355" s="262"/>
      <c r="AA355" s="256" t="str">
        <f t="shared" si="162"/>
        <v/>
      </c>
      <c r="AB355" s="262"/>
      <c r="AC355" s="258" t="str">
        <f t="shared" si="163"/>
        <v/>
      </c>
      <c r="AD355" s="262"/>
      <c r="AE355" s="258" t="str">
        <f t="shared" si="164"/>
        <v/>
      </c>
      <c r="AF355" s="262"/>
      <c r="AG355" s="256" t="str">
        <f t="shared" si="165"/>
        <v/>
      </c>
      <c r="AH355" s="256" t="str">
        <f t="shared" si="166"/>
        <v/>
      </c>
      <c r="AI355" s="256" t="str">
        <f t="shared" si="167"/>
        <v/>
      </c>
      <c r="AJ355" s="111"/>
      <c r="AK355" s="255"/>
      <c r="AL355" s="259" t="str">
        <f>IF(AK355&lt;&gt;"",AK355/VLOOKUP($V355,Setup!$C$30:$D$41,2,0),"")</f>
        <v/>
      </c>
      <c r="AM355" s="266"/>
      <c r="AN355" s="258" t="str">
        <f t="shared" si="168"/>
        <v/>
      </c>
      <c r="AO355" s="266"/>
      <c r="AP355" s="258" t="str">
        <f t="shared" si="169"/>
        <v/>
      </c>
      <c r="AQ355" s="266"/>
      <c r="AR355" s="258" t="str">
        <f t="shared" si="170"/>
        <v/>
      </c>
      <c r="AS355" s="266"/>
      <c r="AT355" s="256" t="str">
        <f t="shared" si="171"/>
        <v/>
      </c>
      <c r="AU355" s="256" t="str">
        <f t="shared" si="172"/>
        <v/>
      </c>
      <c r="AV355" s="256" t="str">
        <f t="shared" si="173"/>
        <v/>
      </c>
      <c r="AW355" s="267"/>
      <c r="AX355" s="255"/>
      <c r="AY355" s="259" t="str">
        <f>IF(AX355&lt;&gt;"",AX355/VLOOKUP($V355,Setup!$C$30:$D$41,2,0),"")</f>
        <v/>
      </c>
      <c r="AZ355" s="268"/>
      <c r="BA355" s="258" t="str">
        <f t="shared" si="174"/>
        <v/>
      </c>
      <c r="BB355" s="268"/>
      <c r="BC355" s="258" t="str">
        <f t="shared" si="175"/>
        <v/>
      </c>
      <c r="BD355" s="268"/>
      <c r="BE355" s="258" t="str">
        <f t="shared" si="176"/>
        <v/>
      </c>
      <c r="BF355" s="268"/>
      <c r="BG355" s="256" t="str">
        <f t="shared" si="177"/>
        <v/>
      </c>
      <c r="BH355" s="256" t="str">
        <f t="shared" si="178"/>
        <v/>
      </c>
      <c r="BI355" s="256" t="str">
        <f t="shared" si="179"/>
        <v/>
      </c>
      <c r="BJ355" s="267"/>
      <c r="BK355" s="255"/>
      <c r="BL355" s="259" t="str">
        <f>IF(BK355&lt;&gt;"",BK355/VLOOKUP($V355,Setup!$C$30:$D$41,2,0),"")</f>
        <v/>
      </c>
      <c r="BM355" s="268"/>
      <c r="BN355" s="258" t="str">
        <f t="shared" si="180"/>
        <v/>
      </c>
      <c r="BO355" s="268"/>
      <c r="BP355" s="258" t="str">
        <f t="shared" si="181"/>
        <v/>
      </c>
      <c r="BQ355" s="268"/>
      <c r="BR355" s="258" t="str">
        <f t="shared" si="182"/>
        <v/>
      </c>
      <c r="BS355" s="268"/>
      <c r="BT355" s="256" t="str">
        <f t="shared" si="183"/>
        <v/>
      </c>
      <c r="BU355" s="256" t="str">
        <f t="shared" si="184"/>
        <v/>
      </c>
      <c r="BV355" s="256" t="str">
        <f t="shared" si="185"/>
        <v/>
      </c>
      <c r="BW355" s="267"/>
      <c r="BX355" s="256" t="str">
        <f t="shared" si="186"/>
        <v/>
      </c>
      <c r="BY355" s="256" t="str">
        <f t="shared" si="187"/>
        <v/>
      </c>
      <c r="BZ355" s="281"/>
      <c r="CA355" s="282"/>
      <c r="CC355" s="112" t="str">
        <f t="shared" ca="1" si="188"/>
        <v/>
      </c>
      <c r="CF355" s="284"/>
      <c r="CG355" s="284"/>
      <c r="CH355" s="284"/>
      <c r="CI355" s="284"/>
      <c r="CL355" s="356" t="str">
        <f>IFERROR(VLOOKUP(C355,'Data Sheet'!$A$3:$B$26,2,FALSE),"")</f>
        <v/>
      </c>
    </row>
    <row r="356" spans="1:90" s="98" customFormat="1" ht="15.75" x14ac:dyDescent="0.2">
      <c r="A356" s="97"/>
      <c r="B356" s="105" t="str">
        <f t="shared" si="191"/>
        <v>--</v>
      </c>
      <c r="C356" s="276"/>
      <c r="D356" s="101" t="str">
        <f>IFERROR(IF(VLOOKUP(C356,'Data Sheet'!$A$3:$D$26,4,FALSE)=0,"",VLOOKUP(C356,'Data Sheet'!$A$3:$D$26,4,FALSE)),"")</f>
        <v/>
      </c>
      <c r="E356" s="279"/>
      <c r="F356" s="103" t="str">
        <f>IFERROR(IF(VLOOKUP(E356,'Data Sheet'!$C$29:$E$174,3,FALSE)=0,"",VLOOKUP(E356,'Data Sheet'!$C$29:$E$174,3,FALSE)),"")</f>
        <v/>
      </c>
      <c r="G356" s="106" t="str">
        <f t="shared" si="189"/>
        <v>-</v>
      </c>
      <c r="H356" s="273"/>
      <c r="I356" s="107"/>
      <c r="J356" s="249" t="e">
        <f t="shared" si="190"/>
        <v>#VALUE!</v>
      </c>
      <c r="K356" s="101" t="str">
        <f>IFERROR(INDEX('Data Sheet'!$C$198:$C$275,MATCH(I356,'Data Sheet'!$F$198:$F$275,0)),"")</f>
        <v/>
      </c>
      <c r="L356" s="250" t="str">
        <f>IFERROR(INDEX('Data Sheet'!$G$198:$G$275,MATCH(I356,'Data Sheet'!$F$198:$F$275,0)),"")</f>
        <v/>
      </c>
      <c r="M356" s="194"/>
      <c r="N356" s="248"/>
      <c r="O356" s="248"/>
      <c r="P356" s="108" t="str">
        <f>IFERROR(INDEX(Setup!$D$44:$D$70,MATCH(M356,Setup!$K$44:$K$70,0))&amp;"","")</f>
        <v/>
      </c>
      <c r="Q356" s="108" t="str">
        <f>IFERROR(INDEX(Setup!$E$44:$E$70,MATCH(M356,Setup!$K$44:$K$70,0))&amp;"","")</f>
        <v/>
      </c>
      <c r="R356" s="108" t="str">
        <f>IFERROR(INDEX(Setup!$L$44:$L$70,MATCH(M356,Setup!$K$44:$K$70,0))&amp;"","")</f>
        <v/>
      </c>
      <c r="S356" s="108" t="str">
        <f>Setup!$C$30</f>
        <v>USD</v>
      </c>
      <c r="T356" s="109" t="str">
        <f>IFERROR(INDEX('Data Sheet'!$B$198:$B$275,MATCH(I356,'Data Sheet'!$F$198:$F$275,0)),"")</f>
        <v/>
      </c>
      <c r="U356" s="110" t="str">
        <f>IFERROR(INDEX('Data Sheet'!$D$198:$D$275,MATCH(I356,'Data Sheet'!$F$198:$F$275,0)),"")</f>
        <v/>
      </c>
      <c r="V356" s="99"/>
      <c r="W356" s="195" t="str">
        <f>IF(V356=Setup!$C$30,"Grant",IF(V356=Setup!$C$31,"Local",IF(V356=Setup!$C$32,"Other",IF(ISBLANK(V356),"","Other"))))</f>
        <v/>
      </c>
      <c r="X356" s="255"/>
      <c r="Y356" s="259" t="str">
        <f>IF(X356&lt;&gt;"",X356/VLOOKUP($V356,Setup!$C$30:$D$41,2,0),"")</f>
        <v/>
      </c>
      <c r="Z356" s="262"/>
      <c r="AA356" s="256" t="str">
        <f t="shared" si="162"/>
        <v/>
      </c>
      <c r="AB356" s="262"/>
      <c r="AC356" s="258" t="str">
        <f t="shared" si="163"/>
        <v/>
      </c>
      <c r="AD356" s="262"/>
      <c r="AE356" s="258" t="str">
        <f t="shared" si="164"/>
        <v/>
      </c>
      <c r="AF356" s="262"/>
      <c r="AG356" s="256" t="str">
        <f t="shared" si="165"/>
        <v/>
      </c>
      <c r="AH356" s="256" t="str">
        <f t="shared" si="166"/>
        <v/>
      </c>
      <c r="AI356" s="256" t="str">
        <f t="shared" si="167"/>
        <v/>
      </c>
      <c r="AJ356" s="111"/>
      <c r="AK356" s="255"/>
      <c r="AL356" s="259" t="str">
        <f>IF(AK356&lt;&gt;"",AK356/VLOOKUP($V356,Setup!$C$30:$D$41,2,0),"")</f>
        <v/>
      </c>
      <c r="AM356" s="266"/>
      <c r="AN356" s="258" t="str">
        <f t="shared" si="168"/>
        <v/>
      </c>
      <c r="AO356" s="266"/>
      <c r="AP356" s="258" t="str">
        <f t="shared" si="169"/>
        <v/>
      </c>
      <c r="AQ356" s="266"/>
      <c r="AR356" s="258" t="str">
        <f t="shared" si="170"/>
        <v/>
      </c>
      <c r="AS356" s="266"/>
      <c r="AT356" s="256" t="str">
        <f t="shared" si="171"/>
        <v/>
      </c>
      <c r="AU356" s="256" t="str">
        <f t="shared" si="172"/>
        <v/>
      </c>
      <c r="AV356" s="256" t="str">
        <f t="shared" si="173"/>
        <v/>
      </c>
      <c r="AW356" s="267"/>
      <c r="AX356" s="255"/>
      <c r="AY356" s="259" t="str">
        <f>IF(AX356&lt;&gt;"",AX356/VLOOKUP($V356,Setup!$C$30:$D$41,2,0),"")</f>
        <v/>
      </c>
      <c r="AZ356" s="268"/>
      <c r="BA356" s="258" t="str">
        <f t="shared" si="174"/>
        <v/>
      </c>
      <c r="BB356" s="268"/>
      <c r="BC356" s="258" t="str">
        <f t="shared" si="175"/>
        <v/>
      </c>
      <c r="BD356" s="268"/>
      <c r="BE356" s="258" t="str">
        <f t="shared" si="176"/>
        <v/>
      </c>
      <c r="BF356" s="268"/>
      <c r="BG356" s="256" t="str">
        <f t="shared" si="177"/>
        <v/>
      </c>
      <c r="BH356" s="256" t="str">
        <f t="shared" si="178"/>
        <v/>
      </c>
      <c r="BI356" s="256" t="str">
        <f t="shared" si="179"/>
        <v/>
      </c>
      <c r="BJ356" s="267"/>
      <c r="BK356" s="255"/>
      <c r="BL356" s="259" t="str">
        <f>IF(BK356&lt;&gt;"",BK356/VLOOKUP($V356,Setup!$C$30:$D$41,2,0),"")</f>
        <v/>
      </c>
      <c r="BM356" s="268"/>
      <c r="BN356" s="258" t="str">
        <f t="shared" si="180"/>
        <v/>
      </c>
      <c r="BO356" s="268"/>
      <c r="BP356" s="258" t="str">
        <f t="shared" si="181"/>
        <v/>
      </c>
      <c r="BQ356" s="268"/>
      <c r="BR356" s="258" t="str">
        <f t="shared" si="182"/>
        <v/>
      </c>
      <c r="BS356" s="268"/>
      <c r="BT356" s="256" t="str">
        <f t="shared" si="183"/>
        <v/>
      </c>
      <c r="BU356" s="256" t="str">
        <f t="shared" si="184"/>
        <v/>
      </c>
      <c r="BV356" s="256" t="str">
        <f t="shared" si="185"/>
        <v/>
      </c>
      <c r="BW356" s="267"/>
      <c r="BX356" s="256" t="str">
        <f t="shared" si="186"/>
        <v/>
      </c>
      <c r="BY356" s="256" t="str">
        <f t="shared" si="187"/>
        <v/>
      </c>
      <c r="BZ356" s="281"/>
      <c r="CA356" s="282"/>
      <c r="CC356" s="112" t="str">
        <f t="shared" ca="1" si="188"/>
        <v/>
      </c>
      <c r="CF356" s="284"/>
      <c r="CG356" s="284"/>
      <c r="CH356" s="284"/>
      <c r="CI356" s="284"/>
      <c r="CL356" s="356" t="str">
        <f>IFERROR(VLOOKUP(C356,'Data Sheet'!$A$3:$B$26,2,FALSE),"")</f>
        <v/>
      </c>
    </row>
    <row r="357" spans="1:90" s="98" customFormat="1" ht="15.75" x14ac:dyDescent="0.2">
      <c r="A357" s="97"/>
      <c r="B357" s="105" t="str">
        <f t="shared" si="191"/>
        <v>--</v>
      </c>
      <c r="C357" s="276"/>
      <c r="D357" s="101" t="str">
        <f>IFERROR(IF(VLOOKUP(C357,'Data Sheet'!$A$3:$D$26,4,FALSE)=0,"",VLOOKUP(C357,'Data Sheet'!$A$3:$D$26,4,FALSE)),"")</f>
        <v/>
      </c>
      <c r="E357" s="279"/>
      <c r="F357" s="103" t="str">
        <f>IFERROR(IF(VLOOKUP(E357,'Data Sheet'!$C$29:$E$174,3,FALSE)=0,"",VLOOKUP(E357,'Data Sheet'!$C$29:$E$174,3,FALSE)),"")</f>
        <v/>
      </c>
      <c r="G357" s="106" t="str">
        <f t="shared" si="189"/>
        <v>-</v>
      </c>
      <c r="H357" s="273"/>
      <c r="I357" s="107"/>
      <c r="J357" s="249" t="e">
        <f t="shared" si="190"/>
        <v>#VALUE!</v>
      </c>
      <c r="K357" s="101" t="str">
        <f>IFERROR(INDEX('Data Sheet'!$C$198:$C$275,MATCH(I357,'Data Sheet'!$F$198:$F$275,0)),"")</f>
        <v/>
      </c>
      <c r="L357" s="250" t="str">
        <f>IFERROR(INDEX('Data Sheet'!$G$198:$G$275,MATCH(I357,'Data Sheet'!$F$198:$F$275,0)),"")</f>
        <v/>
      </c>
      <c r="M357" s="194"/>
      <c r="N357" s="248"/>
      <c r="O357" s="248"/>
      <c r="P357" s="108" t="str">
        <f>IFERROR(INDEX(Setup!$D$44:$D$70,MATCH(M357,Setup!$K$44:$K$70,0))&amp;"","")</f>
        <v/>
      </c>
      <c r="Q357" s="108" t="str">
        <f>IFERROR(INDEX(Setup!$E$44:$E$70,MATCH(M357,Setup!$K$44:$K$70,0))&amp;"","")</f>
        <v/>
      </c>
      <c r="R357" s="108" t="str">
        <f>IFERROR(INDEX(Setup!$L$44:$L$70,MATCH(M357,Setup!$K$44:$K$70,0))&amp;"","")</f>
        <v/>
      </c>
      <c r="S357" s="108" t="str">
        <f>Setup!$C$30</f>
        <v>USD</v>
      </c>
      <c r="T357" s="109" t="str">
        <f>IFERROR(INDEX('Data Sheet'!$B$198:$B$275,MATCH(I357,'Data Sheet'!$F$198:$F$275,0)),"")</f>
        <v/>
      </c>
      <c r="U357" s="110" t="str">
        <f>IFERROR(INDEX('Data Sheet'!$D$198:$D$275,MATCH(I357,'Data Sheet'!$F$198:$F$275,0)),"")</f>
        <v/>
      </c>
      <c r="V357" s="99"/>
      <c r="W357" s="195" t="str">
        <f>IF(V357=Setup!$C$30,"Grant",IF(V357=Setup!$C$31,"Local",IF(V357=Setup!$C$32,"Other",IF(ISBLANK(V357),"","Other"))))</f>
        <v/>
      </c>
      <c r="X357" s="255"/>
      <c r="Y357" s="259" t="str">
        <f>IF(X357&lt;&gt;"",X357/VLOOKUP($V357,Setup!$C$30:$D$41,2,0),"")</f>
        <v/>
      </c>
      <c r="Z357" s="262"/>
      <c r="AA357" s="256" t="str">
        <f t="shared" si="162"/>
        <v/>
      </c>
      <c r="AB357" s="262"/>
      <c r="AC357" s="258" t="str">
        <f t="shared" si="163"/>
        <v/>
      </c>
      <c r="AD357" s="262"/>
      <c r="AE357" s="258" t="str">
        <f t="shared" si="164"/>
        <v/>
      </c>
      <c r="AF357" s="262"/>
      <c r="AG357" s="256" t="str">
        <f t="shared" si="165"/>
        <v/>
      </c>
      <c r="AH357" s="256" t="str">
        <f t="shared" si="166"/>
        <v/>
      </c>
      <c r="AI357" s="256" t="str">
        <f t="shared" si="167"/>
        <v/>
      </c>
      <c r="AJ357" s="111"/>
      <c r="AK357" s="255"/>
      <c r="AL357" s="259" t="str">
        <f>IF(AK357&lt;&gt;"",AK357/VLOOKUP($V357,Setup!$C$30:$D$41,2,0),"")</f>
        <v/>
      </c>
      <c r="AM357" s="266"/>
      <c r="AN357" s="258" t="str">
        <f t="shared" si="168"/>
        <v/>
      </c>
      <c r="AO357" s="266"/>
      <c r="AP357" s="258" t="str">
        <f t="shared" si="169"/>
        <v/>
      </c>
      <c r="AQ357" s="266"/>
      <c r="AR357" s="258" t="str">
        <f t="shared" si="170"/>
        <v/>
      </c>
      <c r="AS357" s="266"/>
      <c r="AT357" s="256" t="str">
        <f t="shared" si="171"/>
        <v/>
      </c>
      <c r="AU357" s="256" t="str">
        <f t="shared" si="172"/>
        <v/>
      </c>
      <c r="AV357" s="256" t="str">
        <f t="shared" si="173"/>
        <v/>
      </c>
      <c r="AW357" s="267"/>
      <c r="AX357" s="255"/>
      <c r="AY357" s="259" t="str">
        <f>IF(AX357&lt;&gt;"",AX357/VLOOKUP($V357,Setup!$C$30:$D$41,2,0),"")</f>
        <v/>
      </c>
      <c r="AZ357" s="268"/>
      <c r="BA357" s="258" t="str">
        <f t="shared" si="174"/>
        <v/>
      </c>
      <c r="BB357" s="268"/>
      <c r="BC357" s="258" t="str">
        <f t="shared" si="175"/>
        <v/>
      </c>
      <c r="BD357" s="268"/>
      <c r="BE357" s="258" t="str">
        <f t="shared" si="176"/>
        <v/>
      </c>
      <c r="BF357" s="268"/>
      <c r="BG357" s="256" t="str">
        <f t="shared" si="177"/>
        <v/>
      </c>
      <c r="BH357" s="256" t="str">
        <f t="shared" si="178"/>
        <v/>
      </c>
      <c r="BI357" s="256" t="str">
        <f t="shared" si="179"/>
        <v/>
      </c>
      <c r="BJ357" s="267"/>
      <c r="BK357" s="255"/>
      <c r="BL357" s="259" t="str">
        <f>IF(BK357&lt;&gt;"",BK357/VLOOKUP($V357,Setup!$C$30:$D$41,2,0),"")</f>
        <v/>
      </c>
      <c r="BM357" s="268"/>
      <c r="BN357" s="258" t="str">
        <f t="shared" si="180"/>
        <v/>
      </c>
      <c r="BO357" s="268"/>
      <c r="BP357" s="258" t="str">
        <f t="shared" si="181"/>
        <v/>
      </c>
      <c r="BQ357" s="268"/>
      <c r="BR357" s="258" t="str">
        <f t="shared" si="182"/>
        <v/>
      </c>
      <c r="BS357" s="268"/>
      <c r="BT357" s="256" t="str">
        <f t="shared" si="183"/>
        <v/>
      </c>
      <c r="BU357" s="256" t="str">
        <f t="shared" si="184"/>
        <v/>
      </c>
      <c r="BV357" s="256" t="str">
        <f t="shared" si="185"/>
        <v/>
      </c>
      <c r="BW357" s="267"/>
      <c r="BX357" s="256" t="str">
        <f t="shared" si="186"/>
        <v/>
      </c>
      <c r="BY357" s="256" t="str">
        <f t="shared" si="187"/>
        <v/>
      </c>
      <c r="BZ357" s="281"/>
      <c r="CA357" s="282"/>
      <c r="CC357" s="112" t="str">
        <f t="shared" ca="1" si="188"/>
        <v/>
      </c>
      <c r="CF357" s="284"/>
      <c r="CG357" s="284"/>
      <c r="CH357" s="284"/>
      <c r="CI357" s="284"/>
      <c r="CL357" s="356" t="str">
        <f>IFERROR(VLOOKUP(C357,'Data Sheet'!$A$3:$B$26,2,FALSE),"")</f>
        <v/>
      </c>
    </row>
    <row r="358" spans="1:90" s="98" customFormat="1" ht="15.75" x14ac:dyDescent="0.2">
      <c r="A358" s="97"/>
      <c r="B358" s="105" t="str">
        <f t="shared" si="191"/>
        <v>--</v>
      </c>
      <c r="C358" s="276"/>
      <c r="D358" s="101" t="str">
        <f>IFERROR(IF(VLOOKUP(C358,'Data Sheet'!$A$3:$D$26,4,FALSE)=0,"",VLOOKUP(C358,'Data Sheet'!$A$3:$D$26,4,FALSE)),"")</f>
        <v/>
      </c>
      <c r="E358" s="279"/>
      <c r="F358" s="103" t="str">
        <f>IFERROR(IF(VLOOKUP(E358,'Data Sheet'!$C$29:$E$174,3,FALSE)=0,"",VLOOKUP(E358,'Data Sheet'!$C$29:$E$174,3,FALSE)),"")</f>
        <v/>
      </c>
      <c r="G358" s="106" t="str">
        <f t="shared" si="189"/>
        <v>-</v>
      </c>
      <c r="H358" s="273"/>
      <c r="I358" s="107"/>
      <c r="J358" s="249" t="e">
        <f t="shared" si="190"/>
        <v>#VALUE!</v>
      </c>
      <c r="K358" s="101" t="str">
        <f>IFERROR(INDEX('Data Sheet'!$C$198:$C$275,MATCH(I358,'Data Sheet'!$F$198:$F$275,0)),"")</f>
        <v/>
      </c>
      <c r="L358" s="250" t="str">
        <f>IFERROR(INDEX('Data Sheet'!$G$198:$G$275,MATCH(I358,'Data Sheet'!$F$198:$F$275,0)),"")</f>
        <v/>
      </c>
      <c r="M358" s="194"/>
      <c r="N358" s="248"/>
      <c r="O358" s="248"/>
      <c r="P358" s="108" t="str">
        <f>IFERROR(INDEX(Setup!$D$44:$D$70,MATCH(M358,Setup!$K$44:$K$70,0))&amp;"","")</f>
        <v/>
      </c>
      <c r="Q358" s="108" t="str">
        <f>IFERROR(INDEX(Setup!$E$44:$E$70,MATCH(M358,Setup!$K$44:$K$70,0))&amp;"","")</f>
        <v/>
      </c>
      <c r="R358" s="108" t="str">
        <f>IFERROR(INDEX(Setup!$L$44:$L$70,MATCH(M358,Setup!$K$44:$K$70,0))&amp;"","")</f>
        <v/>
      </c>
      <c r="S358" s="108" t="str">
        <f>Setup!$C$30</f>
        <v>USD</v>
      </c>
      <c r="T358" s="109" t="str">
        <f>IFERROR(INDEX('Data Sheet'!$B$198:$B$275,MATCH(I358,'Data Sheet'!$F$198:$F$275,0)),"")</f>
        <v/>
      </c>
      <c r="U358" s="110" t="str">
        <f>IFERROR(INDEX('Data Sheet'!$D$198:$D$275,MATCH(I358,'Data Sheet'!$F$198:$F$275,0)),"")</f>
        <v/>
      </c>
      <c r="V358" s="99"/>
      <c r="W358" s="195" t="str">
        <f>IF(V358=Setup!$C$30,"Grant",IF(V358=Setup!$C$31,"Local",IF(V358=Setup!$C$32,"Other",IF(ISBLANK(V358),"","Other"))))</f>
        <v/>
      </c>
      <c r="X358" s="255"/>
      <c r="Y358" s="259" t="str">
        <f>IF(X358&lt;&gt;"",X358/VLOOKUP($V358,Setup!$C$30:$D$41,2,0),"")</f>
        <v/>
      </c>
      <c r="Z358" s="262"/>
      <c r="AA358" s="256" t="str">
        <f t="shared" si="162"/>
        <v/>
      </c>
      <c r="AB358" s="262"/>
      <c r="AC358" s="258" t="str">
        <f t="shared" si="163"/>
        <v/>
      </c>
      <c r="AD358" s="262"/>
      <c r="AE358" s="258" t="str">
        <f t="shared" si="164"/>
        <v/>
      </c>
      <c r="AF358" s="262"/>
      <c r="AG358" s="256" t="str">
        <f t="shared" si="165"/>
        <v/>
      </c>
      <c r="AH358" s="256" t="str">
        <f t="shared" si="166"/>
        <v/>
      </c>
      <c r="AI358" s="256" t="str">
        <f t="shared" si="167"/>
        <v/>
      </c>
      <c r="AJ358" s="111"/>
      <c r="AK358" s="255"/>
      <c r="AL358" s="259" t="str">
        <f>IF(AK358&lt;&gt;"",AK358/VLOOKUP($V358,Setup!$C$30:$D$41,2,0),"")</f>
        <v/>
      </c>
      <c r="AM358" s="266"/>
      <c r="AN358" s="258" t="str">
        <f t="shared" si="168"/>
        <v/>
      </c>
      <c r="AO358" s="266"/>
      <c r="AP358" s="258" t="str">
        <f t="shared" si="169"/>
        <v/>
      </c>
      <c r="AQ358" s="266"/>
      <c r="AR358" s="258" t="str">
        <f t="shared" si="170"/>
        <v/>
      </c>
      <c r="AS358" s="266"/>
      <c r="AT358" s="256" t="str">
        <f t="shared" si="171"/>
        <v/>
      </c>
      <c r="AU358" s="256" t="str">
        <f t="shared" si="172"/>
        <v/>
      </c>
      <c r="AV358" s="256" t="str">
        <f t="shared" si="173"/>
        <v/>
      </c>
      <c r="AW358" s="267"/>
      <c r="AX358" s="255"/>
      <c r="AY358" s="259" t="str">
        <f>IF(AX358&lt;&gt;"",AX358/VLOOKUP($V358,Setup!$C$30:$D$41,2,0),"")</f>
        <v/>
      </c>
      <c r="AZ358" s="268"/>
      <c r="BA358" s="258" t="str">
        <f t="shared" si="174"/>
        <v/>
      </c>
      <c r="BB358" s="268"/>
      <c r="BC358" s="258" t="str">
        <f t="shared" si="175"/>
        <v/>
      </c>
      <c r="BD358" s="268"/>
      <c r="BE358" s="258" t="str">
        <f t="shared" si="176"/>
        <v/>
      </c>
      <c r="BF358" s="268"/>
      <c r="BG358" s="256" t="str">
        <f t="shared" si="177"/>
        <v/>
      </c>
      <c r="BH358" s="256" t="str">
        <f t="shared" si="178"/>
        <v/>
      </c>
      <c r="BI358" s="256" t="str">
        <f t="shared" si="179"/>
        <v/>
      </c>
      <c r="BJ358" s="267"/>
      <c r="BK358" s="255"/>
      <c r="BL358" s="259" t="str">
        <f>IF(BK358&lt;&gt;"",BK358/VLOOKUP($V358,Setup!$C$30:$D$41,2,0),"")</f>
        <v/>
      </c>
      <c r="BM358" s="268"/>
      <c r="BN358" s="258" t="str">
        <f t="shared" si="180"/>
        <v/>
      </c>
      <c r="BO358" s="268"/>
      <c r="BP358" s="258" t="str">
        <f t="shared" si="181"/>
        <v/>
      </c>
      <c r="BQ358" s="268"/>
      <c r="BR358" s="258" t="str">
        <f t="shared" si="182"/>
        <v/>
      </c>
      <c r="BS358" s="268"/>
      <c r="BT358" s="256" t="str">
        <f t="shared" si="183"/>
        <v/>
      </c>
      <c r="BU358" s="256" t="str">
        <f t="shared" si="184"/>
        <v/>
      </c>
      <c r="BV358" s="256" t="str">
        <f t="shared" si="185"/>
        <v/>
      </c>
      <c r="BW358" s="267"/>
      <c r="BX358" s="256" t="str">
        <f t="shared" si="186"/>
        <v/>
      </c>
      <c r="BY358" s="256" t="str">
        <f t="shared" si="187"/>
        <v/>
      </c>
      <c r="BZ358" s="281"/>
      <c r="CA358" s="282"/>
      <c r="CC358" s="112" t="str">
        <f t="shared" ca="1" si="188"/>
        <v/>
      </c>
      <c r="CF358" s="284"/>
      <c r="CG358" s="284"/>
      <c r="CH358" s="284"/>
      <c r="CI358" s="284"/>
      <c r="CL358" s="356" t="str">
        <f>IFERROR(VLOOKUP(C358,'Data Sheet'!$A$3:$B$26,2,FALSE),"")</f>
        <v/>
      </c>
    </row>
    <row r="359" spans="1:90" s="98" customFormat="1" ht="15.75" x14ac:dyDescent="0.2">
      <c r="A359" s="97"/>
      <c r="B359" s="105" t="str">
        <f t="shared" si="191"/>
        <v>--</v>
      </c>
      <c r="C359" s="276"/>
      <c r="D359" s="101" t="str">
        <f>IFERROR(IF(VLOOKUP(C359,'Data Sheet'!$A$3:$D$26,4,FALSE)=0,"",VLOOKUP(C359,'Data Sheet'!$A$3:$D$26,4,FALSE)),"")</f>
        <v/>
      </c>
      <c r="E359" s="279"/>
      <c r="F359" s="103" t="str">
        <f>IFERROR(IF(VLOOKUP(E359,'Data Sheet'!$C$29:$E$174,3,FALSE)=0,"",VLOOKUP(E359,'Data Sheet'!$C$29:$E$174,3,FALSE)),"")</f>
        <v/>
      </c>
      <c r="G359" s="106" t="str">
        <f t="shared" si="189"/>
        <v>-</v>
      </c>
      <c r="H359" s="273"/>
      <c r="I359" s="107"/>
      <c r="J359" s="249" t="e">
        <f t="shared" si="190"/>
        <v>#VALUE!</v>
      </c>
      <c r="K359" s="101" t="str">
        <f>IFERROR(INDEX('Data Sheet'!$C$198:$C$275,MATCH(I359,'Data Sheet'!$F$198:$F$275,0)),"")</f>
        <v/>
      </c>
      <c r="L359" s="250" t="str">
        <f>IFERROR(INDEX('Data Sheet'!$G$198:$G$275,MATCH(I359,'Data Sheet'!$F$198:$F$275,0)),"")</f>
        <v/>
      </c>
      <c r="M359" s="194"/>
      <c r="N359" s="248"/>
      <c r="O359" s="248"/>
      <c r="P359" s="108" t="str">
        <f>IFERROR(INDEX(Setup!$D$44:$D$70,MATCH(M359,Setup!$K$44:$K$70,0))&amp;"","")</f>
        <v/>
      </c>
      <c r="Q359" s="108" t="str">
        <f>IFERROR(INDEX(Setup!$E$44:$E$70,MATCH(M359,Setup!$K$44:$K$70,0))&amp;"","")</f>
        <v/>
      </c>
      <c r="R359" s="108" t="str">
        <f>IFERROR(INDEX(Setup!$L$44:$L$70,MATCH(M359,Setup!$K$44:$K$70,0))&amp;"","")</f>
        <v/>
      </c>
      <c r="S359" s="108" t="str">
        <f>Setup!$C$30</f>
        <v>USD</v>
      </c>
      <c r="T359" s="109" t="str">
        <f>IFERROR(INDEX('Data Sheet'!$B$198:$B$275,MATCH(I359,'Data Sheet'!$F$198:$F$275,0)),"")</f>
        <v/>
      </c>
      <c r="U359" s="110" t="str">
        <f>IFERROR(INDEX('Data Sheet'!$D$198:$D$275,MATCH(I359,'Data Sheet'!$F$198:$F$275,0)),"")</f>
        <v/>
      </c>
      <c r="V359" s="99"/>
      <c r="W359" s="195" t="str">
        <f>IF(V359=Setup!$C$30,"Grant",IF(V359=Setup!$C$31,"Local",IF(V359=Setup!$C$32,"Other",IF(ISBLANK(V359),"","Other"))))</f>
        <v/>
      </c>
      <c r="X359" s="255"/>
      <c r="Y359" s="259" t="str">
        <f>IF(X359&lt;&gt;"",X359/VLOOKUP($V359,Setup!$C$30:$D$41,2,0),"")</f>
        <v/>
      </c>
      <c r="Z359" s="262"/>
      <c r="AA359" s="256" t="str">
        <f t="shared" si="162"/>
        <v/>
      </c>
      <c r="AB359" s="262"/>
      <c r="AC359" s="258" t="str">
        <f t="shared" si="163"/>
        <v/>
      </c>
      <c r="AD359" s="262"/>
      <c r="AE359" s="258" t="str">
        <f t="shared" si="164"/>
        <v/>
      </c>
      <c r="AF359" s="262"/>
      <c r="AG359" s="256" t="str">
        <f t="shared" si="165"/>
        <v/>
      </c>
      <c r="AH359" s="256" t="str">
        <f t="shared" si="166"/>
        <v/>
      </c>
      <c r="AI359" s="256" t="str">
        <f t="shared" si="167"/>
        <v/>
      </c>
      <c r="AJ359" s="111"/>
      <c r="AK359" s="255"/>
      <c r="AL359" s="259" t="str">
        <f>IF(AK359&lt;&gt;"",AK359/VLOOKUP($V359,Setup!$C$30:$D$41,2,0),"")</f>
        <v/>
      </c>
      <c r="AM359" s="266"/>
      <c r="AN359" s="258" t="str">
        <f t="shared" si="168"/>
        <v/>
      </c>
      <c r="AO359" s="266"/>
      <c r="AP359" s="258" t="str">
        <f t="shared" si="169"/>
        <v/>
      </c>
      <c r="AQ359" s="266"/>
      <c r="AR359" s="258" t="str">
        <f t="shared" si="170"/>
        <v/>
      </c>
      <c r="AS359" s="266"/>
      <c r="AT359" s="256" t="str">
        <f t="shared" si="171"/>
        <v/>
      </c>
      <c r="AU359" s="256" t="str">
        <f t="shared" si="172"/>
        <v/>
      </c>
      <c r="AV359" s="256" t="str">
        <f t="shared" si="173"/>
        <v/>
      </c>
      <c r="AW359" s="267"/>
      <c r="AX359" s="255"/>
      <c r="AY359" s="259" t="str">
        <f>IF(AX359&lt;&gt;"",AX359/VLOOKUP($V359,Setup!$C$30:$D$41,2,0),"")</f>
        <v/>
      </c>
      <c r="AZ359" s="268"/>
      <c r="BA359" s="258" t="str">
        <f t="shared" si="174"/>
        <v/>
      </c>
      <c r="BB359" s="268"/>
      <c r="BC359" s="258" t="str">
        <f t="shared" si="175"/>
        <v/>
      </c>
      <c r="BD359" s="268"/>
      <c r="BE359" s="258" t="str">
        <f t="shared" si="176"/>
        <v/>
      </c>
      <c r="BF359" s="268"/>
      <c r="BG359" s="256" t="str">
        <f t="shared" si="177"/>
        <v/>
      </c>
      <c r="BH359" s="256" t="str">
        <f t="shared" si="178"/>
        <v/>
      </c>
      <c r="BI359" s="256" t="str">
        <f t="shared" si="179"/>
        <v/>
      </c>
      <c r="BJ359" s="267"/>
      <c r="BK359" s="255"/>
      <c r="BL359" s="259" t="str">
        <f>IF(BK359&lt;&gt;"",BK359/VLOOKUP($V359,Setup!$C$30:$D$41,2,0),"")</f>
        <v/>
      </c>
      <c r="BM359" s="268"/>
      <c r="BN359" s="258" t="str">
        <f t="shared" si="180"/>
        <v/>
      </c>
      <c r="BO359" s="268"/>
      <c r="BP359" s="258" t="str">
        <f t="shared" si="181"/>
        <v/>
      </c>
      <c r="BQ359" s="268"/>
      <c r="BR359" s="258" t="str">
        <f t="shared" si="182"/>
        <v/>
      </c>
      <c r="BS359" s="268"/>
      <c r="BT359" s="256" t="str">
        <f t="shared" si="183"/>
        <v/>
      </c>
      <c r="BU359" s="256" t="str">
        <f t="shared" si="184"/>
        <v/>
      </c>
      <c r="BV359" s="256" t="str">
        <f t="shared" si="185"/>
        <v/>
      </c>
      <c r="BW359" s="267"/>
      <c r="BX359" s="256" t="str">
        <f t="shared" si="186"/>
        <v/>
      </c>
      <c r="BY359" s="256" t="str">
        <f t="shared" si="187"/>
        <v/>
      </c>
      <c r="BZ359" s="281"/>
      <c r="CA359" s="282"/>
      <c r="CC359" s="112" t="str">
        <f t="shared" ca="1" si="188"/>
        <v/>
      </c>
      <c r="CF359" s="284"/>
      <c r="CG359" s="284"/>
      <c r="CH359" s="284"/>
      <c r="CI359" s="284"/>
      <c r="CL359" s="356" t="str">
        <f>IFERROR(VLOOKUP(C359,'Data Sheet'!$A$3:$B$26,2,FALSE),"")</f>
        <v/>
      </c>
    </row>
    <row r="360" spans="1:90" s="98" customFormat="1" ht="15.75" x14ac:dyDescent="0.2">
      <c r="A360" s="97"/>
      <c r="B360" s="105" t="str">
        <f t="shared" si="191"/>
        <v>--</v>
      </c>
      <c r="C360" s="276"/>
      <c r="D360" s="101" t="str">
        <f>IFERROR(IF(VLOOKUP(C360,'Data Sheet'!$A$3:$D$26,4,FALSE)=0,"",VLOOKUP(C360,'Data Sheet'!$A$3:$D$26,4,FALSE)),"")</f>
        <v/>
      </c>
      <c r="E360" s="279"/>
      <c r="F360" s="103" t="str">
        <f>IFERROR(IF(VLOOKUP(E360,'Data Sheet'!$C$29:$E$174,3,FALSE)=0,"",VLOOKUP(E360,'Data Sheet'!$C$29:$E$174,3,FALSE)),"")</f>
        <v/>
      </c>
      <c r="G360" s="106" t="str">
        <f t="shared" si="189"/>
        <v>-</v>
      </c>
      <c r="H360" s="273"/>
      <c r="I360" s="107"/>
      <c r="J360" s="249" t="e">
        <f t="shared" si="190"/>
        <v>#VALUE!</v>
      </c>
      <c r="K360" s="101" t="str">
        <f>IFERROR(INDEX('Data Sheet'!$C$198:$C$275,MATCH(I360,'Data Sheet'!$F$198:$F$275,0)),"")</f>
        <v/>
      </c>
      <c r="L360" s="250" t="str">
        <f>IFERROR(INDEX('Data Sheet'!$G$198:$G$275,MATCH(I360,'Data Sheet'!$F$198:$F$275,0)),"")</f>
        <v/>
      </c>
      <c r="M360" s="194"/>
      <c r="N360" s="248"/>
      <c r="O360" s="248"/>
      <c r="P360" s="108" t="str">
        <f>IFERROR(INDEX(Setup!$D$44:$D$70,MATCH(M360,Setup!$K$44:$K$70,0))&amp;"","")</f>
        <v/>
      </c>
      <c r="Q360" s="108" t="str">
        <f>IFERROR(INDEX(Setup!$E$44:$E$70,MATCH(M360,Setup!$K$44:$K$70,0))&amp;"","")</f>
        <v/>
      </c>
      <c r="R360" s="108" t="str">
        <f>IFERROR(INDEX(Setup!$L$44:$L$70,MATCH(M360,Setup!$K$44:$K$70,0))&amp;"","")</f>
        <v/>
      </c>
      <c r="S360" s="108" t="str">
        <f>Setup!$C$30</f>
        <v>USD</v>
      </c>
      <c r="T360" s="109" t="str">
        <f>IFERROR(INDEX('Data Sheet'!$B$198:$B$275,MATCH(I360,'Data Sheet'!$F$198:$F$275,0)),"")</f>
        <v/>
      </c>
      <c r="U360" s="110" t="str">
        <f>IFERROR(INDEX('Data Sheet'!$D$198:$D$275,MATCH(I360,'Data Sheet'!$F$198:$F$275,0)),"")</f>
        <v/>
      </c>
      <c r="V360" s="99"/>
      <c r="W360" s="195" t="str">
        <f>IF(V360=Setup!$C$30,"Grant",IF(V360=Setup!$C$31,"Local",IF(V360=Setup!$C$32,"Other",IF(ISBLANK(V360),"","Other"))))</f>
        <v/>
      </c>
      <c r="X360" s="255"/>
      <c r="Y360" s="259" t="str">
        <f>IF(X360&lt;&gt;"",X360/VLOOKUP($V360,Setup!$C$30:$D$41,2,0),"")</f>
        <v/>
      </c>
      <c r="Z360" s="262"/>
      <c r="AA360" s="256" t="str">
        <f t="shared" si="162"/>
        <v/>
      </c>
      <c r="AB360" s="262"/>
      <c r="AC360" s="258" t="str">
        <f t="shared" si="163"/>
        <v/>
      </c>
      <c r="AD360" s="262"/>
      <c r="AE360" s="258" t="str">
        <f t="shared" si="164"/>
        <v/>
      </c>
      <c r="AF360" s="262"/>
      <c r="AG360" s="256" t="str">
        <f t="shared" si="165"/>
        <v/>
      </c>
      <c r="AH360" s="256" t="str">
        <f t="shared" si="166"/>
        <v/>
      </c>
      <c r="AI360" s="256" t="str">
        <f t="shared" si="167"/>
        <v/>
      </c>
      <c r="AJ360" s="111"/>
      <c r="AK360" s="255"/>
      <c r="AL360" s="259" t="str">
        <f>IF(AK360&lt;&gt;"",AK360/VLOOKUP($V360,Setup!$C$30:$D$41,2,0),"")</f>
        <v/>
      </c>
      <c r="AM360" s="266"/>
      <c r="AN360" s="258" t="str">
        <f t="shared" si="168"/>
        <v/>
      </c>
      <c r="AO360" s="266"/>
      <c r="AP360" s="258" t="str">
        <f t="shared" si="169"/>
        <v/>
      </c>
      <c r="AQ360" s="266"/>
      <c r="AR360" s="258" t="str">
        <f t="shared" si="170"/>
        <v/>
      </c>
      <c r="AS360" s="266"/>
      <c r="AT360" s="256" t="str">
        <f t="shared" si="171"/>
        <v/>
      </c>
      <c r="AU360" s="256" t="str">
        <f t="shared" si="172"/>
        <v/>
      </c>
      <c r="AV360" s="256" t="str">
        <f t="shared" si="173"/>
        <v/>
      </c>
      <c r="AW360" s="267"/>
      <c r="AX360" s="255"/>
      <c r="AY360" s="259" t="str">
        <f>IF(AX360&lt;&gt;"",AX360/VLOOKUP($V360,Setup!$C$30:$D$41,2,0),"")</f>
        <v/>
      </c>
      <c r="AZ360" s="268"/>
      <c r="BA360" s="258" t="str">
        <f t="shared" si="174"/>
        <v/>
      </c>
      <c r="BB360" s="268"/>
      <c r="BC360" s="258" t="str">
        <f t="shared" si="175"/>
        <v/>
      </c>
      <c r="BD360" s="268"/>
      <c r="BE360" s="258" t="str">
        <f t="shared" si="176"/>
        <v/>
      </c>
      <c r="BF360" s="268"/>
      <c r="BG360" s="256" t="str">
        <f t="shared" si="177"/>
        <v/>
      </c>
      <c r="BH360" s="256" t="str">
        <f t="shared" si="178"/>
        <v/>
      </c>
      <c r="BI360" s="256" t="str">
        <f t="shared" si="179"/>
        <v/>
      </c>
      <c r="BJ360" s="267"/>
      <c r="BK360" s="255"/>
      <c r="BL360" s="259" t="str">
        <f>IF(BK360&lt;&gt;"",BK360/VLOOKUP($V360,Setup!$C$30:$D$41,2,0),"")</f>
        <v/>
      </c>
      <c r="BM360" s="268"/>
      <c r="BN360" s="258" t="str">
        <f t="shared" si="180"/>
        <v/>
      </c>
      <c r="BO360" s="268"/>
      <c r="BP360" s="258" t="str">
        <f t="shared" si="181"/>
        <v/>
      </c>
      <c r="BQ360" s="268"/>
      <c r="BR360" s="258" t="str">
        <f t="shared" si="182"/>
        <v/>
      </c>
      <c r="BS360" s="268"/>
      <c r="BT360" s="256" t="str">
        <f t="shared" si="183"/>
        <v/>
      </c>
      <c r="BU360" s="256" t="str">
        <f t="shared" si="184"/>
        <v/>
      </c>
      <c r="BV360" s="256" t="str">
        <f t="shared" si="185"/>
        <v/>
      </c>
      <c r="BW360" s="267"/>
      <c r="BX360" s="256" t="str">
        <f t="shared" si="186"/>
        <v/>
      </c>
      <c r="BY360" s="256" t="str">
        <f t="shared" si="187"/>
        <v/>
      </c>
      <c r="BZ360" s="281"/>
      <c r="CA360" s="282"/>
      <c r="CC360" s="112" t="str">
        <f t="shared" ca="1" si="188"/>
        <v/>
      </c>
      <c r="CF360" s="284"/>
      <c r="CG360" s="284"/>
      <c r="CH360" s="284"/>
      <c r="CI360" s="284"/>
      <c r="CL360" s="356" t="str">
        <f>IFERROR(VLOOKUP(C360,'Data Sheet'!$A$3:$B$26,2,FALSE),"")</f>
        <v/>
      </c>
    </row>
    <row r="361" spans="1:90" s="98" customFormat="1" ht="15.75" x14ac:dyDescent="0.2">
      <c r="A361" s="97"/>
      <c r="B361" s="105" t="str">
        <f t="shared" si="191"/>
        <v>--</v>
      </c>
      <c r="C361" s="276"/>
      <c r="D361" s="101" t="str">
        <f>IFERROR(IF(VLOOKUP(C361,'Data Sheet'!$A$3:$D$26,4,FALSE)=0,"",VLOOKUP(C361,'Data Sheet'!$A$3:$D$26,4,FALSE)),"")</f>
        <v/>
      </c>
      <c r="E361" s="279"/>
      <c r="F361" s="103" t="str">
        <f>IFERROR(IF(VLOOKUP(E361,'Data Sheet'!$C$29:$E$174,3,FALSE)=0,"",VLOOKUP(E361,'Data Sheet'!$C$29:$E$174,3,FALSE)),"")</f>
        <v/>
      </c>
      <c r="G361" s="106" t="str">
        <f t="shared" si="189"/>
        <v>-</v>
      </c>
      <c r="H361" s="273"/>
      <c r="I361" s="107"/>
      <c r="J361" s="249" t="e">
        <f t="shared" si="190"/>
        <v>#VALUE!</v>
      </c>
      <c r="K361" s="101" t="str">
        <f>IFERROR(INDEX('Data Sheet'!$C$198:$C$275,MATCH(I361,'Data Sheet'!$F$198:$F$275,0)),"")</f>
        <v/>
      </c>
      <c r="L361" s="250" t="str">
        <f>IFERROR(INDEX('Data Sheet'!$G$198:$G$275,MATCH(I361,'Data Sheet'!$F$198:$F$275,0)),"")</f>
        <v/>
      </c>
      <c r="M361" s="194"/>
      <c r="N361" s="248"/>
      <c r="O361" s="248"/>
      <c r="P361" s="108" t="str">
        <f>IFERROR(INDEX(Setup!$D$44:$D$70,MATCH(M361,Setup!$K$44:$K$70,0))&amp;"","")</f>
        <v/>
      </c>
      <c r="Q361" s="108" t="str">
        <f>IFERROR(INDEX(Setup!$E$44:$E$70,MATCH(M361,Setup!$K$44:$K$70,0))&amp;"","")</f>
        <v/>
      </c>
      <c r="R361" s="108" t="str">
        <f>IFERROR(INDEX(Setup!$L$44:$L$70,MATCH(M361,Setup!$K$44:$K$70,0))&amp;"","")</f>
        <v/>
      </c>
      <c r="S361" s="108" t="str">
        <f>Setup!$C$30</f>
        <v>USD</v>
      </c>
      <c r="T361" s="109" t="str">
        <f>IFERROR(INDEX('Data Sheet'!$B$198:$B$275,MATCH(I361,'Data Sheet'!$F$198:$F$275,0)),"")</f>
        <v/>
      </c>
      <c r="U361" s="110" t="str">
        <f>IFERROR(INDEX('Data Sheet'!$D$198:$D$275,MATCH(I361,'Data Sheet'!$F$198:$F$275,0)),"")</f>
        <v/>
      </c>
      <c r="V361" s="99"/>
      <c r="W361" s="195" t="str">
        <f>IF(V361=Setup!$C$30,"Grant",IF(V361=Setup!$C$31,"Local",IF(V361=Setup!$C$32,"Other",IF(ISBLANK(V361),"","Other"))))</f>
        <v/>
      </c>
      <c r="X361" s="255"/>
      <c r="Y361" s="259" t="str">
        <f>IF(X361&lt;&gt;"",X361/VLOOKUP($V361,Setup!$C$30:$D$41,2,0),"")</f>
        <v/>
      </c>
      <c r="Z361" s="262"/>
      <c r="AA361" s="256" t="str">
        <f t="shared" si="162"/>
        <v/>
      </c>
      <c r="AB361" s="262"/>
      <c r="AC361" s="258" t="str">
        <f t="shared" si="163"/>
        <v/>
      </c>
      <c r="AD361" s="262"/>
      <c r="AE361" s="258" t="str">
        <f t="shared" si="164"/>
        <v/>
      </c>
      <c r="AF361" s="262"/>
      <c r="AG361" s="256" t="str">
        <f t="shared" si="165"/>
        <v/>
      </c>
      <c r="AH361" s="256" t="str">
        <f t="shared" si="166"/>
        <v/>
      </c>
      <c r="AI361" s="256" t="str">
        <f t="shared" si="167"/>
        <v/>
      </c>
      <c r="AJ361" s="111"/>
      <c r="AK361" s="255"/>
      <c r="AL361" s="259" t="str">
        <f>IF(AK361&lt;&gt;"",AK361/VLOOKUP($V361,Setup!$C$30:$D$41,2,0),"")</f>
        <v/>
      </c>
      <c r="AM361" s="266"/>
      <c r="AN361" s="258" t="str">
        <f t="shared" si="168"/>
        <v/>
      </c>
      <c r="AO361" s="266"/>
      <c r="AP361" s="258" t="str">
        <f t="shared" si="169"/>
        <v/>
      </c>
      <c r="AQ361" s="266"/>
      <c r="AR361" s="258" t="str">
        <f t="shared" si="170"/>
        <v/>
      </c>
      <c r="AS361" s="266"/>
      <c r="AT361" s="256" t="str">
        <f t="shared" si="171"/>
        <v/>
      </c>
      <c r="AU361" s="256" t="str">
        <f t="shared" si="172"/>
        <v/>
      </c>
      <c r="AV361" s="256" t="str">
        <f t="shared" si="173"/>
        <v/>
      </c>
      <c r="AW361" s="267"/>
      <c r="AX361" s="255"/>
      <c r="AY361" s="259" t="str">
        <f>IF(AX361&lt;&gt;"",AX361/VLOOKUP($V361,Setup!$C$30:$D$41,2,0),"")</f>
        <v/>
      </c>
      <c r="AZ361" s="268"/>
      <c r="BA361" s="258" t="str">
        <f t="shared" si="174"/>
        <v/>
      </c>
      <c r="BB361" s="268"/>
      <c r="BC361" s="258" t="str">
        <f t="shared" si="175"/>
        <v/>
      </c>
      <c r="BD361" s="268"/>
      <c r="BE361" s="258" t="str">
        <f t="shared" si="176"/>
        <v/>
      </c>
      <c r="BF361" s="268"/>
      <c r="BG361" s="256" t="str">
        <f t="shared" si="177"/>
        <v/>
      </c>
      <c r="BH361" s="256" t="str">
        <f t="shared" si="178"/>
        <v/>
      </c>
      <c r="BI361" s="256" t="str">
        <f t="shared" si="179"/>
        <v/>
      </c>
      <c r="BJ361" s="267"/>
      <c r="BK361" s="255"/>
      <c r="BL361" s="259" t="str">
        <f>IF(BK361&lt;&gt;"",BK361/VLOOKUP($V361,Setup!$C$30:$D$41,2,0),"")</f>
        <v/>
      </c>
      <c r="BM361" s="268"/>
      <c r="BN361" s="258" t="str">
        <f t="shared" si="180"/>
        <v/>
      </c>
      <c r="BO361" s="268"/>
      <c r="BP361" s="258" t="str">
        <f t="shared" si="181"/>
        <v/>
      </c>
      <c r="BQ361" s="268"/>
      <c r="BR361" s="258" t="str">
        <f t="shared" si="182"/>
        <v/>
      </c>
      <c r="BS361" s="268"/>
      <c r="BT361" s="256" t="str">
        <f t="shared" si="183"/>
        <v/>
      </c>
      <c r="BU361" s="256" t="str">
        <f t="shared" si="184"/>
        <v/>
      </c>
      <c r="BV361" s="256" t="str">
        <f t="shared" si="185"/>
        <v/>
      </c>
      <c r="BW361" s="267"/>
      <c r="BX361" s="256" t="str">
        <f t="shared" si="186"/>
        <v/>
      </c>
      <c r="BY361" s="256" t="str">
        <f t="shared" si="187"/>
        <v/>
      </c>
      <c r="BZ361" s="281"/>
      <c r="CA361" s="282"/>
      <c r="CC361" s="112" t="str">
        <f t="shared" ca="1" si="188"/>
        <v/>
      </c>
      <c r="CF361" s="284"/>
      <c r="CG361" s="284"/>
      <c r="CH361" s="284"/>
      <c r="CI361" s="284"/>
      <c r="CL361" s="356" t="str">
        <f>IFERROR(VLOOKUP(C361,'Data Sheet'!$A$3:$B$26,2,FALSE),"")</f>
        <v/>
      </c>
    </row>
    <row r="362" spans="1:90" s="98" customFormat="1" ht="15.75" x14ac:dyDescent="0.2">
      <c r="A362" s="97"/>
      <c r="B362" s="105" t="str">
        <f t="shared" si="191"/>
        <v>--</v>
      </c>
      <c r="C362" s="276"/>
      <c r="D362" s="101" t="str">
        <f>IFERROR(IF(VLOOKUP(C362,'Data Sheet'!$A$3:$D$26,4,FALSE)=0,"",VLOOKUP(C362,'Data Sheet'!$A$3:$D$26,4,FALSE)),"")</f>
        <v/>
      </c>
      <c r="E362" s="279"/>
      <c r="F362" s="103" t="str">
        <f>IFERROR(IF(VLOOKUP(E362,'Data Sheet'!$C$29:$E$174,3,FALSE)=0,"",VLOOKUP(E362,'Data Sheet'!$C$29:$E$174,3,FALSE)),"")</f>
        <v/>
      </c>
      <c r="G362" s="106" t="str">
        <f t="shared" si="189"/>
        <v>-</v>
      </c>
      <c r="H362" s="273"/>
      <c r="I362" s="107"/>
      <c r="J362" s="249" t="e">
        <f t="shared" si="190"/>
        <v>#VALUE!</v>
      </c>
      <c r="K362" s="101" t="str">
        <f>IFERROR(INDEX('Data Sheet'!$C$198:$C$275,MATCH(I362,'Data Sheet'!$F$198:$F$275,0)),"")</f>
        <v/>
      </c>
      <c r="L362" s="250" t="str">
        <f>IFERROR(INDEX('Data Sheet'!$G$198:$G$275,MATCH(I362,'Data Sheet'!$F$198:$F$275,0)),"")</f>
        <v/>
      </c>
      <c r="M362" s="194"/>
      <c r="N362" s="248"/>
      <c r="O362" s="248"/>
      <c r="P362" s="108" t="str">
        <f>IFERROR(INDEX(Setup!$D$44:$D$70,MATCH(M362,Setup!$K$44:$K$70,0))&amp;"","")</f>
        <v/>
      </c>
      <c r="Q362" s="108" t="str">
        <f>IFERROR(INDEX(Setup!$E$44:$E$70,MATCH(M362,Setup!$K$44:$K$70,0))&amp;"","")</f>
        <v/>
      </c>
      <c r="R362" s="108" t="str">
        <f>IFERROR(INDEX(Setup!$L$44:$L$70,MATCH(M362,Setup!$K$44:$K$70,0))&amp;"","")</f>
        <v/>
      </c>
      <c r="S362" s="108" t="str">
        <f>Setup!$C$30</f>
        <v>USD</v>
      </c>
      <c r="T362" s="109" t="str">
        <f>IFERROR(INDEX('Data Sheet'!$B$198:$B$275,MATCH(I362,'Data Sheet'!$F$198:$F$275,0)),"")</f>
        <v/>
      </c>
      <c r="U362" s="110" t="str">
        <f>IFERROR(INDEX('Data Sheet'!$D$198:$D$275,MATCH(I362,'Data Sheet'!$F$198:$F$275,0)),"")</f>
        <v/>
      </c>
      <c r="V362" s="99"/>
      <c r="W362" s="195" t="str">
        <f>IF(V362=Setup!$C$30,"Grant",IF(V362=Setup!$C$31,"Local",IF(V362=Setup!$C$32,"Other",IF(ISBLANK(V362),"","Other"))))</f>
        <v/>
      </c>
      <c r="X362" s="255"/>
      <c r="Y362" s="259" t="str">
        <f>IF(X362&lt;&gt;"",X362/VLOOKUP($V362,Setup!$C$30:$D$41,2,0),"")</f>
        <v/>
      </c>
      <c r="Z362" s="262"/>
      <c r="AA362" s="256" t="str">
        <f t="shared" si="162"/>
        <v/>
      </c>
      <c r="AB362" s="262"/>
      <c r="AC362" s="258" t="str">
        <f t="shared" si="163"/>
        <v/>
      </c>
      <c r="AD362" s="262"/>
      <c r="AE362" s="258" t="str">
        <f t="shared" si="164"/>
        <v/>
      </c>
      <c r="AF362" s="262"/>
      <c r="AG362" s="256" t="str">
        <f t="shared" si="165"/>
        <v/>
      </c>
      <c r="AH362" s="256" t="str">
        <f t="shared" si="166"/>
        <v/>
      </c>
      <c r="AI362" s="256" t="str">
        <f t="shared" si="167"/>
        <v/>
      </c>
      <c r="AJ362" s="111"/>
      <c r="AK362" s="255"/>
      <c r="AL362" s="259" t="str">
        <f>IF(AK362&lt;&gt;"",AK362/VLOOKUP($V362,Setup!$C$30:$D$41,2,0),"")</f>
        <v/>
      </c>
      <c r="AM362" s="266"/>
      <c r="AN362" s="258" t="str">
        <f t="shared" si="168"/>
        <v/>
      </c>
      <c r="AO362" s="266"/>
      <c r="AP362" s="258" t="str">
        <f t="shared" si="169"/>
        <v/>
      </c>
      <c r="AQ362" s="266"/>
      <c r="AR362" s="258" t="str">
        <f t="shared" si="170"/>
        <v/>
      </c>
      <c r="AS362" s="266"/>
      <c r="AT362" s="256" t="str">
        <f t="shared" si="171"/>
        <v/>
      </c>
      <c r="AU362" s="256" t="str">
        <f t="shared" si="172"/>
        <v/>
      </c>
      <c r="AV362" s="256" t="str">
        <f t="shared" si="173"/>
        <v/>
      </c>
      <c r="AW362" s="267"/>
      <c r="AX362" s="255"/>
      <c r="AY362" s="259" t="str">
        <f>IF(AX362&lt;&gt;"",AX362/VLOOKUP($V362,Setup!$C$30:$D$41,2,0),"")</f>
        <v/>
      </c>
      <c r="AZ362" s="268"/>
      <c r="BA362" s="258" t="str">
        <f t="shared" si="174"/>
        <v/>
      </c>
      <c r="BB362" s="268"/>
      <c r="BC362" s="258" t="str">
        <f t="shared" si="175"/>
        <v/>
      </c>
      <c r="BD362" s="268"/>
      <c r="BE362" s="258" t="str">
        <f t="shared" si="176"/>
        <v/>
      </c>
      <c r="BF362" s="268"/>
      <c r="BG362" s="256" t="str">
        <f t="shared" si="177"/>
        <v/>
      </c>
      <c r="BH362" s="256" t="str">
        <f t="shared" si="178"/>
        <v/>
      </c>
      <c r="BI362" s="256" t="str">
        <f t="shared" si="179"/>
        <v/>
      </c>
      <c r="BJ362" s="267"/>
      <c r="BK362" s="255"/>
      <c r="BL362" s="259" t="str">
        <f>IF(BK362&lt;&gt;"",BK362/VLOOKUP($V362,Setup!$C$30:$D$41,2,0),"")</f>
        <v/>
      </c>
      <c r="BM362" s="268"/>
      <c r="BN362" s="258" t="str">
        <f t="shared" si="180"/>
        <v/>
      </c>
      <c r="BO362" s="268"/>
      <c r="BP362" s="258" t="str">
        <f t="shared" si="181"/>
        <v/>
      </c>
      <c r="BQ362" s="268"/>
      <c r="BR362" s="258" t="str">
        <f t="shared" si="182"/>
        <v/>
      </c>
      <c r="BS362" s="268"/>
      <c r="BT362" s="256" t="str">
        <f t="shared" si="183"/>
        <v/>
      </c>
      <c r="BU362" s="256" t="str">
        <f t="shared" si="184"/>
        <v/>
      </c>
      <c r="BV362" s="256" t="str">
        <f t="shared" si="185"/>
        <v/>
      </c>
      <c r="BW362" s="267"/>
      <c r="BX362" s="256" t="str">
        <f t="shared" si="186"/>
        <v/>
      </c>
      <c r="BY362" s="256" t="str">
        <f t="shared" si="187"/>
        <v/>
      </c>
      <c r="BZ362" s="281"/>
      <c r="CA362" s="282"/>
      <c r="CC362" s="112" t="str">
        <f t="shared" ca="1" si="188"/>
        <v/>
      </c>
      <c r="CF362" s="284"/>
      <c r="CG362" s="284"/>
      <c r="CH362" s="284"/>
      <c r="CI362" s="284"/>
      <c r="CL362" s="356" t="str">
        <f>IFERROR(VLOOKUP(C362,'Data Sheet'!$A$3:$B$26,2,FALSE),"")</f>
        <v/>
      </c>
    </row>
    <row r="363" spans="1:90" s="98" customFormat="1" ht="15.75" x14ac:dyDescent="0.2">
      <c r="A363" s="97"/>
      <c r="B363" s="105" t="str">
        <f t="shared" si="191"/>
        <v>--</v>
      </c>
      <c r="C363" s="276"/>
      <c r="D363" s="101" t="str">
        <f>IFERROR(IF(VLOOKUP(C363,'Data Sheet'!$A$3:$D$26,4,FALSE)=0,"",VLOOKUP(C363,'Data Sheet'!$A$3:$D$26,4,FALSE)),"")</f>
        <v/>
      </c>
      <c r="E363" s="279"/>
      <c r="F363" s="103" t="str">
        <f>IFERROR(IF(VLOOKUP(E363,'Data Sheet'!$C$29:$E$174,3,FALSE)=0,"",VLOOKUP(E363,'Data Sheet'!$C$29:$E$174,3,FALSE)),"")</f>
        <v/>
      </c>
      <c r="G363" s="106" t="str">
        <f t="shared" si="189"/>
        <v>-</v>
      </c>
      <c r="H363" s="273"/>
      <c r="I363" s="107"/>
      <c r="J363" s="249" t="e">
        <f t="shared" si="190"/>
        <v>#VALUE!</v>
      </c>
      <c r="K363" s="101" t="str">
        <f>IFERROR(INDEX('Data Sheet'!$C$198:$C$275,MATCH(I363,'Data Sheet'!$F$198:$F$275,0)),"")</f>
        <v/>
      </c>
      <c r="L363" s="250" t="str">
        <f>IFERROR(INDEX('Data Sheet'!$G$198:$G$275,MATCH(I363,'Data Sheet'!$F$198:$F$275,0)),"")</f>
        <v/>
      </c>
      <c r="M363" s="194"/>
      <c r="N363" s="248"/>
      <c r="O363" s="248"/>
      <c r="P363" s="108" t="str">
        <f>IFERROR(INDEX(Setup!$D$44:$D$70,MATCH(M363,Setup!$K$44:$K$70,0))&amp;"","")</f>
        <v/>
      </c>
      <c r="Q363" s="108" t="str">
        <f>IFERROR(INDEX(Setup!$E$44:$E$70,MATCH(M363,Setup!$K$44:$K$70,0))&amp;"","")</f>
        <v/>
      </c>
      <c r="R363" s="108" t="str">
        <f>IFERROR(INDEX(Setup!$L$44:$L$70,MATCH(M363,Setup!$K$44:$K$70,0))&amp;"","")</f>
        <v/>
      </c>
      <c r="S363" s="108" t="str">
        <f>Setup!$C$30</f>
        <v>USD</v>
      </c>
      <c r="T363" s="109" t="str">
        <f>IFERROR(INDEX('Data Sheet'!$B$198:$B$275,MATCH(I363,'Data Sheet'!$F$198:$F$275,0)),"")</f>
        <v/>
      </c>
      <c r="U363" s="110" t="str">
        <f>IFERROR(INDEX('Data Sheet'!$D$198:$D$275,MATCH(I363,'Data Sheet'!$F$198:$F$275,0)),"")</f>
        <v/>
      </c>
      <c r="V363" s="99"/>
      <c r="W363" s="195" t="str">
        <f>IF(V363=Setup!$C$30,"Grant",IF(V363=Setup!$C$31,"Local",IF(V363=Setup!$C$32,"Other",IF(ISBLANK(V363),"","Other"))))</f>
        <v/>
      </c>
      <c r="X363" s="255"/>
      <c r="Y363" s="259" t="str">
        <f>IF(X363&lt;&gt;"",X363/VLOOKUP($V363,Setup!$C$30:$D$41,2,0),"")</f>
        <v/>
      </c>
      <c r="Z363" s="262"/>
      <c r="AA363" s="256" t="str">
        <f t="shared" si="162"/>
        <v/>
      </c>
      <c r="AB363" s="262"/>
      <c r="AC363" s="258" t="str">
        <f t="shared" si="163"/>
        <v/>
      </c>
      <c r="AD363" s="262"/>
      <c r="AE363" s="258" t="str">
        <f t="shared" si="164"/>
        <v/>
      </c>
      <c r="AF363" s="262"/>
      <c r="AG363" s="256" t="str">
        <f t="shared" si="165"/>
        <v/>
      </c>
      <c r="AH363" s="256" t="str">
        <f t="shared" si="166"/>
        <v/>
      </c>
      <c r="AI363" s="256" t="str">
        <f t="shared" si="167"/>
        <v/>
      </c>
      <c r="AJ363" s="111"/>
      <c r="AK363" s="255"/>
      <c r="AL363" s="259" t="str">
        <f>IF(AK363&lt;&gt;"",AK363/VLOOKUP($V363,Setup!$C$30:$D$41,2,0),"")</f>
        <v/>
      </c>
      <c r="AM363" s="266"/>
      <c r="AN363" s="258" t="str">
        <f t="shared" si="168"/>
        <v/>
      </c>
      <c r="AO363" s="266"/>
      <c r="AP363" s="258" t="str">
        <f t="shared" si="169"/>
        <v/>
      </c>
      <c r="AQ363" s="266"/>
      <c r="AR363" s="258" t="str">
        <f t="shared" si="170"/>
        <v/>
      </c>
      <c r="AS363" s="266"/>
      <c r="AT363" s="256" t="str">
        <f t="shared" si="171"/>
        <v/>
      </c>
      <c r="AU363" s="256" t="str">
        <f t="shared" si="172"/>
        <v/>
      </c>
      <c r="AV363" s="256" t="str">
        <f t="shared" si="173"/>
        <v/>
      </c>
      <c r="AW363" s="267"/>
      <c r="AX363" s="255"/>
      <c r="AY363" s="259" t="str">
        <f>IF(AX363&lt;&gt;"",AX363/VLOOKUP($V363,Setup!$C$30:$D$41,2,0),"")</f>
        <v/>
      </c>
      <c r="AZ363" s="268"/>
      <c r="BA363" s="258" t="str">
        <f t="shared" si="174"/>
        <v/>
      </c>
      <c r="BB363" s="268"/>
      <c r="BC363" s="258" t="str">
        <f t="shared" si="175"/>
        <v/>
      </c>
      <c r="BD363" s="268"/>
      <c r="BE363" s="258" t="str">
        <f t="shared" si="176"/>
        <v/>
      </c>
      <c r="BF363" s="268"/>
      <c r="BG363" s="256" t="str">
        <f t="shared" si="177"/>
        <v/>
      </c>
      <c r="BH363" s="256" t="str">
        <f t="shared" si="178"/>
        <v/>
      </c>
      <c r="BI363" s="256" t="str">
        <f t="shared" si="179"/>
        <v/>
      </c>
      <c r="BJ363" s="267"/>
      <c r="BK363" s="255"/>
      <c r="BL363" s="259" t="str">
        <f>IF(BK363&lt;&gt;"",BK363/VLOOKUP($V363,Setup!$C$30:$D$41,2,0),"")</f>
        <v/>
      </c>
      <c r="BM363" s="268"/>
      <c r="BN363" s="258" t="str">
        <f t="shared" si="180"/>
        <v/>
      </c>
      <c r="BO363" s="268"/>
      <c r="BP363" s="258" t="str">
        <f t="shared" si="181"/>
        <v/>
      </c>
      <c r="BQ363" s="268"/>
      <c r="BR363" s="258" t="str">
        <f t="shared" si="182"/>
        <v/>
      </c>
      <c r="BS363" s="268"/>
      <c r="BT363" s="256" t="str">
        <f t="shared" si="183"/>
        <v/>
      </c>
      <c r="BU363" s="256" t="str">
        <f t="shared" si="184"/>
        <v/>
      </c>
      <c r="BV363" s="256" t="str">
        <f t="shared" si="185"/>
        <v/>
      </c>
      <c r="BW363" s="267"/>
      <c r="BX363" s="256" t="str">
        <f t="shared" si="186"/>
        <v/>
      </c>
      <c r="BY363" s="256" t="str">
        <f t="shared" si="187"/>
        <v/>
      </c>
      <c r="BZ363" s="281"/>
      <c r="CA363" s="282"/>
      <c r="CC363" s="112" t="str">
        <f t="shared" ca="1" si="188"/>
        <v/>
      </c>
      <c r="CF363" s="284"/>
      <c r="CG363" s="284"/>
      <c r="CH363" s="284"/>
      <c r="CI363" s="284"/>
      <c r="CL363" s="356" t="str">
        <f>IFERROR(VLOOKUP(C363,'Data Sheet'!$A$3:$B$26,2,FALSE),"")</f>
        <v/>
      </c>
    </row>
    <row r="364" spans="1:90" s="98" customFormat="1" ht="15.75" x14ac:dyDescent="0.2">
      <c r="A364" s="97"/>
      <c r="B364" s="105" t="str">
        <f t="shared" si="191"/>
        <v>--</v>
      </c>
      <c r="C364" s="276"/>
      <c r="D364" s="101" t="str">
        <f>IFERROR(IF(VLOOKUP(C364,'Data Sheet'!$A$3:$D$26,4,FALSE)=0,"",VLOOKUP(C364,'Data Sheet'!$A$3:$D$26,4,FALSE)),"")</f>
        <v/>
      </c>
      <c r="E364" s="279"/>
      <c r="F364" s="103" t="str">
        <f>IFERROR(IF(VLOOKUP(E364,'Data Sheet'!$C$29:$E$174,3,FALSE)=0,"",VLOOKUP(E364,'Data Sheet'!$C$29:$E$174,3,FALSE)),"")</f>
        <v/>
      </c>
      <c r="G364" s="106" t="str">
        <f t="shared" si="189"/>
        <v>-</v>
      </c>
      <c r="H364" s="273"/>
      <c r="I364" s="107"/>
      <c r="J364" s="249" t="e">
        <f t="shared" si="190"/>
        <v>#VALUE!</v>
      </c>
      <c r="K364" s="101" t="str">
        <f>IFERROR(INDEX('Data Sheet'!$C$198:$C$275,MATCH(I364,'Data Sheet'!$F$198:$F$275,0)),"")</f>
        <v/>
      </c>
      <c r="L364" s="250" t="str">
        <f>IFERROR(INDEX('Data Sheet'!$G$198:$G$275,MATCH(I364,'Data Sheet'!$F$198:$F$275,0)),"")</f>
        <v/>
      </c>
      <c r="M364" s="194"/>
      <c r="N364" s="248"/>
      <c r="O364" s="248"/>
      <c r="P364" s="108" t="str">
        <f>IFERROR(INDEX(Setup!$D$44:$D$70,MATCH(M364,Setup!$K$44:$K$70,0))&amp;"","")</f>
        <v/>
      </c>
      <c r="Q364" s="108" t="str">
        <f>IFERROR(INDEX(Setup!$E$44:$E$70,MATCH(M364,Setup!$K$44:$K$70,0))&amp;"","")</f>
        <v/>
      </c>
      <c r="R364" s="108" t="str">
        <f>IFERROR(INDEX(Setup!$L$44:$L$70,MATCH(M364,Setup!$K$44:$K$70,0))&amp;"","")</f>
        <v/>
      </c>
      <c r="S364" s="108" t="str">
        <f>Setup!$C$30</f>
        <v>USD</v>
      </c>
      <c r="T364" s="109" t="str">
        <f>IFERROR(INDEX('Data Sheet'!$B$198:$B$275,MATCH(I364,'Data Sheet'!$F$198:$F$275,0)),"")</f>
        <v/>
      </c>
      <c r="U364" s="110" t="str">
        <f>IFERROR(INDEX('Data Sheet'!$D$198:$D$275,MATCH(I364,'Data Sheet'!$F$198:$F$275,0)),"")</f>
        <v/>
      </c>
      <c r="V364" s="99"/>
      <c r="W364" s="195" t="str">
        <f>IF(V364=Setup!$C$30,"Grant",IF(V364=Setup!$C$31,"Local",IF(V364=Setup!$C$32,"Other",IF(ISBLANK(V364),"","Other"))))</f>
        <v/>
      </c>
      <c r="X364" s="255"/>
      <c r="Y364" s="259" t="str">
        <f>IF(X364&lt;&gt;"",X364/VLOOKUP($V364,Setup!$C$30:$D$41,2,0),"")</f>
        <v/>
      </c>
      <c r="Z364" s="262"/>
      <c r="AA364" s="256" t="str">
        <f t="shared" si="162"/>
        <v/>
      </c>
      <c r="AB364" s="262"/>
      <c r="AC364" s="258" t="str">
        <f t="shared" si="163"/>
        <v/>
      </c>
      <c r="AD364" s="262"/>
      <c r="AE364" s="258" t="str">
        <f t="shared" si="164"/>
        <v/>
      </c>
      <c r="AF364" s="262"/>
      <c r="AG364" s="256" t="str">
        <f t="shared" si="165"/>
        <v/>
      </c>
      <c r="AH364" s="256" t="str">
        <f t="shared" si="166"/>
        <v/>
      </c>
      <c r="AI364" s="256" t="str">
        <f t="shared" si="167"/>
        <v/>
      </c>
      <c r="AJ364" s="111"/>
      <c r="AK364" s="255"/>
      <c r="AL364" s="259" t="str">
        <f>IF(AK364&lt;&gt;"",AK364/VLOOKUP($V364,Setup!$C$30:$D$41,2,0),"")</f>
        <v/>
      </c>
      <c r="AM364" s="266"/>
      <c r="AN364" s="258" t="str">
        <f t="shared" si="168"/>
        <v/>
      </c>
      <c r="AO364" s="266"/>
      <c r="AP364" s="258" t="str">
        <f t="shared" si="169"/>
        <v/>
      </c>
      <c r="AQ364" s="266"/>
      <c r="AR364" s="258" t="str">
        <f t="shared" si="170"/>
        <v/>
      </c>
      <c r="AS364" s="266"/>
      <c r="AT364" s="256" t="str">
        <f t="shared" si="171"/>
        <v/>
      </c>
      <c r="AU364" s="256" t="str">
        <f t="shared" si="172"/>
        <v/>
      </c>
      <c r="AV364" s="256" t="str">
        <f t="shared" si="173"/>
        <v/>
      </c>
      <c r="AW364" s="267"/>
      <c r="AX364" s="255"/>
      <c r="AY364" s="259" t="str">
        <f>IF(AX364&lt;&gt;"",AX364/VLOOKUP($V364,Setup!$C$30:$D$41,2,0),"")</f>
        <v/>
      </c>
      <c r="AZ364" s="268"/>
      <c r="BA364" s="258" t="str">
        <f t="shared" si="174"/>
        <v/>
      </c>
      <c r="BB364" s="268"/>
      <c r="BC364" s="258" t="str">
        <f t="shared" si="175"/>
        <v/>
      </c>
      <c r="BD364" s="268"/>
      <c r="BE364" s="258" t="str">
        <f t="shared" si="176"/>
        <v/>
      </c>
      <c r="BF364" s="268"/>
      <c r="BG364" s="256" t="str">
        <f t="shared" si="177"/>
        <v/>
      </c>
      <c r="BH364" s="256" t="str">
        <f t="shared" si="178"/>
        <v/>
      </c>
      <c r="BI364" s="256" t="str">
        <f t="shared" si="179"/>
        <v/>
      </c>
      <c r="BJ364" s="267"/>
      <c r="BK364" s="255"/>
      <c r="BL364" s="259" t="str">
        <f>IF(BK364&lt;&gt;"",BK364/VLOOKUP($V364,Setup!$C$30:$D$41,2,0),"")</f>
        <v/>
      </c>
      <c r="BM364" s="268"/>
      <c r="BN364" s="258" t="str">
        <f t="shared" si="180"/>
        <v/>
      </c>
      <c r="BO364" s="268"/>
      <c r="BP364" s="258" t="str">
        <f t="shared" si="181"/>
        <v/>
      </c>
      <c r="BQ364" s="268"/>
      <c r="BR364" s="258" t="str">
        <f t="shared" si="182"/>
        <v/>
      </c>
      <c r="BS364" s="268"/>
      <c r="BT364" s="256" t="str">
        <f t="shared" si="183"/>
        <v/>
      </c>
      <c r="BU364" s="256" t="str">
        <f t="shared" si="184"/>
        <v/>
      </c>
      <c r="BV364" s="256" t="str">
        <f t="shared" si="185"/>
        <v/>
      </c>
      <c r="BW364" s="267"/>
      <c r="BX364" s="256" t="str">
        <f t="shared" si="186"/>
        <v/>
      </c>
      <c r="BY364" s="256" t="str">
        <f t="shared" si="187"/>
        <v/>
      </c>
      <c r="BZ364" s="281"/>
      <c r="CA364" s="282"/>
      <c r="CC364" s="112" t="str">
        <f t="shared" ca="1" si="188"/>
        <v/>
      </c>
      <c r="CF364" s="284"/>
      <c r="CG364" s="284"/>
      <c r="CH364" s="284"/>
      <c r="CI364" s="284"/>
      <c r="CL364" s="356" t="str">
        <f>IFERROR(VLOOKUP(C364,'Data Sheet'!$A$3:$B$26,2,FALSE),"")</f>
        <v/>
      </c>
    </row>
    <row r="365" spans="1:90" s="98" customFormat="1" ht="15.75" x14ac:dyDescent="0.2">
      <c r="A365" s="97"/>
      <c r="B365" s="105" t="str">
        <f t="shared" si="191"/>
        <v>--</v>
      </c>
      <c r="C365" s="276"/>
      <c r="D365" s="101" t="str">
        <f>IFERROR(IF(VLOOKUP(C365,'Data Sheet'!$A$3:$D$26,4,FALSE)=0,"",VLOOKUP(C365,'Data Sheet'!$A$3:$D$26,4,FALSE)),"")</f>
        <v/>
      </c>
      <c r="E365" s="279"/>
      <c r="F365" s="103" t="str">
        <f>IFERROR(IF(VLOOKUP(E365,'Data Sheet'!$C$29:$E$174,3,FALSE)=0,"",VLOOKUP(E365,'Data Sheet'!$C$29:$E$174,3,FALSE)),"")</f>
        <v/>
      </c>
      <c r="G365" s="106" t="str">
        <f t="shared" si="189"/>
        <v>-</v>
      </c>
      <c r="H365" s="273"/>
      <c r="I365" s="107"/>
      <c r="J365" s="249" t="e">
        <f t="shared" si="190"/>
        <v>#VALUE!</v>
      </c>
      <c r="K365" s="101" t="str">
        <f>IFERROR(INDEX('Data Sheet'!$C$198:$C$275,MATCH(I365,'Data Sheet'!$F$198:$F$275,0)),"")</f>
        <v/>
      </c>
      <c r="L365" s="250" t="str">
        <f>IFERROR(INDEX('Data Sheet'!$G$198:$G$275,MATCH(I365,'Data Sheet'!$F$198:$F$275,0)),"")</f>
        <v/>
      </c>
      <c r="M365" s="194"/>
      <c r="N365" s="248"/>
      <c r="O365" s="248"/>
      <c r="P365" s="108" t="str">
        <f>IFERROR(INDEX(Setup!$D$44:$D$70,MATCH(M365,Setup!$K$44:$K$70,0))&amp;"","")</f>
        <v/>
      </c>
      <c r="Q365" s="108" t="str">
        <f>IFERROR(INDEX(Setup!$E$44:$E$70,MATCH(M365,Setup!$K$44:$K$70,0))&amp;"","")</f>
        <v/>
      </c>
      <c r="R365" s="108" t="str">
        <f>IFERROR(INDEX(Setup!$L$44:$L$70,MATCH(M365,Setup!$K$44:$K$70,0))&amp;"","")</f>
        <v/>
      </c>
      <c r="S365" s="108" t="str">
        <f>Setup!$C$30</f>
        <v>USD</v>
      </c>
      <c r="T365" s="109" t="str">
        <f>IFERROR(INDEX('Data Sheet'!$B$198:$B$275,MATCH(I365,'Data Sheet'!$F$198:$F$275,0)),"")</f>
        <v/>
      </c>
      <c r="U365" s="110" t="str">
        <f>IFERROR(INDEX('Data Sheet'!$D$198:$D$275,MATCH(I365,'Data Sheet'!$F$198:$F$275,0)),"")</f>
        <v/>
      </c>
      <c r="V365" s="99"/>
      <c r="W365" s="195" t="str">
        <f>IF(V365=Setup!$C$30,"Grant",IF(V365=Setup!$C$31,"Local",IF(V365=Setup!$C$32,"Other",IF(ISBLANK(V365),"","Other"))))</f>
        <v/>
      </c>
      <c r="X365" s="255"/>
      <c r="Y365" s="259" t="str">
        <f>IF(X365&lt;&gt;"",X365/VLOOKUP($V365,Setup!$C$30:$D$41,2,0),"")</f>
        <v/>
      </c>
      <c r="Z365" s="262"/>
      <c r="AA365" s="256" t="str">
        <f t="shared" si="162"/>
        <v/>
      </c>
      <c r="AB365" s="262"/>
      <c r="AC365" s="258" t="str">
        <f t="shared" si="163"/>
        <v/>
      </c>
      <c r="AD365" s="262"/>
      <c r="AE365" s="258" t="str">
        <f t="shared" si="164"/>
        <v/>
      </c>
      <c r="AF365" s="262"/>
      <c r="AG365" s="256" t="str">
        <f t="shared" si="165"/>
        <v/>
      </c>
      <c r="AH365" s="256" t="str">
        <f t="shared" si="166"/>
        <v/>
      </c>
      <c r="AI365" s="256" t="str">
        <f t="shared" si="167"/>
        <v/>
      </c>
      <c r="AJ365" s="111"/>
      <c r="AK365" s="255"/>
      <c r="AL365" s="259" t="str">
        <f>IF(AK365&lt;&gt;"",AK365/VLOOKUP($V365,Setup!$C$30:$D$41,2,0),"")</f>
        <v/>
      </c>
      <c r="AM365" s="266"/>
      <c r="AN365" s="258" t="str">
        <f t="shared" si="168"/>
        <v/>
      </c>
      <c r="AO365" s="266"/>
      <c r="AP365" s="258" t="str">
        <f t="shared" si="169"/>
        <v/>
      </c>
      <c r="AQ365" s="266"/>
      <c r="AR365" s="258" t="str">
        <f t="shared" si="170"/>
        <v/>
      </c>
      <c r="AS365" s="266"/>
      <c r="AT365" s="256" t="str">
        <f t="shared" si="171"/>
        <v/>
      </c>
      <c r="AU365" s="256" t="str">
        <f t="shared" si="172"/>
        <v/>
      </c>
      <c r="AV365" s="256" t="str">
        <f t="shared" si="173"/>
        <v/>
      </c>
      <c r="AW365" s="267"/>
      <c r="AX365" s="255"/>
      <c r="AY365" s="259" t="str">
        <f>IF(AX365&lt;&gt;"",AX365/VLOOKUP($V365,Setup!$C$30:$D$41,2,0),"")</f>
        <v/>
      </c>
      <c r="AZ365" s="268"/>
      <c r="BA365" s="258" t="str">
        <f t="shared" si="174"/>
        <v/>
      </c>
      <c r="BB365" s="268"/>
      <c r="BC365" s="258" t="str">
        <f t="shared" si="175"/>
        <v/>
      </c>
      <c r="BD365" s="268"/>
      <c r="BE365" s="258" t="str">
        <f t="shared" si="176"/>
        <v/>
      </c>
      <c r="BF365" s="268"/>
      <c r="BG365" s="256" t="str">
        <f t="shared" si="177"/>
        <v/>
      </c>
      <c r="BH365" s="256" t="str">
        <f t="shared" si="178"/>
        <v/>
      </c>
      <c r="BI365" s="256" t="str">
        <f t="shared" si="179"/>
        <v/>
      </c>
      <c r="BJ365" s="267"/>
      <c r="BK365" s="255"/>
      <c r="BL365" s="259" t="str">
        <f>IF(BK365&lt;&gt;"",BK365/VLOOKUP($V365,Setup!$C$30:$D$41,2,0),"")</f>
        <v/>
      </c>
      <c r="BM365" s="268"/>
      <c r="BN365" s="258" t="str">
        <f t="shared" si="180"/>
        <v/>
      </c>
      <c r="BO365" s="268"/>
      <c r="BP365" s="258" t="str">
        <f t="shared" si="181"/>
        <v/>
      </c>
      <c r="BQ365" s="268"/>
      <c r="BR365" s="258" t="str">
        <f t="shared" si="182"/>
        <v/>
      </c>
      <c r="BS365" s="268"/>
      <c r="BT365" s="256" t="str">
        <f t="shared" si="183"/>
        <v/>
      </c>
      <c r="BU365" s="256" t="str">
        <f t="shared" si="184"/>
        <v/>
      </c>
      <c r="BV365" s="256" t="str">
        <f t="shared" si="185"/>
        <v/>
      </c>
      <c r="BW365" s="267"/>
      <c r="BX365" s="256" t="str">
        <f t="shared" si="186"/>
        <v/>
      </c>
      <c r="BY365" s="256" t="str">
        <f t="shared" si="187"/>
        <v/>
      </c>
      <c r="BZ365" s="281"/>
      <c r="CA365" s="282"/>
      <c r="CC365" s="112" t="str">
        <f t="shared" ca="1" si="188"/>
        <v/>
      </c>
      <c r="CF365" s="284"/>
      <c r="CG365" s="284"/>
      <c r="CH365" s="284"/>
      <c r="CI365" s="284"/>
      <c r="CL365" s="356" t="str">
        <f>IFERROR(VLOOKUP(C365,'Data Sheet'!$A$3:$B$26,2,FALSE),"")</f>
        <v/>
      </c>
    </row>
    <row r="366" spans="1:90" s="98" customFormat="1" ht="15.75" x14ac:dyDescent="0.2">
      <c r="A366" s="97"/>
      <c r="B366" s="105" t="str">
        <f t="shared" si="191"/>
        <v>--</v>
      </c>
      <c r="C366" s="276"/>
      <c r="D366" s="101" t="str">
        <f>IFERROR(IF(VLOOKUP(C366,'Data Sheet'!$A$3:$D$26,4,FALSE)=0,"",VLOOKUP(C366,'Data Sheet'!$A$3:$D$26,4,FALSE)),"")</f>
        <v/>
      </c>
      <c r="E366" s="279"/>
      <c r="F366" s="103" t="str">
        <f>IFERROR(IF(VLOOKUP(E366,'Data Sheet'!$C$29:$E$174,3,FALSE)=0,"",VLOOKUP(E366,'Data Sheet'!$C$29:$E$174,3,FALSE)),"")</f>
        <v/>
      </c>
      <c r="G366" s="106" t="str">
        <f t="shared" si="189"/>
        <v>-</v>
      </c>
      <c r="H366" s="273"/>
      <c r="I366" s="107"/>
      <c r="J366" s="249" t="e">
        <f t="shared" si="190"/>
        <v>#VALUE!</v>
      </c>
      <c r="K366" s="101" t="str">
        <f>IFERROR(INDEX('Data Sheet'!$C$198:$C$275,MATCH(I366,'Data Sheet'!$F$198:$F$275,0)),"")</f>
        <v/>
      </c>
      <c r="L366" s="250" t="str">
        <f>IFERROR(INDEX('Data Sheet'!$G$198:$G$275,MATCH(I366,'Data Sheet'!$F$198:$F$275,0)),"")</f>
        <v/>
      </c>
      <c r="M366" s="194"/>
      <c r="N366" s="248"/>
      <c r="O366" s="248"/>
      <c r="P366" s="108" t="str">
        <f>IFERROR(INDEX(Setup!$D$44:$D$70,MATCH(M366,Setup!$K$44:$K$70,0))&amp;"","")</f>
        <v/>
      </c>
      <c r="Q366" s="108" t="str">
        <f>IFERROR(INDEX(Setup!$E$44:$E$70,MATCH(M366,Setup!$K$44:$K$70,0))&amp;"","")</f>
        <v/>
      </c>
      <c r="R366" s="108" t="str">
        <f>IFERROR(INDEX(Setup!$L$44:$L$70,MATCH(M366,Setup!$K$44:$K$70,0))&amp;"","")</f>
        <v/>
      </c>
      <c r="S366" s="108" t="str">
        <f>Setup!$C$30</f>
        <v>USD</v>
      </c>
      <c r="T366" s="109" t="str">
        <f>IFERROR(INDEX('Data Sheet'!$B$198:$B$275,MATCH(I366,'Data Sheet'!$F$198:$F$275,0)),"")</f>
        <v/>
      </c>
      <c r="U366" s="110" t="str">
        <f>IFERROR(INDEX('Data Sheet'!$D$198:$D$275,MATCH(I366,'Data Sheet'!$F$198:$F$275,0)),"")</f>
        <v/>
      </c>
      <c r="V366" s="99"/>
      <c r="W366" s="195" t="str">
        <f>IF(V366=Setup!$C$30,"Grant",IF(V366=Setup!$C$31,"Local",IF(V366=Setup!$C$32,"Other",IF(ISBLANK(V366),"","Other"))))</f>
        <v/>
      </c>
      <c r="X366" s="255"/>
      <c r="Y366" s="259" t="str">
        <f>IF(X366&lt;&gt;"",X366/VLOOKUP($V366,Setup!$C$30:$D$41,2,0),"")</f>
        <v/>
      </c>
      <c r="Z366" s="262"/>
      <c r="AA366" s="256" t="str">
        <f t="shared" si="162"/>
        <v/>
      </c>
      <c r="AB366" s="262"/>
      <c r="AC366" s="258" t="str">
        <f t="shared" si="163"/>
        <v/>
      </c>
      <c r="AD366" s="262"/>
      <c r="AE366" s="258" t="str">
        <f t="shared" si="164"/>
        <v/>
      </c>
      <c r="AF366" s="262"/>
      <c r="AG366" s="256" t="str">
        <f t="shared" si="165"/>
        <v/>
      </c>
      <c r="AH366" s="256" t="str">
        <f t="shared" si="166"/>
        <v/>
      </c>
      <c r="AI366" s="256" t="str">
        <f t="shared" si="167"/>
        <v/>
      </c>
      <c r="AJ366" s="111"/>
      <c r="AK366" s="255"/>
      <c r="AL366" s="259" t="str">
        <f>IF(AK366&lt;&gt;"",AK366/VLOOKUP($V366,Setup!$C$30:$D$41,2,0),"")</f>
        <v/>
      </c>
      <c r="AM366" s="266"/>
      <c r="AN366" s="258" t="str">
        <f t="shared" si="168"/>
        <v/>
      </c>
      <c r="AO366" s="266"/>
      <c r="AP366" s="258" t="str">
        <f t="shared" si="169"/>
        <v/>
      </c>
      <c r="AQ366" s="266"/>
      <c r="AR366" s="258" t="str">
        <f t="shared" si="170"/>
        <v/>
      </c>
      <c r="AS366" s="266"/>
      <c r="AT366" s="256" t="str">
        <f t="shared" si="171"/>
        <v/>
      </c>
      <c r="AU366" s="256" t="str">
        <f t="shared" si="172"/>
        <v/>
      </c>
      <c r="AV366" s="256" t="str">
        <f t="shared" si="173"/>
        <v/>
      </c>
      <c r="AW366" s="267"/>
      <c r="AX366" s="255"/>
      <c r="AY366" s="259" t="str">
        <f>IF(AX366&lt;&gt;"",AX366/VLOOKUP($V366,Setup!$C$30:$D$41,2,0),"")</f>
        <v/>
      </c>
      <c r="AZ366" s="268"/>
      <c r="BA366" s="258" t="str">
        <f t="shared" si="174"/>
        <v/>
      </c>
      <c r="BB366" s="268"/>
      <c r="BC366" s="258" t="str">
        <f t="shared" si="175"/>
        <v/>
      </c>
      <c r="BD366" s="268"/>
      <c r="BE366" s="258" t="str">
        <f t="shared" si="176"/>
        <v/>
      </c>
      <c r="BF366" s="268"/>
      <c r="BG366" s="256" t="str">
        <f t="shared" si="177"/>
        <v/>
      </c>
      <c r="BH366" s="256" t="str">
        <f t="shared" si="178"/>
        <v/>
      </c>
      <c r="BI366" s="256" t="str">
        <f t="shared" si="179"/>
        <v/>
      </c>
      <c r="BJ366" s="267"/>
      <c r="BK366" s="255"/>
      <c r="BL366" s="259" t="str">
        <f>IF(BK366&lt;&gt;"",BK366/VLOOKUP($V366,Setup!$C$30:$D$41,2,0),"")</f>
        <v/>
      </c>
      <c r="BM366" s="268"/>
      <c r="BN366" s="258" t="str">
        <f t="shared" si="180"/>
        <v/>
      </c>
      <c r="BO366" s="268"/>
      <c r="BP366" s="258" t="str">
        <f t="shared" si="181"/>
        <v/>
      </c>
      <c r="BQ366" s="268"/>
      <c r="BR366" s="258" t="str">
        <f t="shared" si="182"/>
        <v/>
      </c>
      <c r="BS366" s="268"/>
      <c r="BT366" s="256" t="str">
        <f t="shared" si="183"/>
        <v/>
      </c>
      <c r="BU366" s="256" t="str">
        <f t="shared" si="184"/>
        <v/>
      </c>
      <c r="BV366" s="256" t="str">
        <f t="shared" si="185"/>
        <v/>
      </c>
      <c r="BW366" s="267"/>
      <c r="BX366" s="256" t="str">
        <f t="shared" si="186"/>
        <v/>
      </c>
      <c r="BY366" s="256" t="str">
        <f t="shared" si="187"/>
        <v/>
      </c>
      <c r="BZ366" s="281"/>
      <c r="CA366" s="282"/>
      <c r="CC366" s="112" t="str">
        <f t="shared" ca="1" si="188"/>
        <v/>
      </c>
      <c r="CF366" s="284"/>
      <c r="CG366" s="284"/>
      <c r="CH366" s="284"/>
      <c r="CI366" s="284"/>
      <c r="CL366" s="356" t="str">
        <f>IFERROR(VLOOKUP(C366,'Data Sheet'!$A$3:$B$26,2,FALSE),"")</f>
        <v/>
      </c>
    </row>
    <row r="367" spans="1:90" s="98" customFormat="1" ht="15.75" x14ac:dyDescent="0.2">
      <c r="A367" s="97"/>
      <c r="B367" s="105" t="str">
        <f t="shared" si="191"/>
        <v>--</v>
      </c>
      <c r="C367" s="276"/>
      <c r="D367" s="101" t="str">
        <f>IFERROR(IF(VLOOKUP(C367,'Data Sheet'!$A$3:$D$26,4,FALSE)=0,"",VLOOKUP(C367,'Data Sheet'!$A$3:$D$26,4,FALSE)),"")</f>
        <v/>
      </c>
      <c r="E367" s="279"/>
      <c r="F367" s="103" t="str">
        <f>IFERROR(IF(VLOOKUP(E367,'Data Sheet'!$C$29:$E$174,3,FALSE)=0,"",VLOOKUP(E367,'Data Sheet'!$C$29:$E$174,3,FALSE)),"")</f>
        <v/>
      </c>
      <c r="G367" s="106" t="str">
        <f t="shared" si="189"/>
        <v>-</v>
      </c>
      <c r="H367" s="273"/>
      <c r="I367" s="107"/>
      <c r="J367" s="249" t="e">
        <f t="shared" si="190"/>
        <v>#VALUE!</v>
      </c>
      <c r="K367" s="101" t="str">
        <f>IFERROR(INDEX('Data Sheet'!$C$198:$C$275,MATCH(I367,'Data Sheet'!$F$198:$F$275,0)),"")</f>
        <v/>
      </c>
      <c r="L367" s="250" t="str">
        <f>IFERROR(INDEX('Data Sheet'!$G$198:$G$275,MATCH(I367,'Data Sheet'!$F$198:$F$275,0)),"")</f>
        <v/>
      </c>
      <c r="M367" s="194"/>
      <c r="N367" s="248"/>
      <c r="O367" s="248"/>
      <c r="P367" s="108" t="str">
        <f>IFERROR(INDEX(Setup!$D$44:$D$70,MATCH(M367,Setup!$K$44:$K$70,0))&amp;"","")</f>
        <v/>
      </c>
      <c r="Q367" s="108" t="str">
        <f>IFERROR(INDEX(Setup!$E$44:$E$70,MATCH(M367,Setup!$K$44:$K$70,0))&amp;"","")</f>
        <v/>
      </c>
      <c r="R367" s="108" t="str">
        <f>IFERROR(INDEX(Setup!$L$44:$L$70,MATCH(M367,Setup!$K$44:$K$70,0))&amp;"","")</f>
        <v/>
      </c>
      <c r="S367" s="108" t="str">
        <f>Setup!$C$30</f>
        <v>USD</v>
      </c>
      <c r="T367" s="109" t="str">
        <f>IFERROR(INDEX('Data Sheet'!$B$198:$B$275,MATCH(I367,'Data Sheet'!$F$198:$F$275,0)),"")</f>
        <v/>
      </c>
      <c r="U367" s="110" t="str">
        <f>IFERROR(INDEX('Data Sheet'!$D$198:$D$275,MATCH(I367,'Data Sheet'!$F$198:$F$275,0)),"")</f>
        <v/>
      </c>
      <c r="V367" s="99"/>
      <c r="W367" s="195" t="str">
        <f>IF(V367=Setup!$C$30,"Grant",IF(V367=Setup!$C$31,"Local",IF(V367=Setup!$C$32,"Other",IF(ISBLANK(V367),"","Other"))))</f>
        <v/>
      </c>
      <c r="X367" s="255"/>
      <c r="Y367" s="259" t="str">
        <f>IF(X367&lt;&gt;"",X367/VLOOKUP($V367,Setup!$C$30:$D$41,2,0),"")</f>
        <v/>
      </c>
      <c r="Z367" s="262"/>
      <c r="AA367" s="256" t="str">
        <f t="shared" si="162"/>
        <v/>
      </c>
      <c r="AB367" s="262"/>
      <c r="AC367" s="258" t="str">
        <f t="shared" si="163"/>
        <v/>
      </c>
      <c r="AD367" s="262"/>
      <c r="AE367" s="258" t="str">
        <f t="shared" si="164"/>
        <v/>
      </c>
      <c r="AF367" s="262"/>
      <c r="AG367" s="256" t="str">
        <f t="shared" si="165"/>
        <v/>
      </c>
      <c r="AH367" s="256" t="str">
        <f t="shared" si="166"/>
        <v/>
      </c>
      <c r="AI367" s="256" t="str">
        <f t="shared" si="167"/>
        <v/>
      </c>
      <c r="AJ367" s="111"/>
      <c r="AK367" s="255"/>
      <c r="AL367" s="259" t="str">
        <f>IF(AK367&lt;&gt;"",AK367/VLOOKUP($V367,Setup!$C$30:$D$41,2,0),"")</f>
        <v/>
      </c>
      <c r="AM367" s="266"/>
      <c r="AN367" s="258" t="str">
        <f t="shared" si="168"/>
        <v/>
      </c>
      <c r="AO367" s="266"/>
      <c r="AP367" s="258" t="str">
        <f t="shared" si="169"/>
        <v/>
      </c>
      <c r="AQ367" s="266"/>
      <c r="AR367" s="258" t="str">
        <f t="shared" si="170"/>
        <v/>
      </c>
      <c r="AS367" s="266"/>
      <c r="AT367" s="256" t="str">
        <f t="shared" si="171"/>
        <v/>
      </c>
      <c r="AU367" s="256" t="str">
        <f t="shared" si="172"/>
        <v/>
      </c>
      <c r="AV367" s="256" t="str">
        <f t="shared" si="173"/>
        <v/>
      </c>
      <c r="AW367" s="267"/>
      <c r="AX367" s="255"/>
      <c r="AY367" s="259" t="str">
        <f>IF(AX367&lt;&gt;"",AX367/VLOOKUP($V367,Setup!$C$30:$D$41,2,0),"")</f>
        <v/>
      </c>
      <c r="AZ367" s="268"/>
      <c r="BA367" s="258" t="str">
        <f t="shared" si="174"/>
        <v/>
      </c>
      <c r="BB367" s="268"/>
      <c r="BC367" s="258" t="str">
        <f t="shared" si="175"/>
        <v/>
      </c>
      <c r="BD367" s="268"/>
      <c r="BE367" s="258" t="str">
        <f t="shared" si="176"/>
        <v/>
      </c>
      <c r="BF367" s="268"/>
      <c r="BG367" s="256" t="str">
        <f t="shared" si="177"/>
        <v/>
      </c>
      <c r="BH367" s="256" t="str">
        <f t="shared" si="178"/>
        <v/>
      </c>
      <c r="BI367" s="256" t="str">
        <f t="shared" si="179"/>
        <v/>
      </c>
      <c r="BJ367" s="267"/>
      <c r="BK367" s="255"/>
      <c r="BL367" s="259" t="str">
        <f>IF(BK367&lt;&gt;"",BK367/VLOOKUP($V367,Setup!$C$30:$D$41,2,0),"")</f>
        <v/>
      </c>
      <c r="BM367" s="268"/>
      <c r="BN367" s="258" t="str">
        <f t="shared" si="180"/>
        <v/>
      </c>
      <c r="BO367" s="268"/>
      <c r="BP367" s="258" t="str">
        <f t="shared" si="181"/>
        <v/>
      </c>
      <c r="BQ367" s="268"/>
      <c r="BR367" s="258" t="str">
        <f t="shared" si="182"/>
        <v/>
      </c>
      <c r="BS367" s="268"/>
      <c r="BT367" s="256" t="str">
        <f t="shared" si="183"/>
        <v/>
      </c>
      <c r="BU367" s="256" t="str">
        <f t="shared" si="184"/>
        <v/>
      </c>
      <c r="BV367" s="256" t="str">
        <f t="shared" si="185"/>
        <v/>
      </c>
      <c r="BW367" s="267"/>
      <c r="BX367" s="256" t="str">
        <f t="shared" si="186"/>
        <v/>
      </c>
      <c r="BY367" s="256" t="str">
        <f t="shared" si="187"/>
        <v/>
      </c>
      <c r="BZ367" s="281"/>
      <c r="CA367" s="282"/>
      <c r="CC367" s="112" t="str">
        <f t="shared" ca="1" si="188"/>
        <v/>
      </c>
      <c r="CF367" s="284"/>
      <c r="CG367" s="284"/>
      <c r="CH367" s="284"/>
      <c r="CI367" s="284"/>
      <c r="CL367" s="356" t="str">
        <f>IFERROR(VLOOKUP(C367,'Data Sheet'!$A$3:$B$26,2,FALSE),"")</f>
        <v/>
      </c>
    </row>
    <row r="368" spans="1:90" s="98" customFormat="1" ht="15.75" x14ac:dyDescent="0.2">
      <c r="A368" s="97"/>
      <c r="B368" s="105" t="str">
        <f t="shared" si="191"/>
        <v>--</v>
      </c>
      <c r="C368" s="276"/>
      <c r="D368" s="101" t="str">
        <f>IFERROR(IF(VLOOKUP(C368,'Data Sheet'!$A$3:$D$26,4,FALSE)=0,"",VLOOKUP(C368,'Data Sheet'!$A$3:$D$26,4,FALSE)),"")</f>
        <v/>
      </c>
      <c r="E368" s="279"/>
      <c r="F368" s="103" t="str">
        <f>IFERROR(IF(VLOOKUP(E368,'Data Sheet'!$C$29:$E$174,3,FALSE)=0,"",VLOOKUP(E368,'Data Sheet'!$C$29:$E$174,3,FALSE)),"")</f>
        <v/>
      </c>
      <c r="G368" s="106" t="str">
        <f t="shared" si="189"/>
        <v>-</v>
      </c>
      <c r="H368" s="273"/>
      <c r="I368" s="107"/>
      <c r="J368" s="249" t="e">
        <f t="shared" si="190"/>
        <v>#VALUE!</v>
      </c>
      <c r="K368" s="101" t="str">
        <f>IFERROR(INDEX('Data Sheet'!$C$198:$C$275,MATCH(I368,'Data Sheet'!$F$198:$F$275,0)),"")</f>
        <v/>
      </c>
      <c r="L368" s="250" t="str">
        <f>IFERROR(INDEX('Data Sheet'!$G$198:$G$275,MATCH(I368,'Data Sheet'!$F$198:$F$275,0)),"")</f>
        <v/>
      </c>
      <c r="M368" s="194"/>
      <c r="N368" s="248"/>
      <c r="O368" s="248"/>
      <c r="P368" s="108" t="str">
        <f>IFERROR(INDEX(Setup!$D$44:$D$70,MATCH(M368,Setup!$K$44:$K$70,0))&amp;"","")</f>
        <v/>
      </c>
      <c r="Q368" s="108" t="str">
        <f>IFERROR(INDEX(Setup!$E$44:$E$70,MATCH(M368,Setup!$K$44:$K$70,0))&amp;"","")</f>
        <v/>
      </c>
      <c r="R368" s="108" t="str">
        <f>IFERROR(INDEX(Setup!$L$44:$L$70,MATCH(M368,Setup!$K$44:$K$70,0))&amp;"","")</f>
        <v/>
      </c>
      <c r="S368" s="108" t="str">
        <f>Setup!$C$30</f>
        <v>USD</v>
      </c>
      <c r="T368" s="109" t="str">
        <f>IFERROR(INDEX('Data Sheet'!$B$198:$B$275,MATCH(I368,'Data Sheet'!$F$198:$F$275,0)),"")</f>
        <v/>
      </c>
      <c r="U368" s="110" t="str">
        <f>IFERROR(INDEX('Data Sheet'!$D$198:$D$275,MATCH(I368,'Data Sheet'!$F$198:$F$275,0)),"")</f>
        <v/>
      </c>
      <c r="V368" s="99"/>
      <c r="W368" s="195" t="str">
        <f>IF(V368=Setup!$C$30,"Grant",IF(V368=Setup!$C$31,"Local",IF(V368=Setup!$C$32,"Other",IF(ISBLANK(V368),"","Other"))))</f>
        <v/>
      </c>
      <c r="X368" s="255"/>
      <c r="Y368" s="259" t="str">
        <f>IF(X368&lt;&gt;"",X368/VLOOKUP($V368,Setup!$C$30:$D$41,2,0),"")</f>
        <v/>
      </c>
      <c r="Z368" s="262"/>
      <c r="AA368" s="256" t="str">
        <f t="shared" si="162"/>
        <v/>
      </c>
      <c r="AB368" s="262"/>
      <c r="AC368" s="258" t="str">
        <f t="shared" si="163"/>
        <v/>
      </c>
      <c r="AD368" s="262"/>
      <c r="AE368" s="258" t="str">
        <f t="shared" si="164"/>
        <v/>
      </c>
      <c r="AF368" s="262"/>
      <c r="AG368" s="256" t="str">
        <f t="shared" si="165"/>
        <v/>
      </c>
      <c r="AH368" s="256" t="str">
        <f t="shared" si="166"/>
        <v/>
      </c>
      <c r="AI368" s="256" t="str">
        <f t="shared" si="167"/>
        <v/>
      </c>
      <c r="AJ368" s="111"/>
      <c r="AK368" s="255"/>
      <c r="AL368" s="259" t="str">
        <f>IF(AK368&lt;&gt;"",AK368/VLOOKUP($V368,Setup!$C$30:$D$41,2,0),"")</f>
        <v/>
      </c>
      <c r="AM368" s="266"/>
      <c r="AN368" s="258" t="str">
        <f t="shared" si="168"/>
        <v/>
      </c>
      <c r="AO368" s="266"/>
      <c r="AP368" s="258" t="str">
        <f t="shared" si="169"/>
        <v/>
      </c>
      <c r="AQ368" s="266"/>
      <c r="AR368" s="258" t="str">
        <f t="shared" si="170"/>
        <v/>
      </c>
      <c r="AS368" s="266"/>
      <c r="AT368" s="256" t="str">
        <f t="shared" si="171"/>
        <v/>
      </c>
      <c r="AU368" s="256" t="str">
        <f t="shared" si="172"/>
        <v/>
      </c>
      <c r="AV368" s="256" t="str">
        <f t="shared" si="173"/>
        <v/>
      </c>
      <c r="AW368" s="267"/>
      <c r="AX368" s="255"/>
      <c r="AY368" s="259" t="str">
        <f>IF(AX368&lt;&gt;"",AX368/VLOOKUP($V368,Setup!$C$30:$D$41,2,0),"")</f>
        <v/>
      </c>
      <c r="AZ368" s="268"/>
      <c r="BA368" s="258" t="str">
        <f t="shared" si="174"/>
        <v/>
      </c>
      <c r="BB368" s="268"/>
      <c r="BC368" s="258" t="str">
        <f t="shared" si="175"/>
        <v/>
      </c>
      <c r="BD368" s="268"/>
      <c r="BE368" s="258" t="str">
        <f t="shared" si="176"/>
        <v/>
      </c>
      <c r="BF368" s="268"/>
      <c r="BG368" s="256" t="str">
        <f t="shared" si="177"/>
        <v/>
      </c>
      <c r="BH368" s="256" t="str">
        <f t="shared" si="178"/>
        <v/>
      </c>
      <c r="BI368" s="256" t="str">
        <f t="shared" si="179"/>
        <v/>
      </c>
      <c r="BJ368" s="267"/>
      <c r="BK368" s="255"/>
      <c r="BL368" s="259" t="str">
        <f>IF(BK368&lt;&gt;"",BK368/VLOOKUP($V368,Setup!$C$30:$D$41,2,0),"")</f>
        <v/>
      </c>
      <c r="BM368" s="268"/>
      <c r="BN368" s="258" t="str">
        <f t="shared" si="180"/>
        <v/>
      </c>
      <c r="BO368" s="268"/>
      <c r="BP368" s="258" t="str">
        <f t="shared" si="181"/>
        <v/>
      </c>
      <c r="BQ368" s="268"/>
      <c r="BR368" s="258" t="str">
        <f t="shared" si="182"/>
        <v/>
      </c>
      <c r="BS368" s="268"/>
      <c r="BT368" s="256" t="str">
        <f t="shared" si="183"/>
        <v/>
      </c>
      <c r="BU368" s="256" t="str">
        <f t="shared" si="184"/>
        <v/>
      </c>
      <c r="BV368" s="256" t="str">
        <f t="shared" si="185"/>
        <v/>
      </c>
      <c r="BW368" s="267"/>
      <c r="BX368" s="256" t="str">
        <f t="shared" si="186"/>
        <v/>
      </c>
      <c r="BY368" s="256" t="str">
        <f t="shared" si="187"/>
        <v/>
      </c>
      <c r="BZ368" s="281"/>
      <c r="CA368" s="282"/>
      <c r="CC368" s="112" t="str">
        <f t="shared" ca="1" si="188"/>
        <v/>
      </c>
      <c r="CF368" s="284"/>
      <c r="CG368" s="284"/>
      <c r="CH368" s="284"/>
      <c r="CI368" s="284"/>
      <c r="CL368" s="356" t="str">
        <f>IFERROR(VLOOKUP(C368,'Data Sheet'!$A$3:$B$26,2,FALSE),"")</f>
        <v/>
      </c>
    </row>
    <row r="369" spans="1:90" s="98" customFormat="1" ht="15.75" x14ac:dyDescent="0.2">
      <c r="A369" s="97"/>
      <c r="B369" s="105" t="str">
        <f t="shared" si="191"/>
        <v>--</v>
      </c>
      <c r="C369" s="276"/>
      <c r="D369" s="101" t="str">
        <f>IFERROR(IF(VLOOKUP(C369,'Data Sheet'!$A$3:$D$26,4,FALSE)=0,"",VLOOKUP(C369,'Data Sheet'!$A$3:$D$26,4,FALSE)),"")</f>
        <v/>
      </c>
      <c r="E369" s="279"/>
      <c r="F369" s="103" t="str">
        <f>IFERROR(IF(VLOOKUP(E369,'Data Sheet'!$C$29:$E$174,3,FALSE)=0,"",VLOOKUP(E369,'Data Sheet'!$C$29:$E$174,3,FALSE)),"")</f>
        <v/>
      </c>
      <c r="G369" s="106" t="str">
        <f t="shared" si="189"/>
        <v>-</v>
      </c>
      <c r="H369" s="273"/>
      <c r="I369" s="107"/>
      <c r="J369" s="249" t="e">
        <f t="shared" si="190"/>
        <v>#VALUE!</v>
      </c>
      <c r="K369" s="101" t="str">
        <f>IFERROR(INDEX('Data Sheet'!$C$198:$C$275,MATCH(I369,'Data Sheet'!$F$198:$F$275,0)),"")</f>
        <v/>
      </c>
      <c r="L369" s="250" t="str">
        <f>IFERROR(INDEX('Data Sheet'!$G$198:$G$275,MATCH(I369,'Data Sheet'!$F$198:$F$275,0)),"")</f>
        <v/>
      </c>
      <c r="M369" s="194"/>
      <c r="N369" s="248"/>
      <c r="O369" s="248"/>
      <c r="P369" s="108" t="str">
        <f>IFERROR(INDEX(Setup!$D$44:$D$70,MATCH(M369,Setup!$K$44:$K$70,0))&amp;"","")</f>
        <v/>
      </c>
      <c r="Q369" s="108" t="str">
        <f>IFERROR(INDEX(Setup!$E$44:$E$70,MATCH(M369,Setup!$K$44:$K$70,0))&amp;"","")</f>
        <v/>
      </c>
      <c r="R369" s="108" t="str">
        <f>IFERROR(INDEX(Setup!$L$44:$L$70,MATCH(M369,Setup!$K$44:$K$70,0))&amp;"","")</f>
        <v/>
      </c>
      <c r="S369" s="108" t="str">
        <f>Setup!$C$30</f>
        <v>USD</v>
      </c>
      <c r="T369" s="109" t="str">
        <f>IFERROR(INDEX('Data Sheet'!$B$198:$B$275,MATCH(I369,'Data Sheet'!$F$198:$F$275,0)),"")</f>
        <v/>
      </c>
      <c r="U369" s="110" t="str">
        <f>IFERROR(INDEX('Data Sheet'!$D$198:$D$275,MATCH(I369,'Data Sheet'!$F$198:$F$275,0)),"")</f>
        <v/>
      </c>
      <c r="V369" s="99"/>
      <c r="W369" s="195" t="str">
        <f>IF(V369=Setup!$C$30,"Grant",IF(V369=Setup!$C$31,"Local",IF(V369=Setup!$C$32,"Other",IF(ISBLANK(V369),"","Other"))))</f>
        <v/>
      </c>
      <c r="X369" s="255"/>
      <c r="Y369" s="259" t="str">
        <f>IF(X369&lt;&gt;"",X369/VLOOKUP($V369,Setup!$C$30:$D$41,2,0),"")</f>
        <v/>
      </c>
      <c r="Z369" s="262"/>
      <c r="AA369" s="256" t="str">
        <f t="shared" si="162"/>
        <v/>
      </c>
      <c r="AB369" s="262"/>
      <c r="AC369" s="258" t="str">
        <f t="shared" si="163"/>
        <v/>
      </c>
      <c r="AD369" s="262"/>
      <c r="AE369" s="258" t="str">
        <f t="shared" si="164"/>
        <v/>
      </c>
      <c r="AF369" s="262"/>
      <c r="AG369" s="256" t="str">
        <f t="shared" si="165"/>
        <v/>
      </c>
      <c r="AH369" s="256" t="str">
        <f t="shared" si="166"/>
        <v/>
      </c>
      <c r="AI369" s="256" t="str">
        <f t="shared" si="167"/>
        <v/>
      </c>
      <c r="AJ369" s="111"/>
      <c r="AK369" s="255"/>
      <c r="AL369" s="259" t="str">
        <f>IF(AK369&lt;&gt;"",AK369/VLOOKUP($V369,Setup!$C$30:$D$41,2,0),"")</f>
        <v/>
      </c>
      <c r="AM369" s="266"/>
      <c r="AN369" s="258" t="str">
        <f t="shared" si="168"/>
        <v/>
      </c>
      <c r="AO369" s="266"/>
      <c r="AP369" s="258" t="str">
        <f t="shared" si="169"/>
        <v/>
      </c>
      <c r="AQ369" s="266"/>
      <c r="AR369" s="258" t="str">
        <f t="shared" si="170"/>
        <v/>
      </c>
      <c r="AS369" s="266"/>
      <c r="AT369" s="256" t="str">
        <f t="shared" si="171"/>
        <v/>
      </c>
      <c r="AU369" s="256" t="str">
        <f t="shared" si="172"/>
        <v/>
      </c>
      <c r="AV369" s="256" t="str">
        <f t="shared" si="173"/>
        <v/>
      </c>
      <c r="AW369" s="267"/>
      <c r="AX369" s="255"/>
      <c r="AY369" s="259" t="str">
        <f>IF(AX369&lt;&gt;"",AX369/VLOOKUP($V369,Setup!$C$30:$D$41,2,0),"")</f>
        <v/>
      </c>
      <c r="AZ369" s="268"/>
      <c r="BA369" s="258" t="str">
        <f t="shared" si="174"/>
        <v/>
      </c>
      <c r="BB369" s="268"/>
      <c r="BC369" s="258" t="str">
        <f t="shared" si="175"/>
        <v/>
      </c>
      <c r="BD369" s="268"/>
      <c r="BE369" s="258" t="str">
        <f t="shared" si="176"/>
        <v/>
      </c>
      <c r="BF369" s="268"/>
      <c r="BG369" s="256" t="str">
        <f t="shared" si="177"/>
        <v/>
      </c>
      <c r="BH369" s="256" t="str">
        <f t="shared" si="178"/>
        <v/>
      </c>
      <c r="BI369" s="256" t="str">
        <f t="shared" si="179"/>
        <v/>
      </c>
      <c r="BJ369" s="267"/>
      <c r="BK369" s="255"/>
      <c r="BL369" s="259" t="str">
        <f>IF(BK369&lt;&gt;"",BK369/VLOOKUP($V369,Setup!$C$30:$D$41,2,0),"")</f>
        <v/>
      </c>
      <c r="BM369" s="268"/>
      <c r="BN369" s="258" t="str">
        <f t="shared" si="180"/>
        <v/>
      </c>
      <c r="BO369" s="268"/>
      <c r="BP369" s="258" t="str">
        <f t="shared" si="181"/>
        <v/>
      </c>
      <c r="BQ369" s="268"/>
      <c r="BR369" s="258" t="str">
        <f t="shared" si="182"/>
        <v/>
      </c>
      <c r="BS369" s="268"/>
      <c r="BT369" s="256" t="str">
        <f t="shared" si="183"/>
        <v/>
      </c>
      <c r="BU369" s="256" t="str">
        <f t="shared" si="184"/>
        <v/>
      </c>
      <c r="BV369" s="256" t="str">
        <f t="shared" si="185"/>
        <v/>
      </c>
      <c r="BW369" s="267"/>
      <c r="BX369" s="256" t="str">
        <f t="shared" si="186"/>
        <v/>
      </c>
      <c r="BY369" s="256" t="str">
        <f t="shared" si="187"/>
        <v/>
      </c>
      <c r="BZ369" s="281"/>
      <c r="CA369" s="282"/>
      <c r="CC369" s="112" t="str">
        <f t="shared" ca="1" si="188"/>
        <v/>
      </c>
      <c r="CF369" s="284"/>
      <c r="CG369" s="284"/>
      <c r="CH369" s="284"/>
      <c r="CI369" s="284"/>
      <c r="CL369" s="356" t="str">
        <f>IFERROR(VLOOKUP(C369,'Data Sheet'!$A$3:$B$26,2,FALSE),"")</f>
        <v/>
      </c>
    </row>
    <row r="370" spans="1:90" s="98" customFormat="1" ht="15.75" x14ac:dyDescent="0.2">
      <c r="A370" s="97"/>
      <c r="B370" s="105" t="str">
        <f t="shared" si="191"/>
        <v>--</v>
      </c>
      <c r="C370" s="276"/>
      <c r="D370" s="101" t="str">
        <f>IFERROR(IF(VLOOKUP(C370,'Data Sheet'!$A$3:$D$26,4,FALSE)=0,"",VLOOKUP(C370,'Data Sheet'!$A$3:$D$26,4,FALSE)),"")</f>
        <v/>
      </c>
      <c r="E370" s="279"/>
      <c r="F370" s="103" t="str">
        <f>IFERROR(IF(VLOOKUP(E370,'Data Sheet'!$C$29:$E$174,3,FALSE)=0,"",VLOOKUP(E370,'Data Sheet'!$C$29:$E$174,3,FALSE)),"")</f>
        <v/>
      </c>
      <c r="G370" s="106" t="str">
        <f t="shared" si="189"/>
        <v>-</v>
      </c>
      <c r="H370" s="273"/>
      <c r="I370" s="107"/>
      <c r="J370" s="249" t="e">
        <f t="shared" si="190"/>
        <v>#VALUE!</v>
      </c>
      <c r="K370" s="101" t="str">
        <f>IFERROR(INDEX('Data Sheet'!$C$198:$C$275,MATCH(I370,'Data Sheet'!$F$198:$F$275,0)),"")</f>
        <v/>
      </c>
      <c r="L370" s="250" t="str">
        <f>IFERROR(INDEX('Data Sheet'!$G$198:$G$275,MATCH(I370,'Data Sheet'!$F$198:$F$275,0)),"")</f>
        <v/>
      </c>
      <c r="M370" s="194"/>
      <c r="N370" s="248"/>
      <c r="O370" s="248"/>
      <c r="P370" s="108" t="str">
        <f>IFERROR(INDEX(Setup!$D$44:$D$70,MATCH(M370,Setup!$K$44:$K$70,0))&amp;"","")</f>
        <v/>
      </c>
      <c r="Q370" s="108" t="str">
        <f>IFERROR(INDEX(Setup!$E$44:$E$70,MATCH(M370,Setup!$K$44:$K$70,0))&amp;"","")</f>
        <v/>
      </c>
      <c r="R370" s="108" t="str">
        <f>IFERROR(INDEX(Setup!$L$44:$L$70,MATCH(M370,Setup!$K$44:$K$70,0))&amp;"","")</f>
        <v/>
      </c>
      <c r="S370" s="108" t="str">
        <f>Setup!$C$30</f>
        <v>USD</v>
      </c>
      <c r="T370" s="109" t="str">
        <f>IFERROR(INDEX('Data Sheet'!$B$198:$B$275,MATCH(I370,'Data Sheet'!$F$198:$F$275,0)),"")</f>
        <v/>
      </c>
      <c r="U370" s="110" t="str">
        <f>IFERROR(INDEX('Data Sheet'!$D$198:$D$275,MATCH(I370,'Data Sheet'!$F$198:$F$275,0)),"")</f>
        <v/>
      </c>
      <c r="V370" s="99"/>
      <c r="W370" s="195" t="str">
        <f>IF(V370=Setup!$C$30,"Grant",IF(V370=Setup!$C$31,"Local",IF(V370=Setup!$C$32,"Other",IF(ISBLANK(V370),"","Other"))))</f>
        <v/>
      </c>
      <c r="X370" s="255"/>
      <c r="Y370" s="259" t="str">
        <f>IF(X370&lt;&gt;"",X370/VLOOKUP($V370,Setup!$C$30:$D$41,2,0),"")</f>
        <v/>
      </c>
      <c r="Z370" s="262"/>
      <c r="AA370" s="256" t="str">
        <f t="shared" si="162"/>
        <v/>
      </c>
      <c r="AB370" s="262"/>
      <c r="AC370" s="258" t="str">
        <f t="shared" si="163"/>
        <v/>
      </c>
      <c r="AD370" s="262"/>
      <c r="AE370" s="258" t="str">
        <f t="shared" si="164"/>
        <v/>
      </c>
      <c r="AF370" s="262"/>
      <c r="AG370" s="256" t="str">
        <f t="shared" si="165"/>
        <v/>
      </c>
      <c r="AH370" s="256" t="str">
        <f t="shared" si="166"/>
        <v/>
      </c>
      <c r="AI370" s="256" t="str">
        <f t="shared" si="167"/>
        <v/>
      </c>
      <c r="AJ370" s="111"/>
      <c r="AK370" s="255"/>
      <c r="AL370" s="259" t="str">
        <f>IF(AK370&lt;&gt;"",AK370/VLOOKUP($V370,Setup!$C$30:$D$41,2,0),"")</f>
        <v/>
      </c>
      <c r="AM370" s="266"/>
      <c r="AN370" s="258" t="str">
        <f t="shared" si="168"/>
        <v/>
      </c>
      <c r="AO370" s="266"/>
      <c r="AP370" s="258" t="str">
        <f t="shared" si="169"/>
        <v/>
      </c>
      <c r="AQ370" s="266"/>
      <c r="AR370" s="258" t="str">
        <f t="shared" si="170"/>
        <v/>
      </c>
      <c r="AS370" s="266"/>
      <c r="AT370" s="256" t="str">
        <f t="shared" si="171"/>
        <v/>
      </c>
      <c r="AU370" s="256" t="str">
        <f t="shared" si="172"/>
        <v/>
      </c>
      <c r="AV370" s="256" t="str">
        <f t="shared" si="173"/>
        <v/>
      </c>
      <c r="AW370" s="267"/>
      <c r="AX370" s="255"/>
      <c r="AY370" s="259" t="str">
        <f>IF(AX370&lt;&gt;"",AX370/VLOOKUP($V370,Setup!$C$30:$D$41,2,0),"")</f>
        <v/>
      </c>
      <c r="AZ370" s="268"/>
      <c r="BA370" s="258" t="str">
        <f t="shared" si="174"/>
        <v/>
      </c>
      <c r="BB370" s="268"/>
      <c r="BC370" s="258" t="str">
        <f t="shared" si="175"/>
        <v/>
      </c>
      <c r="BD370" s="268"/>
      <c r="BE370" s="258" t="str">
        <f t="shared" si="176"/>
        <v/>
      </c>
      <c r="BF370" s="268"/>
      <c r="BG370" s="256" t="str">
        <f t="shared" si="177"/>
        <v/>
      </c>
      <c r="BH370" s="256" t="str">
        <f t="shared" si="178"/>
        <v/>
      </c>
      <c r="BI370" s="256" t="str">
        <f t="shared" si="179"/>
        <v/>
      </c>
      <c r="BJ370" s="267"/>
      <c r="BK370" s="255"/>
      <c r="BL370" s="259" t="str">
        <f>IF(BK370&lt;&gt;"",BK370/VLOOKUP($V370,Setup!$C$30:$D$41,2,0),"")</f>
        <v/>
      </c>
      <c r="BM370" s="268"/>
      <c r="BN370" s="258" t="str">
        <f t="shared" si="180"/>
        <v/>
      </c>
      <c r="BO370" s="268"/>
      <c r="BP370" s="258" t="str">
        <f t="shared" si="181"/>
        <v/>
      </c>
      <c r="BQ370" s="268"/>
      <c r="BR370" s="258" t="str">
        <f t="shared" si="182"/>
        <v/>
      </c>
      <c r="BS370" s="268"/>
      <c r="BT370" s="256" t="str">
        <f t="shared" si="183"/>
        <v/>
      </c>
      <c r="BU370" s="256" t="str">
        <f t="shared" si="184"/>
        <v/>
      </c>
      <c r="BV370" s="256" t="str">
        <f t="shared" si="185"/>
        <v/>
      </c>
      <c r="BW370" s="267"/>
      <c r="BX370" s="256" t="str">
        <f t="shared" si="186"/>
        <v/>
      </c>
      <c r="BY370" s="256" t="str">
        <f t="shared" si="187"/>
        <v/>
      </c>
      <c r="BZ370" s="281"/>
      <c r="CA370" s="282"/>
      <c r="CC370" s="112" t="str">
        <f t="shared" ca="1" si="188"/>
        <v/>
      </c>
      <c r="CF370" s="284"/>
      <c r="CG370" s="284"/>
      <c r="CH370" s="284"/>
      <c r="CI370" s="284"/>
      <c r="CL370" s="356" t="str">
        <f>IFERROR(VLOOKUP(C370,'Data Sheet'!$A$3:$B$26,2,FALSE),"")</f>
        <v/>
      </c>
    </row>
    <row r="371" spans="1:90" s="98" customFormat="1" ht="15.75" x14ac:dyDescent="0.2">
      <c r="A371" s="97"/>
      <c r="B371" s="105" t="str">
        <f t="shared" si="191"/>
        <v>--</v>
      </c>
      <c r="C371" s="276"/>
      <c r="D371" s="101" t="str">
        <f>IFERROR(IF(VLOOKUP(C371,'Data Sheet'!$A$3:$D$26,4,FALSE)=0,"",VLOOKUP(C371,'Data Sheet'!$A$3:$D$26,4,FALSE)),"")</f>
        <v/>
      </c>
      <c r="E371" s="279"/>
      <c r="F371" s="103" t="str">
        <f>IFERROR(IF(VLOOKUP(E371,'Data Sheet'!$C$29:$E$174,3,FALSE)=0,"",VLOOKUP(E371,'Data Sheet'!$C$29:$E$174,3,FALSE)),"")</f>
        <v/>
      </c>
      <c r="G371" s="106" t="str">
        <f t="shared" si="189"/>
        <v>-</v>
      </c>
      <c r="H371" s="273"/>
      <c r="I371" s="107"/>
      <c r="J371" s="249" t="e">
        <f t="shared" si="190"/>
        <v>#VALUE!</v>
      </c>
      <c r="K371" s="101" t="str">
        <f>IFERROR(INDEX('Data Sheet'!$C$198:$C$275,MATCH(I371,'Data Sheet'!$F$198:$F$275,0)),"")</f>
        <v/>
      </c>
      <c r="L371" s="250" t="str">
        <f>IFERROR(INDEX('Data Sheet'!$G$198:$G$275,MATCH(I371,'Data Sheet'!$F$198:$F$275,0)),"")</f>
        <v/>
      </c>
      <c r="M371" s="194"/>
      <c r="N371" s="248"/>
      <c r="O371" s="248"/>
      <c r="P371" s="108" t="str">
        <f>IFERROR(INDEX(Setup!$D$44:$D$70,MATCH(M371,Setup!$K$44:$K$70,0))&amp;"","")</f>
        <v/>
      </c>
      <c r="Q371" s="108" t="str">
        <f>IFERROR(INDEX(Setup!$E$44:$E$70,MATCH(M371,Setup!$K$44:$K$70,0))&amp;"","")</f>
        <v/>
      </c>
      <c r="R371" s="108" t="str">
        <f>IFERROR(INDEX(Setup!$L$44:$L$70,MATCH(M371,Setup!$K$44:$K$70,0))&amp;"","")</f>
        <v/>
      </c>
      <c r="S371" s="108" t="str">
        <f>Setup!$C$30</f>
        <v>USD</v>
      </c>
      <c r="T371" s="109" t="str">
        <f>IFERROR(INDEX('Data Sheet'!$B$198:$B$275,MATCH(I371,'Data Sheet'!$F$198:$F$275,0)),"")</f>
        <v/>
      </c>
      <c r="U371" s="110" t="str">
        <f>IFERROR(INDEX('Data Sheet'!$D$198:$D$275,MATCH(I371,'Data Sheet'!$F$198:$F$275,0)),"")</f>
        <v/>
      </c>
      <c r="V371" s="99"/>
      <c r="W371" s="195" t="str">
        <f>IF(V371=Setup!$C$30,"Grant",IF(V371=Setup!$C$31,"Local",IF(V371=Setup!$C$32,"Other",IF(ISBLANK(V371),"","Other"))))</f>
        <v/>
      </c>
      <c r="X371" s="255"/>
      <c r="Y371" s="259" t="str">
        <f>IF(X371&lt;&gt;"",X371/VLOOKUP($V371,Setup!$C$30:$D$41,2,0),"")</f>
        <v/>
      </c>
      <c r="Z371" s="262"/>
      <c r="AA371" s="256" t="str">
        <f t="shared" si="162"/>
        <v/>
      </c>
      <c r="AB371" s="262"/>
      <c r="AC371" s="258" t="str">
        <f t="shared" si="163"/>
        <v/>
      </c>
      <c r="AD371" s="262"/>
      <c r="AE371" s="258" t="str">
        <f t="shared" si="164"/>
        <v/>
      </c>
      <c r="AF371" s="262"/>
      <c r="AG371" s="256" t="str">
        <f t="shared" si="165"/>
        <v/>
      </c>
      <c r="AH371" s="256" t="str">
        <f t="shared" si="166"/>
        <v/>
      </c>
      <c r="AI371" s="256" t="str">
        <f t="shared" si="167"/>
        <v/>
      </c>
      <c r="AJ371" s="111"/>
      <c r="AK371" s="255"/>
      <c r="AL371" s="259" t="str">
        <f>IF(AK371&lt;&gt;"",AK371/VLOOKUP($V371,Setup!$C$30:$D$41,2,0),"")</f>
        <v/>
      </c>
      <c r="AM371" s="266"/>
      <c r="AN371" s="258" t="str">
        <f t="shared" si="168"/>
        <v/>
      </c>
      <c r="AO371" s="266"/>
      <c r="AP371" s="258" t="str">
        <f t="shared" si="169"/>
        <v/>
      </c>
      <c r="AQ371" s="266"/>
      <c r="AR371" s="258" t="str">
        <f t="shared" si="170"/>
        <v/>
      </c>
      <c r="AS371" s="266"/>
      <c r="AT371" s="256" t="str">
        <f t="shared" si="171"/>
        <v/>
      </c>
      <c r="AU371" s="256" t="str">
        <f t="shared" si="172"/>
        <v/>
      </c>
      <c r="AV371" s="256" t="str">
        <f t="shared" si="173"/>
        <v/>
      </c>
      <c r="AW371" s="267"/>
      <c r="AX371" s="255"/>
      <c r="AY371" s="259" t="str">
        <f>IF(AX371&lt;&gt;"",AX371/VLOOKUP($V371,Setup!$C$30:$D$41,2,0),"")</f>
        <v/>
      </c>
      <c r="AZ371" s="268"/>
      <c r="BA371" s="258" t="str">
        <f t="shared" si="174"/>
        <v/>
      </c>
      <c r="BB371" s="268"/>
      <c r="BC371" s="258" t="str">
        <f t="shared" si="175"/>
        <v/>
      </c>
      <c r="BD371" s="268"/>
      <c r="BE371" s="258" t="str">
        <f t="shared" si="176"/>
        <v/>
      </c>
      <c r="BF371" s="268"/>
      <c r="BG371" s="256" t="str">
        <f t="shared" si="177"/>
        <v/>
      </c>
      <c r="BH371" s="256" t="str">
        <f t="shared" si="178"/>
        <v/>
      </c>
      <c r="BI371" s="256" t="str">
        <f t="shared" si="179"/>
        <v/>
      </c>
      <c r="BJ371" s="267"/>
      <c r="BK371" s="255"/>
      <c r="BL371" s="259" t="str">
        <f>IF(BK371&lt;&gt;"",BK371/VLOOKUP($V371,Setup!$C$30:$D$41,2,0),"")</f>
        <v/>
      </c>
      <c r="BM371" s="268"/>
      <c r="BN371" s="258" t="str">
        <f t="shared" si="180"/>
        <v/>
      </c>
      <c r="BO371" s="268"/>
      <c r="BP371" s="258" t="str">
        <f t="shared" si="181"/>
        <v/>
      </c>
      <c r="BQ371" s="268"/>
      <c r="BR371" s="258" t="str">
        <f t="shared" si="182"/>
        <v/>
      </c>
      <c r="BS371" s="268"/>
      <c r="BT371" s="256" t="str">
        <f t="shared" si="183"/>
        <v/>
      </c>
      <c r="BU371" s="256" t="str">
        <f t="shared" si="184"/>
        <v/>
      </c>
      <c r="BV371" s="256" t="str">
        <f t="shared" si="185"/>
        <v/>
      </c>
      <c r="BW371" s="267"/>
      <c r="BX371" s="256" t="str">
        <f t="shared" si="186"/>
        <v/>
      </c>
      <c r="BY371" s="256" t="str">
        <f t="shared" si="187"/>
        <v/>
      </c>
      <c r="BZ371" s="281"/>
      <c r="CA371" s="282"/>
      <c r="CC371" s="112" t="str">
        <f t="shared" ca="1" si="188"/>
        <v/>
      </c>
      <c r="CF371" s="284"/>
      <c r="CG371" s="284"/>
      <c r="CH371" s="284"/>
      <c r="CI371" s="284"/>
      <c r="CL371" s="356" t="str">
        <f>IFERROR(VLOOKUP(C371,'Data Sheet'!$A$3:$B$26,2,FALSE),"")</f>
        <v/>
      </c>
    </row>
    <row r="372" spans="1:90" s="98" customFormat="1" ht="15.75" x14ac:dyDescent="0.2">
      <c r="A372" s="97"/>
      <c r="B372" s="105" t="str">
        <f t="shared" si="191"/>
        <v>--</v>
      </c>
      <c r="C372" s="276"/>
      <c r="D372" s="101" t="str">
        <f>IFERROR(IF(VLOOKUP(C372,'Data Sheet'!$A$3:$D$26,4,FALSE)=0,"",VLOOKUP(C372,'Data Sheet'!$A$3:$D$26,4,FALSE)),"")</f>
        <v/>
      </c>
      <c r="E372" s="279"/>
      <c r="F372" s="103" t="str">
        <f>IFERROR(IF(VLOOKUP(E372,'Data Sheet'!$C$29:$E$174,3,FALSE)=0,"",VLOOKUP(E372,'Data Sheet'!$C$29:$E$174,3,FALSE)),"")</f>
        <v/>
      </c>
      <c r="G372" s="106" t="str">
        <f t="shared" si="189"/>
        <v>-</v>
      </c>
      <c r="H372" s="273"/>
      <c r="I372" s="107"/>
      <c r="J372" s="249" t="e">
        <f t="shared" si="190"/>
        <v>#VALUE!</v>
      </c>
      <c r="K372" s="101" t="str">
        <f>IFERROR(INDEX('Data Sheet'!$C$198:$C$275,MATCH(I372,'Data Sheet'!$F$198:$F$275,0)),"")</f>
        <v/>
      </c>
      <c r="L372" s="250" t="str">
        <f>IFERROR(INDEX('Data Sheet'!$G$198:$G$275,MATCH(I372,'Data Sheet'!$F$198:$F$275,0)),"")</f>
        <v/>
      </c>
      <c r="M372" s="194"/>
      <c r="N372" s="248"/>
      <c r="O372" s="248"/>
      <c r="P372" s="108" t="str">
        <f>IFERROR(INDEX(Setup!$D$44:$D$70,MATCH(M372,Setup!$K$44:$K$70,0))&amp;"","")</f>
        <v/>
      </c>
      <c r="Q372" s="108" t="str">
        <f>IFERROR(INDEX(Setup!$E$44:$E$70,MATCH(M372,Setup!$K$44:$K$70,0))&amp;"","")</f>
        <v/>
      </c>
      <c r="R372" s="108" t="str">
        <f>IFERROR(INDEX(Setup!$L$44:$L$70,MATCH(M372,Setup!$K$44:$K$70,0))&amp;"","")</f>
        <v/>
      </c>
      <c r="S372" s="108" t="str">
        <f>Setup!$C$30</f>
        <v>USD</v>
      </c>
      <c r="T372" s="109" t="str">
        <f>IFERROR(INDEX('Data Sheet'!$B$198:$B$275,MATCH(I372,'Data Sheet'!$F$198:$F$275,0)),"")</f>
        <v/>
      </c>
      <c r="U372" s="110" t="str">
        <f>IFERROR(INDEX('Data Sheet'!$D$198:$D$275,MATCH(I372,'Data Sheet'!$F$198:$F$275,0)),"")</f>
        <v/>
      </c>
      <c r="V372" s="99"/>
      <c r="W372" s="195" t="str">
        <f>IF(V372=Setup!$C$30,"Grant",IF(V372=Setup!$C$31,"Local",IF(V372=Setup!$C$32,"Other",IF(ISBLANK(V372),"","Other"))))</f>
        <v/>
      </c>
      <c r="X372" s="255"/>
      <c r="Y372" s="259" t="str">
        <f>IF(X372&lt;&gt;"",X372/VLOOKUP($V372,Setup!$C$30:$D$41,2,0),"")</f>
        <v/>
      </c>
      <c r="Z372" s="262"/>
      <c r="AA372" s="256" t="str">
        <f t="shared" si="162"/>
        <v/>
      </c>
      <c r="AB372" s="262"/>
      <c r="AC372" s="258" t="str">
        <f t="shared" si="163"/>
        <v/>
      </c>
      <c r="AD372" s="262"/>
      <c r="AE372" s="258" t="str">
        <f t="shared" si="164"/>
        <v/>
      </c>
      <c r="AF372" s="262"/>
      <c r="AG372" s="256" t="str">
        <f t="shared" si="165"/>
        <v/>
      </c>
      <c r="AH372" s="256" t="str">
        <f t="shared" si="166"/>
        <v/>
      </c>
      <c r="AI372" s="256" t="str">
        <f t="shared" si="167"/>
        <v/>
      </c>
      <c r="AJ372" s="111"/>
      <c r="AK372" s="255"/>
      <c r="AL372" s="259" t="str">
        <f>IF(AK372&lt;&gt;"",AK372/VLOOKUP($V372,Setup!$C$30:$D$41,2,0),"")</f>
        <v/>
      </c>
      <c r="AM372" s="266"/>
      <c r="AN372" s="258" t="str">
        <f t="shared" si="168"/>
        <v/>
      </c>
      <c r="AO372" s="266"/>
      <c r="AP372" s="258" t="str">
        <f t="shared" si="169"/>
        <v/>
      </c>
      <c r="AQ372" s="266"/>
      <c r="AR372" s="258" t="str">
        <f t="shared" si="170"/>
        <v/>
      </c>
      <c r="AS372" s="266"/>
      <c r="AT372" s="256" t="str">
        <f t="shared" si="171"/>
        <v/>
      </c>
      <c r="AU372" s="256" t="str">
        <f t="shared" si="172"/>
        <v/>
      </c>
      <c r="AV372" s="256" t="str">
        <f t="shared" si="173"/>
        <v/>
      </c>
      <c r="AW372" s="267"/>
      <c r="AX372" s="255"/>
      <c r="AY372" s="259" t="str">
        <f>IF(AX372&lt;&gt;"",AX372/VLOOKUP($V372,Setup!$C$30:$D$41,2,0),"")</f>
        <v/>
      </c>
      <c r="AZ372" s="268"/>
      <c r="BA372" s="258" t="str">
        <f t="shared" si="174"/>
        <v/>
      </c>
      <c r="BB372" s="268"/>
      <c r="BC372" s="258" t="str">
        <f t="shared" si="175"/>
        <v/>
      </c>
      <c r="BD372" s="268"/>
      <c r="BE372" s="258" t="str">
        <f t="shared" si="176"/>
        <v/>
      </c>
      <c r="BF372" s="268"/>
      <c r="BG372" s="256" t="str">
        <f t="shared" si="177"/>
        <v/>
      </c>
      <c r="BH372" s="256" t="str">
        <f t="shared" si="178"/>
        <v/>
      </c>
      <c r="BI372" s="256" t="str">
        <f t="shared" si="179"/>
        <v/>
      </c>
      <c r="BJ372" s="267"/>
      <c r="BK372" s="255"/>
      <c r="BL372" s="259" t="str">
        <f>IF(BK372&lt;&gt;"",BK372/VLOOKUP($V372,Setup!$C$30:$D$41,2,0),"")</f>
        <v/>
      </c>
      <c r="BM372" s="268"/>
      <c r="BN372" s="258" t="str">
        <f t="shared" si="180"/>
        <v/>
      </c>
      <c r="BO372" s="268"/>
      <c r="BP372" s="258" t="str">
        <f t="shared" si="181"/>
        <v/>
      </c>
      <c r="BQ372" s="268"/>
      <c r="BR372" s="258" t="str">
        <f t="shared" si="182"/>
        <v/>
      </c>
      <c r="BS372" s="268"/>
      <c r="BT372" s="256" t="str">
        <f t="shared" si="183"/>
        <v/>
      </c>
      <c r="BU372" s="256" t="str">
        <f t="shared" si="184"/>
        <v/>
      </c>
      <c r="BV372" s="256" t="str">
        <f t="shared" si="185"/>
        <v/>
      </c>
      <c r="BW372" s="267"/>
      <c r="BX372" s="256" t="str">
        <f t="shared" si="186"/>
        <v/>
      </c>
      <c r="BY372" s="256" t="str">
        <f t="shared" si="187"/>
        <v/>
      </c>
      <c r="BZ372" s="281"/>
      <c r="CA372" s="282"/>
      <c r="CC372" s="112" t="str">
        <f t="shared" ca="1" si="188"/>
        <v/>
      </c>
      <c r="CF372" s="284"/>
      <c r="CG372" s="284"/>
      <c r="CH372" s="284"/>
      <c r="CI372" s="284"/>
      <c r="CL372" s="356" t="str">
        <f>IFERROR(VLOOKUP(C372,'Data Sheet'!$A$3:$B$26,2,FALSE),"")</f>
        <v/>
      </c>
    </row>
    <row r="373" spans="1:90" s="98" customFormat="1" ht="15.75" x14ac:dyDescent="0.2">
      <c r="A373" s="97"/>
      <c r="B373" s="105" t="str">
        <f t="shared" si="191"/>
        <v>--</v>
      </c>
      <c r="C373" s="276"/>
      <c r="D373" s="101" t="str">
        <f>IFERROR(IF(VLOOKUP(C373,'Data Sheet'!$A$3:$D$26,4,FALSE)=0,"",VLOOKUP(C373,'Data Sheet'!$A$3:$D$26,4,FALSE)),"")</f>
        <v/>
      </c>
      <c r="E373" s="279"/>
      <c r="F373" s="103" t="str">
        <f>IFERROR(IF(VLOOKUP(E373,'Data Sheet'!$C$29:$E$174,3,FALSE)=0,"",VLOOKUP(E373,'Data Sheet'!$C$29:$E$174,3,FALSE)),"")</f>
        <v/>
      </c>
      <c r="G373" s="106" t="str">
        <f t="shared" si="189"/>
        <v>-</v>
      </c>
      <c r="H373" s="273"/>
      <c r="I373" s="107"/>
      <c r="J373" s="249" t="e">
        <f t="shared" si="190"/>
        <v>#VALUE!</v>
      </c>
      <c r="K373" s="101" t="str">
        <f>IFERROR(INDEX('Data Sheet'!$C$198:$C$275,MATCH(I373,'Data Sheet'!$F$198:$F$275,0)),"")</f>
        <v/>
      </c>
      <c r="L373" s="250" t="str">
        <f>IFERROR(INDEX('Data Sheet'!$G$198:$G$275,MATCH(I373,'Data Sheet'!$F$198:$F$275,0)),"")</f>
        <v/>
      </c>
      <c r="M373" s="194"/>
      <c r="N373" s="248"/>
      <c r="O373" s="248"/>
      <c r="P373" s="108" t="str">
        <f>IFERROR(INDEX(Setup!$D$44:$D$70,MATCH(M373,Setup!$K$44:$K$70,0))&amp;"","")</f>
        <v/>
      </c>
      <c r="Q373" s="108" t="str">
        <f>IFERROR(INDEX(Setup!$E$44:$E$70,MATCH(M373,Setup!$K$44:$K$70,0))&amp;"","")</f>
        <v/>
      </c>
      <c r="R373" s="108" t="str">
        <f>IFERROR(INDEX(Setup!$L$44:$L$70,MATCH(M373,Setup!$K$44:$K$70,0))&amp;"","")</f>
        <v/>
      </c>
      <c r="S373" s="108" t="str">
        <f>Setup!$C$30</f>
        <v>USD</v>
      </c>
      <c r="T373" s="109" t="str">
        <f>IFERROR(INDEX('Data Sheet'!$B$198:$B$275,MATCH(I373,'Data Sheet'!$F$198:$F$275,0)),"")</f>
        <v/>
      </c>
      <c r="U373" s="110" t="str">
        <f>IFERROR(INDEX('Data Sheet'!$D$198:$D$275,MATCH(I373,'Data Sheet'!$F$198:$F$275,0)),"")</f>
        <v/>
      </c>
      <c r="V373" s="99"/>
      <c r="W373" s="195" t="str">
        <f>IF(V373=Setup!$C$30,"Grant",IF(V373=Setup!$C$31,"Local",IF(V373=Setup!$C$32,"Other",IF(ISBLANK(V373),"","Other"))))</f>
        <v/>
      </c>
      <c r="X373" s="255"/>
      <c r="Y373" s="259" t="str">
        <f>IF(X373&lt;&gt;"",X373/VLOOKUP($V373,Setup!$C$30:$D$41,2,0),"")</f>
        <v/>
      </c>
      <c r="Z373" s="262"/>
      <c r="AA373" s="256" t="str">
        <f t="shared" si="162"/>
        <v/>
      </c>
      <c r="AB373" s="262"/>
      <c r="AC373" s="258" t="str">
        <f t="shared" si="163"/>
        <v/>
      </c>
      <c r="AD373" s="262"/>
      <c r="AE373" s="258" t="str">
        <f t="shared" si="164"/>
        <v/>
      </c>
      <c r="AF373" s="262"/>
      <c r="AG373" s="256" t="str">
        <f t="shared" si="165"/>
        <v/>
      </c>
      <c r="AH373" s="256" t="str">
        <f t="shared" si="166"/>
        <v/>
      </c>
      <c r="AI373" s="256" t="str">
        <f t="shared" si="167"/>
        <v/>
      </c>
      <c r="AJ373" s="111"/>
      <c r="AK373" s="255"/>
      <c r="AL373" s="259" t="str">
        <f>IF(AK373&lt;&gt;"",AK373/VLOOKUP($V373,Setup!$C$30:$D$41,2,0),"")</f>
        <v/>
      </c>
      <c r="AM373" s="266"/>
      <c r="AN373" s="258" t="str">
        <f t="shared" si="168"/>
        <v/>
      </c>
      <c r="AO373" s="266"/>
      <c r="AP373" s="258" t="str">
        <f t="shared" si="169"/>
        <v/>
      </c>
      <c r="AQ373" s="266"/>
      <c r="AR373" s="258" t="str">
        <f t="shared" si="170"/>
        <v/>
      </c>
      <c r="AS373" s="266"/>
      <c r="AT373" s="256" t="str">
        <f t="shared" si="171"/>
        <v/>
      </c>
      <c r="AU373" s="256" t="str">
        <f t="shared" si="172"/>
        <v/>
      </c>
      <c r="AV373" s="256" t="str">
        <f t="shared" si="173"/>
        <v/>
      </c>
      <c r="AW373" s="267"/>
      <c r="AX373" s="255"/>
      <c r="AY373" s="259" t="str">
        <f>IF(AX373&lt;&gt;"",AX373/VLOOKUP($V373,Setup!$C$30:$D$41,2,0),"")</f>
        <v/>
      </c>
      <c r="AZ373" s="268"/>
      <c r="BA373" s="258" t="str">
        <f t="shared" si="174"/>
        <v/>
      </c>
      <c r="BB373" s="268"/>
      <c r="BC373" s="258" t="str">
        <f t="shared" si="175"/>
        <v/>
      </c>
      <c r="BD373" s="268"/>
      <c r="BE373" s="258" t="str">
        <f t="shared" si="176"/>
        <v/>
      </c>
      <c r="BF373" s="268"/>
      <c r="BG373" s="256" t="str">
        <f t="shared" si="177"/>
        <v/>
      </c>
      <c r="BH373" s="256" t="str">
        <f t="shared" si="178"/>
        <v/>
      </c>
      <c r="BI373" s="256" t="str">
        <f t="shared" si="179"/>
        <v/>
      </c>
      <c r="BJ373" s="267"/>
      <c r="BK373" s="255"/>
      <c r="BL373" s="259" t="str">
        <f>IF(BK373&lt;&gt;"",BK373/VLOOKUP($V373,Setup!$C$30:$D$41,2,0),"")</f>
        <v/>
      </c>
      <c r="BM373" s="268"/>
      <c r="BN373" s="258" t="str">
        <f t="shared" si="180"/>
        <v/>
      </c>
      <c r="BO373" s="268"/>
      <c r="BP373" s="258" t="str">
        <f t="shared" si="181"/>
        <v/>
      </c>
      <c r="BQ373" s="268"/>
      <c r="BR373" s="258" t="str">
        <f t="shared" si="182"/>
        <v/>
      </c>
      <c r="BS373" s="268"/>
      <c r="BT373" s="256" t="str">
        <f t="shared" si="183"/>
        <v/>
      </c>
      <c r="BU373" s="256" t="str">
        <f t="shared" si="184"/>
        <v/>
      </c>
      <c r="BV373" s="256" t="str">
        <f t="shared" si="185"/>
        <v/>
      </c>
      <c r="BW373" s="267"/>
      <c r="BX373" s="256" t="str">
        <f t="shared" si="186"/>
        <v/>
      </c>
      <c r="BY373" s="256" t="str">
        <f t="shared" si="187"/>
        <v/>
      </c>
      <c r="BZ373" s="281"/>
      <c r="CA373" s="282"/>
      <c r="CC373" s="112" t="str">
        <f t="shared" ca="1" si="188"/>
        <v/>
      </c>
      <c r="CF373" s="284"/>
      <c r="CG373" s="284"/>
      <c r="CH373" s="284"/>
      <c r="CI373" s="284"/>
      <c r="CL373" s="356" t="str">
        <f>IFERROR(VLOOKUP(C373,'Data Sheet'!$A$3:$B$26,2,FALSE),"")</f>
        <v/>
      </c>
    </row>
    <row r="374" spans="1:90" s="98" customFormat="1" ht="15.75" x14ac:dyDescent="0.2">
      <c r="A374" s="97"/>
      <c r="B374" s="105" t="str">
        <f t="shared" si="191"/>
        <v>--</v>
      </c>
      <c r="C374" s="276"/>
      <c r="D374" s="101" t="str">
        <f>IFERROR(IF(VLOOKUP(C374,'Data Sheet'!$A$3:$D$26,4,FALSE)=0,"",VLOOKUP(C374,'Data Sheet'!$A$3:$D$26,4,FALSE)),"")</f>
        <v/>
      </c>
      <c r="E374" s="279"/>
      <c r="F374" s="103" t="str">
        <f>IFERROR(IF(VLOOKUP(E374,'Data Sheet'!$C$29:$E$174,3,FALSE)=0,"",VLOOKUP(E374,'Data Sheet'!$C$29:$E$174,3,FALSE)),"")</f>
        <v/>
      </c>
      <c r="G374" s="106" t="str">
        <f t="shared" si="189"/>
        <v>-</v>
      </c>
      <c r="H374" s="273"/>
      <c r="I374" s="107"/>
      <c r="J374" s="249" t="e">
        <f t="shared" si="190"/>
        <v>#VALUE!</v>
      </c>
      <c r="K374" s="101" t="str">
        <f>IFERROR(INDEX('Data Sheet'!$C$198:$C$275,MATCH(I374,'Data Sheet'!$F$198:$F$275,0)),"")</f>
        <v/>
      </c>
      <c r="L374" s="250" t="str">
        <f>IFERROR(INDEX('Data Sheet'!$G$198:$G$275,MATCH(I374,'Data Sheet'!$F$198:$F$275,0)),"")</f>
        <v/>
      </c>
      <c r="M374" s="194"/>
      <c r="N374" s="248"/>
      <c r="O374" s="248"/>
      <c r="P374" s="108" t="str">
        <f>IFERROR(INDEX(Setup!$D$44:$D$70,MATCH(M374,Setup!$K$44:$K$70,0))&amp;"","")</f>
        <v/>
      </c>
      <c r="Q374" s="108" t="str">
        <f>IFERROR(INDEX(Setup!$E$44:$E$70,MATCH(M374,Setup!$K$44:$K$70,0))&amp;"","")</f>
        <v/>
      </c>
      <c r="R374" s="108" t="str">
        <f>IFERROR(INDEX(Setup!$L$44:$L$70,MATCH(M374,Setup!$K$44:$K$70,0))&amp;"","")</f>
        <v/>
      </c>
      <c r="S374" s="108" t="str">
        <f>Setup!$C$30</f>
        <v>USD</v>
      </c>
      <c r="T374" s="109" t="str">
        <f>IFERROR(INDEX('Data Sheet'!$B$198:$B$275,MATCH(I374,'Data Sheet'!$F$198:$F$275,0)),"")</f>
        <v/>
      </c>
      <c r="U374" s="110" t="str">
        <f>IFERROR(INDEX('Data Sheet'!$D$198:$D$275,MATCH(I374,'Data Sheet'!$F$198:$F$275,0)),"")</f>
        <v/>
      </c>
      <c r="V374" s="99"/>
      <c r="W374" s="195" t="str">
        <f>IF(V374=Setup!$C$30,"Grant",IF(V374=Setup!$C$31,"Local",IF(V374=Setup!$C$32,"Other",IF(ISBLANK(V374),"","Other"))))</f>
        <v/>
      </c>
      <c r="X374" s="255"/>
      <c r="Y374" s="259" t="str">
        <f>IF(X374&lt;&gt;"",X374/VLOOKUP($V374,Setup!$C$30:$D$41,2,0),"")</f>
        <v/>
      </c>
      <c r="Z374" s="262"/>
      <c r="AA374" s="256" t="str">
        <f t="shared" si="162"/>
        <v/>
      </c>
      <c r="AB374" s="262"/>
      <c r="AC374" s="258" t="str">
        <f t="shared" si="163"/>
        <v/>
      </c>
      <c r="AD374" s="262"/>
      <c r="AE374" s="258" t="str">
        <f t="shared" si="164"/>
        <v/>
      </c>
      <c r="AF374" s="262"/>
      <c r="AG374" s="256" t="str">
        <f t="shared" si="165"/>
        <v/>
      </c>
      <c r="AH374" s="256" t="str">
        <f t="shared" si="166"/>
        <v/>
      </c>
      <c r="AI374" s="256" t="str">
        <f t="shared" si="167"/>
        <v/>
      </c>
      <c r="AJ374" s="111"/>
      <c r="AK374" s="255"/>
      <c r="AL374" s="259" t="str">
        <f>IF(AK374&lt;&gt;"",AK374/VLOOKUP($V374,Setup!$C$30:$D$41,2,0),"")</f>
        <v/>
      </c>
      <c r="AM374" s="266"/>
      <c r="AN374" s="258" t="str">
        <f t="shared" si="168"/>
        <v/>
      </c>
      <c r="AO374" s="266"/>
      <c r="AP374" s="258" t="str">
        <f t="shared" si="169"/>
        <v/>
      </c>
      <c r="AQ374" s="266"/>
      <c r="AR374" s="258" t="str">
        <f t="shared" si="170"/>
        <v/>
      </c>
      <c r="AS374" s="266"/>
      <c r="AT374" s="256" t="str">
        <f t="shared" si="171"/>
        <v/>
      </c>
      <c r="AU374" s="256" t="str">
        <f t="shared" si="172"/>
        <v/>
      </c>
      <c r="AV374" s="256" t="str">
        <f t="shared" si="173"/>
        <v/>
      </c>
      <c r="AW374" s="267"/>
      <c r="AX374" s="255"/>
      <c r="AY374" s="259" t="str">
        <f>IF(AX374&lt;&gt;"",AX374/VLOOKUP($V374,Setup!$C$30:$D$41,2,0),"")</f>
        <v/>
      </c>
      <c r="AZ374" s="268"/>
      <c r="BA374" s="258" t="str">
        <f t="shared" si="174"/>
        <v/>
      </c>
      <c r="BB374" s="268"/>
      <c r="BC374" s="258" t="str">
        <f t="shared" si="175"/>
        <v/>
      </c>
      <c r="BD374" s="268"/>
      <c r="BE374" s="258" t="str">
        <f t="shared" si="176"/>
        <v/>
      </c>
      <c r="BF374" s="268"/>
      <c r="BG374" s="256" t="str">
        <f t="shared" si="177"/>
        <v/>
      </c>
      <c r="BH374" s="256" t="str">
        <f t="shared" si="178"/>
        <v/>
      </c>
      <c r="BI374" s="256" t="str">
        <f t="shared" si="179"/>
        <v/>
      </c>
      <c r="BJ374" s="267"/>
      <c r="BK374" s="255"/>
      <c r="BL374" s="259" t="str">
        <f>IF(BK374&lt;&gt;"",BK374/VLOOKUP($V374,Setup!$C$30:$D$41,2,0),"")</f>
        <v/>
      </c>
      <c r="BM374" s="268"/>
      <c r="BN374" s="258" t="str">
        <f t="shared" si="180"/>
        <v/>
      </c>
      <c r="BO374" s="268"/>
      <c r="BP374" s="258" t="str">
        <f t="shared" si="181"/>
        <v/>
      </c>
      <c r="BQ374" s="268"/>
      <c r="BR374" s="258" t="str">
        <f t="shared" si="182"/>
        <v/>
      </c>
      <c r="BS374" s="268"/>
      <c r="BT374" s="256" t="str">
        <f t="shared" si="183"/>
        <v/>
      </c>
      <c r="BU374" s="256" t="str">
        <f t="shared" si="184"/>
        <v/>
      </c>
      <c r="BV374" s="256" t="str">
        <f t="shared" si="185"/>
        <v/>
      </c>
      <c r="BW374" s="267"/>
      <c r="BX374" s="256" t="str">
        <f t="shared" si="186"/>
        <v/>
      </c>
      <c r="BY374" s="256" t="str">
        <f t="shared" si="187"/>
        <v/>
      </c>
      <c r="BZ374" s="281"/>
      <c r="CA374" s="282"/>
      <c r="CC374" s="112" t="str">
        <f t="shared" ca="1" si="188"/>
        <v/>
      </c>
      <c r="CF374" s="284"/>
      <c r="CG374" s="284"/>
      <c r="CH374" s="284"/>
      <c r="CI374" s="284"/>
      <c r="CL374" s="356" t="str">
        <f>IFERROR(VLOOKUP(C374,'Data Sheet'!$A$3:$B$26,2,FALSE),"")</f>
        <v/>
      </c>
    </row>
    <row r="375" spans="1:90" s="98" customFormat="1" ht="15.75" x14ac:dyDescent="0.2">
      <c r="A375" s="97"/>
      <c r="B375" s="105" t="str">
        <f t="shared" si="191"/>
        <v>--</v>
      </c>
      <c r="C375" s="276"/>
      <c r="D375" s="101" t="str">
        <f>IFERROR(IF(VLOOKUP(C375,'Data Sheet'!$A$3:$D$26,4,FALSE)=0,"",VLOOKUP(C375,'Data Sheet'!$A$3:$D$26,4,FALSE)),"")</f>
        <v/>
      </c>
      <c r="E375" s="279"/>
      <c r="F375" s="103" t="str">
        <f>IFERROR(IF(VLOOKUP(E375,'Data Sheet'!$C$29:$E$174,3,FALSE)=0,"",VLOOKUP(E375,'Data Sheet'!$C$29:$E$174,3,FALSE)),"")</f>
        <v/>
      </c>
      <c r="G375" s="106" t="str">
        <f t="shared" si="189"/>
        <v>-</v>
      </c>
      <c r="H375" s="273"/>
      <c r="I375" s="107"/>
      <c r="J375" s="249" t="e">
        <f t="shared" si="190"/>
        <v>#VALUE!</v>
      </c>
      <c r="K375" s="101" t="str">
        <f>IFERROR(INDEX('Data Sheet'!$C$198:$C$275,MATCH(I375,'Data Sheet'!$F$198:$F$275,0)),"")</f>
        <v/>
      </c>
      <c r="L375" s="250" t="str">
        <f>IFERROR(INDEX('Data Sheet'!$G$198:$G$275,MATCH(I375,'Data Sheet'!$F$198:$F$275,0)),"")</f>
        <v/>
      </c>
      <c r="M375" s="194"/>
      <c r="N375" s="248"/>
      <c r="O375" s="248"/>
      <c r="P375" s="108" t="str">
        <f>IFERROR(INDEX(Setup!$D$44:$D$70,MATCH(M375,Setup!$K$44:$K$70,0))&amp;"","")</f>
        <v/>
      </c>
      <c r="Q375" s="108" t="str">
        <f>IFERROR(INDEX(Setup!$E$44:$E$70,MATCH(M375,Setup!$K$44:$K$70,0))&amp;"","")</f>
        <v/>
      </c>
      <c r="R375" s="108" t="str">
        <f>IFERROR(INDEX(Setup!$L$44:$L$70,MATCH(M375,Setup!$K$44:$K$70,0))&amp;"","")</f>
        <v/>
      </c>
      <c r="S375" s="108" t="str">
        <f>Setup!$C$30</f>
        <v>USD</v>
      </c>
      <c r="T375" s="109" t="str">
        <f>IFERROR(INDEX('Data Sheet'!$B$198:$B$275,MATCH(I375,'Data Sheet'!$F$198:$F$275,0)),"")</f>
        <v/>
      </c>
      <c r="U375" s="110" t="str">
        <f>IFERROR(INDEX('Data Sheet'!$D$198:$D$275,MATCH(I375,'Data Sheet'!$F$198:$F$275,0)),"")</f>
        <v/>
      </c>
      <c r="V375" s="99"/>
      <c r="W375" s="195" t="str">
        <f>IF(V375=Setup!$C$30,"Grant",IF(V375=Setup!$C$31,"Local",IF(V375=Setup!$C$32,"Other",IF(ISBLANK(V375),"","Other"))))</f>
        <v/>
      </c>
      <c r="X375" s="255"/>
      <c r="Y375" s="259" t="str">
        <f>IF(X375&lt;&gt;"",X375/VLOOKUP($V375,Setup!$C$30:$D$41,2,0),"")</f>
        <v/>
      </c>
      <c r="Z375" s="262"/>
      <c r="AA375" s="256" t="str">
        <f t="shared" si="162"/>
        <v/>
      </c>
      <c r="AB375" s="262"/>
      <c r="AC375" s="258" t="str">
        <f t="shared" si="163"/>
        <v/>
      </c>
      <c r="AD375" s="262"/>
      <c r="AE375" s="258" t="str">
        <f t="shared" si="164"/>
        <v/>
      </c>
      <c r="AF375" s="262"/>
      <c r="AG375" s="256" t="str">
        <f t="shared" si="165"/>
        <v/>
      </c>
      <c r="AH375" s="256" t="str">
        <f t="shared" si="166"/>
        <v/>
      </c>
      <c r="AI375" s="256" t="str">
        <f t="shared" si="167"/>
        <v/>
      </c>
      <c r="AJ375" s="111"/>
      <c r="AK375" s="255"/>
      <c r="AL375" s="259" t="str">
        <f>IF(AK375&lt;&gt;"",AK375/VLOOKUP($V375,Setup!$C$30:$D$41,2,0),"")</f>
        <v/>
      </c>
      <c r="AM375" s="266"/>
      <c r="AN375" s="258" t="str">
        <f t="shared" si="168"/>
        <v/>
      </c>
      <c r="AO375" s="266"/>
      <c r="AP375" s="258" t="str">
        <f t="shared" si="169"/>
        <v/>
      </c>
      <c r="AQ375" s="266"/>
      <c r="AR375" s="258" t="str">
        <f t="shared" si="170"/>
        <v/>
      </c>
      <c r="AS375" s="266"/>
      <c r="AT375" s="256" t="str">
        <f t="shared" si="171"/>
        <v/>
      </c>
      <c r="AU375" s="256" t="str">
        <f t="shared" si="172"/>
        <v/>
      </c>
      <c r="AV375" s="256" t="str">
        <f t="shared" si="173"/>
        <v/>
      </c>
      <c r="AW375" s="267"/>
      <c r="AX375" s="255"/>
      <c r="AY375" s="259" t="str">
        <f>IF(AX375&lt;&gt;"",AX375/VLOOKUP($V375,Setup!$C$30:$D$41,2,0),"")</f>
        <v/>
      </c>
      <c r="AZ375" s="268"/>
      <c r="BA375" s="258" t="str">
        <f t="shared" si="174"/>
        <v/>
      </c>
      <c r="BB375" s="268"/>
      <c r="BC375" s="258" t="str">
        <f t="shared" si="175"/>
        <v/>
      </c>
      <c r="BD375" s="268"/>
      <c r="BE375" s="258" t="str">
        <f t="shared" si="176"/>
        <v/>
      </c>
      <c r="BF375" s="268"/>
      <c r="BG375" s="256" t="str">
        <f t="shared" si="177"/>
        <v/>
      </c>
      <c r="BH375" s="256" t="str">
        <f t="shared" si="178"/>
        <v/>
      </c>
      <c r="BI375" s="256" t="str">
        <f t="shared" si="179"/>
        <v/>
      </c>
      <c r="BJ375" s="267"/>
      <c r="BK375" s="255"/>
      <c r="BL375" s="259" t="str">
        <f>IF(BK375&lt;&gt;"",BK375/VLOOKUP($V375,Setup!$C$30:$D$41,2,0),"")</f>
        <v/>
      </c>
      <c r="BM375" s="268"/>
      <c r="BN375" s="258" t="str">
        <f t="shared" si="180"/>
        <v/>
      </c>
      <c r="BO375" s="268"/>
      <c r="BP375" s="258" t="str">
        <f t="shared" si="181"/>
        <v/>
      </c>
      <c r="BQ375" s="268"/>
      <c r="BR375" s="258" t="str">
        <f t="shared" si="182"/>
        <v/>
      </c>
      <c r="BS375" s="268"/>
      <c r="BT375" s="256" t="str">
        <f t="shared" si="183"/>
        <v/>
      </c>
      <c r="BU375" s="256" t="str">
        <f t="shared" si="184"/>
        <v/>
      </c>
      <c r="BV375" s="256" t="str">
        <f t="shared" si="185"/>
        <v/>
      </c>
      <c r="BW375" s="267"/>
      <c r="BX375" s="256" t="str">
        <f t="shared" si="186"/>
        <v/>
      </c>
      <c r="BY375" s="256" t="str">
        <f t="shared" si="187"/>
        <v/>
      </c>
      <c r="BZ375" s="281"/>
      <c r="CA375" s="282"/>
      <c r="CC375" s="112" t="str">
        <f t="shared" ca="1" si="188"/>
        <v/>
      </c>
      <c r="CF375" s="284"/>
      <c r="CG375" s="284"/>
      <c r="CH375" s="284"/>
      <c r="CI375" s="284"/>
      <c r="CL375" s="356" t="str">
        <f>IFERROR(VLOOKUP(C375,'Data Sheet'!$A$3:$B$26,2,FALSE),"")</f>
        <v/>
      </c>
    </row>
    <row r="376" spans="1:90" s="98" customFormat="1" ht="15.75" x14ac:dyDescent="0.2">
      <c r="A376" s="97"/>
      <c r="B376" s="105" t="str">
        <f t="shared" si="191"/>
        <v>--</v>
      </c>
      <c r="C376" s="276"/>
      <c r="D376" s="101" t="str">
        <f>IFERROR(IF(VLOOKUP(C376,'Data Sheet'!$A$3:$D$26,4,FALSE)=0,"",VLOOKUP(C376,'Data Sheet'!$A$3:$D$26,4,FALSE)),"")</f>
        <v/>
      </c>
      <c r="E376" s="279"/>
      <c r="F376" s="103" t="str">
        <f>IFERROR(IF(VLOOKUP(E376,'Data Sheet'!$C$29:$E$174,3,FALSE)=0,"",VLOOKUP(E376,'Data Sheet'!$C$29:$E$174,3,FALSE)),"")</f>
        <v/>
      </c>
      <c r="G376" s="106" t="str">
        <f t="shared" si="189"/>
        <v>-</v>
      </c>
      <c r="H376" s="273"/>
      <c r="I376" s="107"/>
      <c r="J376" s="249" t="e">
        <f t="shared" si="190"/>
        <v>#VALUE!</v>
      </c>
      <c r="K376" s="101" t="str">
        <f>IFERROR(INDEX('Data Sheet'!$C$198:$C$275,MATCH(I376,'Data Sheet'!$F$198:$F$275,0)),"")</f>
        <v/>
      </c>
      <c r="L376" s="250" t="str">
        <f>IFERROR(INDEX('Data Sheet'!$G$198:$G$275,MATCH(I376,'Data Sheet'!$F$198:$F$275,0)),"")</f>
        <v/>
      </c>
      <c r="M376" s="194"/>
      <c r="N376" s="248"/>
      <c r="O376" s="248"/>
      <c r="P376" s="108" t="str">
        <f>IFERROR(INDEX(Setup!$D$44:$D$70,MATCH(M376,Setup!$K$44:$K$70,0))&amp;"","")</f>
        <v/>
      </c>
      <c r="Q376" s="108" t="str">
        <f>IFERROR(INDEX(Setup!$E$44:$E$70,MATCH(M376,Setup!$K$44:$K$70,0))&amp;"","")</f>
        <v/>
      </c>
      <c r="R376" s="108" t="str">
        <f>IFERROR(INDEX(Setup!$L$44:$L$70,MATCH(M376,Setup!$K$44:$K$70,0))&amp;"","")</f>
        <v/>
      </c>
      <c r="S376" s="108" t="str">
        <f>Setup!$C$30</f>
        <v>USD</v>
      </c>
      <c r="T376" s="109" t="str">
        <f>IFERROR(INDEX('Data Sheet'!$B$198:$B$275,MATCH(I376,'Data Sheet'!$F$198:$F$275,0)),"")</f>
        <v/>
      </c>
      <c r="U376" s="110" t="str">
        <f>IFERROR(INDEX('Data Sheet'!$D$198:$D$275,MATCH(I376,'Data Sheet'!$F$198:$F$275,0)),"")</f>
        <v/>
      </c>
      <c r="V376" s="99"/>
      <c r="W376" s="195" t="str">
        <f>IF(V376=Setup!$C$30,"Grant",IF(V376=Setup!$C$31,"Local",IF(V376=Setup!$C$32,"Other",IF(ISBLANK(V376),"","Other"))))</f>
        <v/>
      </c>
      <c r="X376" s="255"/>
      <c r="Y376" s="259" t="str">
        <f>IF(X376&lt;&gt;"",X376/VLOOKUP($V376,Setup!$C$30:$D$41,2,0),"")</f>
        <v/>
      </c>
      <c r="Z376" s="262"/>
      <c r="AA376" s="256" t="str">
        <f t="shared" si="162"/>
        <v/>
      </c>
      <c r="AB376" s="262"/>
      <c r="AC376" s="258" t="str">
        <f t="shared" si="163"/>
        <v/>
      </c>
      <c r="AD376" s="262"/>
      <c r="AE376" s="258" t="str">
        <f t="shared" si="164"/>
        <v/>
      </c>
      <c r="AF376" s="262"/>
      <c r="AG376" s="256" t="str">
        <f t="shared" si="165"/>
        <v/>
      </c>
      <c r="AH376" s="256" t="str">
        <f t="shared" si="166"/>
        <v/>
      </c>
      <c r="AI376" s="256" t="str">
        <f t="shared" si="167"/>
        <v/>
      </c>
      <c r="AJ376" s="111"/>
      <c r="AK376" s="255"/>
      <c r="AL376" s="259" t="str">
        <f>IF(AK376&lt;&gt;"",AK376/VLOOKUP($V376,Setup!$C$30:$D$41,2,0),"")</f>
        <v/>
      </c>
      <c r="AM376" s="266"/>
      <c r="AN376" s="258" t="str">
        <f t="shared" si="168"/>
        <v/>
      </c>
      <c r="AO376" s="266"/>
      <c r="AP376" s="258" t="str">
        <f t="shared" si="169"/>
        <v/>
      </c>
      <c r="AQ376" s="266"/>
      <c r="AR376" s="258" t="str">
        <f t="shared" si="170"/>
        <v/>
      </c>
      <c r="AS376" s="266"/>
      <c r="AT376" s="256" t="str">
        <f t="shared" si="171"/>
        <v/>
      </c>
      <c r="AU376" s="256" t="str">
        <f t="shared" si="172"/>
        <v/>
      </c>
      <c r="AV376" s="256" t="str">
        <f t="shared" si="173"/>
        <v/>
      </c>
      <c r="AW376" s="267"/>
      <c r="AX376" s="255"/>
      <c r="AY376" s="259" t="str">
        <f>IF(AX376&lt;&gt;"",AX376/VLOOKUP($V376,Setup!$C$30:$D$41,2,0),"")</f>
        <v/>
      </c>
      <c r="AZ376" s="268"/>
      <c r="BA376" s="258" t="str">
        <f t="shared" si="174"/>
        <v/>
      </c>
      <c r="BB376" s="268"/>
      <c r="BC376" s="258" t="str">
        <f t="shared" si="175"/>
        <v/>
      </c>
      <c r="BD376" s="268"/>
      <c r="BE376" s="258" t="str">
        <f t="shared" si="176"/>
        <v/>
      </c>
      <c r="BF376" s="268"/>
      <c r="BG376" s="256" t="str">
        <f t="shared" si="177"/>
        <v/>
      </c>
      <c r="BH376" s="256" t="str">
        <f t="shared" si="178"/>
        <v/>
      </c>
      <c r="BI376" s="256" t="str">
        <f t="shared" si="179"/>
        <v/>
      </c>
      <c r="BJ376" s="267"/>
      <c r="BK376" s="255"/>
      <c r="BL376" s="259" t="str">
        <f>IF(BK376&lt;&gt;"",BK376/VLOOKUP($V376,Setup!$C$30:$D$41,2,0),"")</f>
        <v/>
      </c>
      <c r="BM376" s="268"/>
      <c r="BN376" s="258" t="str">
        <f t="shared" si="180"/>
        <v/>
      </c>
      <c r="BO376" s="268"/>
      <c r="BP376" s="258" t="str">
        <f t="shared" si="181"/>
        <v/>
      </c>
      <c r="BQ376" s="268"/>
      <c r="BR376" s="258" t="str">
        <f t="shared" si="182"/>
        <v/>
      </c>
      <c r="BS376" s="268"/>
      <c r="BT376" s="256" t="str">
        <f t="shared" si="183"/>
        <v/>
      </c>
      <c r="BU376" s="256" t="str">
        <f t="shared" si="184"/>
        <v/>
      </c>
      <c r="BV376" s="256" t="str">
        <f t="shared" si="185"/>
        <v/>
      </c>
      <c r="BW376" s="267"/>
      <c r="BX376" s="256" t="str">
        <f t="shared" si="186"/>
        <v/>
      </c>
      <c r="BY376" s="256" t="str">
        <f t="shared" si="187"/>
        <v/>
      </c>
      <c r="BZ376" s="281"/>
      <c r="CA376" s="282"/>
      <c r="CC376" s="112" t="str">
        <f t="shared" ca="1" si="188"/>
        <v/>
      </c>
      <c r="CF376" s="284"/>
      <c r="CG376" s="284"/>
      <c r="CH376" s="284"/>
      <c r="CI376" s="284"/>
      <c r="CL376" s="356" t="str">
        <f>IFERROR(VLOOKUP(C376,'Data Sheet'!$A$3:$B$26,2,FALSE),"")</f>
        <v/>
      </c>
    </row>
    <row r="377" spans="1:90" s="98" customFormat="1" ht="15.75" x14ac:dyDescent="0.2">
      <c r="A377" s="97"/>
      <c r="B377" s="105" t="str">
        <f t="shared" si="191"/>
        <v>--</v>
      </c>
      <c r="C377" s="276"/>
      <c r="D377" s="101" t="str">
        <f>IFERROR(IF(VLOOKUP(C377,'Data Sheet'!$A$3:$D$26,4,FALSE)=0,"",VLOOKUP(C377,'Data Sheet'!$A$3:$D$26,4,FALSE)),"")</f>
        <v/>
      </c>
      <c r="E377" s="279"/>
      <c r="F377" s="103" t="str">
        <f>IFERROR(IF(VLOOKUP(E377,'Data Sheet'!$C$29:$E$174,3,FALSE)=0,"",VLOOKUP(E377,'Data Sheet'!$C$29:$E$174,3,FALSE)),"")</f>
        <v/>
      </c>
      <c r="G377" s="106" t="str">
        <f t="shared" si="189"/>
        <v>-</v>
      </c>
      <c r="H377" s="273"/>
      <c r="I377" s="107"/>
      <c r="J377" s="249" t="e">
        <f t="shared" si="190"/>
        <v>#VALUE!</v>
      </c>
      <c r="K377" s="101" t="str">
        <f>IFERROR(INDEX('Data Sheet'!$C$198:$C$275,MATCH(I377,'Data Sheet'!$F$198:$F$275,0)),"")</f>
        <v/>
      </c>
      <c r="L377" s="250" t="str">
        <f>IFERROR(INDEX('Data Sheet'!$G$198:$G$275,MATCH(I377,'Data Sheet'!$F$198:$F$275,0)),"")</f>
        <v/>
      </c>
      <c r="M377" s="194"/>
      <c r="N377" s="248"/>
      <c r="O377" s="248"/>
      <c r="P377" s="108" t="str">
        <f>IFERROR(INDEX(Setup!$D$44:$D$70,MATCH(M377,Setup!$K$44:$K$70,0))&amp;"","")</f>
        <v/>
      </c>
      <c r="Q377" s="108" t="str">
        <f>IFERROR(INDEX(Setup!$E$44:$E$70,MATCH(M377,Setup!$K$44:$K$70,0))&amp;"","")</f>
        <v/>
      </c>
      <c r="R377" s="108" t="str">
        <f>IFERROR(INDEX(Setup!$L$44:$L$70,MATCH(M377,Setup!$K$44:$K$70,0))&amp;"","")</f>
        <v/>
      </c>
      <c r="S377" s="108" t="str">
        <f>Setup!$C$30</f>
        <v>USD</v>
      </c>
      <c r="T377" s="109" t="str">
        <f>IFERROR(INDEX('Data Sheet'!$B$198:$B$275,MATCH(I377,'Data Sheet'!$F$198:$F$275,0)),"")</f>
        <v/>
      </c>
      <c r="U377" s="110" t="str">
        <f>IFERROR(INDEX('Data Sheet'!$D$198:$D$275,MATCH(I377,'Data Sheet'!$F$198:$F$275,0)),"")</f>
        <v/>
      </c>
      <c r="V377" s="99"/>
      <c r="W377" s="195" t="str">
        <f>IF(V377=Setup!$C$30,"Grant",IF(V377=Setup!$C$31,"Local",IF(V377=Setup!$C$32,"Other",IF(ISBLANK(V377),"","Other"))))</f>
        <v/>
      </c>
      <c r="X377" s="255"/>
      <c r="Y377" s="259" t="str">
        <f>IF(X377&lt;&gt;"",X377/VLOOKUP($V377,Setup!$C$30:$D$41,2,0),"")</f>
        <v/>
      </c>
      <c r="Z377" s="262"/>
      <c r="AA377" s="256" t="str">
        <f t="shared" si="162"/>
        <v/>
      </c>
      <c r="AB377" s="262"/>
      <c r="AC377" s="258" t="str">
        <f t="shared" si="163"/>
        <v/>
      </c>
      <c r="AD377" s="262"/>
      <c r="AE377" s="258" t="str">
        <f t="shared" si="164"/>
        <v/>
      </c>
      <c r="AF377" s="262"/>
      <c r="AG377" s="256" t="str">
        <f t="shared" si="165"/>
        <v/>
      </c>
      <c r="AH377" s="256" t="str">
        <f t="shared" si="166"/>
        <v/>
      </c>
      <c r="AI377" s="256" t="str">
        <f t="shared" si="167"/>
        <v/>
      </c>
      <c r="AJ377" s="111"/>
      <c r="AK377" s="255"/>
      <c r="AL377" s="259" t="str">
        <f>IF(AK377&lt;&gt;"",AK377/VLOOKUP($V377,Setup!$C$30:$D$41,2,0),"")</f>
        <v/>
      </c>
      <c r="AM377" s="266"/>
      <c r="AN377" s="258" t="str">
        <f t="shared" si="168"/>
        <v/>
      </c>
      <c r="AO377" s="266"/>
      <c r="AP377" s="258" t="str">
        <f t="shared" si="169"/>
        <v/>
      </c>
      <c r="AQ377" s="266"/>
      <c r="AR377" s="258" t="str">
        <f t="shared" si="170"/>
        <v/>
      </c>
      <c r="AS377" s="266"/>
      <c r="AT377" s="256" t="str">
        <f t="shared" si="171"/>
        <v/>
      </c>
      <c r="AU377" s="256" t="str">
        <f t="shared" si="172"/>
        <v/>
      </c>
      <c r="AV377" s="256" t="str">
        <f t="shared" si="173"/>
        <v/>
      </c>
      <c r="AW377" s="267"/>
      <c r="AX377" s="255"/>
      <c r="AY377" s="259" t="str">
        <f>IF(AX377&lt;&gt;"",AX377/VLOOKUP($V377,Setup!$C$30:$D$41,2,0),"")</f>
        <v/>
      </c>
      <c r="AZ377" s="268"/>
      <c r="BA377" s="258" t="str">
        <f t="shared" si="174"/>
        <v/>
      </c>
      <c r="BB377" s="268"/>
      <c r="BC377" s="258" t="str">
        <f t="shared" si="175"/>
        <v/>
      </c>
      <c r="BD377" s="268"/>
      <c r="BE377" s="258" t="str">
        <f t="shared" si="176"/>
        <v/>
      </c>
      <c r="BF377" s="268"/>
      <c r="BG377" s="256" t="str">
        <f t="shared" si="177"/>
        <v/>
      </c>
      <c r="BH377" s="256" t="str">
        <f t="shared" si="178"/>
        <v/>
      </c>
      <c r="BI377" s="256" t="str">
        <f t="shared" si="179"/>
        <v/>
      </c>
      <c r="BJ377" s="267"/>
      <c r="BK377" s="255"/>
      <c r="BL377" s="259" t="str">
        <f>IF(BK377&lt;&gt;"",BK377/VLOOKUP($V377,Setup!$C$30:$D$41,2,0),"")</f>
        <v/>
      </c>
      <c r="BM377" s="268"/>
      <c r="BN377" s="258" t="str">
        <f t="shared" si="180"/>
        <v/>
      </c>
      <c r="BO377" s="268"/>
      <c r="BP377" s="258" t="str">
        <f t="shared" si="181"/>
        <v/>
      </c>
      <c r="BQ377" s="268"/>
      <c r="BR377" s="258" t="str">
        <f t="shared" si="182"/>
        <v/>
      </c>
      <c r="BS377" s="268"/>
      <c r="BT377" s="256" t="str">
        <f t="shared" si="183"/>
        <v/>
      </c>
      <c r="BU377" s="256" t="str">
        <f t="shared" si="184"/>
        <v/>
      </c>
      <c r="BV377" s="256" t="str">
        <f t="shared" si="185"/>
        <v/>
      </c>
      <c r="BW377" s="267"/>
      <c r="BX377" s="256" t="str">
        <f t="shared" si="186"/>
        <v/>
      </c>
      <c r="BY377" s="256" t="str">
        <f t="shared" si="187"/>
        <v/>
      </c>
      <c r="BZ377" s="281"/>
      <c r="CA377" s="282"/>
      <c r="CC377" s="112" t="str">
        <f t="shared" ca="1" si="188"/>
        <v/>
      </c>
      <c r="CF377" s="284"/>
      <c r="CG377" s="284"/>
      <c r="CH377" s="284"/>
      <c r="CI377" s="284"/>
      <c r="CL377" s="356" t="str">
        <f>IFERROR(VLOOKUP(C377,'Data Sheet'!$A$3:$B$26,2,FALSE),"")</f>
        <v/>
      </c>
    </row>
    <row r="378" spans="1:90" s="98" customFormat="1" ht="15.75" x14ac:dyDescent="0.2">
      <c r="A378" s="97"/>
      <c r="B378" s="105" t="str">
        <f t="shared" si="191"/>
        <v>--</v>
      </c>
      <c r="C378" s="276"/>
      <c r="D378" s="101" t="str">
        <f>IFERROR(IF(VLOOKUP(C378,'Data Sheet'!$A$3:$D$26,4,FALSE)=0,"",VLOOKUP(C378,'Data Sheet'!$A$3:$D$26,4,FALSE)),"")</f>
        <v/>
      </c>
      <c r="E378" s="279"/>
      <c r="F378" s="103" t="str">
        <f>IFERROR(IF(VLOOKUP(E378,'Data Sheet'!$C$29:$E$174,3,FALSE)=0,"",VLOOKUP(E378,'Data Sheet'!$C$29:$E$174,3,FALSE)),"")</f>
        <v/>
      </c>
      <c r="G378" s="106" t="str">
        <f t="shared" si="189"/>
        <v>-</v>
      </c>
      <c r="H378" s="273"/>
      <c r="I378" s="107"/>
      <c r="J378" s="249" t="e">
        <f t="shared" si="190"/>
        <v>#VALUE!</v>
      </c>
      <c r="K378" s="101" t="str">
        <f>IFERROR(INDEX('Data Sheet'!$C$198:$C$275,MATCH(I378,'Data Sheet'!$F$198:$F$275,0)),"")</f>
        <v/>
      </c>
      <c r="L378" s="250" t="str">
        <f>IFERROR(INDEX('Data Sheet'!$G$198:$G$275,MATCH(I378,'Data Sheet'!$F$198:$F$275,0)),"")</f>
        <v/>
      </c>
      <c r="M378" s="194"/>
      <c r="N378" s="248"/>
      <c r="O378" s="248"/>
      <c r="P378" s="108" t="str">
        <f>IFERROR(INDEX(Setup!$D$44:$D$70,MATCH(M378,Setup!$K$44:$K$70,0))&amp;"","")</f>
        <v/>
      </c>
      <c r="Q378" s="108" t="str">
        <f>IFERROR(INDEX(Setup!$E$44:$E$70,MATCH(M378,Setup!$K$44:$K$70,0))&amp;"","")</f>
        <v/>
      </c>
      <c r="R378" s="108" t="str">
        <f>IFERROR(INDEX(Setup!$L$44:$L$70,MATCH(M378,Setup!$K$44:$K$70,0))&amp;"","")</f>
        <v/>
      </c>
      <c r="S378" s="108" t="str">
        <f>Setup!$C$30</f>
        <v>USD</v>
      </c>
      <c r="T378" s="109" t="str">
        <f>IFERROR(INDEX('Data Sheet'!$B$198:$B$275,MATCH(I378,'Data Sheet'!$F$198:$F$275,0)),"")</f>
        <v/>
      </c>
      <c r="U378" s="110" t="str">
        <f>IFERROR(INDEX('Data Sheet'!$D$198:$D$275,MATCH(I378,'Data Sheet'!$F$198:$F$275,0)),"")</f>
        <v/>
      </c>
      <c r="V378" s="99"/>
      <c r="W378" s="195" t="str">
        <f>IF(V378=Setup!$C$30,"Grant",IF(V378=Setup!$C$31,"Local",IF(V378=Setup!$C$32,"Other",IF(ISBLANK(V378),"","Other"))))</f>
        <v/>
      </c>
      <c r="X378" s="255"/>
      <c r="Y378" s="259" t="str">
        <f>IF(X378&lt;&gt;"",X378/VLOOKUP($V378,Setup!$C$30:$D$41,2,0),"")</f>
        <v/>
      </c>
      <c r="Z378" s="262"/>
      <c r="AA378" s="256" t="str">
        <f t="shared" si="162"/>
        <v/>
      </c>
      <c r="AB378" s="262"/>
      <c r="AC378" s="258" t="str">
        <f t="shared" si="163"/>
        <v/>
      </c>
      <c r="AD378" s="262"/>
      <c r="AE378" s="258" t="str">
        <f t="shared" si="164"/>
        <v/>
      </c>
      <c r="AF378" s="262"/>
      <c r="AG378" s="256" t="str">
        <f t="shared" si="165"/>
        <v/>
      </c>
      <c r="AH378" s="256" t="str">
        <f t="shared" si="166"/>
        <v/>
      </c>
      <c r="AI378" s="256" t="str">
        <f t="shared" si="167"/>
        <v/>
      </c>
      <c r="AJ378" s="111"/>
      <c r="AK378" s="255"/>
      <c r="AL378" s="259" t="str">
        <f>IF(AK378&lt;&gt;"",AK378/VLOOKUP($V378,Setup!$C$30:$D$41,2,0),"")</f>
        <v/>
      </c>
      <c r="AM378" s="266"/>
      <c r="AN378" s="258" t="str">
        <f t="shared" si="168"/>
        <v/>
      </c>
      <c r="AO378" s="266"/>
      <c r="AP378" s="258" t="str">
        <f t="shared" si="169"/>
        <v/>
      </c>
      <c r="AQ378" s="266"/>
      <c r="AR378" s="258" t="str">
        <f t="shared" si="170"/>
        <v/>
      </c>
      <c r="AS378" s="266"/>
      <c r="AT378" s="256" t="str">
        <f t="shared" si="171"/>
        <v/>
      </c>
      <c r="AU378" s="256" t="str">
        <f t="shared" si="172"/>
        <v/>
      </c>
      <c r="AV378" s="256" t="str">
        <f t="shared" si="173"/>
        <v/>
      </c>
      <c r="AW378" s="267"/>
      <c r="AX378" s="255"/>
      <c r="AY378" s="259" t="str">
        <f>IF(AX378&lt;&gt;"",AX378/VLOOKUP($V378,Setup!$C$30:$D$41,2,0),"")</f>
        <v/>
      </c>
      <c r="AZ378" s="268"/>
      <c r="BA378" s="258" t="str">
        <f t="shared" si="174"/>
        <v/>
      </c>
      <c r="BB378" s="268"/>
      <c r="BC378" s="258" t="str">
        <f t="shared" si="175"/>
        <v/>
      </c>
      <c r="BD378" s="268"/>
      <c r="BE378" s="258" t="str">
        <f t="shared" si="176"/>
        <v/>
      </c>
      <c r="BF378" s="268"/>
      <c r="BG378" s="256" t="str">
        <f t="shared" si="177"/>
        <v/>
      </c>
      <c r="BH378" s="256" t="str">
        <f t="shared" si="178"/>
        <v/>
      </c>
      <c r="BI378" s="256" t="str">
        <f t="shared" si="179"/>
        <v/>
      </c>
      <c r="BJ378" s="267"/>
      <c r="BK378" s="255"/>
      <c r="BL378" s="259" t="str">
        <f>IF(BK378&lt;&gt;"",BK378/VLOOKUP($V378,Setup!$C$30:$D$41,2,0),"")</f>
        <v/>
      </c>
      <c r="BM378" s="268"/>
      <c r="BN378" s="258" t="str">
        <f t="shared" si="180"/>
        <v/>
      </c>
      <c r="BO378" s="268"/>
      <c r="BP378" s="258" t="str">
        <f t="shared" si="181"/>
        <v/>
      </c>
      <c r="BQ378" s="268"/>
      <c r="BR378" s="258" t="str">
        <f t="shared" si="182"/>
        <v/>
      </c>
      <c r="BS378" s="268"/>
      <c r="BT378" s="256" t="str">
        <f t="shared" si="183"/>
        <v/>
      </c>
      <c r="BU378" s="256" t="str">
        <f t="shared" si="184"/>
        <v/>
      </c>
      <c r="BV378" s="256" t="str">
        <f t="shared" si="185"/>
        <v/>
      </c>
      <c r="BW378" s="267"/>
      <c r="BX378" s="256" t="str">
        <f t="shared" si="186"/>
        <v/>
      </c>
      <c r="BY378" s="256" t="str">
        <f t="shared" si="187"/>
        <v/>
      </c>
      <c r="BZ378" s="281"/>
      <c r="CA378" s="282"/>
      <c r="CC378" s="112" t="str">
        <f t="shared" ca="1" si="188"/>
        <v/>
      </c>
      <c r="CF378" s="284"/>
      <c r="CG378" s="284"/>
      <c r="CH378" s="284"/>
      <c r="CI378" s="284"/>
      <c r="CL378" s="356" t="str">
        <f>IFERROR(VLOOKUP(C378,'Data Sheet'!$A$3:$B$26,2,FALSE),"")</f>
        <v/>
      </c>
    </row>
    <row r="379" spans="1:90" s="98" customFormat="1" ht="15.75" x14ac:dyDescent="0.2">
      <c r="A379" s="97"/>
      <c r="B379" s="105" t="str">
        <f t="shared" si="191"/>
        <v>--</v>
      </c>
      <c r="C379" s="276"/>
      <c r="D379" s="101" t="str">
        <f>IFERROR(IF(VLOOKUP(C379,'Data Sheet'!$A$3:$D$26,4,FALSE)=0,"",VLOOKUP(C379,'Data Sheet'!$A$3:$D$26,4,FALSE)),"")</f>
        <v/>
      </c>
      <c r="E379" s="279"/>
      <c r="F379" s="103" t="str">
        <f>IFERROR(IF(VLOOKUP(E379,'Data Sheet'!$C$29:$E$174,3,FALSE)=0,"",VLOOKUP(E379,'Data Sheet'!$C$29:$E$174,3,FALSE)),"")</f>
        <v/>
      </c>
      <c r="G379" s="106" t="str">
        <f t="shared" si="189"/>
        <v>-</v>
      </c>
      <c r="H379" s="273"/>
      <c r="I379" s="107"/>
      <c r="J379" s="249" t="e">
        <f t="shared" si="190"/>
        <v>#VALUE!</v>
      </c>
      <c r="K379" s="101" t="str">
        <f>IFERROR(INDEX('Data Sheet'!$C$198:$C$275,MATCH(I379,'Data Sheet'!$F$198:$F$275,0)),"")</f>
        <v/>
      </c>
      <c r="L379" s="250" t="str">
        <f>IFERROR(INDEX('Data Sheet'!$G$198:$G$275,MATCH(I379,'Data Sheet'!$F$198:$F$275,0)),"")</f>
        <v/>
      </c>
      <c r="M379" s="194"/>
      <c r="N379" s="248"/>
      <c r="O379" s="248"/>
      <c r="P379" s="108" t="str">
        <f>IFERROR(INDEX(Setup!$D$44:$D$70,MATCH(M379,Setup!$K$44:$K$70,0))&amp;"","")</f>
        <v/>
      </c>
      <c r="Q379" s="108" t="str">
        <f>IFERROR(INDEX(Setup!$E$44:$E$70,MATCH(M379,Setup!$K$44:$K$70,0))&amp;"","")</f>
        <v/>
      </c>
      <c r="R379" s="108" t="str">
        <f>IFERROR(INDEX(Setup!$L$44:$L$70,MATCH(M379,Setup!$K$44:$K$70,0))&amp;"","")</f>
        <v/>
      </c>
      <c r="S379" s="108" t="str">
        <f>Setup!$C$30</f>
        <v>USD</v>
      </c>
      <c r="T379" s="109" t="str">
        <f>IFERROR(INDEX('Data Sheet'!$B$198:$B$275,MATCH(I379,'Data Sheet'!$F$198:$F$275,0)),"")</f>
        <v/>
      </c>
      <c r="U379" s="110" t="str">
        <f>IFERROR(INDEX('Data Sheet'!$D$198:$D$275,MATCH(I379,'Data Sheet'!$F$198:$F$275,0)),"")</f>
        <v/>
      </c>
      <c r="V379" s="99"/>
      <c r="W379" s="195" t="str">
        <f>IF(V379=Setup!$C$30,"Grant",IF(V379=Setup!$C$31,"Local",IF(V379=Setup!$C$32,"Other",IF(ISBLANK(V379),"","Other"))))</f>
        <v/>
      </c>
      <c r="X379" s="255"/>
      <c r="Y379" s="259" t="str">
        <f>IF(X379&lt;&gt;"",X379/VLOOKUP($V379,Setup!$C$30:$D$41,2,0),"")</f>
        <v/>
      </c>
      <c r="Z379" s="262"/>
      <c r="AA379" s="256" t="str">
        <f t="shared" si="162"/>
        <v/>
      </c>
      <c r="AB379" s="262"/>
      <c r="AC379" s="258" t="str">
        <f t="shared" si="163"/>
        <v/>
      </c>
      <c r="AD379" s="262"/>
      <c r="AE379" s="258" t="str">
        <f t="shared" si="164"/>
        <v/>
      </c>
      <c r="AF379" s="262"/>
      <c r="AG379" s="256" t="str">
        <f t="shared" si="165"/>
        <v/>
      </c>
      <c r="AH379" s="256" t="str">
        <f t="shared" si="166"/>
        <v/>
      </c>
      <c r="AI379" s="256" t="str">
        <f t="shared" si="167"/>
        <v/>
      </c>
      <c r="AJ379" s="111"/>
      <c r="AK379" s="255"/>
      <c r="AL379" s="259" t="str">
        <f>IF(AK379&lt;&gt;"",AK379/VLOOKUP($V379,Setup!$C$30:$D$41,2,0),"")</f>
        <v/>
      </c>
      <c r="AM379" s="266"/>
      <c r="AN379" s="258" t="str">
        <f t="shared" si="168"/>
        <v/>
      </c>
      <c r="AO379" s="266"/>
      <c r="AP379" s="258" t="str">
        <f t="shared" si="169"/>
        <v/>
      </c>
      <c r="AQ379" s="266"/>
      <c r="AR379" s="258" t="str">
        <f t="shared" si="170"/>
        <v/>
      </c>
      <c r="AS379" s="266"/>
      <c r="AT379" s="256" t="str">
        <f t="shared" si="171"/>
        <v/>
      </c>
      <c r="AU379" s="256" t="str">
        <f t="shared" si="172"/>
        <v/>
      </c>
      <c r="AV379" s="256" t="str">
        <f t="shared" si="173"/>
        <v/>
      </c>
      <c r="AW379" s="267"/>
      <c r="AX379" s="255"/>
      <c r="AY379" s="259" t="str">
        <f>IF(AX379&lt;&gt;"",AX379/VLOOKUP($V379,Setup!$C$30:$D$41,2,0),"")</f>
        <v/>
      </c>
      <c r="AZ379" s="268"/>
      <c r="BA379" s="258" t="str">
        <f t="shared" si="174"/>
        <v/>
      </c>
      <c r="BB379" s="268"/>
      <c r="BC379" s="258" t="str">
        <f t="shared" si="175"/>
        <v/>
      </c>
      <c r="BD379" s="268"/>
      <c r="BE379" s="258" t="str">
        <f t="shared" si="176"/>
        <v/>
      </c>
      <c r="BF379" s="268"/>
      <c r="BG379" s="256" t="str">
        <f t="shared" si="177"/>
        <v/>
      </c>
      <c r="BH379" s="256" t="str">
        <f t="shared" si="178"/>
        <v/>
      </c>
      <c r="BI379" s="256" t="str">
        <f t="shared" si="179"/>
        <v/>
      </c>
      <c r="BJ379" s="267"/>
      <c r="BK379" s="255"/>
      <c r="BL379" s="259" t="str">
        <f>IF(BK379&lt;&gt;"",BK379/VLOOKUP($V379,Setup!$C$30:$D$41,2,0),"")</f>
        <v/>
      </c>
      <c r="BM379" s="268"/>
      <c r="BN379" s="258" t="str">
        <f t="shared" si="180"/>
        <v/>
      </c>
      <c r="BO379" s="268"/>
      <c r="BP379" s="258" t="str">
        <f t="shared" si="181"/>
        <v/>
      </c>
      <c r="BQ379" s="268"/>
      <c r="BR379" s="258" t="str">
        <f t="shared" si="182"/>
        <v/>
      </c>
      <c r="BS379" s="268"/>
      <c r="BT379" s="256" t="str">
        <f t="shared" si="183"/>
        <v/>
      </c>
      <c r="BU379" s="256" t="str">
        <f t="shared" si="184"/>
        <v/>
      </c>
      <c r="BV379" s="256" t="str">
        <f t="shared" si="185"/>
        <v/>
      </c>
      <c r="BW379" s="267"/>
      <c r="BX379" s="256" t="str">
        <f t="shared" si="186"/>
        <v/>
      </c>
      <c r="BY379" s="256" t="str">
        <f t="shared" si="187"/>
        <v/>
      </c>
      <c r="BZ379" s="281"/>
      <c r="CA379" s="282"/>
      <c r="CC379" s="112" t="str">
        <f t="shared" ca="1" si="188"/>
        <v/>
      </c>
      <c r="CF379" s="284"/>
      <c r="CG379" s="284"/>
      <c r="CH379" s="284"/>
      <c r="CI379" s="284"/>
      <c r="CL379" s="356" t="str">
        <f>IFERROR(VLOOKUP(C379,'Data Sheet'!$A$3:$B$26,2,FALSE),"")</f>
        <v/>
      </c>
    </row>
    <row r="380" spans="1:90" s="98" customFormat="1" ht="15.75" x14ac:dyDescent="0.2">
      <c r="A380" s="97"/>
      <c r="B380" s="105" t="str">
        <f t="shared" si="191"/>
        <v>--</v>
      </c>
      <c r="C380" s="276"/>
      <c r="D380" s="101" t="str">
        <f>IFERROR(IF(VLOOKUP(C380,'Data Sheet'!$A$3:$D$26,4,FALSE)=0,"",VLOOKUP(C380,'Data Sheet'!$A$3:$D$26,4,FALSE)),"")</f>
        <v/>
      </c>
      <c r="E380" s="279"/>
      <c r="F380" s="103" t="str">
        <f>IFERROR(IF(VLOOKUP(E380,'Data Sheet'!$C$29:$E$174,3,FALSE)=0,"",VLOOKUP(E380,'Data Sheet'!$C$29:$E$174,3,FALSE)),"")</f>
        <v/>
      </c>
      <c r="G380" s="106" t="str">
        <f t="shared" si="189"/>
        <v>-</v>
      </c>
      <c r="H380" s="273"/>
      <c r="I380" s="107"/>
      <c r="J380" s="249" t="e">
        <f t="shared" si="190"/>
        <v>#VALUE!</v>
      </c>
      <c r="K380" s="101" t="str">
        <f>IFERROR(INDEX('Data Sheet'!$C$198:$C$275,MATCH(I380,'Data Sheet'!$F$198:$F$275,0)),"")</f>
        <v/>
      </c>
      <c r="L380" s="250" t="str">
        <f>IFERROR(INDEX('Data Sheet'!$G$198:$G$275,MATCH(I380,'Data Sheet'!$F$198:$F$275,0)),"")</f>
        <v/>
      </c>
      <c r="M380" s="194"/>
      <c r="N380" s="248"/>
      <c r="O380" s="248"/>
      <c r="P380" s="108" t="str">
        <f>IFERROR(INDEX(Setup!$D$44:$D$70,MATCH(M380,Setup!$K$44:$K$70,0))&amp;"","")</f>
        <v/>
      </c>
      <c r="Q380" s="108" t="str">
        <f>IFERROR(INDEX(Setup!$E$44:$E$70,MATCH(M380,Setup!$K$44:$K$70,0))&amp;"","")</f>
        <v/>
      </c>
      <c r="R380" s="108" t="str">
        <f>IFERROR(INDEX(Setup!$L$44:$L$70,MATCH(M380,Setup!$K$44:$K$70,0))&amp;"","")</f>
        <v/>
      </c>
      <c r="S380" s="108" t="str">
        <f>Setup!$C$30</f>
        <v>USD</v>
      </c>
      <c r="T380" s="109" t="str">
        <f>IFERROR(INDEX('Data Sheet'!$B$198:$B$275,MATCH(I380,'Data Sheet'!$F$198:$F$275,0)),"")</f>
        <v/>
      </c>
      <c r="U380" s="110" t="str">
        <f>IFERROR(INDEX('Data Sheet'!$D$198:$D$275,MATCH(I380,'Data Sheet'!$F$198:$F$275,0)),"")</f>
        <v/>
      </c>
      <c r="V380" s="99"/>
      <c r="W380" s="195" t="str">
        <f>IF(V380=Setup!$C$30,"Grant",IF(V380=Setup!$C$31,"Local",IF(V380=Setup!$C$32,"Other",IF(ISBLANK(V380),"","Other"))))</f>
        <v/>
      </c>
      <c r="X380" s="255"/>
      <c r="Y380" s="259" t="str">
        <f>IF(X380&lt;&gt;"",X380/VLOOKUP($V380,Setup!$C$30:$D$41,2,0),"")</f>
        <v/>
      </c>
      <c r="Z380" s="262"/>
      <c r="AA380" s="256" t="str">
        <f t="shared" si="162"/>
        <v/>
      </c>
      <c r="AB380" s="262"/>
      <c r="AC380" s="258" t="str">
        <f t="shared" si="163"/>
        <v/>
      </c>
      <c r="AD380" s="262"/>
      <c r="AE380" s="258" t="str">
        <f t="shared" si="164"/>
        <v/>
      </c>
      <c r="AF380" s="262"/>
      <c r="AG380" s="256" t="str">
        <f t="shared" si="165"/>
        <v/>
      </c>
      <c r="AH380" s="256" t="str">
        <f t="shared" si="166"/>
        <v/>
      </c>
      <c r="AI380" s="256" t="str">
        <f t="shared" si="167"/>
        <v/>
      </c>
      <c r="AJ380" s="111"/>
      <c r="AK380" s="255"/>
      <c r="AL380" s="259" t="str">
        <f>IF(AK380&lt;&gt;"",AK380/VLOOKUP($V380,Setup!$C$30:$D$41,2,0),"")</f>
        <v/>
      </c>
      <c r="AM380" s="266"/>
      <c r="AN380" s="258" t="str">
        <f t="shared" si="168"/>
        <v/>
      </c>
      <c r="AO380" s="266"/>
      <c r="AP380" s="258" t="str">
        <f t="shared" si="169"/>
        <v/>
      </c>
      <c r="AQ380" s="266"/>
      <c r="AR380" s="258" t="str">
        <f t="shared" si="170"/>
        <v/>
      </c>
      <c r="AS380" s="266"/>
      <c r="AT380" s="256" t="str">
        <f t="shared" si="171"/>
        <v/>
      </c>
      <c r="AU380" s="256" t="str">
        <f t="shared" si="172"/>
        <v/>
      </c>
      <c r="AV380" s="256" t="str">
        <f t="shared" si="173"/>
        <v/>
      </c>
      <c r="AW380" s="267"/>
      <c r="AX380" s="255"/>
      <c r="AY380" s="259" t="str">
        <f>IF(AX380&lt;&gt;"",AX380/VLOOKUP($V380,Setup!$C$30:$D$41,2,0),"")</f>
        <v/>
      </c>
      <c r="AZ380" s="268"/>
      <c r="BA380" s="258" t="str">
        <f t="shared" si="174"/>
        <v/>
      </c>
      <c r="BB380" s="268"/>
      <c r="BC380" s="258" t="str">
        <f t="shared" si="175"/>
        <v/>
      </c>
      <c r="BD380" s="268"/>
      <c r="BE380" s="258" t="str">
        <f t="shared" si="176"/>
        <v/>
      </c>
      <c r="BF380" s="268"/>
      <c r="BG380" s="256" t="str">
        <f t="shared" si="177"/>
        <v/>
      </c>
      <c r="BH380" s="256" t="str">
        <f t="shared" si="178"/>
        <v/>
      </c>
      <c r="BI380" s="256" t="str">
        <f t="shared" si="179"/>
        <v/>
      </c>
      <c r="BJ380" s="267"/>
      <c r="BK380" s="255"/>
      <c r="BL380" s="259" t="str">
        <f>IF(BK380&lt;&gt;"",BK380/VLOOKUP($V380,Setup!$C$30:$D$41,2,0),"")</f>
        <v/>
      </c>
      <c r="BM380" s="268"/>
      <c r="BN380" s="258" t="str">
        <f t="shared" si="180"/>
        <v/>
      </c>
      <c r="BO380" s="268"/>
      <c r="BP380" s="258" t="str">
        <f t="shared" si="181"/>
        <v/>
      </c>
      <c r="BQ380" s="268"/>
      <c r="BR380" s="258" t="str">
        <f t="shared" si="182"/>
        <v/>
      </c>
      <c r="BS380" s="268"/>
      <c r="BT380" s="256" t="str">
        <f t="shared" si="183"/>
        <v/>
      </c>
      <c r="BU380" s="256" t="str">
        <f t="shared" si="184"/>
        <v/>
      </c>
      <c r="BV380" s="256" t="str">
        <f t="shared" si="185"/>
        <v/>
      </c>
      <c r="BW380" s="267"/>
      <c r="BX380" s="256" t="str">
        <f t="shared" si="186"/>
        <v/>
      </c>
      <c r="BY380" s="256" t="str">
        <f t="shared" si="187"/>
        <v/>
      </c>
      <c r="BZ380" s="281"/>
      <c r="CA380" s="282"/>
      <c r="CC380" s="112" t="str">
        <f t="shared" ca="1" si="188"/>
        <v/>
      </c>
      <c r="CF380" s="284"/>
      <c r="CG380" s="284"/>
      <c r="CH380" s="284"/>
      <c r="CI380" s="284"/>
      <c r="CL380" s="356" t="str">
        <f>IFERROR(VLOOKUP(C380,'Data Sheet'!$A$3:$B$26,2,FALSE),"")</f>
        <v/>
      </c>
    </row>
    <row r="381" spans="1:90" s="98" customFormat="1" ht="15.75" x14ac:dyDescent="0.2">
      <c r="A381" s="97"/>
      <c r="B381" s="105" t="str">
        <f t="shared" si="191"/>
        <v>--</v>
      </c>
      <c r="C381" s="276"/>
      <c r="D381" s="101" t="str">
        <f>IFERROR(IF(VLOOKUP(C381,'Data Sheet'!$A$3:$D$26,4,FALSE)=0,"",VLOOKUP(C381,'Data Sheet'!$A$3:$D$26,4,FALSE)),"")</f>
        <v/>
      </c>
      <c r="E381" s="279"/>
      <c r="F381" s="103" t="str">
        <f>IFERROR(IF(VLOOKUP(E381,'Data Sheet'!$C$29:$E$174,3,FALSE)=0,"",VLOOKUP(E381,'Data Sheet'!$C$29:$E$174,3,FALSE)),"")</f>
        <v/>
      </c>
      <c r="G381" s="106" t="str">
        <f t="shared" si="189"/>
        <v>-</v>
      </c>
      <c r="H381" s="273"/>
      <c r="I381" s="107"/>
      <c r="J381" s="249" t="e">
        <f t="shared" si="190"/>
        <v>#VALUE!</v>
      </c>
      <c r="K381" s="101" t="str">
        <f>IFERROR(INDEX('Data Sheet'!$C$198:$C$275,MATCH(I381,'Data Sheet'!$F$198:$F$275,0)),"")</f>
        <v/>
      </c>
      <c r="L381" s="250" t="str">
        <f>IFERROR(INDEX('Data Sheet'!$G$198:$G$275,MATCH(I381,'Data Sheet'!$F$198:$F$275,0)),"")</f>
        <v/>
      </c>
      <c r="M381" s="194"/>
      <c r="N381" s="248"/>
      <c r="O381" s="248"/>
      <c r="P381" s="108" t="str">
        <f>IFERROR(INDEX(Setup!$D$44:$D$70,MATCH(M381,Setup!$K$44:$K$70,0))&amp;"","")</f>
        <v/>
      </c>
      <c r="Q381" s="108" t="str">
        <f>IFERROR(INDEX(Setup!$E$44:$E$70,MATCH(M381,Setup!$K$44:$K$70,0))&amp;"","")</f>
        <v/>
      </c>
      <c r="R381" s="108" t="str">
        <f>IFERROR(INDEX(Setup!$L$44:$L$70,MATCH(M381,Setup!$K$44:$K$70,0))&amp;"","")</f>
        <v/>
      </c>
      <c r="S381" s="108" t="str">
        <f>Setup!$C$30</f>
        <v>USD</v>
      </c>
      <c r="T381" s="109" t="str">
        <f>IFERROR(INDEX('Data Sheet'!$B$198:$B$275,MATCH(I381,'Data Sheet'!$F$198:$F$275,0)),"")</f>
        <v/>
      </c>
      <c r="U381" s="110" t="str">
        <f>IFERROR(INDEX('Data Sheet'!$D$198:$D$275,MATCH(I381,'Data Sheet'!$F$198:$F$275,0)),"")</f>
        <v/>
      </c>
      <c r="V381" s="99"/>
      <c r="W381" s="195" t="str">
        <f>IF(V381=Setup!$C$30,"Grant",IF(V381=Setup!$C$31,"Local",IF(V381=Setup!$C$32,"Other",IF(ISBLANK(V381),"","Other"))))</f>
        <v/>
      </c>
      <c r="X381" s="255"/>
      <c r="Y381" s="259" t="str">
        <f>IF(X381&lt;&gt;"",X381/VLOOKUP($V381,Setup!$C$30:$D$41,2,0),"")</f>
        <v/>
      </c>
      <c r="Z381" s="262"/>
      <c r="AA381" s="256" t="str">
        <f t="shared" si="162"/>
        <v/>
      </c>
      <c r="AB381" s="262"/>
      <c r="AC381" s="258" t="str">
        <f t="shared" si="163"/>
        <v/>
      </c>
      <c r="AD381" s="262"/>
      <c r="AE381" s="258" t="str">
        <f t="shared" si="164"/>
        <v/>
      </c>
      <c r="AF381" s="262"/>
      <c r="AG381" s="256" t="str">
        <f t="shared" si="165"/>
        <v/>
      </c>
      <c r="AH381" s="256" t="str">
        <f t="shared" si="166"/>
        <v/>
      </c>
      <c r="AI381" s="256" t="str">
        <f t="shared" si="167"/>
        <v/>
      </c>
      <c r="AJ381" s="111"/>
      <c r="AK381" s="255"/>
      <c r="AL381" s="259" t="str">
        <f>IF(AK381&lt;&gt;"",AK381/VLOOKUP($V381,Setup!$C$30:$D$41,2,0),"")</f>
        <v/>
      </c>
      <c r="AM381" s="266"/>
      <c r="AN381" s="258" t="str">
        <f t="shared" si="168"/>
        <v/>
      </c>
      <c r="AO381" s="266"/>
      <c r="AP381" s="258" t="str">
        <f t="shared" si="169"/>
        <v/>
      </c>
      <c r="AQ381" s="266"/>
      <c r="AR381" s="258" t="str">
        <f t="shared" si="170"/>
        <v/>
      </c>
      <c r="AS381" s="266"/>
      <c r="AT381" s="256" t="str">
        <f t="shared" si="171"/>
        <v/>
      </c>
      <c r="AU381" s="256" t="str">
        <f t="shared" si="172"/>
        <v/>
      </c>
      <c r="AV381" s="256" t="str">
        <f t="shared" si="173"/>
        <v/>
      </c>
      <c r="AW381" s="267"/>
      <c r="AX381" s="255"/>
      <c r="AY381" s="259" t="str">
        <f>IF(AX381&lt;&gt;"",AX381/VLOOKUP($V381,Setup!$C$30:$D$41,2,0),"")</f>
        <v/>
      </c>
      <c r="AZ381" s="268"/>
      <c r="BA381" s="258" t="str">
        <f t="shared" si="174"/>
        <v/>
      </c>
      <c r="BB381" s="268"/>
      <c r="BC381" s="258" t="str">
        <f t="shared" si="175"/>
        <v/>
      </c>
      <c r="BD381" s="268"/>
      <c r="BE381" s="258" t="str">
        <f t="shared" si="176"/>
        <v/>
      </c>
      <c r="BF381" s="268"/>
      <c r="BG381" s="256" t="str">
        <f t="shared" si="177"/>
        <v/>
      </c>
      <c r="BH381" s="256" t="str">
        <f t="shared" si="178"/>
        <v/>
      </c>
      <c r="BI381" s="256" t="str">
        <f t="shared" si="179"/>
        <v/>
      </c>
      <c r="BJ381" s="267"/>
      <c r="BK381" s="255"/>
      <c r="BL381" s="259" t="str">
        <f>IF(BK381&lt;&gt;"",BK381/VLOOKUP($V381,Setup!$C$30:$D$41,2,0),"")</f>
        <v/>
      </c>
      <c r="BM381" s="268"/>
      <c r="BN381" s="258" t="str">
        <f t="shared" si="180"/>
        <v/>
      </c>
      <c r="BO381" s="268"/>
      <c r="BP381" s="258" t="str">
        <f t="shared" si="181"/>
        <v/>
      </c>
      <c r="BQ381" s="268"/>
      <c r="BR381" s="258" t="str">
        <f t="shared" si="182"/>
        <v/>
      </c>
      <c r="BS381" s="268"/>
      <c r="BT381" s="256" t="str">
        <f t="shared" si="183"/>
        <v/>
      </c>
      <c r="BU381" s="256" t="str">
        <f t="shared" si="184"/>
        <v/>
      </c>
      <c r="BV381" s="256" t="str">
        <f t="shared" si="185"/>
        <v/>
      </c>
      <c r="BW381" s="267"/>
      <c r="BX381" s="256" t="str">
        <f t="shared" si="186"/>
        <v/>
      </c>
      <c r="BY381" s="256" t="str">
        <f t="shared" si="187"/>
        <v/>
      </c>
      <c r="BZ381" s="281"/>
      <c r="CA381" s="282"/>
      <c r="CC381" s="112" t="str">
        <f t="shared" ca="1" si="188"/>
        <v/>
      </c>
      <c r="CF381" s="284"/>
      <c r="CG381" s="284"/>
      <c r="CH381" s="284"/>
      <c r="CI381" s="284"/>
      <c r="CL381" s="356" t="str">
        <f>IFERROR(VLOOKUP(C381,'Data Sheet'!$A$3:$B$26,2,FALSE),"")</f>
        <v/>
      </c>
    </row>
    <row r="382" spans="1:90" s="98" customFormat="1" ht="15.75" x14ac:dyDescent="0.2">
      <c r="A382" s="97"/>
      <c r="B382" s="105" t="str">
        <f t="shared" si="191"/>
        <v>--</v>
      </c>
      <c r="C382" s="276"/>
      <c r="D382" s="101" t="str">
        <f>IFERROR(IF(VLOOKUP(C382,'Data Sheet'!$A$3:$D$26,4,FALSE)=0,"",VLOOKUP(C382,'Data Sheet'!$A$3:$D$26,4,FALSE)),"")</f>
        <v/>
      </c>
      <c r="E382" s="279"/>
      <c r="F382" s="103" t="str">
        <f>IFERROR(IF(VLOOKUP(E382,'Data Sheet'!$C$29:$E$174,3,FALSE)=0,"",VLOOKUP(E382,'Data Sheet'!$C$29:$E$174,3,FALSE)),"")</f>
        <v/>
      </c>
      <c r="G382" s="106" t="str">
        <f t="shared" si="189"/>
        <v>-</v>
      </c>
      <c r="H382" s="273"/>
      <c r="I382" s="107"/>
      <c r="J382" s="249" t="e">
        <f t="shared" si="190"/>
        <v>#VALUE!</v>
      </c>
      <c r="K382" s="101" t="str">
        <f>IFERROR(INDEX('Data Sheet'!$C$198:$C$275,MATCH(I382,'Data Sheet'!$F$198:$F$275,0)),"")</f>
        <v/>
      </c>
      <c r="L382" s="250" t="str">
        <f>IFERROR(INDEX('Data Sheet'!$G$198:$G$275,MATCH(I382,'Data Sheet'!$F$198:$F$275,0)),"")</f>
        <v/>
      </c>
      <c r="M382" s="194"/>
      <c r="N382" s="248"/>
      <c r="O382" s="248"/>
      <c r="P382" s="108" t="str">
        <f>IFERROR(INDEX(Setup!$D$44:$D$70,MATCH(M382,Setup!$K$44:$K$70,0))&amp;"","")</f>
        <v/>
      </c>
      <c r="Q382" s="108" t="str">
        <f>IFERROR(INDEX(Setup!$E$44:$E$70,MATCH(M382,Setup!$K$44:$K$70,0))&amp;"","")</f>
        <v/>
      </c>
      <c r="R382" s="108" t="str">
        <f>IFERROR(INDEX(Setup!$L$44:$L$70,MATCH(M382,Setup!$K$44:$K$70,0))&amp;"","")</f>
        <v/>
      </c>
      <c r="S382" s="108" t="str">
        <f>Setup!$C$30</f>
        <v>USD</v>
      </c>
      <c r="T382" s="109" t="str">
        <f>IFERROR(INDEX('Data Sheet'!$B$198:$B$275,MATCH(I382,'Data Sheet'!$F$198:$F$275,0)),"")</f>
        <v/>
      </c>
      <c r="U382" s="110" t="str">
        <f>IFERROR(INDEX('Data Sheet'!$D$198:$D$275,MATCH(I382,'Data Sheet'!$F$198:$F$275,0)),"")</f>
        <v/>
      </c>
      <c r="V382" s="99"/>
      <c r="W382" s="195" t="str">
        <f>IF(V382=Setup!$C$30,"Grant",IF(V382=Setup!$C$31,"Local",IF(V382=Setup!$C$32,"Other",IF(ISBLANK(V382),"","Other"))))</f>
        <v/>
      </c>
      <c r="X382" s="255"/>
      <c r="Y382" s="259" t="str">
        <f>IF(X382&lt;&gt;"",X382/VLOOKUP($V382,Setup!$C$30:$D$41,2,0),"")</f>
        <v/>
      </c>
      <c r="Z382" s="262"/>
      <c r="AA382" s="256" t="str">
        <f t="shared" si="162"/>
        <v/>
      </c>
      <c r="AB382" s="262"/>
      <c r="AC382" s="258" t="str">
        <f t="shared" si="163"/>
        <v/>
      </c>
      <c r="AD382" s="262"/>
      <c r="AE382" s="258" t="str">
        <f t="shared" si="164"/>
        <v/>
      </c>
      <c r="AF382" s="262"/>
      <c r="AG382" s="256" t="str">
        <f t="shared" si="165"/>
        <v/>
      </c>
      <c r="AH382" s="256" t="str">
        <f t="shared" si="166"/>
        <v/>
      </c>
      <c r="AI382" s="256" t="str">
        <f t="shared" si="167"/>
        <v/>
      </c>
      <c r="AJ382" s="111"/>
      <c r="AK382" s="255"/>
      <c r="AL382" s="259" t="str">
        <f>IF(AK382&lt;&gt;"",AK382/VLOOKUP($V382,Setup!$C$30:$D$41,2,0),"")</f>
        <v/>
      </c>
      <c r="AM382" s="266"/>
      <c r="AN382" s="258" t="str">
        <f t="shared" si="168"/>
        <v/>
      </c>
      <c r="AO382" s="266"/>
      <c r="AP382" s="258" t="str">
        <f t="shared" si="169"/>
        <v/>
      </c>
      <c r="AQ382" s="266"/>
      <c r="AR382" s="258" t="str">
        <f t="shared" si="170"/>
        <v/>
      </c>
      <c r="AS382" s="266"/>
      <c r="AT382" s="256" t="str">
        <f t="shared" si="171"/>
        <v/>
      </c>
      <c r="AU382" s="256" t="str">
        <f t="shared" si="172"/>
        <v/>
      </c>
      <c r="AV382" s="256" t="str">
        <f t="shared" si="173"/>
        <v/>
      </c>
      <c r="AW382" s="267"/>
      <c r="AX382" s="255"/>
      <c r="AY382" s="259" t="str">
        <f>IF(AX382&lt;&gt;"",AX382/VLOOKUP($V382,Setup!$C$30:$D$41,2,0),"")</f>
        <v/>
      </c>
      <c r="AZ382" s="268"/>
      <c r="BA382" s="258" t="str">
        <f t="shared" si="174"/>
        <v/>
      </c>
      <c r="BB382" s="268"/>
      <c r="BC382" s="258" t="str">
        <f t="shared" si="175"/>
        <v/>
      </c>
      <c r="BD382" s="268"/>
      <c r="BE382" s="258" t="str">
        <f t="shared" si="176"/>
        <v/>
      </c>
      <c r="BF382" s="268"/>
      <c r="BG382" s="256" t="str">
        <f t="shared" si="177"/>
        <v/>
      </c>
      <c r="BH382" s="256" t="str">
        <f t="shared" si="178"/>
        <v/>
      </c>
      <c r="BI382" s="256" t="str">
        <f t="shared" si="179"/>
        <v/>
      </c>
      <c r="BJ382" s="267"/>
      <c r="BK382" s="255"/>
      <c r="BL382" s="259" t="str">
        <f>IF(BK382&lt;&gt;"",BK382/VLOOKUP($V382,Setup!$C$30:$D$41,2,0),"")</f>
        <v/>
      </c>
      <c r="BM382" s="268"/>
      <c r="BN382" s="258" t="str">
        <f t="shared" si="180"/>
        <v/>
      </c>
      <c r="BO382" s="268"/>
      <c r="BP382" s="258" t="str">
        <f t="shared" si="181"/>
        <v/>
      </c>
      <c r="BQ382" s="268"/>
      <c r="BR382" s="258" t="str">
        <f t="shared" si="182"/>
        <v/>
      </c>
      <c r="BS382" s="268"/>
      <c r="BT382" s="256" t="str">
        <f t="shared" si="183"/>
        <v/>
      </c>
      <c r="BU382" s="256" t="str">
        <f t="shared" si="184"/>
        <v/>
      </c>
      <c r="BV382" s="256" t="str">
        <f t="shared" si="185"/>
        <v/>
      </c>
      <c r="BW382" s="267"/>
      <c r="BX382" s="256" t="str">
        <f t="shared" si="186"/>
        <v/>
      </c>
      <c r="BY382" s="256" t="str">
        <f t="shared" si="187"/>
        <v/>
      </c>
      <c r="BZ382" s="281"/>
      <c r="CA382" s="282"/>
      <c r="CC382" s="112" t="str">
        <f t="shared" ca="1" si="188"/>
        <v/>
      </c>
      <c r="CF382" s="284"/>
      <c r="CG382" s="284"/>
      <c r="CH382" s="284"/>
      <c r="CI382" s="284"/>
      <c r="CL382" s="356" t="str">
        <f>IFERROR(VLOOKUP(C382,'Data Sheet'!$A$3:$B$26,2,FALSE),"")</f>
        <v/>
      </c>
    </row>
    <row r="383" spans="1:90" s="98" customFormat="1" ht="15.75" x14ac:dyDescent="0.2">
      <c r="A383" s="97"/>
      <c r="B383" s="105" t="str">
        <f t="shared" si="191"/>
        <v>--</v>
      </c>
      <c r="C383" s="276"/>
      <c r="D383" s="101" t="str">
        <f>IFERROR(IF(VLOOKUP(C383,'Data Sheet'!$A$3:$D$26,4,FALSE)=0,"",VLOOKUP(C383,'Data Sheet'!$A$3:$D$26,4,FALSE)),"")</f>
        <v/>
      </c>
      <c r="E383" s="279"/>
      <c r="F383" s="103" t="str">
        <f>IFERROR(IF(VLOOKUP(E383,'Data Sheet'!$C$29:$E$174,3,FALSE)=0,"",VLOOKUP(E383,'Data Sheet'!$C$29:$E$174,3,FALSE)),"")</f>
        <v/>
      </c>
      <c r="G383" s="106" t="str">
        <f t="shared" si="189"/>
        <v>-</v>
      </c>
      <c r="H383" s="273"/>
      <c r="I383" s="107"/>
      <c r="J383" s="249" t="e">
        <f t="shared" si="190"/>
        <v>#VALUE!</v>
      </c>
      <c r="K383" s="101" t="str">
        <f>IFERROR(INDEX('Data Sheet'!$C$198:$C$275,MATCH(I383,'Data Sheet'!$F$198:$F$275,0)),"")</f>
        <v/>
      </c>
      <c r="L383" s="250" t="str">
        <f>IFERROR(INDEX('Data Sheet'!$G$198:$G$275,MATCH(I383,'Data Sheet'!$F$198:$F$275,0)),"")</f>
        <v/>
      </c>
      <c r="M383" s="194"/>
      <c r="N383" s="248"/>
      <c r="O383" s="248"/>
      <c r="P383" s="108" t="str">
        <f>IFERROR(INDEX(Setup!$D$44:$D$70,MATCH(M383,Setup!$K$44:$K$70,0))&amp;"","")</f>
        <v/>
      </c>
      <c r="Q383" s="108" t="str">
        <f>IFERROR(INDEX(Setup!$E$44:$E$70,MATCH(M383,Setup!$K$44:$K$70,0))&amp;"","")</f>
        <v/>
      </c>
      <c r="R383" s="108" t="str">
        <f>IFERROR(INDEX(Setup!$L$44:$L$70,MATCH(M383,Setup!$K$44:$K$70,0))&amp;"","")</f>
        <v/>
      </c>
      <c r="S383" s="108" t="str">
        <f>Setup!$C$30</f>
        <v>USD</v>
      </c>
      <c r="T383" s="109" t="str">
        <f>IFERROR(INDEX('Data Sheet'!$B$198:$B$275,MATCH(I383,'Data Sheet'!$F$198:$F$275,0)),"")</f>
        <v/>
      </c>
      <c r="U383" s="110" t="str">
        <f>IFERROR(INDEX('Data Sheet'!$D$198:$D$275,MATCH(I383,'Data Sheet'!$F$198:$F$275,0)),"")</f>
        <v/>
      </c>
      <c r="V383" s="99"/>
      <c r="W383" s="195" t="str">
        <f>IF(V383=Setup!$C$30,"Grant",IF(V383=Setup!$C$31,"Local",IF(V383=Setup!$C$32,"Other",IF(ISBLANK(V383),"","Other"))))</f>
        <v/>
      </c>
      <c r="X383" s="255"/>
      <c r="Y383" s="259" t="str">
        <f>IF(X383&lt;&gt;"",X383/VLOOKUP($V383,Setup!$C$30:$D$41,2,0),"")</f>
        <v/>
      </c>
      <c r="Z383" s="262"/>
      <c r="AA383" s="256" t="str">
        <f t="shared" si="162"/>
        <v/>
      </c>
      <c r="AB383" s="262"/>
      <c r="AC383" s="258" t="str">
        <f t="shared" si="163"/>
        <v/>
      </c>
      <c r="AD383" s="262"/>
      <c r="AE383" s="258" t="str">
        <f t="shared" si="164"/>
        <v/>
      </c>
      <c r="AF383" s="262"/>
      <c r="AG383" s="256" t="str">
        <f t="shared" si="165"/>
        <v/>
      </c>
      <c r="AH383" s="256" t="str">
        <f t="shared" si="166"/>
        <v/>
      </c>
      <c r="AI383" s="256" t="str">
        <f t="shared" si="167"/>
        <v/>
      </c>
      <c r="AJ383" s="111"/>
      <c r="AK383" s="255"/>
      <c r="AL383" s="259" t="str">
        <f>IF(AK383&lt;&gt;"",AK383/VLOOKUP($V383,Setup!$C$30:$D$41,2,0),"")</f>
        <v/>
      </c>
      <c r="AM383" s="266"/>
      <c r="AN383" s="258" t="str">
        <f t="shared" si="168"/>
        <v/>
      </c>
      <c r="AO383" s="266"/>
      <c r="AP383" s="258" t="str">
        <f t="shared" si="169"/>
        <v/>
      </c>
      <c r="AQ383" s="266"/>
      <c r="AR383" s="258" t="str">
        <f t="shared" si="170"/>
        <v/>
      </c>
      <c r="AS383" s="266"/>
      <c r="AT383" s="256" t="str">
        <f t="shared" si="171"/>
        <v/>
      </c>
      <c r="AU383" s="256" t="str">
        <f t="shared" si="172"/>
        <v/>
      </c>
      <c r="AV383" s="256" t="str">
        <f t="shared" si="173"/>
        <v/>
      </c>
      <c r="AW383" s="267"/>
      <c r="AX383" s="255"/>
      <c r="AY383" s="259" t="str">
        <f>IF(AX383&lt;&gt;"",AX383/VLOOKUP($V383,Setup!$C$30:$D$41,2,0),"")</f>
        <v/>
      </c>
      <c r="AZ383" s="268"/>
      <c r="BA383" s="258" t="str">
        <f t="shared" si="174"/>
        <v/>
      </c>
      <c r="BB383" s="268"/>
      <c r="BC383" s="258" t="str">
        <f t="shared" si="175"/>
        <v/>
      </c>
      <c r="BD383" s="268"/>
      <c r="BE383" s="258" t="str">
        <f t="shared" si="176"/>
        <v/>
      </c>
      <c r="BF383" s="268"/>
      <c r="BG383" s="256" t="str">
        <f t="shared" si="177"/>
        <v/>
      </c>
      <c r="BH383" s="256" t="str">
        <f t="shared" si="178"/>
        <v/>
      </c>
      <c r="BI383" s="256" t="str">
        <f t="shared" si="179"/>
        <v/>
      </c>
      <c r="BJ383" s="267"/>
      <c r="BK383" s="255"/>
      <c r="BL383" s="259" t="str">
        <f>IF(BK383&lt;&gt;"",BK383/VLOOKUP($V383,Setup!$C$30:$D$41,2,0),"")</f>
        <v/>
      </c>
      <c r="BM383" s="268"/>
      <c r="BN383" s="258" t="str">
        <f t="shared" si="180"/>
        <v/>
      </c>
      <c r="BO383" s="268"/>
      <c r="BP383" s="258" t="str">
        <f t="shared" si="181"/>
        <v/>
      </c>
      <c r="BQ383" s="268"/>
      <c r="BR383" s="258" t="str">
        <f t="shared" si="182"/>
        <v/>
      </c>
      <c r="BS383" s="268"/>
      <c r="BT383" s="256" t="str">
        <f t="shared" si="183"/>
        <v/>
      </c>
      <c r="BU383" s="256" t="str">
        <f t="shared" si="184"/>
        <v/>
      </c>
      <c r="BV383" s="256" t="str">
        <f t="shared" si="185"/>
        <v/>
      </c>
      <c r="BW383" s="267"/>
      <c r="BX383" s="256" t="str">
        <f t="shared" si="186"/>
        <v/>
      </c>
      <c r="BY383" s="256" t="str">
        <f t="shared" si="187"/>
        <v/>
      </c>
      <c r="BZ383" s="281"/>
      <c r="CA383" s="282"/>
      <c r="CC383" s="112" t="str">
        <f t="shared" ca="1" si="188"/>
        <v/>
      </c>
      <c r="CF383" s="284"/>
      <c r="CG383" s="284"/>
      <c r="CH383" s="284"/>
      <c r="CI383" s="284"/>
      <c r="CL383" s="356" t="str">
        <f>IFERROR(VLOOKUP(C383,'Data Sheet'!$A$3:$B$26,2,FALSE),"")</f>
        <v/>
      </c>
    </row>
    <row r="384" spans="1:90" s="98" customFormat="1" ht="15.75" x14ac:dyDescent="0.2">
      <c r="A384" s="97"/>
      <c r="B384" s="105" t="str">
        <f t="shared" si="191"/>
        <v>--</v>
      </c>
      <c r="C384" s="276"/>
      <c r="D384" s="101" t="str">
        <f>IFERROR(IF(VLOOKUP(C384,'Data Sheet'!$A$3:$D$26,4,FALSE)=0,"",VLOOKUP(C384,'Data Sheet'!$A$3:$D$26,4,FALSE)),"")</f>
        <v/>
      </c>
      <c r="E384" s="279"/>
      <c r="F384" s="103" t="str">
        <f>IFERROR(IF(VLOOKUP(E384,'Data Sheet'!$C$29:$E$174,3,FALSE)=0,"",VLOOKUP(E384,'Data Sheet'!$C$29:$E$174,3,FALSE)),"")</f>
        <v/>
      </c>
      <c r="G384" s="106" t="str">
        <f t="shared" si="189"/>
        <v>-</v>
      </c>
      <c r="H384" s="273"/>
      <c r="I384" s="107"/>
      <c r="J384" s="249" t="e">
        <f t="shared" si="190"/>
        <v>#VALUE!</v>
      </c>
      <c r="K384" s="101" t="str">
        <f>IFERROR(INDEX('Data Sheet'!$C$198:$C$275,MATCH(I384,'Data Sheet'!$F$198:$F$275,0)),"")</f>
        <v/>
      </c>
      <c r="L384" s="250" t="str">
        <f>IFERROR(INDEX('Data Sheet'!$G$198:$G$275,MATCH(I384,'Data Sheet'!$F$198:$F$275,0)),"")</f>
        <v/>
      </c>
      <c r="M384" s="194"/>
      <c r="N384" s="248"/>
      <c r="O384" s="248"/>
      <c r="P384" s="108" t="str">
        <f>IFERROR(INDEX(Setup!$D$44:$D$70,MATCH(M384,Setup!$K$44:$K$70,0))&amp;"","")</f>
        <v/>
      </c>
      <c r="Q384" s="108" t="str">
        <f>IFERROR(INDEX(Setup!$E$44:$E$70,MATCH(M384,Setup!$K$44:$K$70,0))&amp;"","")</f>
        <v/>
      </c>
      <c r="R384" s="108" t="str">
        <f>IFERROR(INDEX(Setup!$L$44:$L$70,MATCH(M384,Setup!$K$44:$K$70,0))&amp;"","")</f>
        <v/>
      </c>
      <c r="S384" s="108" t="str">
        <f>Setup!$C$30</f>
        <v>USD</v>
      </c>
      <c r="T384" s="109" t="str">
        <f>IFERROR(INDEX('Data Sheet'!$B$198:$B$275,MATCH(I384,'Data Sheet'!$F$198:$F$275,0)),"")</f>
        <v/>
      </c>
      <c r="U384" s="110" t="str">
        <f>IFERROR(INDEX('Data Sheet'!$D$198:$D$275,MATCH(I384,'Data Sheet'!$F$198:$F$275,0)),"")</f>
        <v/>
      </c>
      <c r="V384" s="99"/>
      <c r="W384" s="195" t="str">
        <f>IF(V384=Setup!$C$30,"Grant",IF(V384=Setup!$C$31,"Local",IF(V384=Setup!$C$32,"Other",IF(ISBLANK(V384),"","Other"))))</f>
        <v/>
      </c>
      <c r="X384" s="255"/>
      <c r="Y384" s="259" t="str">
        <f>IF(X384&lt;&gt;"",X384/VLOOKUP($V384,Setup!$C$30:$D$41,2,0),"")</f>
        <v/>
      </c>
      <c r="Z384" s="262"/>
      <c r="AA384" s="256" t="str">
        <f t="shared" si="162"/>
        <v/>
      </c>
      <c r="AB384" s="262"/>
      <c r="AC384" s="258" t="str">
        <f t="shared" si="163"/>
        <v/>
      </c>
      <c r="AD384" s="262"/>
      <c r="AE384" s="258" t="str">
        <f t="shared" si="164"/>
        <v/>
      </c>
      <c r="AF384" s="262"/>
      <c r="AG384" s="256" t="str">
        <f t="shared" si="165"/>
        <v/>
      </c>
      <c r="AH384" s="256" t="str">
        <f t="shared" si="166"/>
        <v/>
      </c>
      <c r="AI384" s="256" t="str">
        <f t="shared" si="167"/>
        <v/>
      </c>
      <c r="AJ384" s="111"/>
      <c r="AK384" s="255"/>
      <c r="AL384" s="259" t="str">
        <f>IF(AK384&lt;&gt;"",AK384/VLOOKUP($V384,Setup!$C$30:$D$41,2,0),"")</f>
        <v/>
      </c>
      <c r="AM384" s="266"/>
      <c r="AN384" s="258" t="str">
        <f t="shared" si="168"/>
        <v/>
      </c>
      <c r="AO384" s="266"/>
      <c r="AP384" s="258" t="str">
        <f t="shared" si="169"/>
        <v/>
      </c>
      <c r="AQ384" s="266"/>
      <c r="AR384" s="258" t="str">
        <f t="shared" si="170"/>
        <v/>
      </c>
      <c r="AS384" s="266"/>
      <c r="AT384" s="256" t="str">
        <f t="shared" si="171"/>
        <v/>
      </c>
      <c r="AU384" s="256" t="str">
        <f t="shared" si="172"/>
        <v/>
      </c>
      <c r="AV384" s="256" t="str">
        <f t="shared" si="173"/>
        <v/>
      </c>
      <c r="AW384" s="267"/>
      <c r="AX384" s="255"/>
      <c r="AY384" s="259" t="str">
        <f>IF(AX384&lt;&gt;"",AX384/VLOOKUP($V384,Setup!$C$30:$D$41,2,0),"")</f>
        <v/>
      </c>
      <c r="AZ384" s="268"/>
      <c r="BA384" s="258" t="str">
        <f t="shared" si="174"/>
        <v/>
      </c>
      <c r="BB384" s="268"/>
      <c r="BC384" s="258" t="str">
        <f t="shared" si="175"/>
        <v/>
      </c>
      <c r="BD384" s="268"/>
      <c r="BE384" s="258" t="str">
        <f t="shared" si="176"/>
        <v/>
      </c>
      <c r="BF384" s="268"/>
      <c r="BG384" s="256" t="str">
        <f t="shared" si="177"/>
        <v/>
      </c>
      <c r="BH384" s="256" t="str">
        <f t="shared" si="178"/>
        <v/>
      </c>
      <c r="BI384" s="256" t="str">
        <f t="shared" si="179"/>
        <v/>
      </c>
      <c r="BJ384" s="267"/>
      <c r="BK384" s="255"/>
      <c r="BL384" s="259" t="str">
        <f>IF(BK384&lt;&gt;"",BK384/VLOOKUP($V384,Setup!$C$30:$D$41,2,0),"")</f>
        <v/>
      </c>
      <c r="BM384" s="268"/>
      <c r="BN384" s="258" t="str">
        <f t="shared" si="180"/>
        <v/>
      </c>
      <c r="BO384" s="268"/>
      <c r="BP384" s="258" t="str">
        <f t="shared" si="181"/>
        <v/>
      </c>
      <c r="BQ384" s="268"/>
      <c r="BR384" s="258" t="str">
        <f t="shared" si="182"/>
        <v/>
      </c>
      <c r="BS384" s="268"/>
      <c r="BT384" s="256" t="str">
        <f t="shared" si="183"/>
        <v/>
      </c>
      <c r="BU384" s="256" t="str">
        <f t="shared" si="184"/>
        <v/>
      </c>
      <c r="BV384" s="256" t="str">
        <f t="shared" si="185"/>
        <v/>
      </c>
      <c r="BW384" s="267"/>
      <c r="BX384" s="256" t="str">
        <f t="shared" si="186"/>
        <v/>
      </c>
      <c r="BY384" s="256" t="str">
        <f t="shared" si="187"/>
        <v/>
      </c>
      <c r="BZ384" s="281"/>
      <c r="CA384" s="282"/>
      <c r="CC384" s="112" t="str">
        <f t="shared" ca="1" si="188"/>
        <v/>
      </c>
      <c r="CF384" s="284"/>
      <c r="CG384" s="284"/>
      <c r="CH384" s="284"/>
      <c r="CI384" s="284"/>
      <c r="CL384" s="356" t="str">
        <f>IFERROR(VLOOKUP(C384,'Data Sheet'!$A$3:$B$26,2,FALSE),"")</f>
        <v/>
      </c>
    </row>
    <row r="385" spans="1:90" s="98" customFormat="1" ht="15.75" x14ac:dyDescent="0.2">
      <c r="A385" s="97"/>
      <c r="B385" s="105" t="str">
        <f t="shared" si="191"/>
        <v>--</v>
      </c>
      <c r="C385" s="276"/>
      <c r="D385" s="101" t="str">
        <f>IFERROR(IF(VLOOKUP(C385,'Data Sheet'!$A$3:$D$26,4,FALSE)=0,"",VLOOKUP(C385,'Data Sheet'!$A$3:$D$26,4,FALSE)),"")</f>
        <v/>
      </c>
      <c r="E385" s="279"/>
      <c r="F385" s="103" t="str">
        <f>IFERROR(IF(VLOOKUP(E385,'Data Sheet'!$C$29:$E$174,3,FALSE)=0,"",VLOOKUP(E385,'Data Sheet'!$C$29:$E$174,3,FALSE)),"")</f>
        <v/>
      </c>
      <c r="G385" s="106" t="str">
        <f t="shared" si="189"/>
        <v>-</v>
      </c>
      <c r="H385" s="273"/>
      <c r="I385" s="107"/>
      <c r="J385" s="249" t="e">
        <f t="shared" si="190"/>
        <v>#VALUE!</v>
      </c>
      <c r="K385" s="101" t="str">
        <f>IFERROR(INDEX('Data Sheet'!$C$198:$C$275,MATCH(I385,'Data Sheet'!$F$198:$F$275,0)),"")</f>
        <v/>
      </c>
      <c r="L385" s="250" t="str">
        <f>IFERROR(INDEX('Data Sheet'!$G$198:$G$275,MATCH(I385,'Data Sheet'!$F$198:$F$275,0)),"")</f>
        <v/>
      </c>
      <c r="M385" s="194"/>
      <c r="N385" s="248"/>
      <c r="O385" s="248"/>
      <c r="P385" s="108" t="str">
        <f>IFERROR(INDEX(Setup!$D$44:$D$70,MATCH(M385,Setup!$K$44:$K$70,0))&amp;"","")</f>
        <v/>
      </c>
      <c r="Q385" s="108" t="str">
        <f>IFERROR(INDEX(Setup!$E$44:$E$70,MATCH(M385,Setup!$K$44:$K$70,0))&amp;"","")</f>
        <v/>
      </c>
      <c r="R385" s="108" t="str">
        <f>IFERROR(INDEX(Setup!$L$44:$L$70,MATCH(M385,Setup!$K$44:$K$70,0))&amp;"","")</f>
        <v/>
      </c>
      <c r="S385" s="108" t="str">
        <f>Setup!$C$30</f>
        <v>USD</v>
      </c>
      <c r="T385" s="109" t="str">
        <f>IFERROR(INDEX('Data Sheet'!$B$198:$B$275,MATCH(I385,'Data Sheet'!$F$198:$F$275,0)),"")</f>
        <v/>
      </c>
      <c r="U385" s="110" t="str">
        <f>IFERROR(INDEX('Data Sheet'!$D$198:$D$275,MATCH(I385,'Data Sheet'!$F$198:$F$275,0)),"")</f>
        <v/>
      </c>
      <c r="V385" s="99"/>
      <c r="W385" s="195" t="str">
        <f>IF(V385=Setup!$C$30,"Grant",IF(V385=Setup!$C$31,"Local",IF(V385=Setup!$C$32,"Other",IF(ISBLANK(V385),"","Other"))))</f>
        <v/>
      </c>
      <c r="X385" s="255"/>
      <c r="Y385" s="259" t="str">
        <f>IF(X385&lt;&gt;"",X385/VLOOKUP($V385,Setup!$C$30:$D$41,2,0),"")</f>
        <v/>
      </c>
      <c r="Z385" s="262"/>
      <c r="AA385" s="256" t="str">
        <f t="shared" si="162"/>
        <v/>
      </c>
      <c r="AB385" s="262"/>
      <c r="AC385" s="258" t="str">
        <f t="shared" si="163"/>
        <v/>
      </c>
      <c r="AD385" s="262"/>
      <c r="AE385" s="258" t="str">
        <f t="shared" si="164"/>
        <v/>
      </c>
      <c r="AF385" s="262"/>
      <c r="AG385" s="256" t="str">
        <f t="shared" si="165"/>
        <v/>
      </c>
      <c r="AH385" s="256" t="str">
        <f t="shared" si="166"/>
        <v/>
      </c>
      <c r="AI385" s="256" t="str">
        <f t="shared" si="167"/>
        <v/>
      </c>
      <c r="AJ385" s="111"/>
      <c r="AK385" s="255"/>
      <c r="AL385" s="259" t="str">
        <f>IF(AK385&lt;&gt;"",AK385/VLOOKUP($V385,Setup!$C$30:$D$41,2,0),"")</f>
        <v/>
      </c>
      <c r="AM385" s="266"/>
      <c r="AN385" s="258" t="str">
        <f t="shared" si="168"/>
        <v/>
      </c>
      <c r="AO385" s="266"/>
      <c r="AP385" s="258" t="str">
        <f t="shared" si="169"/>
        <v/>
      </c>
      <c r="AQ385" s="266"/>
      <c r="AR385" s="258" t="str">
        <f t="shared" si="170"/>
        <v/>
      </c>
      <c r="AS385" s="266"/>
      <c r="AT385" s="256" t="str">
        <f t="shared" si="171"/>
        <v/>
      </c>
      <c r="AU385" s="256" t="str">
        <f t="shared" si="172"/>
        <v/>
      </c>
      <c r="AV385" s="256" t="str">
        <f t="shared" si="173"/>
        <v/>
      </c>
      <c r="AW385" s="267"/>
      <c r="AX385" s="255"/>
      <c r="AY385" s="259" t="str">
        <f>IF(AX385&lt;&gt;"",AX385/VLOOKUP($V385,Setup!$C$30:$D$41,2,0),"")</f>
        <v/>
      </c>
      <c r="AZ385" s="268"/>
      <c r="BA385" s="258" t="str">
        <f t="shared" si="174"/>
        <v/>
      </c>
      <c r="BB385" s="268"/>
      <c r="BC385" s="258" t="str">
        <f t="shared" si="175"/>
        <v/>
      </c>
      <c r="BD385" s="268"/>
      <c r="BE385" s="258" t="str">
        <f t="shared" si="176"/>
        <v/>
      </c>
      <c r="BF385" s="268"/>
      <c r="BG385" s="256" t="str">
        <f t="shared" si="177"/>
        <v/>
      </c>
      <c r="BH385" s="256" t="str">
        <f t="shared" si="178"/>
        <v/>
      </c>
      <c r="BI385" s="256" t="str">
        <f t="shared" si="179"/>
        <v/>
      </c>
      <c r="BJ385" s="267"/>
      <c r="BK385" s="255"/>
      <c r="BL385" s="259" t="str">
        <f>IF(BK385&lt;&gt;"",BK385/VLOOKUP($V385,Setup!$C$30:$D$41,2,0),"")</f>
        <v/>
      </c>
      <c r="BM385" s="268"/>
      <c r="BN385" s="258" t="str">
        <f t="shared" si="180"/>
        <v/>
      </c>
      <c r="BO385" s="268"/>
      <c r="BP385" s="258" t="str">
        <f t="shared" si="181"/>
        <v/>
      </c>
      <c r="BQ385" s="268"/>
      <c r="BR385" s="258" t="str">
        <f t="shared" si="182"/>
        <v/>
      </c>
      <c r="BS385" s="268"/>
      <c r="BT385" s="256" t="str">
        <f t="shared" si="183"/>
        <v/>
      </c>
      <c r="BU385" s="256" t="str">
        <f t="shared" si="184"/>
        <v/>
      </c>
      <c r="BV385" s="256" t="str">
        <f t="shared" si="185"/>
        <v/>
      </c>
      <c r="BW385" s="267"/>
      <c r="BX385" s="256" t="str">
        <f t="shared" si="186"/>
        <v/>
      </c>
      <c r="BY385" s="256" t="str">
        <f t="shared" si="187"/>
        <v/>
      </c>
      <c r="BZ385" s="281"/>
      <c r="CA385" s="282"/>
      <c r="CC385" s="112" t="str">
        <f t="shared" ca="1" si="188"/>
        <v/>
      </c>
      <c r="CF385" s="284"/>
      <c r="CG385" s="284"/>
      <c r="CH385" s="284"/>
      <c r="CI385" s="284"/>
      <c r="CL385" s="356" t="str">
        <f>IFERROR(VLOOKUP(C385,'Data Sheet'!$A$3:$B$26,2,FALSE),"")</f>
        <v/>
      </c>
    </row>
    <row r="386" spans="1:90" s="98" customFormat="1" ht="15.75" x14ac:dyDescent="0.2">
      <c r="A386" s="97"/>
      <c r="B386" s="105" t="str">
        <f t="shared" si="191"/>
        <v>--</v>
      </c>
      <c r="C386" s="276"/>
      <c r="D386" s="101" t="str">
        <f>IFERROR(IF(VLOOKUP(C386,'Data Sheet'!$A$3:$D$26,4,FALSE)=0,"",VLOOKUP(C386,'Data Sheet'!$A$3:$D$26,4,FALSE)),"")</f>
        <v/>
      </c>
      <c r="E386" s="279"/>
      <c r="F386" s="103" t="str">
        <f>IFERROR(IF(VLOOKUP(E386,'Data Sheet'!$C$29:$E$174,3,FALSE)=0,"",VLOOKUP(E386,'Data Sheet'!$C$29:$E$174,3,FALSE)),"")</f>
        <v/>
      </c>
      <c r="G386" s="106" t="str">
        <f t="shared" si="189"/>
        <v>-</v>
      </c>
      <c r="H386" s="273"/>
      <c r="I386" s="107"/>
      <c r="J386" s="249" t="e">
        <f t="shared" si="190"/>
        <v>#VALUE!</v>
      </c>
      <c r="K386" s="101" t="str">
        <f>IFERROR(INDEX('Data Sheet'!$C$198:$C$275,MATCH(I386,'Data Sheet'!$F$198:$F$275,0)),"")</f>
        <v/>
      </c>
      <c r="L386" s="250" t="str">
        <f>IFERROR(INDEX('Data Sheet'!$G$198:$G$275,MATCH(I386,'Data Sheet'!$F$198:$F$275,0)),"")</f>
        <v/>
      </c>
      <c r="M386" s="194"/>
      <c r="N386" s="248"/>
      <c r="O386" s="248"/>
      <c r="P386" s="108" t="str">
        <f>IFERROR(INDEX(Setup!$D$44:$D$70,MATCH(M386,Setup!$K$44:$K$70,0))&amp;"","")</f>
        <v/>
      </c>
      <c r="Q386" s="108" t="str">
        <f>IFERROR(INDEX(Setup!$E$44:$E$70,MATCH(M386,Setup!$K$44:$K$70,0))&amp;"","")</f>
        <v/>
      </c>
      <c r="R386" s="108" t="str">
        <f>IFERROR(INDEX(Setup!$L$44:$L$70,MATCH(M386,Setup!$K$44:$K$70,0))&amp;"","")</f>
        <v/>
      </c>
      <c r="S386" s="108" t="str">
        <f>Setup!$C$30</f>
        <v>USD</v>
      </c>
      <c r="T386" s="109" t="str">
        <f>IFERROR(INDEX('Data Sheet'!$B$198:$B$275,MATCH(I386,'Data Sheet'!$F$198:$F$275,0)),"")</f>
        <v/>
      </c>
      <c r="U386" s="110" t="str">
        <f>IFERROR(INDEX('Data Sheet'!$D$198:$D$275,MATCH(I386,'Data Sheet'!$F$198:$F$275,0)),"")</f>
        <v/>
      </c>
      <c r="V386" s="99"/>
      <c r="W386" s="195" t="str">
        <f>IF(V386=Setup!$C$30,"Grant",IF(V386=Setup!$C$31,"Local",IF(V386=Setup!$C$32,"Other",IF(ISBLANK(V386),"","Other"))))</f>
        <v/>
      </c>
      <c r="X386" s="255"/>
      <c r="Y386" s="259" t="str">
        <f>IF(X386&lt;&gt;"",X386/VLOOKUP($V386,Setup!$C$30:$D$41,2,0),"")</f>
        <v/>
      </c>
      <c r="Z386" s="262"/>
      <c r="AA386" s="256" t="str">
        <f t="shared" si="162"/>
        <v/>
      </c>
      <c r="AB386" s="262"/>
      <c r="AC386" s="258" t="str">
        <f t="shared" si="163"/>
        <v/>
      </c>
      <c r="AD386" s="262"/>
      <c r="AE386" s="258" t="str">
        <f t="shared" si="164"/>
        <v/>
      </c>
      <c r="AF386" s="262"/>
      <c r="AG386" s="256" t="str">
        <f t="shared" si="165"/>
        <v/>
      </c>
      <c r="AH386" s="256" t="str">
        <f t="shared" si="166"/>
        <v/>
      </c>
      <c r="AI386" s="256" t="str">
        <f t="shared" si="167"/>
        <v/>
      </c>
      <c r="AJ386" s="111"/>
      <c r="AK386" s="255"/>
      <c r="AL386" s="259" t="str">
        <f>IF(AK386&lt;&gt;"",AK386/VLOOKUP($V386,Setup!$C$30:$D$41,2,0),"")</f>
        <v/>
      </c>
      <c r="AM386" s="266"/>
      <c r="AN386" s="258" t="str">
        <f t="shared" si="168"/>
        <v/>
      </c>
      <c r="AO386" s="266"/>
      <c r="AP386" s="258" t="str">
        <f t="shared" si="169"/>
        <v/>
      </c>
      <c r="AQ386" s="266"/>
      <c r="AR386" s="258" t="str">
        <f t="shared" si="170"/>
        <v/>
      </c>
      <c r="AS386" s="266"/>
      <c r="AT386" s="256" t="str">
        <f t="shared" si="171"/>
        <v/>
      </c>
      <c r="AU386" s="256" t="str">
        <f t="shared" si="172"/>
        <v/>
      </c>
      <c r="AV386" s="256" t="str">
        <f t="shared" si="173"/>
        <v/>
      </c>
      <c r="AW386" s="267"/>
      <c r="AX386" s="255"/>
      <c r="AY386" s="259" t="str">
        <f>IF(AX386&lt;&gt;"",AX386/VLOOKUP($V386,Setup!$C$30:$D$41,2,0),"")</f>
        <v/>
      </c>
      <c r="AZ386" s="268"/>
      <c r="BA386" s="258" t="str">
        <f t="shared" si="174"/>
        <v/>
      </c>
      <c r="BB386" s="268"/>
      <c r="BC386" s="258" t="str">
        <f t="shared" si="175"/>
        <v/>
      </c>
      <c r="BD386" s="268"/>
      <c r="BE386" s="258" t="str">
        <f t="shared" si="176"/>
        <v/>
      </c>
      <c r="BF386" s="268"/>
      <c r="BG386" s="256" t="str">
        <f t="shared" si="177"/>
        <v/>
      </c>
      <c r="BH386" s="256" t="str">
        <f t="shared" si="178"/>
        <v/>
      </c>
      <c r="BI386" s="256" t="str">
        <f t="shared" si="179"/>
        <v/>
      </c>
      <c r="BJ386" s="267"/>
      <c r="BK386" s="255"/>
      <c r="BL386" s="259" t="str">
        <f>IF(BK386&lt;&gt;"",BK386/VLOOKUP($V386,Setup!$C$30:$D$41,2,0),"")</f>
        <v/>
      </c>
      <c r="BM386" s="268"/>
      <c r="BN386" s="258" t="str">
        <f t="shared" si="180"/>
        <v/>
      </c>
      <c r="BO386" s="268"/>
      <c r="BP386" s="258" t="str">
        <f t="shared" si="181"/>
        <v/>
      </c>
      <c r="BQ386" s="268"/>
      <c r="BR386" s="258" t="str">
        <f t="shared" si="182"/>
        <v/>
      </c>
      <c r="BS386" s="268"/>
      <c r="BT386" s="256" t="str">
        <f t="shared" si="183"/>
        <v/>
      </c>
      <c r="BU386" s="256" t="str">
        <f t="shared" si="184"/>
        <v/>
      </c>
      <c r="BV386" s="256" t="str">
        <f t="shared" si="185"/>
        <v/>
      </c>
      <c r="BW386" s="267"/>
      <c r="BX386" s="256" t="str">
        <f t="shared" si="186"/>
        <v/>
      </c>
      <c r="BY386" s="256" t="str">
        <f t="shared" si="187"/>
        <v/>
      </c>
      <c r="BZ386" s="281"/>
      <c r="CA386" s="282"/>
      <c r="CC386" s="112" t="str">
        <f t="shared" ca="1" si="188"/>
        <v/>
      </c>
      <c r="CF386" s="284"/>
      <c r="CG386" s="284"/>
      <c r="CH386" s="284"/>
      <c r="CI386" s="284"/>
      <c r="CL386" s="356" t="str">
        <f>IFERROR(VLOOKUP(C386,'Data Sheet'!$A$3:$B$26,2,FALSE),"")</f>
        <v/>
      </c>
    </row>
    <row r="387" spans="1:90" s="98" customFormat="1" ht="15.75" x14ac:dyDescent="0.2">
      <c r="A387" s="97"/>
      <c r="B387" s="105" t="str">
        <f t="shared" si="191"/>
        <v>--</v>
      </c>
      <c r="C387" s="276"/>
      <c r="D387" s="101" t="str">
        <f>IFERROR(IF(VLOOKUP(C387,'Data Sheet'!$A$3:$D$26,4,FALSE)=0,"",VLOOKUP(C387,'Data Sheet'!$A$3:$D$26,4,FALSE)),"")</f>
        <v/>
      </c>
      <c r="E387" s="279"/>
      <c r="F387" s="103" t="str">
        <f>IFERROR(IF(VLOOKUP(E387,'Data Sheet'!$C$29:$E$174,3,FALSE)=0,"",VLOOKUP(E387,'Data Sheet'!$C$29:$E$174,3,FALSE)),"")</f>
        <v/>
      </c>
      <c r="G387" s="106" t="str">
        <f t="shared" si="189"/>
        <v>-</v>
      </c>
      <c r="H387" s="273"/>
      <c r="I387" s="107"/>
      <c r="J387" s="249" t="e">
        <f t="shared" si="190"/>
        <v>#VALUE!</v>
      </c>
      <c r="K387" s="101" t="str">
        <f>IFERROR(INDEX('Data Sheet'!$C$198:$C$275,MATCH(I387,'Data Sheet'!$F$198:$F$275,0)),"")</f>
        <v/>
      </c>
      <c r="L387" s="250" t="str">
        <f>IFERROR(INDEX('Data Sheet'!$G$198:$G$275,MATCH(I387,'Data Sheet'!$F$198:$F$275,0)),"")</f>
        <v/>
      </c>
      <c r="M387" s="194"/>
      <c r="N387" s="248"/>
      <c r="O387" s="248"/>
      <c r="P387" s="108" t="str">
        <f>IFERROR(INDEX(Setup!$D$44:$D$70,MATCH(M387,Setup!$K$44:$K$70,0))&amp;"","")</f>
        <v/>
      </c>
      <c r="Q387" s="108" t="str">
        <f>IFERROR(INDEX(Setup!$E$44:$E$70,MATCH(M387,Setup!$K$44:$K$70,0))&amp;"","")</f>
        <v/>
      </c>
      <c r="R387" s="108" t="str">
        <f>IFERROR(INDEX(Setup!$L$44:$L$70,MATCH(M387,Setup!$K$44:$K$70,0))&amp;"","")</f>
        <v/>
      </c>
      <c r="S387" s="108" t="str">
        <f>Setup!$C$30</f>
        <v>USD</v>
      </c>
      <c r="T387" s="109" t="str">
        <f>IFERROR(INDEX('Data Sheet'!$B$198:$B$275,MATCH(I387,'Data Sheet'!$F$198:$F$275,0)),"")</f>
        <v/>
      </c>
      <c r="U387" s="110" t="str">
        <f>IFERROR(INDEX('Data Sheet'!$D$198:$D$275,MATCH(I387,'Data Sheet'!$F$198:$F$275,0)),"")</f>
        <v/>
      </c>
      <c r="V387" s="99"/>
      <c r="W387" s="195" t="str">
        <f>IF(V387=Setup!$C$30,"Grant",IF(V387=Setup!$C$31,"Local",IF(V387=Setup!$C$32,"Other",IF(ISBLANK(V387),"","Other"))))</f>
        <v/>
      </c>
      <c r="X387" s="255"/>
      <c r="Y387" s="259" t="str">
        <f>IF(X387&lt;&gt;"",X387/VLOOKUP($V387,Setup!$C$30:$D$41,2,0),"")</f>
        <v/>
      </c>
      <c r="Z387" s="262"/>
      <c r="AA387" s="256" t="str">
        <f t="shared" si="162"/>
        <v/>
      </c>
      <c r="AB387" s="262"/>
      <c r="AC387" s="258" t="str">
        <f t="shared" si="163"/>
        <v/>
      </c>
      <c r="AD387" s="262"/>
      <c r="AE387" s="258" t="str">
        <f t="shared" si="164"/>
        <v/>
      </c>
      <c r="AF387" s="262"/>
      <c r="AG387" s="256" t="str">
        <f t="shared" si="165"/>
        <v/>
      </c>
      <c r="AH387" s="256" t="str">
        <f t="shared" si="166"/>
        <v/>
      </c>
      <c r="AI387" s="256" t="str">
        <f t="shared" si="167"/>
        <v/>
      </c>
      <c r="AJ387" s="111"/>
      <c r="AK387" s="255"/>
      <c r="AL387" s="259" t="str">
        <f>IF(AK387&lt;&gt;"",AK387/VLOOKUP($V387,Setup!$C$30:$D$41,2,0),"")</f>
        <v/>
      </c>
      <c r="AM387" s="266"/>
      <c r="AN387" s="258" t="str">
        <f t="shared" si="168"/>
        <v/>
      </c>
      <c r="AO387" s="266"/>
      <c r="AP387" s="258" t="str">
        <f t="shared" si="169"/>
        <v/>
      </c>
      <c r="AQ387" s="266"/>
      <c r="AR387" s="258" t="str">
        <f t="shared" si="170"/>
        <v/>
      </c>
      <c r="AS387" s="266"/>
      <c r="AT387" s="256" t="str">
        <f t="shared" si="171"/>
        <v/>
      </c>
      <c r="AU387" s="256" t="str">
        <f t="shared" si="172"/>
        <v/>
      </c>
      <c r="AV387" s="256" t="str">
        <f t="shared" si="173"/>
        <v/>
      </c>
      <c r="AW387" s="267"/>
      <c r="AX387" s="255"/>
      <c r="AY387" s="259" t="str">
        <f>IF(AX387&lt;&gt;"",AX387/VLOOKUP($V387,Setup!$C$30:$D$41,2,0),"")</f>
        <v/>
      </c>
      <c r="AZ387" s="268"/>
      <c r="BA387" s="258" t="str">
        <f t="shared" si="174"/>
        <v/>
      </c>
      <c r="BB387" s="268"/>
      <c r="BC387" s="258" t="str">
        <f t="shared" si="175"/>
        <v/>
      </c>
      <c r="BD387" s="268"/>
      <c r="BE387" s="258" t="str">
        <f t="shared" si="176"/>
        <v/>
      </c>
      <c r="BF387" s="268"/>
      <c r="BG387" s="256" t="str">
        <f t="shared" si="177"/>
        <v/>
      </c>
      <c r="BH387" s="256" t="str">
        <f t="shared" si="178"/>
        <v/>
      </c>
      <c r="BI387" s="256" t="str">
        <f t="shared" si="179"/>
        <v/>
      </c>
      <c r="BJ387" s="267"/>
      <c r="BK387" s="255"/>
      <c r="BL387" s="259" t="str">
        <f>IF(BK387&lt;&gt;"",BK387/VLOOKUP($V387,Setup!$C$30:$D$41,2,0),"")</f>
        <v/>
      </c>
      <c r="BM387" s="268"/>
      <c r="BN387" s="258" t="str">
        <f t="shared" si="180"/>
        <v/>
      </c>
      <c r="BO387" s="268"/>
      <c r="BP387" s="258" t="str">
        <f t="shared" si="181"/>
        <v/>
      </c>
      <c r="BQ387" s="268"/>
      <c r="BR387" s="258" t="str">
        <f t="shared" si="182"/>
        <v/>
      </c>
      <c r="BS387" s="268"/>
      <c r="BT387" s="256" t="str">
        <f t="shared" si="183"/>
        <v/>
      </c>
      <c r="BU387" s="256" t="str">
        <f t="shared" si="184"/>
        <v/>
      </c>
      <c r="BV387" s="256" t="str">
        <f t="shared" si="185"/>
        <v/>
      </c>
      <c r="BW387" s="267"/>
      <c r="BX387" s="256" t="str">
        <f t="shared" si="186"/>
        <v/>
      </c>
      <c r="BY387" s="256" t="str">
        <f t="shared" si="187"/>
        <v/>
      </c>
      <c r="BZ387" s="281"/>
      <c r="CA387" s="282"/>
      <c r="CC387" s="112" t="str">
        <f t="shared" ca="1" si="188"/>
        <v/>
      </c>
      <c r="CF387" s="284"/>
      <c r="CG387" s="284"/>
      <c r="CH387" s="284"/>
      <c r="CI387" s="284"/>
      <c r="CL387" s="356" t="str">
        <f>IFERROR(VLOOKUP(C387,'Data Sheet'!$A$3:$B$26,2,FALSE),"")</f>
        <v/>
      </c>
    </row>
    <row r="388" spans="1:90" s="98" customFormat="1" ht="15.75" x14ac:dyDescent="0.2">
      <c r="A388" s="97"/>
      <c r="B388" s="105" t="str">
        <f t="shared" si="191"/>
        <v>--</v>
      </c>
      <c r="C388" s="276"/>
      <c r="D388" s="101" t="str">
        <f>IFERROR(IF(VLOOKUP(C388,'Data Sheet'!$A$3:$D$26,4,FALSE)=0,"",VLOOKUP(C388,'Data Sheet'!$A$3:$D$26,4,FALSE)),"")</f>
        <v/>
      </c>
      <c r="E388" s="279"/>
      <c r="F388" s="103" t="str">
        <f>IFERROR(IF(VLOOKUP(E388,'Data Sheet'!$C$29:$E$174,3,FALSE)=0,"",VLOOKUP(E388,'Data Sheet'!$C$29:$E$174,3,FALSE)),"")</f>
        <v/>
      </c>
      <c r="G388" s="106" t="str">
        <f t="shared" si="189"/>
        <v>-</v>
      </c>
      <c r="H388" s="273"/>
      <c r="I388" s="107"/>
      <c r="J388" s="249" t="e">
        <f t="shared" si="190"/>
        <v>#VALUE!</v>
      </c>
      <c r="K388" s="101" t="str">
        <f>IFERROR(INDEX('Data Sheet'!$C$198:$C$275,MATCH(I388,'Data Sheet'!$F$198:$F$275,0)),"")</f>
        <v/>
      </c>
      <c r="L388" s="250" t="str">
        <f>IFERROR(INDEX('Data Sheet'!$G$198:$G$275,MATCH(I388,'Data Sheet'!$F$198:$F$275,0)),"")</f>
        <v/>
      </c>
      <c r="M388" s="194"/>
      <c r="N388" s="248"/>
      <c r="O388" s="248"/>
      <c r="P388" s="108" t="str">
        <f>IFERROR(INDEX(Setup!$D$44:$D$70,MATCH(M388,Setup!$K$44:$K$70,0))&amp;"","")</f>
        <v/>
      </c>
      <c r="Q388" s="108" t="str">
        <f>IFERROR(INDEX(Setup!$E$44:$E$70,MATCH(M388,Setup!$K$44:$K$70,0))&amp;"","")</f>
        <v/>
      </c>
      <c r="R388" s="108" t="str">
        <f>IFERROR(INDEX(Setup!$L$44:$L$70,MATCH(M388,Setup!$K$44:$K$70,0))&amp;"","")</f>
        <v/>
      </c>
      <c r="S388" s="108" t="str">
        <f>Setup!$C$30</f>
        <v>USD</v>
      </c>
      <c r="T388" s="109" t="str">
        <f>IFERROR(INDEX('Data Sheet'!$B$198:$B$275,MATCH(I388,'Data Sheet'!$F$198:$F$275,0)),"")</f>
        <v/>
      </c>
      <c r="U388" s="110" t="str">
        <f>IFERROR(INDEX('Data Sheet'!$D$198:$D$275,MATCH(I388,'Data Sheet'!$F$198:$F$275,0)),"")</f>
        <v/>
      </c>
      <c r="V388" s="99"/>
      <c r="W388" s="195" t="str">
        <f>IF(V388=Setup!$C$30,"Grant",IF(V388=Setup!$C$31,"Local",IF(V388=Setup!$C$32,"Other",IF(ISBLANK(V388),"","Other"))))</f>
        <v/>
      </c>
      <c r="X388" s="255"/>
      <c r="Y388" s="259" t="str">
        <f>IF(X388&lt;&gt;"",X388/VLOOKUP($V388,Setup!$C$30:$D$41,2,0),"")</f>
        <v/>
      </c>
      <c r="Z388" s="262"/>
      <c r="AA388" s="256" t="str">
        <f t="shared" si="162"/>
        <v/>
      </c>
      <c r="AB388" s="262"/>
      <c r="AC388" s="258" t="str">
        <f t="shared" si="163"/>
        <v/>
      </c>
      <c r="AD388" s="262"/>
      <c r="AE388" s="258" t="str">
        <f t="shared" si="164"/>
        <v/>
      </c>
      <c r="AF388" s="262"/>
      <c r="AG388" s="256" t="str">
        <f t="shared" si="165"/>
        <v/>
      </c>
      <c r="AH388" s="256" t="str">
        <f t="shared" si="166"/>
        <v/>
      </c>
      <c r="AI388" s="256" t="str">
        <f t="shared" si="167"/>
        <v/>
      </c>
      <c r="AJ388" s="111"/>
      <c r="AK388" s="255"/>
      <c r="AL388" s="259" t="str">
        <f>IF(AK388&lt;&gt;"",AK388/VLOOKUP($V388,Setup!$C$30:$D$41,2,0),"")</f>
        <v/>
      </c>
      <c r="AM388" s="266"/>
      <c r="AN388" s="258" t="str">
        <f t="shared" si="168"/>
        <v/>
      </c>
      <c r="AO388" s="266"/>
      <c r="AP388" s="258" t="str">
        <f t="shared" si="169"/>
        <v/>
      </c>
      <c r="AQ388" s="266"/>
      <c r="AR388" s="258" t="str">
        <f t="shared" si="170"/>
        <v/>
      </c>
      <c r="AS388" s="266"/>
      <c r="AT388" s="256" t="str">
        <f t="shared" si="171"/>
        <v/>
      </c>
      <c r="AU388" s="256" t="str">
        <f t="shared" si="172"/>
        <v/>
      </c>
      <c r="AV388" s="256" t="str">
        <f t="shared" si="173"/>
        <v/>
      </c>
      <c r="AW388" s="267"/>
      <c r="AX388" s="255"/>
      <c r="AY388" s="259" t="str">
        <f>IF(AX388&lt;&gt;"",AX388/VLOOKUP($V388,Setup!$C$30:$D$41,2,0),"")</f>
        <v/>
      </c>
      <c r="AZ388" s="268"/>
      <c r="BA388" s="258" t="str">
        <f t="shared" si="174"/>
        <v/>
      </c>
      <c r="BB388" s="268"/>
      <c r="BC388" s="258" t="str">
        <f t="shared" si="175"/>
        <v/>
      </c>
      <c r="BD388" s="268"/>
      <c r="BE388" s="258" t="str">
        <f t="shared" si="176"/>
        <v/>
      </c>
      <c r="BF388" s="268"/>
      <c r="BG388" s="256" t="str">
        <f t="shared" si="177"/>
        <v/>
      </c>
      <c r="BH388" s="256" t="str">
        <f t="shared" si="178"/>
        <v/>
      </c>
      <c r="BI388" s="256" t="str">
        <f t="shared" si="179"/>
        <v/>
      </c>
      <c r="BJ388" s="267"/>
      <c r="BK388" s="255"/>
      <c r="BL388" s="259" t="str">
        <f>IF(BK388&lt;&gt;"",BK388/VLOOKUP($V388,Setup!$C$30:$D$41,2,0),"")</f>
        <v/>
      </c>
      <c r="BM388" s="268"/>
      <c r="BN388" s="258" t="str">
        <f t="shared" si="180"/>
        <v/>
      </c>
      <c r="BO388" s="268"/>
      <c r="BP388" s="258" t="str">
        <f t="shared" si="181"/>
        <v/>
      </c>
      <c r="BQ388" s="268"/>
      <c r="BR388" s="258" t="str">
        <f t="shared" si="182"/>
        <v/>
      </c>
      <c r="BS388" s="268"/>
      <c r="BT388" s="256" t="str">
        <f t="shared" si="183"/>
        <v/>
      </c>
      <c r="BU388" s="256" t="str">
        <f t="shared" si="184"/>
        <v/>
      </c>
      <c r="BV388" s="256" t="str">
        <f t="shared" si="185"/>
        <v/>
      </c>
      <c r="BW388" s="267"/>
      <c r="BX388" s="256" t="str">
        <f t="shared" si="186"/>
        <v/>
      </c>
      <c r="BY388" s="256" t="str">
        <f t="shared" si="187"/>
        <v/>
      </c>
      <c r="BZ388" s="281"/>
      <c r="CA388" s="282"/>
      <c r="CC388" s="112" t="str">
        <f t="shared" ca="1" si="188"/>
        <v/>
      </c>
      <c r="CF388" s="284"/>
      <c r="CG388" s="284"/>
      <c r="CH388" s="284"/>
      <c r="CI388" s="284"/>
      <c r="CL388" s="356" t="str">
        <f>IFERROR(VLOOKUP(C388,'Data Sheet'!$A$3:$B$26,2,FALSE),"")</f>
        <v/>
      </c>
    </row>
    <row r="389" spans="1:90" s="98" customFormat="1" ht="15.75" x14ac:dyDescent="0.2">
      <c r="A389" s="97"/>
      <c r="B389" s="105" t="str">
        <f t="shared" si="191"/>
        <v>--</v>
      </c>
      <c r="C389" s="276"/>
      <c r="D389" s="101" t="str">
        <f>IFERROR(IF(VLOOKUP(C389,'Data Sheet'!$A$3:$D$26,4,FALSE)=0,"",VLOOKUP(C389,'Data Sheet'!$A$3:$D$26,4,FALSE)),"")</f>
        <v/>
      </c>
      <c r="E389" s="279"/>
      <c r="F389" s="103" t="str">
        <f>IFERROR(IF(VLOOKUP(E389,'Data Sheet'!$C$29:$E$174,3,FALSE)=0,"",VLOOKUP(E389,'Data Sheet'!$C$29:$E$174,3,FALSE)),"")</f>
        <v/>
      </c>
      <c r="G389" s="106" t="str">
        <f t="shared" si="189"/>
        <v>-</v>
      </c>
      <c r="H389" s="273"/>
      <c r="I389" s="107"/>
      <c r="J389" s="249" t="e">
        <f t="shared" si="190"/>
        <v>#VALUE!</v>
      </c>
      <c r="K389" s="101" t="str">
        <f>IFERROR(INDEX('Data Sheet'!$C$198:$C$275,MATCH(I389,'Data Sheet'!$F$198:$F$275,0)),"")</f>
        <v/>
      </c>
      <c r="L389" s="250" t="str">
        <f>IFERROR(INDEX('Data Sheet'!$G$198:$G$275,MATCH(I389,'Data Sheet'!$F$198:$F$275,0)),"")</f>
        <v/>
      </c>
      <c r="M389" s="194"/>
      <c r="N389" s="248"/>
      <c r="O389" s="248"/>
      <c r="P389" s="108" t="str">
        <f>IFERROR(INDEX(Setup!$D$44:$D$70,MATCH(M389,Setup!$K$44:$K$70,0))&amp;"","")</f>
        <v/>
      </c>
      <c r="Q389" s="108" t="str">
        <f>IFERROR(INDEX(Setup!$E$44:$E$70,MATCH(M389,Setup!$K$44:$K$70,0))&amp;"","")</f>
        <v/>
      </c>
      <c r="R389" s="108" t="str">
        <f>IFERROR(INDEX(Setup!$L$44:$L$70,MATCH(M389,Setup!$K$44:$K$70,0))&amp;"","")</f>
        <v/>
      </c>
      <c r="S389" s="108" t="str">
        <f>Setup!$C$30</f>
        <v>USD</v>
      </c>
      <c r="T389" s="109" t="str">
        <f>IFERROR(INDEX('Data Sheet'!$B$198:$B$275,MATCH(I389,'Data Sheet'!$F$198:$F$275,0)),"")</f>
        <v/>
      </c>
      <c r="U389" s="110" t="str">
        <f>IFERROR(INDEX('Data Sheet'!$D$198:$D$275,MATCH(I389,'Data Sheet'!$F$198:$F$275,0)),"")</f>
        <v/>
      </c>
      <c r="V389" s="99"/>
      <c r="W389" s="195" t="str">
        <f>IF(V389=Setup!$C$30,"Grant",IF(V389=Setup!$C$31,"Local",IF(V389=Setup!$C$32,"Other",IF(ISBLANK(V389),"","Other"))))</f>
        <v/>
      </c>
      <c r="X389" s="255"/>
      <c r="Y389" s="259" t="str">
        <f>IF(X389&lt;&gt;"",X389/VLOOKUP($V389,Setup!$C$30:$D$41,2,0),"")</f>
        <v/>
      </c>
      <c r="Z389" s="262"/>
      <c r="AA389" s="256" t="str">
        <f t="shared" ref="AA389:AA452" si="192">IFERROR(IF(AND(NOT(Z389=""),NOT(Y389="")),Z389*Y389,""),"")</f>
        <v/>
      </c>
      <c r="AB389" s="262"/>
      <c r="AC389" s="258" t="str">
        <f t="shared" ref="AC389:AC452" si="193">IFERROR(IF(AND(NOT(AB389=""),NOT(Y389="")),AB389*Y389,""),"")</f>
        <v/>
      </c>
      <c r="AD389" s="262"/>
      <c r="AE389" s="258" t="str">
        <f t="shared" ref="AE389:AE452" si="194">IFERROR(IF(AND(NOT(AD389=""),NOT(Y389="")),AD389*Y389,""),"")</f>
        <v/>
      </c>
      <c r="AF389" s="262"/>
      <c r="AG389" s="256" t="str">
        <f t="shared" ref="AG389:AG452" si="195">IFERROR(IF(AND(NOT(AF389=""),NOT(Y389="")),AF389*Y389,""),"")</f>
        <v/>
      </c>
      <c r="AH389" s="256" t="str">
        <f t="shared" ref="AH389:AH452" si="196">IFERROR(IF(OR(NOT(Z389=""),NOT(AF389=""),NOT(AB389=""),NOT(AD389="")),Z389+AF389+AB389+AD389,""),"")</f>
        <v/>
      </c>
      <c r="AI389" s="256" t="str">
        <f t="shared" ref="AI389:AI452" si="197">IF(SUM(AA389,AC389,AE389,AG389)&gt;0,SUM(AA389,AC389,AE389,AG389),"")</f>
        <v/>
      </c>
      <c r="AJ389" s="111"/>
      <c r="AK389" s="255"/>
      <c r="AL389" s="259" t="str">
        <f>IF(AK389&lt;&gt;"",AK389/VLOOKUP($V389,Setup!$C$30:$D$41,2,0),"")</f>
        <v/>
      </c>
      <c r="AM389" s="266"/>
      <c r="AN389" s="258" t="str">
        <f t="shared" ref="AN389:AN452" si="198">IFERROR(IF(AND(NOT(AM389=""),NOT(AL389="")),AM389*$AL389,""),"")</f>
        <v/>
      </c>
      <c r="AO389" s="266"/>
      <c r="AP389" s="258" t="str">
        <f t="shared" ref="AP389:AP452" si="199">IFERROR(IF(AND(NOT(AO389=""),NOT(AL389="")),AO389*$AL389,""),"")</f>
        <v/>
      </c>
      <c r="AQ389" s="266"/>
      <c r="AR389" s="258" t="str">
        <f t="shared" ref="AR389:AR452" si="200">IFERROR(IF(AND(NOT(AQ389=""),NOT(AL389="")),AQ389*$AL389,""),"")</f>
        <v/>
      </c>
      <c r="AS389" s="266"/>
      <c r="AT389" s="256" t="str">
        <f t="shared" ref="AT389:AT452" si="201">IFERROR(IF(AND(NOT(AS389=""),NOT(AL389="")),AS389*$AL389,""),"")</f>
        <v/>
      </c>
      <c r="AU389" s="256" t="str">
        <f t="shared" ref="AU389:AU452" si="202">IFERROR(IF(OR(NOT(AM389=""),NOT(AS389=""),NOT(AO389=""),NOT(AQ389="")),AM389+AS389+AO389+AQ389,""),"")</f>
        <v/>
      </c>
      <c r="AV389" s="256" t="str">
        <f t="shared" ref="AV389:AV452" si="203">IF(SUM(AN389,AT389,AP389,AR389)&gt;0,SUM(AN389,AT389,AP389,AR389),"")</f>
        <v/>
      </c>
      <c r="AW389" s="267"/>
      <c r="AX389" s="255"/>
      <c r="AY389" s="259" t="str">
        <f>IF(AX389&lt;&gt;"",AX389/VLOOKUP($V389,Setup!$C$30:$D$41,2,0),"")</f>
        <v/>
      </c>
      <c r="AZ389" s="268"/>
      <c r="BA389" s="258" t="str">
        <f t="shared" ref="BA389:BA452" si="204">IFERROR(IF(AND(NOT(AZ389=""),NOT(AY389="")),AZ389*$AY389,""),"")</f>
        <v/>
      </c>
      <c r="BB389" s="268"/>
      <c r="BC389" s="258" t="str">
        <f t="shared" ref="BC389:BC452" si="205">IFERROR(IF(AND(NOT(BB389=""),NOT(AY389="")),BB389*$AY389,""),"")</f>
        <v/>
      </c>
      <c r="BD389" s="268"/>
      <c r="BE389" s="258" t="str">
        <f t="shared" ref="BE389:BE452" si="206">IFERROR(IF(AND(NOT(BD389=""),NOT(AY389="")),BD389*$AY389,""),"")</f>
        <v/>
      </c>
      <c r="BF389" s="268"/>
      <c r="BG389" s="256" t="str">
        <f t="shared" ref="BG389:BG452" si="207">IFERROR(IF(AND(NOT(BF389=""),NOT(AY389="")),BF389*$AY389,""),"")</f>
        <v/>
      </c>
      <c r="BH389" s="256" t="str">
        <f t="shared" ref="BH389:BH452" si="208">IFERROR(IF(OR(NOT(AZ389=""),NOT(BF389=""),NOT(BB389=""),NOT(BD389="")),AZ389+BF389+BB389+BD389,""),"")</f>
        <v/>
      </c>
      <c r="BI389" s="256" t="str">
        <f t="shared" ref="BI389:BI452" si="209">IF(SUM(BA389,BG389,BC389,BE389)&gt;0,SUM(BA389,BG389,BC389,BE389),"")</f>
        <v/>
      </c>
      <c r="BJ389" s="267"/>
      <c r="BK389" s="255"/>
      <c r="BL389" s="259" t="str">
        <f>IF(BK389&lt;&gt;"",BK389/VLOOKUP($V389,Setup!$C$30:$D$41,2,0),"")</f>
        <v/>
      </c>
      <c r="BM389" s="268"/>
      <c r="BN389" s="258" t="str">
        <f t="shared" ref="BN389:BN452" si="210">IFERROR(IF(AND(NOT(BM389=""),NOT(BL389="")),BM389*$BL389,""),"")</f>
        <v/>
      </c>
      <c r="BO389" s="268"/>
      <c r="BP389" s="258" t="str">
        <f t="shared" ref="BP389:BP452" si="211">IFERROR(IF(AND(NOT(BO389=""),NOT(BL389="")),BO389*$BL389,""),"")</f>
        <v/>
      </c>
      <c r="BQ389" s="268"/>
      <c r="BR389" s="258" t="str">
        <f t="shared" ref="BR389:BR452" si="212">IFERROR(IF(AND(NOT(BQ389=""),NOT(BL389="")),BQ389*$BL389,""),"")</f>
        <v/>
      </c>
      <c r="BS389" s="268"/>
      <c r="BT389" s="256" t="str">
        <f t="shared" ref="BT389:BT452" si="213">IFERROR(IF(AND(NOT(BS389=""),NOT(BL389="")),BS389*$BL389,""),"")</f>
        <v/>
      </c>
      <c r="BU389" s="256" t="str">
        <f t="shared" ref="BU389:BU452" si="214">IFERROR(IF(OR(NOT(BM389=""),NOT(BS389=""),NOT(BO389=""),NOT(BQ389="")),BM389+BS389+BO389+BQ389,""),"")</f>
        <v/>
      </c>
      <c r="BV389" s="256" t="str">
        <f t="shared" ref="BV389:BV452" si="215">IF(SUM(BN389,BT389,BP389,BR389)&gt;0,SUM(BN389,BT389,BP389,BR389),"")</f>
        <v/>
      </c>
      <c r="BW389" s="267"/>
      <c r="BX389" s="256" t="str">
        <f t="shared" ref="BX389:BX452" si="216">IF(SUM(AH389,AU389,BH389,BU389)&gt;0,SUM(AH389,AU389,BH389,BU389),"")</f>
        <v/>
      </c>
      <c r="BY389" s="256" t="str">
        <f t="shared" ref="BY389:BY452" si="217">IF(SUM(AI389,AV389,BI389,BV389)&gt;0,SUM(AI389,AV389,BI389,BV389),"")</f>
        <v/>
      </c>
      <c r="BZ389" s="281"/>
      <c r="CA389" s="282"/>
      <c r="CC389" s="112" t="str">
        <f t="shared" ref="CC389:CC452" ca="1" si="218">IF(OR(B389="--",IFERROR(MATCH(B389,OFFSET(B$4,0,0,ROW()-1,1),0),1)&lt;&gt;1),"",1)</f>
        <v/>
      </c>
      <c r="CF389" s="284"/>
      <c r="CG389" s="284"/>
      <c r="CH389" s="284"/>
      <c r="CI389" s="284"/>
      <c r="CL389" s="356" t="str">
        <f>IFERROR(VLOOKUP(C389,'Data Sheet'!$A$3:$B$26,2,FALSE),"")</f>
        <v/>
      </c>
    </row>
    <row r="390" spans="1:90" s="98" customFormat="1" ht="15.75" x14ac:dyDescent="0.2">
      <c r="A390" s="97"/>
      <c r="B390" s="105" t="str">
        <f t="shared" si="191"/>
        <v>--</v>
      </c>
      <c r="C390" s="276"/>
      <c r="D390" s="101" t="str">
        <f>IFERROR(IF(VLOOKUP(C390,'Data Sheet'!$A$3:$D$26,4,FALSE)=0,"",VLOOKUP(C390,'Data Sheet'!$A$3:$D$26,4,FALSE)),"")</f>
        <v/>
      </c>
      <c r="E390" s="279"/>
      <c r="F390" s="103" t="str">
        <f>IFERROR(IF(VLOOKUP(E390,'Data Sheet'!$C$29:$E$174,3,FALSE)=0,"",VLOOKUP(E390,'Data Sheet'!$C$29:$E$174,3,FALSE)),"")</f>
        <v/>
      </c>
      <c r="G390" s="106" t="str">
        <f t="shared" ref="G390:G453" si="219">CONCATENATE(D390,"-",F390)</f>
        <v>-</v>
      </c>
      <c r="H390" s="273"/>
      <c r="I390" s="107"/>
      <c r="J390" s="249" t="e">
        <f t="shared" ref="J390:J453" si="220">LEFT(I390,SEARCH(".",I390,1)+1)</f>
        <v>#VALUE!</v>
      </c>
      <c r="K390" s="101" t="str">
        <f>IFERROR(INDEX('Data Sheet'!$C$198:$C$275,MATCH(I390,'Data Sheet'!$F$198:$F$275,0)),"")</f>
        <v/>
      </c>
      <c r="L390" s="250" t="str">
        <f>IFERROR(INDEX('Data Sheet'!$G$198:$G$275,MATCH(I390,'Data Sheet'!$F$198:$F$275,0)),"")</f>
        <v/>
      </c>
      <c r="M390" s="194"/>
      <c r="N390" s="248"/>
      <c r="O390" s="248"/>
      <c r="P390" s="108" t="str">
        <f>IFERROR(INDEX(Setup!$D$44:$D$70,MATCH(M390,Setup!$K$44:$K$70,0))&amp;"","")</f>
        <v/>
      </c>
      <c r="Q390" s="108" t="str">
        <f>IFERROR(INDEX(Setup!$E$44:$E$70,MATCH(M390,Setup!$K$44:$K$70,0))&amp;"","")</f>
        <v/>
      </c>
      <c r="R390" s="108" t="str">
        <f>IFERROR(INDEX(Setup!$L$44:$L$70,MATCH(M390,Setup!$K$44:$K$70,0))&amp;"","")</f>
        <v/>
      </c>
      <c r="S390" s="108" t="str">
        <f>Setup!$C$30</f>
        <v>USD</v>
      </c>
      <c r="T390" s="109" t="str">
        <f>IFERROR(INDEX('Data Sheet'!$B$198:$B$275,MATCH(I390,'Data Sheet'!$F$198:$F$275,0)),"")</f>
        <v/>
      </c>
      <c r="U390" s="110" t="str">
        <f>IFERROR(INDEX('Data Sheet'!$D$198:$D$275,MATCH(I390,'Data Sheet'!$F$198:$F$275,0)),"")</f>
        <v/>
      </c>
      <c r="V390" s="99"/>
      <c r="W390" s="195" t="str">
        <f>IF(V390=Setup!$C$30,"Grant",IF(V390=Setup!$C$31,"Local",IF(V390=Setup!$C$32,"Other",IF(ISBLANK(V390),"","Other"))))</f>
        <v/>
      </c>
      <c r="X390" s="255"/>
      <c r="Y390" s="259" t="str">
        <f>IF(X390&lt;&gt;"",X390/VLOOKUP($V390,Setup!$C$30:$D$41,2,0),"")</f>
        <v/>
      </c>
      <c r="Z390" s="262"/>
      <c r="AA390" s="256" t="str">
        <f t="shared" si="192"/>
        <v/>
      </c>
      <c r="AB390" s="262"/>
      <c r="AC390" s="258" t="str">
        <f t="shared" si="193"/>
        <v/>
      </c>
      <c r="AD390" s="262"/>
      <c r="AE390" s="258" t="str">
        <f t="shared" si="194"/>
        <v/>
      </c>
      <c r="AF390" s="262"/>
      <c r="AG390" s="256" t="str">
        <f t="shared" si="195"/>
        <v/>
      </c>
      <c r="AH390" s="256" t="str">
        <f t="shared" si="196"/>
        <v/>
      </c>
      <c r="AI390" s="256" t="str">
        <f t="shared" si="197"/>
        <v/>
      </c>
      <c r="AJ390" s="111"/>
      <c r="AK390" s="255"/>
      <c r="AL390" s="259" t="str">
        <f>IF(AK390&lt;&gt;"",AK390/VLOOKUP($V390,Setup!$C$30:$D$41,2,0),"")</f>
        <v/>
      </c>
      <c r="AM390" s="266"/>
      <c r="AN390" s="258" t="str">
        <f t="shared" si="198"/>
        <v/>
      </c>
      <c r="AO390" s="266"/>
      <c r="AP390" s="258" t="str">
        <f t="shared" si="199"/>
        <v/>
      </c>
      <c r="AQ390" s="266"/>
      <c r="AR390" s="258" t="str">
        <f t="shared" si="200"/>
        <v/>
      </c>
      <c r="AS390" s="266"/>
      <c r="AT390" s="256" t="str">
        <f t="shared" si="201"/>
        <v/>
      </c>
      <c r="AU390" s="256" t="str">
        <f t="shared" si="202"/>
        <v/>
      </c>
      <c r="AV390" s="256" t="str">
        <f t="shared" si="203"/>
        <v/>
      </c>
      <c r="AW390" s="267"/>
      <c r="AX390" s="255"/>
      <c r="AY390" s="259" t="str">
        <f>IF(AX390&lt;&gt;"",AX390/VLOOKUP($V390,Setup!$C$30:$D$41,2,0),"")</f>
        <v/>
      </c>
      <c r="AZ390" s="268"/>
      <c r="BA390" s="258" t="str">
        <f t="shared" si="204"/>
        <v/>
      </c>
      <c r="BB390" s="268"/>
      <c r="BC390" s="258" t="str">
        <f t="shared" si="205"/>
        <v/>
      </c>
      <c r="BD390" s="268"/>
      <c r="BE390" s="258" t="str">
        <f t="shared" si="206"/>
        <v/>
      </c>
      <c r="BF390" s="268"/>
      <c r="BG390" s="256" t="str">
        <f t="shared" si="207"/>
        <v/>
      </c>
      <c r="BH390" s="256" t="str">
        <f t="shared" si="208"/>
        <v/>
      </c>
      <c r="BI390" s="256" t="str">
        <f t="shared" si="209"/>
        <v/>
      </c>
      <c r="BJ390" s="267"/>
      <c r="BK390" s="255"/>
      <c r="BL390" s="259" t="str">
        <f>IF(BK390&lt;&gt;"",BK390/VLOOKUP($V390,Setup!$C$30:$D$41,2,0),"")</f>
        <v/>
      </c>
      <c r="BM390" s="268"/>
      <c r="BN390" s="258" t="str">
        <f t="shared" si="210"/>
        <v/>
      </c>
      <c r="BO390" s="268"/>
      <c r="BP390" s="258" t="str">
        <f t="shared" si="211"/>
        <v/>
      </c>
      <c r="BQ390" s="268"/>
      <c r="BR390" s="258" t="str">
        <f t="shared" si="212"/>
        <v/>
      </c>
      <c r="BS390" s="268"/>
      <c r="BT390" s="256" t="str">
        <f t="shared" si="213"/>
        <v/>
      </c>
      <c r="BU390" s="256" t="str">
        <f t="shared" si="214"/>
        <v/>
      </c>
      <c r="BV390" s="256" t="str">
        <f t="shared" si="215"/>
        <v/>
      </c>
      <c r="BW390" s="267"/>
      <c r="BX390" s="256" t="str">
        <f t="shared" si="216"/>
        <v/>
      </c>
      <c r="BY390" s="256" t="str">
        <f t="shared" si="217"/>
        <v/>
      </c>
      <c r="BZ390" s="281"/>
      <c r="CA390" s="282"/>
      <c r="CC390" s="112" t="str">
        <f t="shared" ca="1" si="218"/>
        <v/>
      </c>
      <c r="CF390" s="284"/>
      <c r="CG390" s="284"/>
      <c r="CH390" s="284"/>
      <c r="CI390" s="284"/>
      <c r="CL390" s="356" t="str">
        <f>IFERROR(VLOOKUP(C390,'Data Sheet'!$A$3:$B$26,2,FALSE),"")</f>
        <v/>
      </c>
    </row>
    <row r="391" spans="1:90" s="98" customFormat="1" ht="15.75" x14ac:dyDescent="0.2">
      <c r="A391" s="97"/>
      <c r="B391" s="105" t="str">
        <f t="shared" si="191"/>
        <v>--</v>
      </c>
      <c r="C391" s="276"/>
      <c r="D391" s="101" t="str">
        <f>IFERROR(IF(VLOOKUP(C391,'Data Sheet'!$A$3:$D$26,4,FALSE)=0,"",VLOOKUP(C391,'Data Sheet'!$A$3:$D$26,4,FALSE)),"")</f>
        <v/>
      </c>
      <c r="E391" s="279"/>
      <c r="F391" s="103" t="str">
        <f>IFERROR(IF(VLOOKUP(E391,'Data Sheet'!$C$29:$E$174,3,FALSE)=0,"",VLOOKUP(E391,'Data Sheet'!$C$29:$E$174,3,FALSE)),"")</f>
        <v/>
      </c>
      <c r="G391" s="106" t="str">
        <f t="shared" si="219"/>
        <v>-</v>
      </c>
      <c r="H391" s="273"/>
      <c r="I391" s="107"/>
      <c r="J391" s="249" t="e">
        <f t="shared" si="220"/>
        <v>#VALUE!</v>
      </c>
      <c r="K391" s="101" t="str">
        <f>IFERROR(INDEX('Data Sheet'!$C$198:$C$275,MATCH(I391,'Data Sheet'!$F$198:$F$275,0)),"")</f>
        <v/>
      </c>
      <c r="L391" s="250" t="str">
        <f>IFERROR(INDEX('Data Sheet'!$G$198:$G$275,MATCH(I391,'Data Sheet'!$F$198:$F$275,0)),"")</f>
        <v/>
      </c>
      <c r="M391" s="194"/>
      <c r="N391" s="248"/>
      <c r="O391" s="248"/>
      <c r="P391" s="108" t="str">
        <f>IFERROR(INDEX(Setup!$D$44:$D$70,MATCH(M391,Setup!$K$44:$K$70,0))&amp;"","")</f>
        <v/>
      </c>
      <c r="Q391" s="108" t="str">
        <f>IFERROR(INDEX(Setup!$E$44:$E$70,MATCH(M391,Setup!$K$44:$K$70,0))&amp;"","")</f>
        <v/>
      </c>
      <c r="R391" s="108" t="str">
        <f>IFERROR(INDEX(Setup!$L$44:$L$70,MATCH(M391,Setup!$K$44:$K$70,0))&amp;"","")</f>
        <v/>
      </c>
      <c r="S391" s="108" t="str">
        <f>Setup!$C$30</f>
        <v>USD</v>
      </c>
      <c r="T391" s="109" t="str">
        <f>IFERROR(INDEX('Data Sheet'!$B$198:$B$275,MATCH(I391,'Data Sheet'!$F$198:$F$275,0)),"")</f>
        <v/>
      </c>
      <c r="U391" s="110" t="str">
        <f>IFERROR(INDEX('Data Sheet'!$D$198:$D$275,MATCH(I391,'Data Sheet'!$F$198:$F$275,0)),"")</f>
        <v/>
      </c>
      <c r="V391" s="99"/>
      <c r="W391" s="195" t="str">
        <f>IF(V391=Setup!$C$30,"Grant",IF(V391=Setup!$C$31,"Local",IF(V391=Setup!$C$32,"Other",IF(ISBLANK(V391),"","Other"))))</f>
        <v/>
      </c>
      <c r="X391" s="255"/>
      <c r="Y391" s="259" t="str">
        <f>IF(X391&lt;&gt;"",X391/VLOOKUP($V391,Setup!$C$30:$D$41,2,0),"")</f>
        <v/>
      </c>
      <c r="Z391" s="262"/>
      <c r="AA391" s="256" t="str">
        <f t="shared" si="192"/>
        <v/>
      </c>
      <c r="AB391" s="262"/>
      <c r="AC391" s="258" t="str">
        <f t="shared" si="193"/>
        <v/>
      </c>
      <c r="AD391" s="262"/>
      <c r="AE391" s="258" t="str">
        <f t="shared" si="194"/>
        <v/>
      </c>
      <c r="AF391" s="262"/>
      <c r="AG391" s="256" t="str">
        <f t="shared" si="195"/>
        <v/>
      </c>
      <c r="AH391" s="256" t="str">
        <f t="shared" si="196"/>
        <v/>
      </c>
      <c r="AI391" s="256" t="str">
        <f t="shared" si="197"/>
        <v/>
      </c>
      <c r="AJ391" s="111"/>
      <c r="AK391" s="255"/>
      <c r="AL391" s="259" t="str">
        <f>IF(AK391&lt;&gt;"",AK391/VLOOKUP($V391,Setup!$C$30:$D$41,2,0),"")</f>
        <v/>
      </c>
      <c r="AM391" s="266"/>
      <c r="AN391" s="258" t="str">
        <f t="shared" si="198"/>
        <v/>
      </c>
      <c r="AO391" s="266"/>
      <c r="AP391" s="258" t="str">
        <f t="shared" si="199"/>
        <v/>
      </c>
      <c r="AQ391" s="266"/>
      <c r="AR391" s="258" t="str">
        <f t="shared" si="200"/>
        <v/>
      </c>
      <c r="AS391" s="266"/>
      <c r="AT391" s="256" t="str">
        <f t="shared" si="201"/>
        <v/>
      </c>
      <c r="AU391" s="256" t="str">
        <f t="shared" si="202"/>
        <v/>
      </c>
      <c r="AV391" s="256" t="str">
        <f t="shared" si="203"/>
        <v/>
      </c>
      <c r="AW391" s="267"/>
      <c r="AX391" s="255"/>
      <c r="AY391" s="259" t="str">
        <f>IF(AX391&lt;&gt;"",AX391/VLOOKUP($V391,Setup!$C$30:$D$41,2,0),"")</f>
        <v/>
      </c>
      <c r="AZ391" s="268"/>
      <c r="BA391" s="258" t="str">
        <f t="shared" si="204"/>
        <v/>
      </c>
      <c r="BB391" s="268"/>
      <c r="BC391" s="258" t="str">
        <f t="shared" si="205"/>
        <v/>
      </c>
      <c r="BD391" s="268"/>
      <c r="BE391" s="258" t="str">
        <f t="shared" si="206"/>
        <v/>
      </c>
      <c r="BF391" s="268"/>
      <c r="BG391" s="256" t="str">
        <f t="shared" si="207"/>
        <v/>
      </c>
      <c r="BH391" s="256" t="str">
        <f t="shared" si="208"/>
        <v/>
      </c>
      <c r="BI391" s="256" t="str">
        <f t="shared" si="209"/>
        <v/>
      </c>
      <c r="BJ391" s="267"/>
      <c r="BK391" s="255"/>
      <c r="BL391" s="259" t="str">
        <f>IF(BK391&lt;&gt;"",BK391/VLOOKUP($V391,Setup!$C$30:$D$41,2,0),"")</f>
        <v/>
      </c>
      <c r="BM391" s="268"/>
      <c r="BN391" s="258" t="str">
        <f t="shared" si="210"/>
        <v/>
      </c>
      <c r="BO391" s="268"/>
      <c r="BP391" s="258" t="str">
        <f t="shared" si="211"/>
        <v/>
      </c>
      <c r="BQ391" s="268"/>
      <c r="BR391" s="258" t="str">
        <f t="shared" si="212"/>
        <v/>
      </c>
      <c r="BS391" s="268"/>
      <c r="BT391" s="256" t="str">
        <f t="shared" si="213"/>
        <v/>
      </c>
      <c r="BU391" s="256" t="str">
        <f t="shared" si="214"/>
        <v/>
      </c>
      <c r="BV391" s="256" t="str">
        <f t="shared" si="215"/>
        <v/>
      </c>
      <c r="BW391" s="267"/>
      <c r="BX391" s="256" t="str">
        <f t="shared" si="216"/>
        <v/>
      </c>
      <c r="BY391" s="256" t="str">
        <f t="shared" si="217"/>
        <v/>
      </c>
      <c r="BZ391" s="281"/>
      <c r="CA391" s="282"/>
      <c r="CC391" s="112" t="str">
        <f t="shared" ca="1" si="218"/>
        <v/>
      </c>
      <c r="CF391" s="284"/>
      <c r="CG391" s="284"/>
      <c r="CH391" s="284"/>
      <c r="CI391" s="284"/>
      <c r="CL391" s="356" t="str">
        <f>IFERROR(VLOOKUP(C391,'Data Sheet'!$A$3:$B$26,2,FALSE),"")</f>
        <v/>
      </c>
    </row>
    <row r="392" spans="1:90" s="98" customFormat="1" ht="15.75" x14ac:dyDescent="0.2">
      <c r="A392" s="97"/>
      <c r="B392" s="105" t="str">
        <f t="shared" si="191"/>
        <v>--</v>
      </c>
      <c r="C392" s="276"/>
      <c r="D392" s="101" t="str">
        <f>IFERROR(IF(VLOOKUP(C392,'Data Sheet'!$A$3:$D$26,4,FALSE)=0,"",VLOOKUP(C392,'Data Sheet'!$A$3:$D$26,4,FALSE)),"")</f>
        <v/>
      </c>
      <c r="E392" s="279"/>
      <c r="F392" s="103" t="str">
        <f>IFERROR(IF(VLOOKUP(E392,'Data Sheet'!$C$29:$E$174,3,FALSE)=0,"",VLOOKUP(E392,'Data Sheet'!$C$29:$E$174,3,FALSE)),"")</f>
        <v/>
      </c>
      <c r="G392" s="106" t="str">
        <f t="shared" si="219"/>
        <v>-</v>
      </c>
      <c r="H392" s="273"/>
      <c r="I392" s="107"/>
      <c r="J392" s="249" t="e">
        <f t="shared" si="220"/>
        <v>#VALUE!</v>
      </c>
      <c r="K392" s="101" t="str">
        <f>IFERROR(INDEX('Data Sheet'!$C$198:$C$275,MATCH(I392,'Data Sheet'!$F$198:$F$275,0)),"")</f>
        <v/>
      </c>
      <c r="L392" s="250" t="str">
        <f>IFERROR(INDEX('Data Sheet'!$G$198:$G$275,MATCH(I392,'Data Sheet'!$F$198:$F$275,0)),"")</f>
        <v/>
      </c>
      <c r="M392" s="194"/>
      <c r="N392" s="248"/>
      <c r="O392" s="248"/>
      <c r="P392" s="108" t="str">
        <f>IFERROR(INDEX(Setup!$D$44:$D$70,MATCH(M392,Setup!$K$44:$K$70,0))&amp;"","")</f>
        <v/>
      </c>
      <c r="Q392" s="108" t="str">
        <f>IFERROR(INDEX(Setup!$E$44:$E$70,MATCH(M392,Setup!$K$44:$K$70,0))&amp;"","")</f>
        <v/>
      </c>
      <c r="R392" s="108" t="str">
        <f>IFERROR(INDEX(Setup!$L$44:$L$70,MATCH(M392,Setup!$K$44:$K$70,0))&amp;"","")</f>
        <v/>
      </c>
      <c r="S392" s="108" t="str">
        <f>Setup!$C$30</f>
        <v>USD</v>
      </c>
      <c r="T392" s="109" t="str">
        <f>IFERROR(INDEX('Data Sheet'!$B$198:$B$275,MATCH(I392,'Data Sheet'!$F$198:$F$275,0)),"")</f>
        <v/>
      </c>
      <c r="U392" s="110" t="str">
        <f>IFERROR(INDEX('Data Sheet'!$D$198:$D$275,MATCH(I392,'Data Sheet'!$F$198:$F$275,0)),"")</f>
        <v/>
      </c>
      <c r="V392" s="99"/>
      <c r="W392" s="195" t="str">
        <f>IF(V392=Setup!$C$30,"Grant",IF(V392=Setup!$C$31,"Local",IF(V392=Setup!$C$32,"Other",IF(ISBLANK(V392),"","Other"))))</f>
        <v/>
      </c>
      <c r="X392" s="255"/>
      <c r="Y392" s="259" t="str">
        <f>IF(X392&lt;&gt;"",X392/VLOOKUP($V392,Setup!$C$30:$D$41,2,0),"")</f>
        <v/>
      </c>
      <c r="Z392" s="262"/>
      <c r="AA392" s="256" t="str">
        <f t="shared" si="192"/>
        <v/>
      </c>
      <c r="AB392" s="262"/>
      <c r="AC392" s="258" t="str">
        <f t="shared" si="193"/>
        <v/>
      </c>
      <c r="AD392" s="262"/>
      <c r="AE392" s="258" t="str">
        <f t="shared" si="194"/>
        <v/>
      </c>
      <c r="AF392" s="262"/>
      <c r="AG392" s="256" t="str">
        <f t="shared" si="195"/>
        <v/>
      </c>
      <c r="AH392" s="256" t="str">
        <f t="shared" si="196"/>
        <v/>
      </c>
      <c r="AI392" s="256" t="str">
        <f t="shared" si="197"/>
        <v/>
      </c>
      <c r="AJ392" s="111"/>
      <c r="AK392" s="255"/>
      <c r="AL392" s="259" t="str">
        <f>IF(AK392&lt;&gt;"",AK392/VLOOKUP($V392,Setup!$C$30:$D$41,2,0),"")</f>
        <v/>
      </c>
      <c r="AM392" s="266"/>
      <c r="AN392" s="258" t="str">
        <f t="shared" si="198"/>
        <v/>
      </c>
      <c r="AO392" s="266"/>
      <c r="AP392" s="258" t="str">
        <f t="shared" si="199"/>
        <v/>
      </c>
      <c r="AQ392" s="266"/>
      <c r="AR392" s="258" t="str">
        <f t="shared" si="200"/>
        <v/>
      </c>
      <c r="AS392" s="266"/>
      <c r="AT392" s="256" t="str">
        <f t="shared" si="201"/>
        <v/>
      </c>
      <c r="AU392" s="256" t="str">
        <f t="shared" si="202"/>
        <v/>
      </c>
      <c r="AV392" s="256" t="str">
        <f t="shared" si="203"/>
        <v/>
      </c>
      <c r="AW392" s="267"/>
      <c r="AX392" s="255"/>
      <c r="AY392" s="259" t="str">
        <f>IF(AX392&lt;&gt;"",AX392/VLOOKUP($V392,Setup!$C$30:$D$41,2,0),"")</f>
        <v/>
      </c>
      <c r="AZ392" s="268"/>
      <c r="BA392" s="258" t="str">
        <f t="shared" si="204"/>
        <v/>
      </c>
      <c r="BB392" s="268"/>
      <c r="BC392" s="258" t="str">
        <f t="shared" si="205"/>
        <v/>
      </c>
      <c r="BD392" s="268"/>
      <c r="BE392" s="258" t="str">
        <f t="shared" si="206"/>
        <v/>
      </c>
      <c r="BF392" s="268"/>
      <c r="BG392" s="256" t="str">
        <f t="shared" si="207"/>
        <v/>
      </c>
      <c r="BH392" s="256" t="str">
        <f t="shared" si="208"/>
        <v/>
      </c>
      <c r="BI392" s="256" t="str">
        <f t="shared" si="209"/>
        <v/>
      </c>
      <c r="BJ392" s="267"/>
      <c r="BK392" s="255"/>
      <c r="BL392" s="259" t="str">
        <f>IF(BK392&lt;&gt;"",BK392/VLOOKUP($V392,Setup!$C$30:$D$41,2,0),"")</f>
        <v/>
      </c>
      <c r="BM392" s="268"/>
      <c r="BN392" s="258" t="str">
        <f t="shared" si="210"/>
        <v/>
      </c>
      <c r="BO392" s="268"/>
      <c r="BP392" s="258" t="str">
        <f t="shared" si="211"/>
        <v/>
      </c>
      <c r="BQ392" s="268"/>
      <c r="BR392" s="258" t="str">
        <f t="shared" si="212"/>
        <v/>
      </c>
      <c r="BS392" s="268"/>
      <c r="BT392" s="256" t="str">
        <f t="shared" si="213"/>
        <v/>
      </c>
      <c r="BU392" s="256" t="str">
        <f t="shared" si="214"/>
        <v/>
      </c>
      <c r="BV392" s="256" t="str">
        <f t="shared" si="215"/>
        <v/>
      </c>
      <c r="BW392" s="267"/>
      <c r="BX392" s="256" t="str">
        <f t="shared" si="216"/>
        <v/>
      </c>
      <c r="BY392" s="256" t="str">
        <f t="shared" si="217"/>
        <v/>
      </c>
      <c r="BZ392" s="281"/>
      <c r="CA392" s="282"/>
      <c r="CC392" s="112" t="str">
        <f t="shared" ca="1" si="218"/>
        <v/>
      </c>
      <c r="CF392" s="284"/>
      <c r="CG392" s="284"/>
      <c r="CH392" s="284"/>
      <c r="CI392" s="284"/>
      <c r="CL392" s="356" t="str">
        <f>IFERROR(VLOOKUP(C392,'Data Sheet'!$A$3:$B$26,2,FALSE),"")</f>
        <v/>
      </c>
    </row>
    <row r="393" spans="1:90" s="98" customFormat="1" ht="15.75" x14ac:dyDescent="0.2">
      <c r="A393" s="97"/>
      <c r="B393" s="105" t="str">
        <f t="shared" si="191"/>
        <v>--</v>
      </c>
      <c r="C393" s="276"/>
      <c r="D393" s="101" t="str">
        <f>IFERROR(IF(VLOOKUP(C393,'Data Sheet'!$A$3:$D$26,4,FALSE)=0,"",VLOOKUP(C393,'Data Sheet'!$A$3:$D$26,4,FALSE)),"")</f>
        <v/>
      </c>
      <c r="E393" s="279"/>
      <c r="F393" s="103" t="str">
        <f>IFERROR(IF(VLOOKUP(E393,'Data Sheet'!$C$29:$E$174,3,FALSE)=0,"",VLOOKUP(E393,'Data Sheet'!$C$29:$E$174,3,FALSE)),"")</f>
        <v/>
      </c>
      <c r="G393" s="106" t="str">
        <f t="shared" si="219"/>
        <v>-</v>
      </c>
      <c r="H393" s="273"/>
      <c r="I393" s="107"/>
      <c r="J393" s="249" t="e">
        <f t="shared" si="220"/>
        <v>#VALUE!</v>
      </c>
      <c r="K393" s="101" t="str">
        <f>IFERROR(INDEX('Data Sheet'!$C$198:$C$275,MATCH(I393,'Data Sheet'!$F$198:$F$275,0)),"")</f>
        <v/>
      </c>
      <c r="L393" s="250" t="str">
        <f>IFERROR(INDEX('Data Sheet'!$G$198:$G$275,MATCH(I393,'Data Sheet'!$F$198:$F$275,0)),"")</f>
        <v/>
      </c>
      <c r="M393" s="194"/>
      <c r="N393" s="248"/>
      <c r="O393" s="248"/>
      <c r="P393" s="108" t="str">
        <f>IFERROR(INDEX(Setup!$D$44:$D$70,MATCH(M393,Setup!$K$44:$K$70,0))&amp;"","")</f>
        <v/>
      </c>
      <c r="Q393" s="108" t="str">
        <f>IFERROR(INDEX(Setup!$E$44:$E$70,MATCH(M393,Setup!$K$44:$K$70,0))&amp;"","")</f>
        <v/>
      </c>
      <c r="R393" s="108" t="str">
        <f>IFERROR(INDEX(Setup!$L$44:$L$70,MATCH(M393,Setup!$K$44:$K$70,0))&amp;"","")</f>
        <v/>
      </c>
      <c r="S393" s="108" t="str">
        <f>Setup!$C$30</f>
        <v>USD</v>
      </c>
      <c r="T393" s="109" t="str">
        <f>IFERROR(INDEX('Data Sheet'!$B$198:$B$275,MATCH(I393,'Data Sheet'!$F$198:$F$275,0)),"")</f>
        <v/>
      </c>
      <c r="U393" s="110" t="str">
        <f>IFERROR(INDEX('Data Sheet'!$D$198:$D$275,MATCH(I393,'Data Sheet'!$F$198:$F$275,0)),"")</f>
        <v/>
      </c>
      <c r="V393" s="99"/>
      <c r="W393" s="195" t="str">
        <f>IF(V393=Setup!$C$30,"Grant",IF(V393=Setup!$C$31,"Local",IF(V393=Setup!$C$32,"Other",IF(ISBLANK(V393),"","Other"))))</f>
        <v/>
      </c>
      <c r="X393" s="255"/>
      <c r="Y393" s="259" t="str">
        <f>IF(X393&lt;&gt;"",X393/VLOOKUP($V393,Setup!$C$30:$D$41,2,0),"")</f>
        <v/>
      </c>
      <c r="Z393" s="262"/>
      <c r="AA393" s="256" t="str">
        <f t="shared" si="192"/>
        <v/>
      </c>
      <c r="AB393" s="262"/>
      <c r="AC393" s="258" t="str">
        <f t="shared" si="193"/>
        <v/>
      </c>
      <c r="AD393" s="262"/>
      <c r="AE393" s="258" t="str">
        <f t="shared" si="194"/>
        <v/>
      </c>
      <c r="AF393" s="262"/>
      <c r="AG393" s="256" t="str">
        <f t="shared" si="195"/>
        <v/>
      </c>
      <c r="AH393" s="256" t="str">
        <f t="shared" si="196"/>
        <v/>
      </c>
      <c r="AI393" s="256" t="str">
        <f t="shared" si="197"/>
        <v/>
      </c>
      <c r="AJ393" s="111"/>
      <c r="AK393" s="255"/>
      <c r="AL393" s="259" t="str">
        <f>IF(AK393&lt;&gt;"",AK393/VLOOKUP($V393,Setup!$C$30:$D$41,2,0),"")</f>
        <v/>
      </c>
      <c r="AM393" s="266"/>
      <c r="AN393" s="258" t="str">
        <f t="shared" si="198"/>
        <v/>
      </c>
      <c r="AO393" s="266"/>
      <c r="AP393" s="258" t="str">
        <f t="shared" si="199"/>
        <v/>
      </c>
      <c r="AQ393" s="266"/>
      <c r="AR393" s="258" t="str">
        <f t="shared" si="200"/>
        <v/>
      </c>
      <c r="AS393" s="266"/>
      <c r="AT393" s="256" t="str">
        <f t="shared" si="201"/>
        <v/>
      </c>
      <c r="AU393" s="256" t="str">
        <f t="shared" si="202"/>
        <v/>
      </c>
      <c r="AV393" s="256" t="str">
        <f t="shared" si="203"/>
        <v/>
      </c>
      <c r="AW393" s="267"/>
      <c r="AX393" s="255"/>
      <c r="AY393" s="259" t="str">
        <f>IF(AX393&lt;&gt;"",AX393/VLOOKUP($V393,Setup!$C$30:$D$41,2,0),"")</f>
        <v/>
      </c>
      <c r="AZ393" s="268"/>
      <c r="BA393" s="258" t="str">
        <f t="shared" si="204"/>
        <v/>
      </c>
      <c r="BB393" s="268"/>
      <c r="BC393" s="258" t="str">
        <f t="shared" si="205"/>
        <v/>
      </c>
      <c r="BD393" s="268"/>
      <c r="BE393" s="258" t="str">
        <f t="shared" si="206"/>
        <v/>
      </c>
      <c r="BF393" s="268"/>
      <c r="BG393" s="256" t="str">
        <f t="shared" si="207"/>
        <v/>
      </c>
      <c r="BH393" s="256" t="str">
        <f t="shared" si="208"/>
        <v/>
      </c>
      <c r="BI393" s="256" t="str">
        <f t="shared" si="209"/>
        <v/>
      </c>
      <c r="BJ393" s="267"/>
      <c r="BK393" s="255"/>
      <c r="BL393" s="259" t="str">
        <f>IF(BK393&lt;&gt;"",BK393/VLOOKUP($V393,Setup!$C$30:$D$41,2,0),"")</f>
        <v/>
      </c>
      <c r="BM393" s="268"/>
      <c r="BN393" s="258" t="str">
        <f t="shared" si="210"/>
        <v/>
      </c>
      <c r="BO393" s="268"/>
      <c r="BP393" s="258" t="str">
        <f t="shared" si="211"/>
        <v/>
      </c>
      <c r="BQ393" s="268"/>
      <c r="BR393" s="258" t="str">
        <f t="shared" si="212"/>
        <v/>
      </c>
      <c r="BS393" s="268"/>
      <c r="BT393" s="256" t="str">
        <f t="shared" si="213"/>
        <v/>
      </c>
      <c r="BU393" s="256" t="str">
        <f t="shared" si="214"/>
        <v/>
      </c>
      <c r="BV393" s="256" t="str">
        <f t="shared" si="215"/>
        <v/>
      </c>
      <c r="BW393" s="267"/>
      <c r="BX393" s="256" t="str">
        <f t="shared" si="216"/>
        <v/>
      </c>
      <c r="BY393" s="256" t="str">
        <f t="shared" si="217"/>
        <v/>
      </c>
      <c r="BZ393" s="281"/>
      <c r="CA393" s="282"/>
      <c r="CC393" s="112" t="str">
        <f t="shared" ca="1" si="218"/>
        <v/>
      </c>
      <c r="CF393" s="284"/>
      <c r="CG393" s="284"/>
      <c r="CH393" s="284"/>
      <c r="CI393" s="284"/>
      <c r="CL393" s="356" t="str">
        <f>IFERROR(VLOOKUP(C393,'Data Sheet'!$A$3:$B$26,2,FALSE),"")</f>
        <v/>
      </c>
    </row>
    <row r="394" spans="1:90" s="98" customFormat="1" ht="15.75" x14ac:dyDescent="0.2">
      <c r="A394" s="97"/>
      <c r="B394" s="105" t="str">
        <f t="shared" si="191"/>
        <v>--</v>
      </c>
      <c r="C394" s="276"/>
      <c r="D394" s="101" t="str">
        <f>IFERROR(IF(VLOOKUP(C394,'Data Sheet'!$A$3:$D$26,4,FALSE)=0,"",VLOOKUP(C394,'Data Sheet'!$A$3:$D$26,4,FALSE)),"")</f>
        <v/>
      </c>
      <c r="E394" s="279"/>
      <c r="F394" s="103" t="str">
        <f>IFERROR(IF(VLOOKUP(E394,'Data Sheet'!$C$29:$E$174,3,FALSE)=0,"",VLOOKUP(E394,'Data Sheet'!$C$29:$E$174,3,FALSE)),"")</f>
        <v/>
      </c>
      <c r="G394" s="106" t="str">
        <f t="shared" si="219"/>
        <v>-</v>
      </c>
      <c r="H394" s="273"/>
      <c r="I394" s="107"/>
      <c r="J394" s="249" t="e">
        <f t="shared" si="220"/>
        <v>#VALUE!</v>
      </c>
      <c r="K394" s="101" t="str">
        <f>IFERROR(INDEX('Data Sheet'!$C$198:$C$275,MATCH(I394,'Data Sheet'!$F$198:$F$275,0)),"")</f>
        <v/>
      </c>
      <c r="L394" s="250" t="str">
        <f>IFERROR(INDEX('Data Sheet'!$G$198:$G$275,MATCH(I394,'Data Sheet'!$F$198:$F$275,0)),"")</f>
        <v/>
      </c>
      <c r="M394" s="194"/>
      <c r="N394" s="248"/>
      <c r="O394" s="248"/>
      <c r="P394" s="108" t="str">
        <f>IFERROR(INDEX(Setup!$D$44:$D$70,MATCH(M394,Setup!$K$44:$K$70,0))&amp;"","")</f>
        <v/>
      </c>
      <c r="Q394" s="108" t="str">
        <f>IFERROR(INDEX(Setup!$E$44:$E$70,MATCH(M394,Setup!$K$44:$K$70,0))&amp;"","")</f>
        <v/>
      </c>
      <c r="R394" s="108" t="str">
        <f>IFERROR(INDEX(Setup!$L$44:$L$70,MATCH(M394,Setup!$K$44:$K$70,0))&amp;"","")</f>
        <v/>
      </c>
      <c r="S394" s="108" t="str">
        <f>Setup!$C$30</f>
        <v>USD</v>
      </c>
      <c r="T394" s="109" t="str">
        <f>IFERROR(INDEX('Data Sheet'!$B$198:$B$275,MATCH(I394,'Data Sheet'!$F$198:$F$275,0)),"")</f>
        <v/>
      </c>
      <c r="U394" s="110" t="str">
        <f>IFERROR(INDEX('Data Sheet'!$D$198:$D$275,MATCH(I394,'Data Sheet'!$F$198:$F$275,0)),"")</f>
        <v/>
      </c>
      <c r="V394" s="99"/>
      <c r="W394" s="195" t="str">
        <f>IF(V394=Setup!$C$30,"Grant",IF(V394=Setup!$C$31,"Local",IF(V394=Setup!$C$32,"Other",IF(ISBLANK(V394),"","Other"))))</f>
        <v/>
      </c>
      <c r="X394" s="255"/>
      <c r="Y394" s="259" t="str">
        <f>IF(X394&lt;&gt;"",X394/VLOOKUP($V394,Setup!$C$30:$D$41,2,0),"")</f>
        <v/>
      </c>
      <c r="Z394" s="262"/>
      <c r="AA394" s="256" t="str">
        <f t="shared" si="192"/>
        <v/>
      </c>
      <c r="AB394" s="262"/>
      <c r="AC394" s="258" t="str">
        <f t="shared" si="193"/>
        <v/>
      </c>
      <c r="AD394" s="262"/>
      <c r="AE394" s="258" t="str">
        <f t="shared" si="194"/>
        <v/>
      </c>
      <c r="AF394" s="262"/>
      <c r="AG394" s="256" t="str">
        <f t="shared" si="195"/>
        <v/>
      </c>
      <c r="AH394" s="256" t="str">
        <f t="shared" si="196"/>
        <v/>
      </c>
      <c r="AI394" s="256" t="str">
        <f t="shared" si="197"/>
        <v/>
      </c>
      <c r="AJ394" s="111"/>
      <c r="AK394" s="255"/>
      <c r="AL394" s="259" t="str">
        <f>IF(AK394&lt;&gt;"",AK394/VLOOKUP($V394,Setup!$C$30:$D$41,2,0),"")</f>
        <v/>
      </c>
      <c r="AM394" s="266"/>
      <c r="AN394" s="258" t="str">
        <f t="shared" si="198"/>
        <v/>
      </c>
      <c r="AO394" s="266"/>
      <c r="AP394" s="258" t="str">
        <f t="shared" si="199"/>
        <v/>
      </c>
      <c r="AQ394" s="266"/>
      <c r="AR394" s="258" t="str">
        <f t="shared" si="200"/>
        <v/>
      </c>
      <c r="AS394" s="266"/>
      <c r="AT394" s="256" t="str">
        <f t="shared" si="201"/>
        <v/>
      </c>
      <c r="AU394" s="256" t="str">
        <f t="shared" si="202"/>
        <v/>
      </c>
      <c r="AV394" s="256" t="str">
        <f t="shared" si="203"/>
        <v/>
      </c>
      <c r="AW394" s="267"/>
      <c r="AX394" s="255"/>
      <c r="AY394" s="259" t="str">
        <f>IF(AX394&lt;&gt;"",AX394/VLOOKUP($V394,Setup!$C$30:$D$41,2,0),"")</f>
        <v/>
      </c>
      <c r="AZ394" s="268"/>
      <c r="BA394" s="258" t="str">
        <f t="shared" si="204"/>
        <v/>
      </c>
      <c r="BB394" s="268"/>
      <c r="BC394" s="258" t="str">
        <f t="shared" si="205"/>
        <v/>
      </c>
      <c r="BD394" s="268"/>
      <c r="BE394" s="258" t="str">
        <f t="shared" si="206"/>
        <v/>
      </c>
      <c r="BF394" s="268"/>
      <c r="BG394" s="256" t="str">
        <f t="shared" si="207"/>
        <v/>
      </c>
      <c r="BH394" s="256" t="str">
        <f t="shared" si="208"/>
        <v/>
      </c>
      <c r="BI394" s="256" t="str">
        <f t="shared" si="209"/>
        <v/>
      </c>
      <c r="BJ394" s="267"/>
      <c r="BK394" s="255"/>
      <c r="BL394" s="259" t="str">
        <f>IF(BK394&lt;&gt;"",BK394/VLOOKUP($V394,Setup!$C$30:$D$41,2,0),"")</f>
        <v/>
      </c>
      <c r="BM394" s="268"/>
      <c r="BN394" s="258" t="str">
        <f t="shared" si="210"/>
        <v/>
      </c>
      <c r="BO394" s="268"/>
      <c r="BP394" s="258" t="str">
        <f t="shared" si="211"/>
        <v/>
      </c>
      <c r="BQ394" s="268"/>
      <c r="BR394" s="258" t="str">
        <f t="shared" si="212"/>
        <v/>
      </c>
      <c r="BS394" s="268"/>
      <c r="BT394" s="256" t="str">
        <f t="shared" si="213"/>
        <v/>
      </c>
      <c r="BU394" s="256" t="str">
        <f t="shared" si="214"/>
        <v/>
      </c>
      <c r="BV394" s="256" t="str">
        <f t="shared" si="215"/>
        <v/>
      </c>
      <c r="BW394" s="267"/>
      <c r="BX394" s="256" t="str">
        <f t="shared" si="216"/>
        <v/>
      </c>
      <c r="BY394" s="256" t="str">
        <f t="shared" si="217"/>
        <v/>
      </c>
      <c r="BZ394" s="281"/>
      <c r="CA394" s="282"/>
      <c r="CC394" s="112" t="str">
        <f t="shared" ca="1" si="218"/>
        <v/>
      </c>
      <c r="CF394" s="284"/>
      <c r="CG394" s="284"/>
      <c r="CH394" s="284"/>
      <c r="CI394" s="284"/>
      <c r="CL394" s="356" t="str">
        <f>IFERROR(VLOOKUP(C394,'Data Sheet'!$A$3:$B$26,2,FALSE),"")</f>
        <v/>
      </c>
    </row>
    <row r="395" spans="1:90" s="98" customFormat="1" ht="15.75" x14ac:dyDescent="0.2">
      <c r="A395" s="97"/>
      <c r="B395" s="105" t="str">
        <f t="shared" si="191"/>
        <v>--</v>
      </c>
      <c r="C395" s="276"/>
      <c r="D395" s="101" t="str">
        <f>IFERROR(IF(VLOOKUP(C395,'Data Sheet'!$A$3:$D$26,4,FALSE)=0,"",VLOOKUP(C395,'Data Sheet'!$A$3:$D$26,4,FALSE)),"")</f>
        <v/>
      </c>
      <c r="E395" s="279"/>
      <c r="F395" s="103" t="str">
        <f>IFERROR(IF(VLOOKUP(E395,'Data Sheet'!$C$29:$E$174,3,FALSE)=0,"",VLOOKUP(E395,'Data Sheet'!$C$29:$E$174,3,FALSE)),"")</f>
        <v/>
      </c>
      <c r="G395" s="106" t="str">
        <f t="shared" si="219"/>
        <v>-</v>
      </c>
      <c r="H395" s="273"/>
      <c r="I395" s="107"/>
      <c r="J395" s="249" t="e">
        <f t="shared" si="220"/>
        <v>#VALUE!</v>
      </c>
      <c r="K395" s="101" t="str">
        <f>IFERROR(INDEX('Data Sheet'!$C$198:$C$275,MATCH(I395,'Data Sheet'!$F$198:$F$275,0)),"")</f>
        <v/>
      </c>
      <c r="L395" s="250" t="str">
        <f>IFERROR(INDEX('Data Sheet'!$G$198:$G$275,MATCH(I395,'Data Sheet'!$F$198:$F$275,0)),"")</f>
        <v/>
      </c>
      <c r="M395" s="194"/>
      <c r="N395" s="248"/>
      <c r="O395" s="248"/>
      <c r="P395" s="108" t="str">
        <f>IFERROR(INDEX(Setup!$D$44:$D$70,MATCH(M395,Setup!$K$44:$K$70,0))&amp;"","")</f>
        <v/>
      </c>
      <c r="Q395" s="108" t="str">
        <f>IFERROR(INDEX(Setup!$E$44:$E$70,MATCH(M395,Setup!$K$44:$K$70,0))&amp;"","")</f>
        <v/>
      </c>
      <c r="R395" s="108" t="str">
        <f>IFERROR(INDEX(Setup!$L$44:$L$70,MATCH(M395,Setup!$K$44:$K$70,0))&amp;"","")</f>
        <v/>
      </c>
      <c r="S395" s="108" t="str">
        <f>Setup!$C$30</f>
        <v>USD</v>
      </c>
      <c r="T395" s="109" t="str">
        <f>IFERROR(INDEX('Data Sheet'!$B$198:$B$275,MATCH(I395,'Data Sheet'!$F$198:$F$275,0)),"")</f>
        <v/>
      </c>
      <c r="U395" s="110" t="str">
        <f>IFERROR(INDEX('Data Sheet'!$D$198:$D$275,MATCH(I395,'Data Sheet'!$F$198:$F$275,0)),"")</f>
        <v/>
      </c>
      <c r="V395" s="99"/>
      <c r="W395" s="195" t="str">
        <f>IF(V395=Setup!$C$30,"Grant",IF(V395=Setup!$C$31,"Local",IF(V395=Setup!$C$32,"Other",IF(ISBLANK(V395),"","Other"))))</f>
        <v/>
      </c>
      <c r="X395" s="255"/>
      <c r="Y395" s="259" t="str">
        <f>IF(X395&lt;&gt;"",X395/VLOOKUP($V395,Setup!$C$30:$D$41,2,0),"")</f>
        <v/>
      </c>
      <c r="Z395" s="262"/>
      <c r="AA395" s="256" t="str">
        <f t="shared" si="192"/>
        <v/>
      </c>
      <c r="AB395" s="262"/>
      <c r="AC395" s="258" t="str">
        <f t="shared" si="193"/>
        <v/>
      </c>
      <c r="AD395" s="262"/>
      <c r="AE395" s="258" t="str">
        <f t="shared" si="194"/>
        <v/>
      </c>
      <c r="AF395" s="262"/>
      <c r="AG395" s="256" t="str">
        <f t="shared" si="195"/>
        <v/>
      </c>
      <c r="AH395" s="256" t="str">
        <f t="shared" si="196"/>
        <v/>
      </c>
      <c r="AI395" s="256" t="str">
        <f t="shared" si="197"/>
        <v/>
      </c>
      <c r="AJ395" s="111"/>
      <c r="AK395" s="255"/>
      <c r="AL395" s="259" t="str">
        <f>IF(AK395&lt;&gt;"",AK395/VLOOKUP($V395,Setup!$C$30:$D$41,2,0),"")</f>
        <v/>
      </c>
      <c r="AM395" s="266"/>
      <c r="AN395" s="258" t="str">
        <f t="shared" si="198"/>
        <v/>
      </c>
      <c r="AO395" s="266"/>
      <c r="AP395" s="258" t="str">
        <f t="shared" si="199"/>
        <v/>
      </c>
      <c r="AQ395" s="266"/>
      <c r="AR395" s="258" t="str">
        <f t="shared" si="200"/>
        <v/>
      </c>
      <c r="AS395" s="266"/>
      <c r="AT395" s="256" t="str">
        <f t="shared" si="201"/>
        <v/>
      </c>
      <c r="AU395" s="256" t="str">
        <f t="shared" si="202"/>
        <v/>
      </c>
      <c r="AV395" s="256" t="str">
        <f t="shared" si="203"/>
        <v/>
      </c>
      <c r="AW395" s="267"/>
      <c r="AX395" s="255"/>
      <c r="AY395" s="259" t="str">
        <f>IF(AX395&lt;&gt;"",AX395/VLOOKUP($V395,Setup!$C$30:$D$41,2,0),"")</f>
        <v/>
      </c>
      <c r="AZ395" s="268"/>
      <c r="BA395" s="258" t="str">
        <f t="shared" si="204"/>
        <v/>
      </c>
      <c r="BB395" s="268"/>
      <c r="BC395" s="258" t="str">
        <f t="shared" si="205"/>
        <v/>
      </c>
      <c r="BD395" s="268"/>
      <c r="BE395" s="258" t="str">
        <f t="shared" si="206"/>
        <v/>
      </c>
      <c r="BF395" s="268"/>
      <c r="BG395" s="256" t="str">
        <f t="shared" si="207"/>
        <v/>
      </c>
      <c r="BH395" s="256" t="str">
        <f t="shared" si="208"/>
        <v/>
      </c>
      <c r="BI395" s="256" t="str">
        <f t="shared" si="209"/>
        <v/>
      </c>
      <c r="BJ395" s="267"/>
      <c r="BK395" s="255"/>
      <c r="BL395" s="259" t="str">
        <f>IF(BK395&lt;&gt;"",BK395/VLOOKUP($V395,Setup!$C$30:$D$41,2,0),"")</f>
        <v/>
      </c>
      <c r="BM395" s="268"/>
      <c r="BN395" s="258" t="str">
        <f t="shared" si="210"/>
        <v/>
      </c>
      <c r="BO395" s="268"/>
      <c r="BP395" s="258" t="str">
        <f t="shared" si="211"/>
        <v/>
      </c>
      <c r="BQ395" s="268"/>
      <c r="BR395" s="258" t="str">
        <f t="shared" si="212"/>
        <v/>
      </c>
      <c r="BS395" s="268"/>
      <c r="BT395" s="256" t="str">
        <f t="shared" si="213"/>
        <v/>
      </c>
      <c r="BU395" s="256" t="str">
        <f t="shared" si="214"/>
        <v/>
      </c>
      <c r="BV395" s="256" t="str">
        <f t="shared" si="215"/>
        <v/>
      </c>
      <c r="BW395" s="267"/>
      <c r="BX395" s="256" t="str">
        <f t="shared" si="216"/>
        <v/>
      </c>
      <c r="BY395" s="256" t="str">
        <f t="shared" si="217"/>
        <v/>
      </c>
      <c r="BZ395" s="281"/>
      <c r="CA395" s="282"/>
      <c r="CC395" s="112" t="str">
        <f t="shared" ca="1" si="218"/>
        <v/>
      </c>
      <c r="CF395" s="284"/>
      <c r="CG395" s="284"/>
      <c r="CH395" s="284"/>
      <c r="CI395" s="284"/>
      <c r="CL395" s="356" t="str">
        <f>IFERROR(VLOOKUP(C395,'Data Sheet'!$A$3:$B$26,2,FALSE),"")</f>
        <v/>
      </c>
    </row>
    <row r="396" spans="1:90" s="98" customFormat="1" ht="15.75" x14ac:dyDescent="0.2">
      <c r="A396" s="97"/>
      <c r="B396" s="105" t="str">
        <f t="shared" si="191"/>
        <v>--</v>
      </c>
      <c r="C396" s="276"/>
      <c r="D396" s="101" t="str">
        <f>IFERROR(IF(VLOOKUP(C396,'Data Sheet'!$A$3:$D$26,4,FALSE)=0,"",VLOOKUP(C396,'Data Sheet'!$A$3:$D$26,4,FALSE)),"")</f>
        <v/>
      </c>
      <c r="E396" s="279"/>
      <c r="F396" s="103" t="str">
        <f>IFERROR(IF(VLOOKUP(E396,'Data Sheet'!$C$29:$E$174,3,FALSE)=0,"",VLOOKUP(E396,'Data Sheet'!$C$29:$E$174,3,FALSE)),"")</f>
        <v/>
      </c>
      <c r="G396" s="106" t="str">
        <f t="shared" si="219"/>
        <v>-</v>
      </c>
      <c r="H396" s="273"/>
      <c r="I396" s="107"/>
      <c r="J396" s="249" t="e">
        <f t="shared" si="220"/>
        <v>#VALUE!</v>
      </c>
      <c r="K396" s="101" t="str">
        <f>IFERROR(INDEX('Data Sheet'!$C$198:$C$275,MATCH(I396,'Data Sheet'!$F$198:$F$275,0)),"")</f>
        <v/>
      </c>
      <c r="L396" s="250" t="str">
        <f>IFERROR(INDEX('Data Sheet'!$G$198:$G$275,MATCH(I396,'Data Sheet'!$F$198:$F$275,0)),"")</f>
        <v/>
      </c>
      <c r="M396" s="194"/>
      <c r="N396" s="248"/>
      <c r="O396" s="248"/>
      <c r="P396" s="108" t="str">
        <f>IFERROR(INDEX(Setup!$D$44:$D$70,MATCH(M396,Setup!$K$44:$K$70,0))&amp;"","")</f>
        <v/>
      </c>
      <c r="Q396" s="108" t="str">
        <f>IFERROR(INDEX(Setup!$E$44:$E$70,MATCH(M396,Setup!$K$44:$K$70,0))&amp;"","")</f>
        <v/>
      </c>
      <c r="R396" s="108" t="str">
        <f>IFERROR(INDEX(Setup!$L$44:$L$70,MATCH(M396,Setup!$K$44:$K$70,0))&amp;"","")</f>
        <v/>
      </c>
      <c r="S396" s="108" t="str">
        <f>Setup!$C$30</f>
        <v>USD</v>
      </c>
      <c r="T396" s="109" t="str">
        <f>IFERROR(INDEX('Data Sheet'!$B$198:$B$275,MATCH(I396,'Data Sheet'!$F$198:$F$275,0)),"")</f>
        <v/>
      </c>
      <c r="U396" s="110" t="str">
        <f>IFERROR(INDEX('Data Sheet'!$D$198:$D$275,MATCH(I396,'Data Sheet'!$F$198:$F$275,0)),"")</f>
        <v/>
      </c>
      <c r="V396" s="99"/>
      <c r="W396" s="195" t="str">
        <f>IF(V396=Setup!$C$30,"Grant",IF(V396=Setup!$C$31,"Local",IF(V396=Setup!$C$32,"Other",IF(ISBLANK(V396),"","Other"))))</f>
        <v/>
      </c>
      <c r="X396" s="255"/>
      <c r="Y396" s="259" t="str">
        <f>IF(X396&lt;&gt;"",X396/VLOOKUP($V396,Setup!$C$30:$D$41,2,0),"")</f>
        <v/>
      </c>
      <c r="Z396" s="262"/>
      <c r="AA396" s="256" t="str">
        <f t="shared" si="192"/>
        <v/>
      </c>
      <c r="AB396" s="262"/>
      <c r="AC396" s="258" t="str">
        <f t="shared" si="193"/>
        <v/>
      </c>
      <c r="AD396" s="262"/>
      <c r="AE396" s="258" t="str">
        <f t="shared" si="194"/>
        <v/>
      </c>
      <c r="AF396" s="262"/>
      <c r="AG396" s="256" t="str">
        <f t="shared" si="195"/>
        <v/>
      </c>
      <c r="AH396" s="256" t="str">
        <f t="shared" si="196"/>
        <v/>
      </c>
      <c r="AI396" s="256" t="str">
        <f t="shared" si="197"/>
        <v/>
      </c>
      <c r="AJ396" s="111"/>
      <c r="AK396" s="255"/>
      <c r="AL396" s="259" t="str">
        <f>IF(AK396&lt;&gt;"",AK396/VLOOKUP($V396,Setup!$C$30:$D$41,2,0),"")</f>
        <v/>
      </c>
      <c r="AM396" s="266"/>
      <c r="AN396" s="258" t="str">
        <f t="shared" si="198"/>
        <v/>
      </c>
      <c r="AO396" s="266"/>
      <c r="AP396" s="258" t="str">
        <f t="shared" si="199"/>
        <v/>
      </c>
      <c r="AQ396" s="266"/>
      <c r="AR396" s="258" t="str">
        <f t="shared" si="200"/>
        <v/>
      </c>
      <c r="AS396" s="266"/>
      <c r="AT396" s="256" t="str">
        <f t="shared" si="201"/>
        <v/>
      </c>
      <c r="AU396" s="256" t="str">
        <f t="shared" si="202"/>
        <v/>
      </c>
      <c r="AV396" s="256" t="str">
        <f t="shared" si="203"/>
        <v/>
      </c>
      <c r="AW396" s="267"/>
      <c r="AX396" s="255"/>
      <c r="AY396" s="259" t="str">
        <f>IF(AX396&lt;&gt;"",AX396/VLOOKUP($V396,Setup!$C$30:$D$41,2,0),"")</f>
        <v/>
      </c>
      <c r="AZ396" s="268"/>
      <c r="BA396" s="258" t="str">
        <f t="shared" si="204"/>
        <v/>
      </c>
      <c r="BB396" s="268"/>
      <c r="BC396" s="258" t="str">
        <f t="shared" si="205"/>
        <v/>
      </c>
      <c r="BD396" s="268"/>
      <c r="BE396" s="258" t="str">
        <f t="shared" si="206"/>
        <v/>
      </c>
      <c r="BF396" s="268"/>
      <c r="BG396" s="256" t="str">
        <f t="shared" si="207"/>
        <v/>
      </c>
      <c r="BH396" s="256" t="str">
        <f t="shared" si="208"/>
        <v/>
      </c>
      <c r="BI396" s="256" t="str">
        <f t="shared" si="209"/>
        <v/>
      </c>
      <c r="BJ396" s="267"/>
      <c r="BK396" s="255"/>
      <c r="BL396" s="259" t="str">
        <f>IF(BK396&lt;&gt;"",BK396/VLOOKUP($V396,Setup!$C$30:$D$41,2,0),"")</f>
        <v/>
      </c>
      <c r="BM396" s="268"/>
      <c r="BN396" s="258" t="str">
        <f t="shared" si="210"/>
        <v/>
      </c>
      <c r="BO396" s="268"/>
      <c r="BP396" s="258" t="str">
        <f t="shared" si="211"/>
        <v/>
      </c>
      <c r="BQ396" s="268"/>
      <c r="BR396" s="258" t="str">
        <f t="shared" si="212"/>
        <v/>
      </c>
      <c r="BS396" s="268"/>
      <c r="BT396" s="256" t="str">
        <f t="shared" si="213"/>
        <v/>
      </c>
      <c r="BU396" s="256" t="str">
        <f t="shared" si="214"/>
        <v/>
      </c>
      <c r="BV396" s="256" t="str">
        <f t="shared" si="215"/>
        <v/>
      </c>
      <c r="BW396" s="267"/>
      <c r="BX396" s="256" t="str">
        <f t="shared" si="216"/>
        <v/>
      </c>
      <c r="BY396" s="256" t="str">
        <f t="shared" si="217"/>
        <v/>
      </c>
      <c r="BZ396" s="281"/>
      <c r="CA396" s="282"/>
      <c r="CC396" s="112" t="str">
        <f t="shared" ca="1" si="218"/>
        <v/>
      </c>
      <c r="CF396" s="284"/>
      <c r="CG396" s="284"/>
      <c r="CH396" s="284"/>
      <c r="CI396" s="284"/>
      <c r="CL396" s="356" t="str">
        <f>IFERROR(VLOOKUP(C396,'Data Sheet'!$A$3:$B$26,2,FALSE),"")</f>
        <v/>
      </c>
    </row>
    <row r="397" spans="1:90" s="98" customFormat="1" ht="15.75" x14ac:dyDescent="0.2">
      <c r="A397" s="97"/>
      <c r="B397" s="105" t="str">
        <f t="shared" si="191"/>
        <v>--</v>
      </c>
      <c r="C397" s="276"/>
      <c r="D397" s="101" t="str">
        <f>IFERROR(IF(VLOOKUP(C397,'Data Sheet'!$A$3:$D$26,4,FALSE)=0,"",VLOOKUP(C397,'Data Sheet'!$A$3:$D$26,4,FALSE)),"")</f>
        <v/>
      </c>
      <c r="E397" s="279"/>
      <c r="F397" s="103" t="str">
        <f>IFERROR(IF(VLOOKUP(E397,'Data Sheet'!$C$29:$E$174,3,FALSE)=0,"",VLOOKUP(E397,'Data Sheet'!$C$29:$E$174,3,FALSE)),"")</f>
        <v/>
      </c>
      <c r="G397" s="106" t="str">
        <f t="shared" si="219"/>
        <v>-</v>
      </c>
      <c r="H397" s="273"/>
      <c r="I397" s="107"/>
      <c r="J397" s="249" t="e">
        <f t="shared" si="220"/>
        <v>#VALUE!</v>
      </c>
      <c r="K397" s="101" t="str">
        <f>IFERROR(INDEX('Data Sheet'!$C$198:$C$275,MATCH(I397,'Data Sheet'!$F$198:$F$275,0)),"")</f>
        <v/>
      </c>
      <c r="L397" s="250" t="str">
        <f>IFERROR(INDEX('Data Sheet'!$G$198:$G$275,MATCH(I397,'Data Sheet'!$F$198:$F$275,0)),"")</f>
        <v/>
      </c>
      <c r="M397" s="194"/>
      <c r="N397" s="248"/>
      <c r="O397" s="248"/>
      <c r="P397" s="108" t="str">
        <f>IFERROR(INDEX(Setup!$D$44:$D$70,MATCH(M397,Setup!$K$44:$K$70,0))&amp;"","")</f>
        <v/>
      </c>
      <c r="Q397" s="108" t="str">
        <f>IFERROR(INDEX(Setup!$E$44:$E$70,MATCH(M397,Setup!$K$44:$K$70,0))&amp;"","")</f>
        <v/>
      </c>
      <c r="R397" s="108" t="str">
        <f>IFERROR(INDEX(Setup!$L$44:$L$70,MATCH(M397,Setup!$K$44:$K$70,0))&amp;"","")</f>
        <v/>
      </c>
      <c r="S397" s="108" t="str">
        <f>Setup!$C$30</f>
        <v>USD</v>
      </c>
      <c r="T397" s="109" t="str">
        <f>IFERROR(INDEX('Data Sheet'!$B$198:$B$275,MATCH(I397,'Data Sheet'!$F$198:$F$275,0)),"")</f>
        <v/>
      </c>
      <c r="U397" s="110" t="str">
        <f>IFERROR(INDEX('Data Sheet'!$D$198:$D$275,MATCH(I397,'Data Sheet'!$F$198:$F$275,0)),"")</f>
        <v/>
      </c>
      <c r="V397" s="99"/>
      <c r="W397" s="195" t="str">
        <f>IF(V397=Setup!$C$30,"Grant",IF(V397=Setup!$C$31,"Local",IF(V397=Setup!$C$32,"Other",IF(ISBLANK(V397),"","Other"))))</f>
        <v/>
      </c>
      <c r="X397" s="255"/>
      <c r="Y397" s="259" t="str">
        <f>IF(X397&lt;&gt;"",X397/VLOOKUP($V397,Setup!$C$30:$D$41,2,0),"")</f>
        <v/>
      </c>
      <c r="Z397" s="262"/>
      <c r="AA397" s="256" t="str">
        <f t="shared" si="192"/>
        <v/>
      </c>
      <c r="AB397" s="262"/>
      <c r="AC397" s="258" t="str">
        <f t="shared" si="193"/>
        <v/>
      </c>
      <c r="AD397" s="262"/>
      <c r="AE397" s="258" t="str">
        <f t="shared" si="194"/>
        <v/>
      </c>
      <c r="AF397" s="262"/>
      <c r="AG397" s="256" t="str">
        <f t="shared" si="195"/>
        <v/>
      </c>
      <c r="AH397" s="256" t="str">
        <f t="shared" si="196"/>
        <v/>
      </c>
      <c r="AI397" s="256" t="str">
        <f t="shared" si="197"/>
        <v/>
      </c>
      <c r="AJ397" s="111"/>
      <c r="AK397" s="255"/>
      <c r="AL397" s="259" t="str">
        <f>IF(AK397&lt;&gt;"",AK397/VLOOKUP($V397,Setup!$C$30:$D$41,2,0),"")</f>
        <v/>
      </c>
      <c r="AM397" s="266"/>
      <c r="AN397" s="258" t="str">
        <f t="shared" si="198"/>
        <v/>
      </c>
      <c r="AO397" s="266"/>
      <c r="AP397" s="258" t="str">
        <f t="shared" si="199"/>
        <v/>
      </c>
      <c r="AQ397" s="266"/>
      <c r="AR397" s="258" t="str">
        <f t="shared" si="200"/>
        <v/>
      </c>
      <c r="AS397" s="266"/>
      <c r="AT397" s="256" t="str">
        <f t="shared" si="201"/>
        <v/>
      </c>
      <c r="AU397" s="256" t="str">
        <f t="shared" si="202"/>
        <v/>
      </c>
      <c r="AV397" s="256" t="str">
        <f t="shared" si="203"/>
        <v/>
      </c>
      <c r="AW397" s="267"/>
      <c r="AX397" s="255"/>
      <c r="AY397" s="259" t="str">
        <f>IF(AX397&lt;&gt;"",AX397/VLOOKUP($V397,Setup!$C$30:$D$41,2,0),"")</f>
        <v/>
      </c>
      <c r="AZ397" s="268"/>
      <c r="BA397" s="258" t="str">
        <f t="shared" si="204"/>
        <v/>
      </c>
      <c r="BB397" s="268"/>
      <c r="BC397" s="258" t="str">
        <f t="shared" si="205"/>
        <v/>
      </c>
      <c r="BD397" s="268"/>
      <c r="BE397" s="258" t="str">
        <f t="shared" si="206"/>
        <v/>
      </c>
      <c r="BF397" s="268"/>
      <c r="BG397" s="256" t="str">
        <f t="shared" si="207"/>
        <v/>
      </c>
      <c r="BH397" s="256" t="str">
        <f t="shared" si="208"/>
        <v/>
      </c>
      <c r="BI397" s="256" t="str">
        <f t="shared" si="209"/>
        <v/>
      </c>
      <c r="BJ397" s="267"/>
      <c r="BK397" s="255"/>
      <c r="BL397" s="259" t="str">
        <f>IF(BK397&lt;&gt;"",BK397/VLOOKUP($V397,Setup!$C$30:$D$41,2,0),"")</f>
        <v/>
      </c>
      <c r="BM397" s="268"/>
      <c r="BN397" s="258" t="str">
        <f t="shared" si="210"/>
        <v/>
      </c>
      <c r="BO397" s="268"/>
      <c r="BP397" s="258" t="str">
        <f t="shared" si="211"/>
        <v/>
      </c>
      <c r="BQ397" s="268"/>
      <c r="BR397" s="258" t="str">
        <f t="shared" si="212"/>
        <v/>
      </c>
      <c r="BS397" s="268"/>
      <c r="BT397" s="256" t="str">
        <f t="shared" si="213"/>
        <v/>
      </c>
      <c r="BU397" s="256" t="str">
        <f t="shared" si="214"/>
        <v/>
      </c>
      <c r="BV397" s="256" t="str">
        <f t="shared" si="215"/>
        <v/>
      </c>
      <c r="BW397" s="267"/>
      <c r="BX397" s="256" t="str">
        <f t="shared" si="216"/>
        <v/>
      </c>
      <c r="BY397" s="256" t="str">
        <f t="shared" si="217"/>
        <v/>
      </c>
      <c r="BZ397" s="281"/>
      <c r="CA397" s="282"/>
      <c r="CC397" s="112" t="str">
        <f t="shared" ca="1" si="218"/>
        <v/>
      </c>
      <c r="CF397" s="284"/>
      <c r="CG397" s="284"/>
      <c r="CH397" s="284"/>
      <c r="CI397" s="284"/>
      <c r="CL397" s="356" t="str">
        <f>IFERROR(VLOOKUP(C397,'Data Sheet'!$A$3:$B$26,2,FALSE),"")</f>
        <v/>
      </c>
    </row>
    <row r="398" spans="1:90" s="98" customFormat="1" ht="15.75" x14ac:dyDescent="0.2">
      <c r="A398" s="97"/>
      <c r="B398" s="105" t="str">
        <f t="shared" ref="B398:B461" si="221">CONCATENATE(D398,"-",F398,"-",N398)</f>
        <v>--</v>
      </c>
      <c r="C398" s="276"/>
      <c r="D398" s="101" t="str">
        <f>IFERROR(IF(VLOOKUP(C398,'Data Sheet'!$A$3:$D$26,4,FALSE)=0,"",VLOOKUP(C398,'Data Sheet'!$A$3:$D$26,4,FALSE)),"")</f>
        <v/>
      </c>
      <c r="E398" s="279"/>
      <c r="F398" s="103" t="str">
        <f>IFERROR(IF(VLOOKUP(E398,'Data Sheet'!$C$29:$E$174,3,FALSE)=0,"",VLOOKUP(E398,'Data Sheet'!$C$29:$E$174,3,FALSE)),"")</f>
        <v/>
      </c>
      <c r="G398" s="106" t="str">
        <f t="shared" si="219"/>
        <v>-</v>
      </c>
      <c r="H398" s="273"/>
      <c r="I398" s="107"/>
      <c r="J398" s="249" t="e">
        <f t="shared" si="220"/>
        <v>#VALUE!</v>
      </c>
      <c r="K398" s="101" t="str">
        <f>IFERROR(INDEX('Data Sheet'!$C$198:$C$275,MATCH(I398,'Data Sheet'!$F$198:$F$275,0)),"")</f>
        <v/>
      </c>
      <c r="L398" s="250" t="str">
        <f>IFERROR(INDEX('Data Sheet'!$G$198:$G$275,MATCH(I398,'Data Sheet'!$F$198:$F$275,0)),"")</f>
        <v/>
      </c>
      <c r="M398" s="194"/>
      <c r="N398" s="248"/>
      <c r="O398" s="248"/>
      <c r="P398" s="108" t="str">
        <f>IFERROR(INDEX(Setup!$D$44:$D$70,MATCH(M398,Setup!$K$44:$K$70,0))&amp;"","")</f>
        <v/>
      </c>
      <c r="Q398" s="108" t="str">
        <f>IFERROR(INDEX(Setup!$E$44:$E$70,MATCH(M398,Setup!$K$44:$K$70,0))&amp;"","")</f>
        <v/>
      </c>
      <c r="R398" s="108" t="str">
        <f>IFERROR(INDEX(Setup!$L$44:$L$70,MATCH(M398,Setup!$K$44:$K$70,0))&amp;"","")</f>
        <v/>
      </c>
      <c r="S398" s="108" t="str">
        <f>Setup!$C$30</f>
        <v>USD</v>
      </c>
      <c r="T398" s="109" t="str">
        <f>IFERROR(INDEX('Data Sheet'!$B$198:$B$275,MATCH(I398,'Data Sheet'!$F$198:$F$275,0)),"")</f>
        <v/>
      </c>
      <c r="U398" s="110" t="str">
        <f>IFERROR(INDEX('Data Sheet'!$D$198:$D$275,MATCH(I398,'Data Sheet'!$F$198:$F$275,0)),"")</f>
        <v/>
      </c>
      <c r="V398" s="99"/>
      <c r="W398" s="195" t="str">
        <f>IF(V398=Setup!$C$30,"Grant",IF(V398=Setup!$C$31,"Local",IF(V398=Setup!$C$32,"Other",IF(ISBLANK(V398),"","Other"))))</f>
        <v/>
      </c>
      <c r="X398" s="255"/>
      <c r="Y398" s="259" t="str">
        <f>IF(X398&lt;&gt;"",X398/VLOOKUP($V398,Setup!$C$30:$D$41,2,0),"")</f>
        <v/>
      </c>
      <c r="Z398" s="262"/>
      <c r="AA398" s="256" t="str">
        <f t="shared" si="192"/>
        <v/>
      </c>
      <c r="AB398" s="262"/>
      <c r="AC398" s="258" t="str">
        <f t="shared" si="193"/>
        <v/>
      </c>
      <c r="AD398" s="262"/>
      <c r="AE398" s="258" t="str">
        <f t="shared" si="194"/>
        <v/>
      </c>
      <c r="AF398" s="262"/>
      <c r="AG398" s="256" t="str">
        <f t="shared" si="195"/>
        <v/>
      </c>
      <c r="AH398" s="256" t="str">
        <f t="shared" si="196"/>
        <v/>
      </c>
      <c r="AI398" s="256" t="str">
        <f t="shared" si="197"/>
        <v/>
      </c>
      <c r="AJ398" s="111"/>
      <c r="AK398" s="255"/>
      <c r="AL398" s="259" t="str">
        <f>IF(AK398&lt;&gt;"",AK398/VLOOKUP($V398,Setup!$C$30:$D$41,2,0),"")</f>
        <v/>
      </c>
      <c r="AM398" s="266"/>
      <c r="AN398" s="258" t="str">
        <f t="shared" si="198"/>
        <v/>
      </c>
      <c r="AO398" s="266"/>
      <c r="AP398" s="258" t="str">
        <f t="shared" si="199"/>
        <v/>
      </c>
      <c r="AQ398" s="266"/>
      <c r="AR398" s="258" t="str">
        <f t="shared" si="200"/>
        <v/>
      </c>
      <c r="AS398" s="266"/>
      <c r="AT398" s="256" t="str">
        <f t="shared" si="201"/>
        <v/>
      </c>
      <c r="AU398" s="256" t="str">
        <f t="shared" si="202"/>
        <v/>
      </c>
      <c r="AV398" s="256" t="str">
        <f t="shared" si="203"/>
        <v/>
      </c>
      <c r="AW398" s="267"/>
      <c r="AX398" s="255"/>
      <c r="AY398" s="259" t="str">
        <f>IF(AX398&lt;&gt;"",AX398/VLOOKUP($V398,Setup!$C$30:$D$41,2,0),"")</f>
        <v/>
      </c>
      <c r="AZ398" s="268"/>
      <c r="BA398" s="258" t="str">
        <f t="shared" si="204"/>
        <v/>
      </c>
      <c r="BB398" s="268"/>
      <c r="BC398" s="258" t="str">
        <f t="shared" si="205"/>
        <v/>
      </c>
      <c r="BD398" s="268"/>
      <c r="BE398" s="258" t="str">
        <f t="shared" si="206"/>
        <v/>
      </c>
      <c r="BF398" s="268"/>
      <c r="BG398" s="256" t="str">
        <f t="shared" si="207"/>
        <v/>
      </c>
      <c r="BH398" s="256" t="str">
        <f t="shared" si="208"/>
        <v/>
      </c>
      <c r="BI398" s="256" t="str">
        <f t="shared" si="209"/>
        <v/>
      </c>
      <c r="BJ398" s="267"/>
      <c r="BK398" s="255"/>
      <c r="BL398" s="259" t="str">
        <f>IF(BK398&lt;&gt;"",BK398/VLOOKUP($V398,Setup!$C$30:$D$41,2,0),"")</f>
        <v/>
      </c>
      <c r="BM398" s="268"/>
      <c r="BN398" s="258" t="str">
        <f t="shared" si="210"/>
        <v/>
      </c>
      <c r="BO398" s="268"/>
      <c r="BP398" s="258" t="str">
        <f t="shared" si="211"/>
        <v/>
      </c>
      <c r="BQ398" s="268"/>
      <c r="BR398" s="258" t="str">
        <f t="shared" si="212"/>
        <v/>
      </c>
      <c r="BS398" s="268"/>
      <c r="BT398" s="256" t="str">
        <f t="shared" si="213"/>
        <v/>
      </c>
      <c r="BU398" s="256" t="str">
        <f t="shared" si="214"/>
        <v/>
      </c>
      <c r="BV398" s="256" t="str">
        <f t="shared" si="215"/>
        <v/>
      </c>
      <c r="BW398" s="267"/>
      <c r="BX398" s="256" t="str">
        <f t="shared" si="216"/>
        <v/>
      </c>
      <c r="BY398" s="256" t="str">
        <f t="shared" si="217"/>
        <v/>
      </c>
      <c r="BZ398" s="281"/>
      <c r="CA398" s="282"/>
      <c r="CC398" s="112" t="str">
        <f t="shared" ca="1" si="218"/>
        <v/>
      </c>
      <c r="CF398" s="284"/>
      <c r="CG398" s="284"/>
      <c r="CH398" s="284"/>
      <c r="CI398" s="284"/>
      <c r="CL398" s="356" t="str">
        <f>IFERROR(VLOOKUP(C398,'Data Sheet'!$A$3:$B$26,2,FALSE),"")</f>
        <v/>
      </c>
    </row>
    <row r="399" spans="1:90" s="98" customFormat="1" ht="15.75" x14ac:dyDescent="0.2">
      <c r="A399" s="97"/>
      <c r="B399" s="105" t="str">
        <f t="shared" si="221"/>
        <v>--</v>
      </c>
      <c r="C399" s="276"/>
      <c r="D399" s="101" t="str">
        <f>IFERROR(IF(VLOOKUP(C399,'Data Sheet'!$A$3:$D$26,4,FALSE)=0,"",VLOOKUP(C399,'Data Sheet'!$A$3:$D$26,4,FALSE)),"")</f>
        <v/>
      </c>
      <c r="E399" s="279"/>
      <c r="F399" s="103" t="str">
        <f>IFERROR(IF(VLOOKUP(E399,'Data Sheet'!$C$29:$E$174,3,FALSE)=0,"",VLOOKUP(E399,'Data Sheet'!$C$29:$E$174,3,FALSE)),"")</f>
        <v/>
      </c>
      <c r="G399" s="106" t="str">
        <f t="shared" si="219"/>
        <v>-</v>
      </c>
      <c r="H399" s="273"/>
      <c r="I399" s="107"/>
      <c r="J399" s="249" t="e">
        <f t="shared" si="220"/>
        <v>#VALUE!</v>
      </c>
      <c r="K399" s="101" t="str">
        <f>IFERROR(INDEX('Data Sheet'!$C$198:$C$275,MATCH(I399,'Data Sheet'!$F$198:$F$275,0)),"")</f>
        <v/>
      </c>
      <c r="L399" s="250" t="str">
        <f>IFERROR(INDEX('Data Sheet'!$G$198:$G$275,MATCH(I399,'Data Sheet'!$F$198:$F$275,0)),"")</f>
        <v/>
      </c>
      <c r="M399" s="194"/>
      <c r="N399" s="248"/>
      <c r="O399" s="248"/>
      <c r="P399" s="108" t="str">
        <f>IFERROR(INDEX(Setup!$D$44:$D$70,MATCH(M399,Setup!$K$44:$K$70,0))&amp;"","")</f>
        <v/>
      </c>
      <c r="Q399" s="108" t="str">
        <f>IFERROR(INDEX(Setup!$E$44:$E$70,MATCH(M399,Setup!$K$44:$K$70,0))&amp;"","")</f>
        <v/>
      </c>
      <c r="R399" s="108" t="str">
        <f>IFERROR(INDEX(Setup!$L$44:$L$70,MATCH(M399,Setup!$K$44:$K$70,0))&amp;"","")</f>
        <v/>
      </c>
      <c r="S399" s="108" t="str">
        <f>Setup!$C$30</f>
        <v>USD</v>
      </c>
      <c r="T399" s="109" t="str">
        <f>IFERROR(INDEX('Data Sheet'!$B$198:$B$275,MATCH(I399,'Data Sheet'!$F$198:$F$275,0)),"")</f>
        <v/>
      </c>
      <c r="U399" s="110" t="str">
        <f>IFERROR(INDEX('Data Sheet'!$D$198:$D$275,MATCH(I399,'Data Sheet'!$F$198:$F$275,0)),"")</f>
        <v/>
      </c>
      <c r="V399" s="99"/>
      <c r="W399" s="195" t="str">
        <f>IF(V399=Setup!$C$30,"Grant",IF(V399=Setup!$C$31,"Local",IF(V399=Setup!$C$32,"Other",IF(ISBLANK(V399),"","Other"))))</f>
        <v/>
      </c>
      <c r="X399" s="255"/>
      <c r="Y399" s="259" t="str">
        <f>IF(X399&lt;&gt;"",X399/VLOOKUP($V399,Setup!$C$30:$D$41,2,0),"")</f>
        <v/>
      </c>
      <c r="Z399" s="262"/>
      <c r="AA399" s="256" t="str">
        <f t="shared" si="192"/>
        <v/>
      </c>
      <c r="AB399" s="262"/>
      <c r="AC399" s="258" t="str">
        <f t="shared" si="193"/>
        <v/>
      </c>
      <c r="AD399" s="262"/>
      <c r="AE399" s="258" t="str">
        <f t="shared" si="194"/>
        <v/>
      </c>
      <c r="AF399" s="262"/>
      <c r="AG399" s="256" t="str">
        <f t="shared" si="195"/>
        <v/>
      </c>
      <c r="AH399" s="256" t="str">
        <f t="shared" si="196"/>
        <v/>
      </c>
      <c r="AI399" s="256" t="str">
        <f t="shared" si="197"/>
        <v/>
      </c>
      <c r="AJ399" s="111"/>
      <c r="AK399" s="255"/>
      <c r="AL399" s="259" t="str">
        <f>IF(AK399&lt;&gt;"",AK399/VLOOKUP($V399,Setup!$C$30:$D$41,2,0),"")</f>
        <v/>
      </c>
      <c r="AM399" s="266"/>
      <c r="AN399" s="258" t="str">
        <f t="shared" si="198"/>
        <v/>
      </c>
      <c r="AO399" s="266"/>
      <c r="AP399" s="258" t="str">
        <f t="shared" si="199"/>
        <v/>
      </c>
      <c r="AQ399" s="266"/>
      <c r="AR399" s="258" t="str">
        <f t="shared" si="200"/>
        <v/>
      </c>
      <c r="AS399" s="266"/>
      <c r="AT399" s="256" t="str">
        <f t="shared" si="201"/>
        <v/>
      </c>
      <c r="AU399" s="256" t="str">
        <f t="shared" si="202"/>
        <v/>
      </c>
      <c r="AV399" s="256" t="str">
        <f t="shared" si="203"/>
        <v/>
      </c>
      <c r="AW399" s="267"/>
      <c r="AX399" s="255"/>
      <c r="AY399" s="259" t="str">
        <f>IF(AX399&lt;&gt;"",AX399/VLOOKUP($V399,Setup!$C$30:$D$41,2,0),"")</f>
        <v/>
      </c>
      <c r="AZ399" s="268"/>
      <c r="BA399" s="258" t="str">
        <f t="shared" si="204"/>
        <v/>
      </c>
      <c r="BB399" s="268"/>
      <c r="BC399" s="258" t="str">
        <f t="shared" si="205"/>
        <v/>
      </c>
      <c r="BD399" s="268"/>
      <c r="BE399" s="258" t="str">
        <f t="shared" si="206"/>
        <v/>
      </c>
      <c r="BF399" s="268"/>
      <c r="BG399" s="256" t="str">
        <f t="shared" si="207"/>
        <v/>
      </c>
      <c r="BH399" s="256" t="str">
        <f t="shared" si="208"/>
        <v/>
      </c>
      <c r="BI399" s="256" t="str">
        <f t="shared" si="209"/>
        <v/>
      </c>
      <c r="BJ399" s="267"/>
      <c r="BK399" s="255"/>
      <c r="BL399" s="259" t="str">
        <f>IF(BK399&lt;&gt;"",BK399/VLOOKUP($V399,Setup!$C$30:$D$41,2,0),"")</f>
        <v/>
      </c>
      <c r="BM399" s="268"/>
      <c r="BN399" s="258" t="str">
        <f t="shared" si="210"/>
        <v/>
      </c>
      <c r="BO399" s="268"/>
      <c r="BP399" s="258" t="str">
        <f t="shared" si="211"/>
        <v/>
      </c>
      <c r="BQ399" s="268"/>
      <c r="BR399" s="258" t="str">
        <f t="shared" si="212"/>
        <v/>
      </c>
      <c r="BS399" s="268"/>
      <c r="BT399" s="256" t="str">
        <f t="shared" si="213"/>
        <v/>
      </c>
      <c r="BU399" s="256" t="str">
        <f t="shared" si="214"/>
        <v/>
      </c>
      <c r="BV399" s="256" t="str">
        <f t="shared" si="215"/>
        <v/>
      </c>
      <c r="BW399" s="267"/>
      <c r="BX399" s="256" t="str">
        <f t="shared" si="216"/>
        <v/>
      </c>
      <c r="BY399" s="256" t="str">
        <f t="shared" si="217"/>
        <v/>
      </c>
      <c r="BZ399" s="281"/>
      <c r="CA399" s="282"/>
      <c r="CC399" s="112" t="str">
        <f t="shared" ca="1" si="218"/>
        <v/>
      </c>
      <c r="CF399" s="284"/>
      <c r="CG399" s="284"/>
      <c r="CH399" s="284"/>
      <c r="CI399" s="284"/>
      <c r="CL399" s="356" t="str">
        <f>IFERROR(VLOOKUP(C399,'Data Sheet'!$A$3:$B$26,2,FALSE),"")</f>
        <v/>
      </c>
    </row>
    <row r="400" spans="1:90" s="98" customFormat="1" ht="15.75" x14ac:dyDescent="0.2">
      <c r="A400" s="97"/>
      <c r="B400" s="105" t="str">
        <f t="shared" si="221"/>
        <v>--</v>
      </c>
      <c r="C400" s="276"/>
      <c r="D400" s="101" t="str">
        <f>IFERROR(IF(VLOOKUP(C400,'Data Sheet'!$A$3:$D$26,4,FALSE)=0,"",VLOOKUP(C400,'Data Sheet'!$A$3:$D$26,4,FALSE)),"")</f>
        <v/>
      </c>
      <c r="E400" s="279"/>
      <c r="F400" s="103" t="str">
        <f>IFERROR(IF(VLOOKUP(E400,'Data Sheet'!$C$29:$E$174,3,FALSE)=0,"",VLOOKUP(E400,'Data Sheet'!$C$29:$E$174,3,FALSE)),"")</f>
        <v/>
      </c>
      <c r="G400" s="106" t="str">
        <f t="shared" si="219"/>
        <v>-</v>
      </c>
      <c r="H400" s="273"/>
      <c r="I400" s="107"/>
      <c r="J400" s="249" t="e">
        <f t="shared" si="220"/>
        <v>#VALUE!</v>
      </c>
      <c r="K400" s="101" t="str">
        <f>IFERROR(INDEX('Data Sheet'!$C$198:$C$275,MATCH(I400,'Data Sheet'!$F$198:$F$275,0)),"")</f>
        <v/>
      </c>
      <c r="L400" s="250" t="str">
        <f>IFERROR(INDEX('Data Sheet'!$G$198:$G$275,MATCH(I400,'Data Sheet'!$F$198:$F$275,0)),"")</f>
        <v/>
      </c>
      <c r="M400" s="194"/>
      <c r="N400" s="248"/>
      <c r="O400" s="248"/>
      <c r="P400" s="108" t="str">
        <f>IFERROR(INDEX(Setup!$D$44:$D$70,MATCH(M400,Setup!$K$44:$K$70,0))&amp;"","")</f>
        <v/>
      </c>
      <c r="Q400" s="108" t="str">
        <f>IFERROR(INDEX(Setup!$E$44:$E$70,MATCH(M400,Setup!$K$44:$K$70,0))&amp;"","")</f>
        <v/>
      </c>
      <c r="R400" s="108" t="str">
        <f>IFERROR(INDEX(Setup!$L$44:$L$70,MATCH(M400,Setup!$K$44:$K$70,0))&amp;"","")</f>
        <v/>
      </c>
      <c r="S400" s="108" t="str">
        <f>Setup!$C$30</f>
        <v>USD</v>
      </c>
      <c r="T400" s="109" t="str">
        <f>IFERROR(INDEX('Data Sheet'!$B$198:$B$275,MATCH(I400,'Data Sheet'!$F$198:$F$275,0)),"")</f>
        <v/>
      </c>
      <c r="U400" s="110" t="str">
        <f>IFERROR(INDEX('Data Sheet'!$D$198:$D$275,MATCH(I400,'Data Sheet'!$F$198:$F$275,0)),"")</f>
        <v/>
      </c>
      <c r="V400" s="99"/>
      <c r="W400" s="195" t="str">
        <f>IF(V400=Setup!$C$30,"Grant",IF(V400=Setup!$C$31,"Local",IF(V400=Setup!$C$32,"Other",IF(ISBLANK(V400),"","Other"))))</f>
        <v/>
      </c>
      <c r="X400" s="255"/>
      <c r="Y400" s="259" t="str">
        <f>IF(X400&lt;&gt;"",X400/VLOOKUP($V400,Setup!$C$30:$D$41,2,0),"")</f>
        <v/>
      </c>
      <c r="Z400" s="262"/>
      <c r="AA400" s="256" t="str">
        <f t="shared" si="192"/>
        <v/>
      </c>
      <c r="AB400" s="262"/>
      <c r="AC400" s="258" t="str">
        <f t="shared" si="193"/>
        <v/>
      </c>
      <c r="AD400" s="262"/>
      <c r="AE400" s="258" t="str">
        <f t="shared" si="194"/>
        <v/>
      </c>
      <c r="AF400" s="262"/>
      <c r="AG400" s="256" t="str">
        <f t="shared" si="195"/>
        <v/>
      </c>
      <c r="AH400" s="256" t="str">
        <f t="shared" si="196"/>
        <v/>
      </c>
      <c r="AI400" s="256" t="str">
        <f t="shared" si="197"/>
        <v/>
      </c>
      <c r="AJ400" s="111"/>
      <c r="AK400" s="255"/>
      <c r="AL400" s="259" t="str">
        <f>IF(AK400&lt;&gt;"",AK400/VLOOKUP($V400,Setup!$C$30:$D$41,2,0),"")</f>
        <v/>
      </c>
      <c r="AM400" s="266"/>
      <c r="AN400" s="258" t="str">
        <f t="shared" si="198"/>
        <v/>
      </c>
      <c r="AO400" s="266"/>
      <c r="AP400" s="258" t="str">
        <f t="shared" si="199"/>
        <v/>
      </c>
      <c r="AQ400" s="266"/>
      <c r="AR400" s="258" t="str">
        <f t="shared" si="200"/>
        <v/>
      </c>
      <c r="AS400" s="266"/>
      <c r="AT400" s="256" t="str">
        <f t="shared" si="201"/>
        <v/>
      </c>
      <c r="AU400" s="256" t="str">
        <f t="shared" si="202"/>
        <v/>
      </c>
      <c r="AV400" s="256" t="str">
        <f t="shared" si="203"/>
        <v/>
      </c>
      <c r="AW400" s="267"/>
      <c r="AX400" s="255"/>
      <c r="AY400" s="259" t="str">
        <f>IF(AX400&lt;&gt;"",AX400/VLOOKUP($V400,Setup!$C$30:$D$41,2,0),"")</f>
        <v/>
      </c>
      <c r="AZ400" s="268"/>
      <c r="BA400" s="258" t="str">
        <f t="shared" si="204"/>
        <v/>
      </c>
      <c r="BB400" s="268"/>
      <c r="BC400" s="258" t="str">
        <f t="shared" si="205"/>
        <v/>
      </c>
      <c r="BD400" s="268"/>
      <c r="BE400" s="258" t="str">
        <f t="shared" si="206"/>
        <v/>
      </c>
      <c r="BF400" s="268"/>
      <c r="BG400" s="256" t="str">
        <f t="shared" si="207"/>
        <v/>
      </c>
      <c r="BH400" s="256" t="str">
        <f t="shared" si="208"/>
        <v/>
      </c>
      <c r="BI400" s="256" t="str">
        <f t="shared" si="209"/>
        <v/>
      </c>
      <c r="BJ400" s="267"/>
      <c r="BK400" s="255"/>
      <c r="BL400" s="259" t="str">
        <f>IF(BK400&lt;&gt;"",BK400/VLOOKUP($V400,Setup!$C$30:$D$41,2,0),"")</f>
        <v/>
      </c>
      <c r="BM400" s="268"/>
      <c r="BN400" s="258" t="str">
        <f t="shared" si="210"/>
        <v/>
      </c>
      <c r="BO400" s="268"/>
      <c r="BP400" s="258" t="str">
        <f t="shared" si="211"/>
        <v/>
      </c>
      <c r="BQ400" s="268"/>
      <c r="BR400" s="258" t="str">
        <f t="shared" si="212"/>
        <v/>
      </c>
      <c r="BS400" s="268"/>
      <c r="BT400" s="256" t="str">
        <f t="shared" si="213"/>
        <v/>
      </c>
      <c r="BU400" s="256" t="str">
        <f t="shared" si="214"/>
        <v/>
      </c>
      <c r="BV400" s="256" t="str">
        <f t="shared" si="215"/>
        <v/>
      </c>
      <c r="BW400" s="267"/>
      <c r="BX400" s="256" t="str">
        <f t="shared" si="216"/>
        <v/>
      </c>
      <c r="BY400" s="256" t="str">
        <f t="shared" si="217"/>
        <v/>
      </c>
      <c r="BZ400" s="281"/>
      <c r="CA400" s="282"/>
      <c r="CC400" s="112" t="str">
        <f t="shared" ca="1" si="218"/>
        <v/>
      </c>
      <c r="CF400" s="284"/>
      <c r="CG400" s="284"/>
      <c r="CH400" s="284"/>
      <c r="CI400" s="284"/>
      <c r="CL400" s="356" t="str">
        <f>IFERROR(VLOOKUP(C400,'Data Sheet'!$A$3:$B$26,2,FALSE),"")</f>
        <v/>
      </c>
    </row>
    <row r="401" spans="1:90" s="98" customFormat="1" ht="15.75" x14ac:dyDescent="0.2">
      <c r="A401" s="97"/>
      <c r="B401" s="105" t="str">
        <f t="shared" si="221"/>
        <v>--</v>
      </c>
      <c r="C401" s="276"/>
      <c r="D401" s="101" t="str">
        <f>IFERROR(IF(VLOOKUP(C401,'Data Sheet'!$A$3:$D$26,4,FALSE)=0,"",VLOOKUP(C401,'Data Sheet'!$A$3:$D$26,4,FALSE)),"")</f>
        <v/>
      </c>
      <c r="E401" s="279"/>
      <c r="F401" s="103" t="str">
        <f>IFERROR(IF(VLOOKUP(E401,'Data Sheet'!$C$29:$E$174,3,FALSE)=0,"",VLOOKUP(E401,'Data Sheet'!$C$29:$E$174,3,FALSE)),"")</f>
        <v/>
      </c>
      <c r="G401" s="106" t="str">
        <f t="shared" si="219"/>
        <v>-</v>
      </c>
      <c r="H401" s="273"/>
      <c r="I401" s="107"/>
      <c r="J401" s="249" t="e">
        <f t="shared" si="220"/>
        <v>#VALUE!</v>
      </c>
      <c r="K401" s="101" t="str">
        <f>IFERROR(INDEX('Data Sheet'!$C$198:$C$275,MATCH(I401,'Data Sheet'!$F$198:$F$275,0)),"")</f>
        <v/>
      </c>
      <c r="L401" s="250" t="str">
        <f>IFERROR(INDEX('Data Sheet'!$G$198:$G$275,MATCH(I401,'Data Sheet'!$F$198:$F$275,0)),"")</f>
        <v/>
      </c>
      <c r="M401" s="194"/>
      <c r="N401" s="248"/>
      <c r="O401" s="248"/>
      <c r="P401" s="108" t="str">
        <f>IFERROR(INDEX(Setup!$D$44:$D$70,MATCH(M401,Setup!$K$44:$K$70,0))&amp;"","")</f>
        <v/>
      </c>
      <c r="Q401" s="108" t="str">
        <f>IFERROR(INDEX(Setup!$E$44:$E$70,MATCH(M401,Setup!$K$44:$K$70,0))&amp;"","")</f>
        <v/>
      </c>
      <c r="R401" s="108" t="str">
        <f>IFERROR(INDEX(Setup!$L$44:$L$70,MATCH(M401,Setup!$K$44:$K$70,0))&amp;"","")</f>
        <v/>
      </c>
      <c r="S401" s="108" t="str">
        <f>Setup!$C$30</f>
        <v>USD</v>
      </c>
      <c r="T401" s="109" t="str">
        <f>IFERROR(INDEX('Data Sheet'!$B$198:$B$275,MATCH(I401,'Data Sheet'!$F$198:$F$275,0)),"")</f>
        <v/>
      </c>
      <c r="U401" s="110" t="str">
        <f>IFERROR(INDEX('Data Sheet'!$D$198:$D$275,MATCH(I401,'Data Sheet'!$F$198:$F$275,0)),"")</f>
        <v/>
      </c>
      <c r="V401" s="99"/>
      <c r="W401" s="195" t="str">
        <f>IF(V401=Setup!$C$30,"Grant",IF(V401=Setup!$C$31,"Local",IF(V401=Setup!$C$32,"Other",IF(ISBLANK(V401),"","Other"))))</f>
        <v/>
      </c>
      <c r="X401" s="255"/>
      <c r="Y401" s="259" t="str">
        <f>IF(X401&lt;&gt;"",X401/VLOOKUP($V401,Setup!$C$30:$D$41,2,0),"")</f>
        <v/>
      </c>
      <c r="Z401" s="262"/>
      <c r="AA401" s="256" t="str">
        <f t="shared" si="192"/>
        <v/>
      </c>
      <c r="AB401" s="262"/>
      <c r="AC401" s="258" t="str">
        <f t="shared" si="193"/>
        <v/>
      </c>
      <c r="AD401" s="262"/>
      <c r="AE401" s="258" t="str">
        <f t="shared" si="194"/>
        <v/>
      </c>
      <c r="AF401" s="262"/>
      <c r="AG401" s="256" t="str">
        <f t="shared" si="195"/>
        <v/>
      </c>
      <c r="AH401" s="256" t="str">
        <f t="shared" si="196"/>
        <v/>
      </c>
      <c r="AI401" s="256" t="str">
        <f t="shared" si="197"/>
        <v/>
      </c>
      <c r="AJ401" s="111"/>
      <c r="AK401" s="255"/>
      <c r="AL401" s="259" t="str">
        <f>IF(AK401&lt;&gt;"",AK401/VLOOKUP($V401,Setup!$C$30:$D$41,2,0),"")</f>
        <v/>
      </c>
      <c r="AM401" s="266"/>
      <c r="AN401" s="258" t="str">
        <f t="shared" si="198"/>
        <v/>
      </c>
      <c r="AO401" s="266"/>
      <c r="AP401" s="258" t="str">
        <f t="shared" si="199"/>
        <v/>
      </c>
      <c r="AQ401" s="266"/>
      <c r="AR401" s="258" t="str">
        <f t="shared" si="200"/>
        <v/>
      </c>
      <c r="AS401" s="266"/>
      <c r="AT401" s="256" t="str">
        <f t="shared" si="201"/>
        <v/>
      </c>
      <c r="AU401" s="256" t="str">
        <f t="shared" si="202"/>
        <v/>
      </c>
      <c r="AV401" s="256" t="str">
        <f t="shared" si="203"/>
        <v/>
      </c>
      <c r="AW401" s="267"/>
      <c r="AX401" s="255"/>
      <c r="AY401" s="259" t="str">
        <f>IF(AX401&lt;&gt;"",AX401/VLOOKUP($V401,Setup!$C$30:$D$41,2,0),"")</f>
        <v/>
      </c>
      <c r="AZ401" s="268"/>
      <c r="BA401" s="258" t="str">
        <f t="shared" si="204"/>
        <v/>
      </c>
      <c r="BB401" s="268"/>
      <c r="BC401" s="258" t="str">
        <f t="shared" si="205"/>
        <v/>
      </c>
      <c r="BD401" s="268"/>
      <c r="BE401" s="258" t="str">
        <f t="shared" si="206"/>
        <v/>
      </c>
      <c r="BF401" s="268"/>
      <c r="BG401" s="256" t="str">
        <f t="shared" si="207"/>
        <v/>
      </c>
      <c r="BH401" s="256" t="str">
        <f t="shared" si="208"/>
        <v/>
      </c>
      <c r="BI401" s="256" t="str">
        <f t="shared" si="209"/>
        <v/>
      </c>
      <c r="BJ401" s="267"/>
      <c r="BK401" s="255"/>
      <c r="BL401" s="259" t="str">
        <f>IF(BK401&lt;&gt;"",BK401/VLOOKUP($V401,Setup!$C$30:$D$41,2,0),"")</f>
        <v/>
      </c>
      <c r="BM401" s="268"/>
      <c r="BN401" s="258" t="str">
        <f t="shared" si="210"/>
        <v/>
      </c>
      <c r="BO401" s="268"/>
      <c r="BP401" s="258" t="str">
        <f t="shared" si="211"/>
        <v/>
      </c>
      <c r="BQ401" s="268"/>
      <c r="BR401" s="258" t="str">
        <f t="shared" si="212"/>
        <v/>
      </c>
      <c r="BS401" s="268"/>
      <c r="BT401" s="256" t="str">
        <f t="shared" si="213"/>
        <v/>
      </c>
      <c r="BU401" s="256" t="str">
        <f t="shared" si="214"/>
        <v/>
      </c>
      <c r="BV401" s="256" t="str">
        <f t="shared" si="215"/>
        <v/>
      </c>
      <c r="BW401" s="267"/>
      <c r="BX401" s="256" t="str">
        <f t="shared" si="216"/>
        <v/>
      </c>
      <c r="BY401" s="256" t="str">
        <f t="shared" si="217"/>
        <v/>
      </c>
      <c r="BZ401" s="281"/>
      <c r="CA401" s="282"/>
      <c r="CC401" s="112" t="str">
        <f t="shared" ca="1" si="218"/>
        <v/>
      </c>
      <c r="CF401" s="284"/>
      <c r="CG401" s="284"/>
      <c r="CH401" s="284"/>
      <c r="CI401" s="284"/>
      <c r="CL401" s="356" t="str">
        <f>IFERROR(VLOOKUP(C401,'Data Sheet'!$A$3:$B$26,2,FALSE),"")</f>
        <v/>
      </c>
    </row>
    <row r="402" spans="1:90" s="98" customFormat="1" ht="15.75" x14ac:dyDescent="0.2">
      <c r="A402" s="97"/>
      <c r="B402" s="105" t="str">
        <f t="shared" si="221"/>
        <v>--</v>
      </c>
      <c r="C402" s="276"/>
      <c r="D402" s="101" t="str">
        <f>IFERROR(IF(VLOOKUP(C402,'Data Sheet'!$A$3:$D$26,4,FALSE)=0,"",VLOOKUP(C402,'Data Sheet'!$A$3:$D$26,4,FALSE)),"")</f>
        <v/>
      </c>
      <c r="E402" s="279"/>
      <c r="F402" s="103" t="str">
        <f>IFERROR(IF(VLOOKUP(E402,'Data Sheet'!$C$29:$E$174,3,FALSE)=0,"",VLOOKUP(E402,'Data Sheet'!$C$29:$E$174,3,FALSE)),"")</f>
        <v/>
      </c>
      <c r="G402" s="106" t="str">
        <f t="shared" si="219"/>
        <v>-</v>
      </c>
      <c r="H402" s="273"/>
      <c r="I402" s="107"/>
      <c r="J402" s="249" t="e">
        <f t="shared" si="220"/>
        <v>#VALUE!</v>
      </c>
      <c r="K402" s="101" t="str">
        <f>IFERROR(INDEX('Data Sheet'!$C$198:$C$275,MATCH(I402,'Data Sheet'!$F$198:$F$275,0)),"")</f>
        <v/>
      </c>
      <c r="L402" s="250" t="str">
        <f>IFERROR(INDEX('Data Sheet'!$G$198:$G$275,MATCH(I402,'Data Sheet'!$F$198:$F$275,0)),"")</f>
        <v/>
      </c>
      <c r="M402" s="194"/>
      <c r="N402" s="248"/>
      <c r="O402" s="248"/>
      <c r="P402" s="108" t="str">
        <f>IFERROR(INDEX(Setup!$D$44:$D$70,MATCH(M402,Setup!$K$44:$K$70,0))&amp;"","")</f>
        <v/>
      </c>
      <c r="Q402" s="108" t="str">
        <f>IFERROR(INDEX(Setup!$E$44:$E$70,MATCH(M402,Setup!$K$44:$K$70,0))&amp;"","")</f>
        <v/>
      </c>
      <c r="R402" s="108" t="str">
        <f>IFERROR(INDEX(Setup!$L$44:$L$70,MATCH(M402,Setup!$K$44:$K$70,0))&amp;"","")</f>
        <v/>
      </c>
      <c r="S402" s="108" t="str">
        <f>Setup!$C$30</f>
        <v>USD</v>
      </c>
      <c r="T402" s="109" t="str">
        <f>IFERROR(INDEX('Data Sheet'!$B$198:$B$275,MATCH(I402,'Data Sheet'!$F$198:$F$275,0)),"")</f>
        <v/>
      </c>
      <c r="U402" s="110" t="str">
        <f>IFERROR(INDEX('Data Sheet'!$D$198:$D$275,MATCH(I402,'Data Sheet'!$F$198:$F$275,0)),"")</f>
        <v/>
      </c>
      <c r="V402" s="99"/>
      <c r="W402" s="195" t="str">
        <f>IF(V402=Setup!$C$30,"Grant",IF(V402=Setup!$C$31,"Local",IF(V402=Setup!$C$32,"Other",IF(ISBLANK(V402),"","Other"))))</f>
        <v/>
      </c>
      <c r="X402" s="255"/>
      <c r="Y402" s="259" t="str">
        <f>IF(X402&lt;&gt;"",X402/VLOOKUP($V402,Setup!$C$30:$D$41,2,0),"")</f>
        <v/>
      </c>
      <c r="Z402" s="262"/>
      <c r="AA402" s="256" t="str">
        <f t="shared" si="192"/>
        <v/>
      </c>
      <c r="AB402" s="262"/>
      <c r="AC402" s="258" t="str">
        <f t="shared" si="193"/>
        <v/>
      </c>
      <c r="AD402" s="262"/>
      <c r="AE402" s="258" t="str">
        <f t="shared" si="194"/>
        <v/>
      </c>
      <c r="AF402" s="262"/>
      <c r="AG402" s="256" t="str">
        <f t="shared" si="195"/>
        <v/>
      </c>
      <c r="AH402" s="256" t="str">
        <f t="shared" si="196"/>
        <v/>
      </c>
      <c r="AI402" s="256" t="str">
        <f t="shared" si="197"/>
        <v/>
      </c>
      <c r="AJ402" s="111"/>
      <c r="AK402" s="255"/>
      <c r="AL402" s="259" t="str">
        <f>IF(AK402&lt;&gt;"",AK402/VLOOKUP($V402,Setup!$C$30:$D$41,2,0),"")</f>
        <v/>
      </c>
      <c r="AM402" s="266"/>
      <c r="AN402" s="258" t="str">
        <f t="shared" si="198"/>
        <v/>
      </c>
      <c r="AO402" s="266"/>
      <c r="AP402" s="258" t="str">
        <f t="shared" si="199"/>
        <v/>
      </c>
      <c r="AQ402" s="266"/>
      <c r="AR402" s="258" t="str">
        <f t="shared" si="200"/>
        <v/>
      </c>
      <c r="AS402" s="266"/>
      <c r="AT402" s="256" t="str">
        <f t="shared" si="201"/>
        <v/>
      </c>
      <c r="AU402" s="256" t="str">
        <f t="shared" si="202"/>
        <v/>
      </c>
      <c r="AV402" s="256" t="str">
        <f t="shared" si="203"/>
        <v/>
      </c>
      <c r="AW402" s="267"/>
      <c r="AX402" s="255"/>
      <c r="AY402" s="259" t="str">
        <f>IF(AX402&lt;&gt;"",AX402/VLOOKUP($V402,Setup!$C$30:$D$41,2,0),"")</f>
        <v/>
      </c>
      <c r="AZ402" s="268"/>
      <c r="BA402" s="258" t="str">
        <f t="shared" si="204"/>
        <v/>
      </c>
      <c r="BB402" s="268"/>
      <c r="BC402" s="258" t="str">
        <f t="shared" si="205"/>
        <v/>
      </c>
      <c r="BD402" s="268"/>
      <c r="BE402" s="258" t="str">
        <f t="shared" si="206"/>
        <v/>
      </c>
      <c r="BF402" s="268"/>
      <c r="BG402" s="256" t="str">
        <f t="shared" si="207"/>
        <v/>
      </c>
      <c r="BH402" s="256" t="str">
        <f t="shared" si="208"/>
        <v/>
      </c>
      <c r="BI402" s="256" t="str">
        <f t="shared" si="209"/>
        <v/>
      </c>
      <c r="BJ402" s="267"/>
      <c r="BK402" s="255"/>
      <c r="BL402" s="259" t="str">
        <f>IF(BK402&lt;&gt;"",BK402/VLOOKUP($V402,Setup!$C$30:$D$41,2,0),"")</f>
        <v/>
      </c>
      <c r="BM402" s="268"/>
      <c r="BN402" s="258" t="str">
        <f t="shared" si="210"/>
        <v/>
      </c>
      <c r="BO402" s="268"/>
      <c r="BP402" s="258" t="str">
        <f t="shared" si="211"/>
        <v/>
      </c>
      <c r="BQ402" s="268"/>
      <c r="BR402" s="258" t="str">
        <f t="shared" si="212"/>
        <v/>
      </c>
      <c r="BS402" s="268"/>
      <c r="BT402" s="256" t="str">
        <f t="shared" si="213"/>
        <v/>
      </c>
      <c r="BU402" s="256" t="str">
        <f t="shared" si="214"/>
        <v/>
      </c>
      <c r="BV402" s="256" t="str">
        <f t="shared" si="215"/>
        <v/>
      </c>
      <c r="BW402" s="267"/>
      <c r="BX402" s="256" t="str">
        <f t="shared" si="216"/>
        <v/>
      </c>
      <c r="BY402" s="256" t="str">
        <f t="shared" si="217"/>
        <v/>
      </c>
      <c r="BZ402" s="281"/>
      <c r="CA402" s="282"/>
      <c r="CC402" s="112" t="str">
        <f t="shared" ca="1" si="218"/>
        <v/>
      </c>
      <c r="CF402" s="284"/>
      <c r="CG402" s="284"/>
      <c r="CH402" s="284"/>
      <c r="CI402" s="284"/>
      <c r="CL402" s="356" t="str">
        <f>IFERROR(VLOOKUP(C402,'Data Sheet'!$A$3:$B$26,2,FALSE),"")</f>
        <v/>
      </c>
    </row>
    <row r="403" spans="1:90" s="98" customFormat="1" ht="15.75" x14ac:dyDescent="0.2">
      <c r="A403" s="97"/>
      <c r="B403" s="105" t="str">
        <f t="shared" si="221"/>
        <v>--</v>
      </c>
      <c r="C403" s="276"/>
      <c r="D403" s="101" t="str">
        <f>IFERROR(IF(VLOOKUP(C403,'Data Sheet'!$A$3:$D$26,4,FALSE)=0,"",VLOOKUP(C403,'Data Sheet'!$A$3:$D$26,4,FALSE)),"")</f>
        <v/>
      </c>
      <c r="E403" s="279"/>
      <c r="F403" s="103" t="str">
        <f>IFERROR(IF(VLOOKUP(E403,'Data Sheet'!$C$29:$E$174,3,FALSE)=0,"",VLOOKUP(E403,'Data Sheet'!$C$29:$E$174,3,FALSE)),"")</f>
        <v/>
      </c>
      <c r="G403" s="106" t="str">
        <f t="shared" si="219"/>
        <v>-</v>
      </c>
      <c r="H403" s="273"/>
      <c r="I403" s="107"/>
      <c r="J403" s="249" t="e">
        <f t="shared" si="220"/>
        <v>#VALUE!</v>
      </c>
      <c r="K403" s="101" t="str">
        <f>IFERROR(INDEX('Data Sheet'!$C$198:$C$275,MATCH(I403,'Data Sheet'!$F$198:$F$275,0)),"")</f>
        <v/>
      </c>
      <c r="L403" s="250" t="str">
        <f>IFERROR(INDEX('Data Sheet'!$G$198:$G$275,MATCH(I403,'Data Sheet'!$F$198:$F$275,0)),"")</f>
        <v/>
      </c>
      <c r="M403" s="194"/>
      <c r="N403" s="248"/>
      <c r="O403" s="248"/>
      <c r="P403" s="108" t="str">
        <f>IFERROR(INDEX(Setup!$D$44:$D$70,MATCH(M403,Setup!$K$44:$K$70,0))&amp;"","")</f>
        <v/>
      </c>
      <c r="Q403" s="108" t="str">
        <f>IFERROR(INDEX(Setup!$E$44:$E$70,MATCH(M403,Setup!$K$44:$K$70,0))&amp;"","")</f>
        <v/>
      </c>
      <c r="R403" s="108" t="str">
        <f>IFERROR(INDEX(Setup!$L$44:$L$70,MATCH(M403,Setup!$K$44:$K$70,0))&amp;"","")</f>
        <v/>
      </c>
      <c r="S403" s="108" t="str">
        <f>Setup!$C$30</f>
        <v>USD</v>
      </c>
      <c r="T403" s="109" t="str">
        <f>IFERROR(INDEX('Data Sheet'!$B$198:$B$275,MATCH(I403,'Data Sheet'!$F$198:$F$275,0)),"")</f>
        <v/>
      </c>
      <c r="U403" s="110" t="str">
        <f>IFERROR(INDEX('Data Sheet'!$D$198:$D$275,MATCH(I403,'Data Sheet'!$F$198:$F$275,0)),"")</f>
        <v/>
      </c>
      <c r="V403" s="99"/>
      <c r="W403" s="195" t="str">
        <f>IF(V403=Setup!$C$30,"Grant",IF(V403=Setup!$C$31,"Local",IF(V403=Setup!$C$32,"Other",IF(ISBLANK(V403),"","Other"))))</f>
        <v/>
      </c>
      <c r="X403" s="255"/>
      <c r="Y403" s="259" t="str">
        <f>IF(X403&lt;&gt;"",X403/VLOOKUP($V403,Setup!$C$30:$D$41,2,0),"")</f>
        <v/>
      </c>
      <c r="Z403" s="262"/>
      <c r="AA403" s="256" t="str">
        <f t="shared" si="192"/>
        <v/>
      </c>
      <c r="AB403" s="262"/>
      <c r="AC403" s="258" t="str">
        <f t="shared" si="193"/>
        <v/>
      </c>
      <c r="AD403" s="262"/>
      <c r="AE403" s="258" t="str">
        <f t="shared" si="194"/>
        <v/>
      </c>
      <c r="AF403" s="262"/>
      <c r="AG403" s="256" t="str">
        <f t="shared" si="195"/>
        <v/>
      </c>
      <c r="AH403" s="256" t="str">
        <f t="shared" si="196"/>
        <v/>
      </c>
      <c r="AI403" s="256" t="str">
        <f t="shared" si="197"/>
        <v/>
      </c>
      <c r="AJ403" s="111"/>
      <c r="AK403" s="255"/>
      <c r="AL403" s="259" t="str">
        <f>IF(AK403&lt;&gt;"",AK403/VLOOKUP($V403,Setup!$C$30:$D$41,2,0),"")</f>
        <v/>
      </c>
      <c r="AM403" s="266"/>
      <c r="AN403" s="258" t="str">
        <f t="shared" si="198"/>
        <v/>
      </c>
      <c r="AO403" s="266"/>
      <c r="AP403" s="258" t="str">
        <f t="shared" si="199"/>
        <v/>
      </c>
      <c r="AQ403" s="266"/>
      <c r="AR403" s="258" t="str">
        <f t="shared" si="200"/>
        <v/>
      </c>
      <c r="AS403" s="266"/>
      <c r="AT403" s="256" t="str">
        <f t="shared" si="201"/>
        <v/>
      </c>
      <c r="AU403" s="256" t="str">
        <f t="shared" si="202"/>
        <v/>
      </c>
      <c r="AV403" s="256" t="str">
        <f t="shared" si="203"/>
        <v/>
      </c>
      <c r="AW403" s="267"/>
      <c r="AX403" s="255"/>
      <c r="AY403" s="259" t="str">
        <f>IF(AX403&lt;&gt;"",AX403/VLOOKUP($V403,Setup!$C$30:$D$41,2,0),"")</f>
        <v/>
      </c>
      <c r="AZ403" s="268"/>
      <c r="BA403" s="258" t="str">
        <f t="shared" si="204"/>
        <v/>
      </c>
      <c r="BB403" s="268"/>
      <c r="BC403" s="258" t="str">
        <f t="shared" si="205"/>
        <v/>
      </c>
      <c r="BD403" s="268"/>
      <c r="BE403" s="258" t="str">
        <f t="shared" si="206"/>
        <v/>
      </c>
      <c r="BF403" s="268"/>
      <c r="BG403" s="256" t="str">
        <f t="shared" si="207"/>
        <v/>
      </c>
      <c r="BH403" s="256" t="str">
        <f t="shared" si="208"/>
        <v/>
      </c>
      <c r="BI403" s="256" t="str">
        <f t="shared" si="209"/>
        <v/>
      </c>
      <c r="BJ403" s="267"/>
      <c r="BK403" s="255"/>
      <c r="BL403" s="259" t="str">
        <f>IF(BK403&lt;&gt;"",BK403/VLOOKUP($V403,Setup!$C$30:$D$41,2,0),"")</f>
        <v/>
      </c>
      <c r="BM403" s="268"/>
      <c r="BN403" s="258" t="str">
        <f t="shared" si="210"/>
        <v/>
      </c>
      <c r="BO403" s="268"/>
      <c r="BP403" s="258" t="str">
        <f t="shared" si="211"/>
        <v/>
      </c>
      <c r="BQ403" s="268"/>
      <c r="BR403" s="258" t="str">
        <f t="shared" si="212"/>
        <v/>
      </c>
      <c r="BS403" s="268"/>
      <c r="BT403" s="256" t="str">
        <f t="shared" si="213"/>
        <v/>
      </c>
      <c r="BU403" s="256" t="str">
        <f t="shared" si="214"/>
        <v/>
      </c>
      <c r="BV403" s="256" t="str">
        <f t="shared" si="215"/>
        <v/>
      </c>
      <c r="BW403" s="267"/>
      <c r="BX403" s="256" t="str">
        <f t="shared" si="216"/>
        <v/>
      </c>
      <c r="BY403" s="256" t="str">
        <f t="shared" si="217"/>
        <v/>
      </c>
      <c r="BZ403" s="281"/>
      <c r="CA403" s="282"/>
      <c r="CC403" s="112" t="str">
        <f t="shared" ca="1" si="218"/>
        <v/>
      </c>
      <c r="CF403" s="284"/>
      <c r="CG403" s="284"/>
      <c r="CH403" s="284"/>
      <c r="CI403" s="284"/>
      <c r="CL403" s="356" t="str">
        <f>IFERROR(VLOOKUP(C403,'Data Sheet'!$A$3:$B$26,2,FALSE),"")</f>
        <v/>
      </c>
    </row>
    <row r="404" spans="1:90" s="98" customFormat="1" ht="15.75" x14ac:dyDescent="0.2">
      <c r="A404" s="97"/>
      <c r="B404" s="105" t="str">
        <f t="shared" si="221"/>
        <v>--</v>
      </c>
      <c r="C404" s="276"/>
      <c r="D404" s="101" t="str">
        <f>IFERROR(IF(VLOOKUP(C404,'Data Sheet'!$A$3:$D$26,4,FALSE)=0,"",VLOOKUP(C404,'Data Sheet'!$A$3:$D$26,4,FALSE)),"")</f>
        <v/>
      </c>
      <c r="E404" s="279"/>
      <c r="F404" s="103" t="str">
        <f>IFERROR(IF(VLOOKUP(E404,'Data Sheet'!$C$29:$E$174,3,FALSE)=0,"",VLOOKUP(E404,'Data Sheet'!$C$29:$E$174,3,FALSE)),"")</f>
        <v/>
      </c>
      <c r="G404" s="106" t="str">
        <f t="shared" si="219"/>
        <v>-</v>
      </c>
      <c r="H404" s="273"/>
      <c r="I404" s="107"/>
      <c r="J404" s="249" t="e">
        <f t="shared" si="220"/>
        <v>#VALUE!</v>
      </c>
      <c r="K404" s="101" t="str">
        <f>IFERROR(INDEX('Data Sheet'!$C$198:$C$275,MATCH(I404,'Data Sheet'!$F$198:$F$275,0)),"")</f>
        <v/>
      </c>
      <c r="L404" s="250" t="str">
        <f>IFERROR(INDEX('Data Sheet'!$G$198:$G$275,MATCH(I404,'Data Sheet'!$F$198:$F$275,0)),"")</f>
        <v/>
      </c>
      <c r="M404" s="194"/>
      <c r="N404" s="248"/>
      <c r="O404" s="248"/>
      <c r="P404" s="108" t="str">
        <f>IFERROR(INDEX(Setup!$D$44:$D$70,MATCH(M404,Setup!$K$44:$K$70,0))&amp;"","")</f>
        <v/>
      </c>
      <c r="Q404" s="108" t="str">
        <f>IFERROR(INDEX(Setup!$E$44:$E$70,MATCH(M404,Setup!$K$44:$K$70,0))&amp;"","")</f>
        <v/>
      </c>
      <c r="R404" s="108" t="str">
        <f>IFERROR(INDEX(Setup!$L$44:$L$70,MATCH(M404,Setup!$K$44:$K$70,0))&amp;"","")</f>
        <v/>
      </c>
      <c r="S404" s="108" t="str">
        <f>Setup!$C$30</f>
        <v>USD</v>
      </c>
      <c r="T404" s="109" t="str">
        <f>IFERROR(INDEX('Data Sheet'!$B$198:$B$275,MATCH(I404,'Data Sheet'!$F$198:$F$275,0)),"")</f>
        <v/>
      </c>
      <c r="U404" s="110" t="str">
        <f>IFERROR(INDEX('Data Sheet'!$D$198:$D$275,MATCH(I404,'Data Sheet'!$F$198:$F$275,0)),"")</f>
        <v/>
      </c>
      <c r="V404" s="99"/>
      <c r="W404" s="195" t="str">
        <f>IF(V404=Setup!$C$30,"Grant",IF(V404=Setup!$C$31,"Local",IF(V404=Setup!$C$32,"Other",IF(ISBLANK(V404),"","Other"))))</f>
        <v/>
      </c>
      <c r="X404" s="255"/>
      <c r="Y404" s="259" t="str">
        <f>IF(X404&lt;&gt;"",X404/VLOOKUP($V404,Setup!$C$30:$D$41,2,0),"")</f>
        <v/>
      </c>
      <c r="Z404" s="262"/>
      <c r="AA404" s="256" t="str">
        <f t="shared" si="192"/>
        <v/>
      </c>
      <c r="AB404" s="262"/>
      <c r="AC404" s="258" t="str">
        <f t="shared" si="193"/>
        <v/>
      </c>
      <c r="AD404" s="262"/>
      <c r="AE404" s="258" t="str">
        <f t="shared" si="194"/>
        <v/>
      </c>
      <c r="AF404" s="262"/>
      <c r="AG404" s="256" t="str">
        <f t="shared" si="195"/>
        <v/>
      </c>
      <c r="AH404" s="256" t="str">
        <f t="shared" si="196"/>
        <v/>
      </c>
      <c r="AI404" s="256" t="str">
        <f t="shared" si="197"/>
        <v/>
      </c>
      <c r="AJ404" s="111"/>
      <c r="AK404" s="255"/>
      <c r="AL404" s="259" t="str">
        <f>IF(AK404&lt;&gt;"",AK404/VLOOKUP($V404,Setup!$C$30:$D$41,2,0),"")</f>
        <v/>
      </c>
      <c r="AM404" s="266"/>
      <c r="AN404" s="258" t="str">
        <f t="shared" si="198"/>
        <v/>
      </c>
      <c r="AO404" s="266"/>
      <c r="AP404" s="258" t="str">
        <f t="shared" si="199"/>
        <v/>
      </c>
      <c r="AQ404" s="266"/>
      <c r="AR404" s="258" t="str">
        <f t="shared" si="200"/>
        <v/>
      </c>
      <c r="AS404" s="266"/>
      <c r="AT404" s="256" t="str">
        <f t="shared" si="201"/>
        <v/>
      </c>
      <c r="AU404" s="256" t="str">
        <f t="shared" si="202"/>
        <v/>
      </c>
      <c r="AV404" s="256" t="str">
        <f t="shared" si="203"/>
        <v/>
      </c>
      <c r="AW404" s="267"/>
      <c r="AX404" s="255"/>
      <c r="AY404" s="259" t="str">
        <f>IF(AX404&lt;&gt;"",AX404/VLOOKUP($V404,Setup!$C$30:$D$41,2,0),"")</f>
        <v/>
      </c>
      <c r="AZ404" s="268"/>
      <c r="BA404" s="258" t="str">
        <f t="shared" si="204"/>
        <v/>
      </c>
      <c r="BB404" s="268"/>
      <c r="BC404" s="258" t="str">
        <f t="shared" si="205"/>
        <v/>
      </c>
      <c r="BD404" s="268"/>
      <c r="BE404" s="258" t="str">
        <f t="shared" si="206"/>
        <v/>
      </c>
      <c r="BF404" s="268"/>
      <c r="BG404" s="256" t="str">
        <f t="shared" si="207"/>
        <v/>
      </c>
      <c r="BH404" s="256" t="str">
        <f t="shared" si="208"/>
        <v/>
      </c>
      <c r="BI404" s="256" t="str">
        <f t="shared" si="209"/>
        <v/>
      </c>
      <c r="BJ404" s="267"/>
      <c r="BK404" s="255"/>
      <c r="BL404" s="259" t="str">
        <f>IF(BK404&lt;&gt;"",BK404/VLOOKUP($V404,Setup!$C$30:$D$41,2,0),"")</f>
        <v/>
      </c>
      <c r="BM404" s="268"/>
      <c r="BN404" s="258" t="str">
        <f t="shared" si="210"/>
        <v/>
      </c>
      <c r="BO404" s="268"/>
      <c r="BP404" s="258" t="str">
        <f t="shared" si="211"/>
        <v/>
      </c>
      <c r="BQ404" s="268"/>
      <c r="BR404" s="258" t="str">
        <f t="shared" si="212"/>
        <v/>
      </c>
      <c r="BS404" s="268"/>
      <c r="BT404" s="256" t="str">
        <f t="shared" si="213"/>
        <v/>
      </c>
      <c r="BU404" s="256" t="str">
        <f t="shared" si="214"/>
        <v/>
      </c>
      <c r="BV404" s="256" t="str">
        <f t="shared" si="215"/>
        <v/>
      </c>
      <c r="BW404" s="267"/>
      <c r="BX404" s="256" t="str">
        <f t="shared" si="216"/>
        <v/>
      </c>
      <c r="BY404" s="256" t="str">
        <f t="shared" si="217"/>
        <v/>
      </c>
      <c r="BZ404" s="281"/>
      <c r="CA404" s="282"/>
      <c r="CC404" s="112" t="str">
        <f t="shared" ca="1" si="218"/>
        <v/>
      </c>
      <c r="CF404" s="284"/>
      <c r="CG404" s="284"/>
      <c r="CH404" s="284"/>
      <c r="CI404" s="284"/>
      <c r="CL404" s="356" t="str">
        <f>IFERROR(VLOOKUP(C404,'Data Sheet'!$A$3:$B$26,2,FALSE),"")</f>
        <v/>
      </c>
    </row>
    <row r="405" spans="1:90" s="98" customFormat="1" ht="15.75" x14ac:dyDescent="0.2">
      <c r="A405" s="97"/>
      <c r="B405" s="105" t="str">
        <f t="shared" si="221"/>
        <v>--</v>
      </c>
      <c r="C405" s="276"/>
      <c r="D405" s="101" t="str">
        <f>IFERROR(IF(VLOOKUP(C405,'Data Sheet'!$A$3:$D$26,4,FALSE)=0,"",VLOOKUP(C405,'Data Sheet'!$A$3:$D$26,4,FALSE)),"")</f>
        <v/>
      </c>
      <c r="E405" s="279"/>
      <c r="F405" s="103" t="str">
        <f>IFERROR(IF(VLOOKUP(E405,'Data Sheet'!$C$29:$E$174,3,FALSE)=0,"",VLOOKUP(E405,'Data Sheet'!$C$29:$E$174,3,FALSE)),"")</f>
        <v/>
      </c>
      <c r="G405" s="106" t="str">
        <f t="shared" si="219"/>
        <v>-</v>
      </c>
      <c r="H405" s="273"/>
      <c r="I405" s="107"/>
      <c r="J405" s="249" t="e">
        <f t="shared" si="220"/>
        <v>#VALUE!</v>
      </c>
      <c r="K405" s="101" t="str">
        <f>IFERROR(INDEX('Data Sheet'!$C$198:$C$275,MATCH(I405,'Data Sheet'!$F$198:$F$275,0)),"")</f>
        <v/>
      </c>
      <c r="L405" s="250" t="str">
        <f>IFERROR(INDEX('Data Sheet'!$G$198:$G$275,MATCH(I405,'Data Sheet'!$F$198:$F$275,0)),"")</f>
        <v/>
      </c>
      <c r="M405" s="194"/>
      <c r="N405" s="248"/>
      <c r="O405" s="248"/>
      <c r="P405" s="108" t="str">
        <f>IFERROR(INDEX(Setup!$D$44:$D$70,MATCH(M405,Setup!$K$44:$K$70,0))&amp;"","")</f>
        <v/>
      </c>
      <c r="Q405" s="108" t="str">
        <f>IFERROR(INDEX(Setup!$E$44:$E$70,MATCH(M405,Setup!$K$44:$K$70,0))&amp;"","")</f>
        <v/>
      </c>
      <c r="R405" s="108" t="str">
        <f>IFERROR(INDEX(Setup!$L$44:$L$70,MATCH(M405,Setup!$K$44:$K$70,0))&amp;"","")</f>
        <v/>
      </c>
      <c r="S405" s="108" t="str">
        <f>Setup!$C$30</f>
        <v>USD</v>
      </c>
      <c r="T405" s="109" t="str">
        <f>IFERROR(INDEX('Data Sheet'!$B$198:$B$275,MATCH(I405,'Data Sheet'!$F$198:$F$275,0)),"")</f>
        <v/>
      </c>
      <c r="U405" s="110" t="str">
        <f>IFERROR(INDEX('Data Sheet'!$D$198:$D$275,MATCH(I405,'Data Sheet'!$F$198:$F$275,0)),"")</f>
        <v/>
      </c>
      <c r="V405" s="99"/>
      <c r="W405" s="195" t="str">
        <f>IF(V405=Setup!$C$30,"Grant",IF(V405=Setup!$C$31,"Local",IF(V405=Setup!$C$32,"Other",IF(ISBLANK(V405),"","Other"))))</f>
        <v/>
      </c>
      <c r="X405" s="255"/>
      <c r="Y405" s="259" t="str">
        <f>IF(X405&lt;&gt;"",X405/VLOOKUP($V405,Setup!$C$30:$D$41,2,0),"")</f>
        <v/>
      </c>
      <c r="Z405" s="262"/>
      <c r="AA405" s="256" t="str">
        <f t="shared" si="192"/>
        <v/>
      </c>
      <c r="AB405" s="262"/>
      <c r="AC405" s="258" t="str">
        <f t="shared" si="193"/>
        <v/>
      </c>
      <c r="AD405" s="262"/>
      <c r="AE405" s="258" t="str">
        <f t="shared" si="194"/>
        <v/>
      </c>
      <c r="AF405" s="262"/>
      <c r="AG405" s="256" t="str">
        <f t="shared" si="195"/>
        <v/>
      </c>
      <c r="AH405" s="256" t="str">
        <f t="shared" si="196"/>
        <v/>
      </c>
      <c r="AI405" s="256" t="str">
        <f t="shared" si="197"/>
        <v/>
      </c>
      <c r="AJ405" s="111"/>
      <c r="AK405" s="255"/>
      <c r="AL405" s="259" t="str">
        <f>IF(AK405&lt;&gt;"",AK405/VLOOKUP($V405,Setup!$C$30:$D$41,2,0),"")</f>
        <v/>
      </c>
      <c r="AM405" s="266"/>
      <c r="AN405" s="258" t="str">
        <f t="shared" si="198"/>
        <v/>
      </c>
      <c r="AO405" s="266"/>
      <c r="AP405" s="258" t="str">
        <f t="shared" si="199"/>
        <v/>
      </c>
      <c r="AQ405" s="266"/>
      <c r="AR405" s="258" t="str">
        <f t="shared" si="200"/>
        <v/>
      </c>
      <c r="AS405" s="266"/>
      <c r="AT405" s="256" t="str">
        <f t="shared" si="201"/>
        <v/>
      </c>
      <c r="AU405" s="256" t="str">
        <f t="shared" si="202"/>
        <v/>
      </c>
      <c r="AV405" s="256" t="str">
        <f t="shared" si="203"/>
        <v/>
      </c>
      <c r="AW405" s="267"/>
      <c r="AX405" s="255"/>
      <c r="AY405" s="259" t="str">
        <f>IF(AX405&lt;&gt;"",AX405/VLOOKUP($V405,Setup!$C$30:$D$41,2,0),"")</f>
        <v/>
      </c>
      <c r="AZ405" s="268"/>
      <c r="BA405" s="258" t="str">
        <f t="shared" si="204"/>
        <v/>
      </c>
      <c r="BB405" s="268"/>
      <c r="BC405" s="258" t="str">
        <f t="shared" si="205"/>
        <v/>
      </c>
      <c r="BD405" s="268"/>
      <c r="BE405" s="258" t="str">
        <f t="shared" si="206"/>
        <v/>
      </c>
      <c r="BF405" s="268"/>
      <c r="BG405" s="256" t="str">
        <f t="shared" si="207"/>
        <v/>
      </c>
      <c r="BH405" s="256" t="str">
        <f t="shared" si="208"/>
        <v/>
      </c>
      <c r="BI405" s="256" t="str">
        <f t="shared" si="209"/>
        <v/>
      </c>
      <c r="BJ405" s="267"/>
      <c r="BK405" s="255"/>
      <c r="BL405" s="259" t="str">
        <f>IF(BK405&lt;&gt;"",BK405/VLOOKUP($V405,Setup!$C$30:$D$41,2,0),"")</f>
        <v/>
      </c>
      <c r="BM405" s="268"/>
      <c r="BN405" s="258" t="str">
        <f t="shared" si="210"/>
        <v/>
      </c>
      <c r="BO405" s="268"/>
      <c r="BP405" s="258" t="str">
        <f t="shared" si="211"/>
        <v/>
      </c>
      <c r="BQ405" s="268"/>
      <c r="BR405" s="258" t="str">
        <f t="shared" si="212"/>
        <v/>
      </c>
      <c r="BS405" s="268"/>
      <c r="BT405" s="256" t="str">
        <f t="shared" si="213"/>
        <v/>
      </c>
      <c r="BU405" s="256" t="str">
        <f t="shared" si="214"/>
        <v/>
      </c>
      <c r="BV405" s="256" t="str">
        <f t="shared" si="215"/>
        <v/>
      </c>
      <c r="BW405" s="267"/>
      <c r="BX405" s="256" t="str">
        <f t="shared" si="216"/>
        <v/>
      </c>
      <c r="BY405" s="256" t="str">
        <f t="shared" si="217"/>
        <v/>
      </c>
      <c r="BZ405" s="281"/>
      <c r="CA405" s="282"/>
      <c r="CC405" s="112" t="str">
        <f t="shared" ca="1" si="218"/>
        <v/>
      </c>
      <c r="CF405" s="284"/>
      <c r="CG405" s="284"/>
      <c r="CH405" s="284"/>
      <c r="CI405" s="284"/>
      <c r="CL405" s="356" t="str">
        <f>IFERROR(VLOOKUP(C405,'Data Sheet'!$A$3:$B$26,2,FALSE),"")</f>
        <v/>
      </c>
    </row>
    <row r="406" spans="1:90" s="98" customFormat="1" ht="15.75" x14ac:dyDescent="0.2">
      <c r="A406" s="97"/>
      <c r="B406" s="105" t="str">
        <f t="shared" si="221"/>
        <v>--</v>
      </c>
      <c r="C406" s="276"/>
      <c r="D406" s="101" t="str">
        <f>IFERROR(IF(VLOOKUP(C406,'Data Sheet'!$A$3:$D$26,4,FALSE)=0,"",VLOOKUP(C406,'Data Sheet'!$A$3:$D$26,4,FALSE)),"")</f>
        <v/>
      </c>
      <c r="E406" s="279"/>
      <c r="F406" s="103" t="str">
        <f>IFERROR(IF(VLOOKUP(E406,'Data Sheet'!$C$29:$E$174,3,FALSE)=0,"",VLOOKUP(E406,'Data Sheet'!$C$29:$E$174,3,FALSE)),"")</f>
        <v/>
      </c>
      <c r="G406" s="106" t="str">
        <f t="shared" si="219"/>
        <v>-</v>
      </c>
      <c r="H406" s="273"/>
      <c r="I406" s="107"/>
      <c r="J406" s="249" t="e">
        <f t="shared" si="220"/>
        <v>#VALUE!</v>
      </c>
      <c r="K406" s="101" t="str">
        <f>IFERROR(INDEX('Data Sheet'!$C$198:$C$275,MATCH(I406,'Data Sheet'!$F$198:$F$275,0)),"")</f>
        <v/>
      </c>
      <c r="L406" s="250" t="str">
        <f>IFERROR(INDEX('Data Sheet'!$G$198:$G$275,MATCH(I406,'Data Sheet'!$F$198:$F$275,0)),"")</f>
        <v/>
      </c>
      <c r="M406" s="194"/>
      <c r="N406" s="248"/>
      <c r="O406" s="248"/>
      <c r="P406" s="108" t="str">
        <f>IFERROR(INDEX(Setup!$D$44:$D$70,MATCH(M406,Setup!$K$44:$K$70,0))&amp;"","")</f>
        <v/>
      </c>
      <c r="Q406" s="108" t="str">
        <f>IFERROR(INDEX(Setup!$E$44:$E$70,MATCH(M406,Setup!$K$44:$K$70,0))&amp;"","")</f>
        <v/>
      </c>
      <c r="R406" s="108" t="str">
        <f>IFERROR(INDEX(Setup!$L$44:$L$70,MATCH(M406,Setup!$K$44:$K$70,0))&amp;"","")</f>
        <v/>
      </c>
      <c r="S406" s="108" t="str">
        <f>Setup!$C$30</f>
        <v>USD</v>
      </c>
      <c r="T406" s="109" t="str">
        <f>IFERROR(INDEX('Data Sheet'!$B$198:$B$275,MATCH(I406,'Data Sheet'!$F$198:$F$275,0)),"")</f>
        <v/>
      </c>
      <c r="U406" s="110" t="str">
        <f>IFERROR(INDEX('Data Sheet'!$D$198:$D$275,MATCH(I406,'Data Sheet'!$F$198:$F$275,0)),"")</f>
        <v/>
      </c>
      <c r="V406" s="99"/>
      <c r="W406" s="195" t="str">
        <f>IF(V406=Setup!$C$30,"Grant",IF(V406=Setup!$C$31,"Local",IF(V406=Setup!$C$32,"Other",IF(ISBLANK(V406),"","Other"))))</f>
        <v/>
      </c>
      <c r="X406" s="255"/>
      <c r="Y406" s="259" t="str">
        <f>IF(X406&lt;&gt;"",X406/VLOOKUP($V406,Setup!$C$30:$D$41,2,0),"")</f>
        <v/>
      </c>
      <c r="Z406" s="262"/>
      <c r="AA406" s="256" t="str">
        <f t="shared" si="192"/>
        <v/>
      </c>
      <c r="AB406" s="262"/>
      <c r="AC406" s="258" t="str">
        <f t="shared" si="193"/>
        <v/>
      </c>
      <c r="AD406" s="262"/>
      <c r="AE406" s="258" t="str">
        <f t="shared" si="194"/>
        <v/>
      </c>
      <c r="AF406" s="262"/>
      <c r="AG406" s="256" t="str">
        <f t="shared" si="195"/>
        <v/>
      </c>
      <c r="AH406" s="256" t="str">
        <f t="shared" si="196"/>
        <v/>
      </c>
      <c r="AI406" s="256" t="str">
        <f t="shared" si="197"/>
        <v/>
      </c>
      <c r="AJ406" s="111"/>
      <c r="AK406" s="255"/>
      <c r="AL406" s="259" t="str">
        <f>IF(AK406&lt;&gt;"",AK406/VLOOKUP($V406,Setup!$C$30:$D$41,2,0),"")</f>
        <v/>
      </c>
      <c r="AM406" s="266"/>
      <c r="AN406" s="258" t="str">
        <f t="shared" si="198"/>
        <v/>
      </c>
      <c r="AO406" s="266"/>
      <c r="AP406" s="258" t="str">
        <f t="shared" si="199"/>
        <v/>
      </c>
      <c r="AQ406" s="266"/>
      <c r="AR406" s="258" t="str">
        <f t="shared" si="200"/>
        <v/>
      </c>
      <c r="AS406" s="266"/>
      <c r="AT406" s="256" t="str">
        <f t="shared" si="201"/>
        <v/>
      </c>
      <c r="AU406" s="256" t="str">
        <f t="shared" si="202"/>
        <v/>
      </c>
      <c r="AV406" s="256" t="str">
        <f t="shared" si="203"/>
        <v/>
      </c>
      <c r="AW406" s="267"/>
      <c r="AX406" s="255"/>
      <c r="AY406" s="259" t="str">
        <f>IF(AX406&lt;&gt;"",AX406/VLOOKUP($V406,Setup!$C$30:$D$41,2,0),"")</f>
        <v/>
      </c>
      <c r="AZ406" s="268"/>
      <c r="BA406" s="258" t="str">
        <f t="shared" si="204"/>
        <v/>
      </c>
      <c r="BB406" s="268"/>
      <c r="BC406" s="258" t="str">
        <f t="shared" si="205"/>
        <v/>
      </c>
      <c r="BD406" s="268"/>
      <c r="BE406" s="258" t="str">
        <f t="shared" si="206"/>
        <v/>
      </c>
      <c r="BF406" s="268"/>
      <c r="BG406" s="256" t="str">
        <f t="shared" si="207"/>
        <v/>
      </c>
      <c r="BH406" s="256" t="str">
        <f t="shared" si="208"/>
        <v/>
      </c>
      <c r="BI406" s="256" t="str">
        <f t="shared" si="209"/>
        <v/>
      </c>
      <c r="BJ406" s="267"/>
      <c r="BK406" s="255"/>
      <c r="BL406" s="259" t="str">
        <f>IF(BK406&lt;&gt;"",BK406/VLOOKUP($V406,Setup!$C$30:$D$41,2,0),"")</f>
        <v/>
      </c>
      <c r="BM406" s="268"/>
      <c r="BN406" s="258" t="str">
        <f t="shared" si="210"/>
        <v/>
      </c>
      <c r="BO406" s="268"/>
      <c r="BP406" s="258" t="str">
        <f t="shared" si="211"/>
        <v/>
      </c>
      <c r="BQ406" s="268"/>
      <c r="BR406" s="258" t="str">
        <f t="shared" si="212"/>
        <v/>
      </c>
      <c r="BS406" s="268"/>
      <c r="BT406" s="256" t="str">
        <f t="shared" si="213"/>
        <v/>
      </c>
      <c r="BU406" s="256" t="str">
        <f t="shared" si="214"/>
        <v/>
      </c>
      <c r="BV406" s="256" t="str">
        <f t="shared" si="215"/>
        <v/>
      </c>
      <c r="BW406" s="267"/>
      <c r="BX406" s="256" t="str">
        <f t="shared" si="216"/>
        <v/>
      </c>
      <c r="BY406" s="256" t="str">
        <f t="shared" si="217"/>
        <v/>
      </c>
      <c r="BZ406" s="281"/>
      <c r="CA406" s="282"/>
      <c r="CC406" s="112" t="str">
        <f t="shared" ca="1" si="218"/>
        <v/>
      </c>
      <c r="CF406" s="284"/>
      <c r="CG406" s="284"/>
      <c r="CH406" s="284"/>
      <c r="CI406" s="284"/>
      <c r="CL406" s="356" t="str">
        <f>IFERROR(VLOOKUP(C406,'Data Sheet'!$A$3:$B$26,2,FALSE),"")</f>
        <v/>
      </c>
    </row>
    <row r="407" spans="1:90" s="98" customFormat="1" ht="15.75" x14ac:dyDescent="0.2">
      <c r="A407" s="97"/>
      <c r="B407" s="105" t="str">
        <f t="shared" si="221"/>
        <v>--</v>
      </c>
      <c r="C407" s="276"/>
      <c r="D407" s="101" t="str">
        <f>IFERROR(IF(VLOOKUP(C407,'Data Sheet'!$A$3:$D$26,4,FALSE)=0,"",VLOOKUP(C407,'Data Sheet'!$A$3:$D$26,4,FALSE)),"")</f>
        <v/>
      </c>
      <c r="E407" s="279"/>
      <c r="F407" s="103" t="str">
        <f>IFERROR(IF(VLOOKUP(E407,'Data Sheet'!$C$29:$E$174,3,FALSE)=0,"",VLOOKUP(E407,'Data Sheet'!$C$29:$E$174,3,FALSE)),"")</f>
        <v/>
      </c>
      <c r="G407" s="106" t="str">
        <f t="shared" si="219"/>
        <v>-</v>
      </c>
      <c r="H407" s="273"/>
      <c r="I407" s="107"/>
      <c r="J407" s="249" t="e">
        <f t="shared" si="220"/>
        <v>#VALUE!</v>
      </c>
      <c r="K407" s="101" t="str">
        <f>IFERROR(INDEX('Data Sheet'!$C$198:$C$275,MATCH(I407,'Data Sheet'!$F$198:$F$275,0)),"")</f>
        <v/>
      </c>
      <c r="L407" s="250" t="str">
        <f>IFERROR(INDEX('Data Sheet'!$G$198:$G$275,MATCH(I407,'Data Sheet'!$F$198:$F$275,0)),"")</f>
        <v/>
      </c>
      <c r="M407" s="194"/>
      <c r="N407" s="248"/>
      <c r="O407" s="248"/>
      <c r="P407" s="108" t="str">
        <f>IFERROR(INDEX(Setup!$D$44:$D$70,MATCH(M407,Setup!$K$44:$K$70,0))&amp;"","")</f>
        <v/>
      </c>
      <c r="Q407" s="108" t="str">
        <f>IFERROR(INDEX(Setup!$E$44:$E$70,MATCH(M407,Setup!$K$44:$K$70,0))&amp;"","")</f>
        <v/>
      </c>
      <c r="R407" s="108" t="str">
        <f>IFERROR(INDEX(Setup!$L$44:$L$70,MATCH(M407,Setup!$K$44:$K$70,0))&amp;"","")</f>
        <v/>
      </c>
      <c r="S407" s="108" t="str">
        <f>Setup!$C$30</f>
        <v>USD</v>
      </c>
      <c r="T407" s="109" t="str">
        <f>IFERROR(INDEX('Data Sheet'!$B$198:$B$275,MATCH(I407,'Data Sheet'!$F$198:$F$275,0)),"")</f>
        <v/>
      </c>
      <c r="U407" s="110" t="str">
        <f>IFERROR(INDEX('Data Sheet'!$D$198:$D$275,MATCH(I407,'Data Sheet'!$F$198:$F$275,0)),"")</f>
        <v/>
      </c>
      <c r="V407" s="99"/>
      <c r="W407" s="195" t="str">
        <f>IF(V407=Setup!$C$30,"Grant",IF(V407=Setup!$C$31,"Local",IF(V407=Setup!$C$32,"Other",IF(ISBLANK(V407),"","Other"))))</f>
        <v/>
      </c>
      <c r="X407" s="255"/>
      <c r="Y407" s="259" t="str">
        <f>IF(X407&lt;&gt;"",X407/VLOOKUP($V407,Setup!$C$30:$D$41,2,0),"")</f>
        <v/>
      </c>
      <c r="Z407" s="262"/>
      <c r="AA407" s="256" t="str">
        <f t="shared" si="192"/>
        <v/>
      </c>
      <c r="AB407" s="262"/>
      <c r="AC407" s="258" t="str">
        <f t="shared" si="193"/>
        <v/>
      </c>
      <c r="AD407" s="262"/>
      <c r="AE407" s="258" t="str">
        <f t="shared" si="194"/>
        <v/>
      </c>
      <c r="AF407" s="262"/>
      <c r="AG407" s="256" t="str">
        <f t="shared" si="195"/>
        <v/>
      </c>
      <c r="AH407" s="256" t="str">
        <f t="shared" si="196"/>
        <v/>
      </c>
      <c r="AI407" s="256" t="str">
        <f t="shared" si="197"/>
        <v/>
      </c>
      <c r="AJ407" s="111"/>
      <c r="AK407" s="255"/>
      <c r="AL407" s="259" t="str">
        <f>IF(AK407&lt;&gt;"",AK407/VLOOKUP($V407,Setup!$C$30:$D$41,2,0),"")</f>
        <v/>
      </c>
      <c r="AM407" s="266"/>
      <c r="AN407" s="258" t="str">
        <f t="shared" si="198"/>
        <v/>
      </c>
      <c r="AO407" s="266"/>
      <c r="AP407" s="258" t="str">
        <f t="shared" si="199"/>
        <v/>
      </c>
      <c r="AQ407" s="266"/>
      <c r="AR407" s="258" t="str">
        <f t="shared" si="200"/>
        <v/>
      </c>
      <c r="AS407" s="266"/>
      <c r="AT407" s="256" t="str">
        <f t="shared" si="201"/>
        <v/>
      </c>
      <c r="AU407" s="256" t="str">
        <f t="shared" si="202"/>
        <v/>
      </c>
      <c r="AV407" s="256" t="str">
        <f t="shared" si="203"/>
        <v/>
      </c>
      <c r="AW407" s="267"/>
      <c r="AX407" s="255"/>
      <c r="AY407" s="259" t="str">
        <f>IF(AX407&lt;&gt;"",AX407/VLOOKUP($V407,Setup!$C$30:$D$41,2,0),"")</f>
        <v/>
      </c>
      <c r="AZ407" s="268"/>
      <c r="BA407" s="258" t="str">
        <f t="shared" si="204"/>
        <v/>
      </c>
      <c r="BB407" s="268"/>
      <c r="BC407" s="258" t="str">
        <f t="shared" si="205"/>
        <v/>
      </c>
      <c r="BD407" s="268"/>
      <c r="BE407" s="258" t="str">
        <f t="shared" si="206"/>
        <v/>
      </c>
      <c r="BF407" s="268"/>
      <c r="BG407" s="256" t="str">
        <f t="shared" si="207"/>
        <v/>
      </c>
      <c r="BH407" s="256" t="str">
        <f t="shared" si="208"/>
        <v/>
      </c>
      <c r="BI407" s="256" t="str">
        <f t="shared" si="209"/>
        <v/>
      </c>
      <c r="BJ407" s="267"/>
      <c r="BK407" s="255"/>
      <c r="BL407" s="259" t="str">
        <f>IF(BK407&lt;&gt;"",BK407/VLOOKUP($V407,Setup!$C$30:$D$41,2,0),"")</f>
        <v/>
      </c>
      <c r="BM407" s="268"/>
      <c r="BN407" s="258" t="str">
        <f t="shared" si="210"/>
        <v/>
      </c>
      <c r="BO407" s="268"/>
      <c r="BP407" s="258" t="str">
        <f t="shared" si="211"/>
        <v/>
      </c>
      <c r="BQ407" s="268"/>
      <c r="BR407" s="258" t="str">
        <f t="shared" si="212"/>
        <v/>
      </c>
      <c r="BS407" s="268"/>
      <c r="BT407" s="256" t="str">
        <f t="shared" si="213"/>
        <v/>
      </c>
      <c r="BU407" s="256" t="str">
        <f t="shared" si="214"/>
        <v/>
      </c>
      <c r="BV407" s="256" t="str">
        <f t="shared" si="215"/>
        <v/>
      </c>
      <c r="BW407" s="267"/>
      <c r="BX407" s="256" t="str">
        <f t="shared" si="216"/>
        <v/>
      </c>
      <c r="BY407" s="256" t="str">
        <f t="shared" si="217"/>
        <v/>
      </c>
      <c r="BZ407" s="281"/>
      <c r="CA407" s="282"/>
      <c r="CC407" s="112" t="str">
        <f t="shared" ca="1" si="218"/>
        <v/>
      </c>
      <c r="CF407" s="284"/>
      <c r="CG407" s="284"/>
      <c r="CH407" s="284"/>
      <c r="CI407" s="284"/>
      <c r="CL407" s="356" t="str">
        <f>IFERROR(VLOOKUP(C407,'Data Sheet'!$A$3:$B$26,2,FALSE),"")</f>
        <v/>
      </c>
    </row>
    <row r="408" spans="1:90" s="98" customFormat="1" ht="15.75" x14ac:dyDescent="0.2">
      <c r="A408" s="97"/>
      <c r="B408" s="105" t="str">
        <f t="shared" si="221"/>
        <v>--</v>
      </c>
      <c r="C408" s="276"/>
      <c r="D408" s="101" t="str">
        <f>IFERROR(IF(VLOOKUP(C408,'Data Sheet'!$A$3:$D$26,4,FALSE)=0,"",VLOOKUP(C408,'Data Sheet'!$A$3:$D$26,4,FALSE)),"")</f>
        <v/>
      </c>
      <c r="E408" s="279"/>
      <c r="F408" s="103" t="str">
        <f>IFERROR(IF(VLOOKUP(E408,'Data Sheet'!$C$29:$E$174,3,FALSE)=0,"",VLOOKUP(E408,'Data Sheet'!$C$29:$E$174,3,FALSE)),"")</f>
        <v/>
      </c>
      <c r="G408" s="106" t="str">
        <f t="shared" si="219"/>
        <v>-</v>
      </c>
      <c r="H408" s="273"/>
      <c r="I408" s="107"/>
      <c r="J408" s="249" t="e">
        <f t="shared" si="220"/>
        <v>#VALUE!</v>
      </c>
      <c r="K408" s="101" t="str">
        <f>IFERROR(INDEX('Data Sheet'!$C$198:$C$275,MATCH(I408,'Data Sheet'!$F$198:$F$275,0)),"")</f>
        <v/>
      </c>
      <c r="L408" s="250" t="str">
        <f>IFERROR(INDEX('Data Sheet'!$G$198:$G$275,MATCH(I408,'Data Sheet'!$F$198:$F$275,0)),"")</f>
        <v/>
      </c>
      <c r="M408" s="194"/>
      <c r="N408" s="248"/>
      <c r="O408" s="248"/>
      <c r="P408" s="108" t="str">
        <f>IFERROR(INDEX(Setup!$D$44:$D$70,MATCH(M408,Setup!$K$44:$K$70,0))&amp;"","")</f>
        <v/>
      </c>
      <c r="Q408" s="108" t="str">
        <f>IFERROR(INDEX(Setup!$E$44:$E$70,MATCH(M408,Setup!$K$44:$K$70,0))&amp;"","")</f>
        <v/>
      </c>
      <c r="R408" s="108" t="str">
        <f>IFERROR(INDEX(Setup!$L$44:$L$70,MATCH(M408,Setup!$K$44:$K$70,0))&amp;"","")</f>
        <v/>
      </c>
      <c r="S408" s="108" t="str">
        <f>Setup!$C$30</f>
        <v>USD</v>
      </c>
      <c r="T408" s="109" t="str">
        <f>IFERROR(INDEX('Data Sheet'!$B$198:$B$275,MATCH(I408,'Data Sheet'!$F$198:$F$275,0)),"")</f>
        <v/>
      </c>
      <c r="U408" s="110" t="str">
        <f>IFERROR(INDEX('Data Sheet'!$D$198:$D$275,MATCH(I408,'Data Sheet'!$F$198:$F$275,0)),"")</f>
        <v/>
      </c>
      <c r="V408" s="99"/>
      <c r="W408" s="195" t="str">
        <f>IF(V408=Setup!$C$30,"Grant",IF(V408=Setup!$C$31,"Local",IF(V408=Setup!$C$32,"Other",IF(ISBLANK(V408),"","Other"))))</f>
        <v/>
      </c>
      <c r="X408" s="255"/>
      <c r="Y408" s="259" t="str">
        <f>IF(X408&lt;&gt;"",X408/VLOOKUP($V408,Setup!$C$30:$D$41,2,0),"")</f>
        <v/>
      </c>
      <c r="Z408" s="262"/>
      <c r="AA408" s="256" t="str">
        <f t="shared" si="192"/>
        <v/>
      </c>
      <c r="AB408" s="262"/>
      <c r="AC408" s="258" t="str">
        <f t="shared" si="193"/>
        <v/>
      </c>
      <c r="AD408" s="262"/>
      <c r="AE408" s="258" t="str">
        <f t="shared" si="194"/>
        <v/>
      </c>
      <c r="AF408" s="262"/>
      <c r="AG408" s="256" t="str">
        <f t="shared" si="195"/>
        <v/>
      </c>
      <c r="AH408" s="256" t="str">
        <f t="shared" si="196"/>
        <v/>
      </c>
      <c r="AI408" s="256" t="str">
        <f t="shared" si="197"/>
        <v/>
      </c>
      <c r="AJ408" s="111"/>
      <c r="AK408" s="255"/>
      <c r="AL408" s="259" t="str">
        <f>IF(AK408&lt;&gt;"",AK408/VLOOKUP($V408,Setup!$C$30:$D$41,2,0),"")</f>
        <v/>
      </c>
      <c r="AM408" s="266"/>
      <c r="AN408" s="258" t="str">
        <f t="shared" si="198"/>
        <v/>
      </c>
      <c r="AO408" s="266"/>
      <c r="AP408" s="258" t="str">
        <f t="shared" si="199"/>
        <v/>
      </c>
      <c r="AQ408" s="266"/>
      <c r="AR408" s="258" t="str">
        <f t="shared" si="200"/>
        <v/>
      </c>
      <c r="AS408" s="266"/>
      <c r="AT408" s="256" t="str">
        <f t="shared" si="201"/>
        <v/>
      </c>
      <c r="AU408" s="256" t="str">
        <f t="shared" si="202"/>
        <v/>
      </c>
      <c r="AV408" s="256" t="str">
        <f t="shared" si="203"/>
        <v/>
      </c>
      <c r="AW408" s="267"/>
      <c r="AX408" s="255"/>
      <c r="AY408" s="259" t="str">
        <f>IF(AX408&lt;&gt;"",AX408/VLOOKUP($V408,Setup!$C$30:$D$41,2,0),"")</f>
        <v/>
      </c>
      <c r="AZ408" s="268"/>
      <c r="BA408" s="258" t="str">
        <f t="shared" si="204"/>
        <v/>
      </c>
      <c r="BB408" s="268"/>
      <c r="BC408" s="258" t="str">
        <f t="shared" si="205"/>
        <v/>
      </c>
      <c r="BD408" s="268"/>
      <c r="BE408" s="258" t="str">
        <f t="shared" si="206"/>
        <v/>
      </c>
      <c r="BF408" s="268"/>
      <c r="BG408" s="256" t="str">
        <f t="shared" si="207"/>
        <v/>
      </c>
      <c r="BH408" s="256" t="str">
        <f t="shared" si="208"/>
        <v/>
      </c>
      <c r="BI408" s="256" t="str">
        <f t="shared" si="209"/>
        <v/>
      </c>
      <c r="BJ408" s="267"/>
      <c r="BK408" s="255"/>
      <c r="BL408" s="259" t="str">
        <f>IF(BK408&lt;&gt;"",BK408/VLOOKUP($V408,Setup!$C$30:$D$41,2,0),"")</f>
        <v/>
      </c>
      <c r="BM408" s="268"/>
      <c r="BN408" s="258" t="str">
        <f t="shared" si="210"/>
        <v/>
      </c>
      <c r="BO408" s="268"/>
      <c r="BP408" s="258" t="str">
        <f t="shared" si="211"/>
        <v/>
      </c>
      <c r="BQ408" s="268"/>
      <c r="BR408" s="258" t="str">
        <f t="shared" si="212"/>
        <v/>
      </c>
      <c r="BS408" s="268"/>
      <c r="BT408" s="256" t="str">
        <f t="shared" si="213"/>
        <v/>
      </c>
      <c r="BU408" s="256" t="str">
        <f t="shared" si="214"/>
        <v/>
      </c>
      <c r="BV408" s="256" t="str">
        <f t="shared" si="215"/>
        <v/>
      </c>
      <c r="BW408" s="267"/>
      <c r="BX408" s="256" t="str">
        <f t="shared" si="216"/>
        <v/>
      </c>
      <c r="BY408" s="256" t="str">
        <f t="shared" si="217"/>
        <v/>
      </c>
      <c r="BZ408" s="281"/>
      <c r="CA408" s="282"/>
      <c r="CC408" s="112" t="str">
        <f t="shared" ca="1" si="218"/>
        <v/>
      </c>
      <c r="CF408" s="284"/>
      <c r="CG408" s="284"/>
      <c r="CH408" s="284"/>
      <c r="CI408" s="284"/>
      <c r="CL408" s="356" t="str">
        <f>IFERROR(VLOOKUP(C408,'Data Sheet'!$A$3:$B$26,2,FALSE),"")</f>
        <v/>
      </c>
    </row>
    <row r="409" spans="1:90" s="98" customFormat="1" ht="15.75" x14ac:dyDescent="0.2">
      <c r="A409" s="97"/>
      <c r="B409" s="105" t="str">
        <f t="shared" si="221"/>
        <v>--</v>
      </c>
      <c r="C409" s="276"/>
      <c r="D409" s="101" t="str">
        <f>IFERROR(IF(VLOOKUP(C409,'Data Sheet'!$A$3:$D$26,4,FALSE)=0,"",VLOOKUP(C409,'Data Sheet'!$A$3:$D$26,4,FALSE)),"")</f>
        <v/>
      </c>
      <c r="E409" s="279"/>
      <c r="F409" s="103" t="str">
        <f>IFERROR(IF(VLOOKUP(E409,'Data Sheet'!$C$29:$E$174,3,FALSE)=0,"",VLOOKUP(E409,'Data Sheet'!$C$29:$E$174,3,FALSE)),"")</f>
        <v/>
      </c>
      <c r="G409" s="106" t="str">
        <f t="shared" si="219"/>
        <v>-</v>
      </c>
      <c r="H409" s="273"/>
      <c r="I409" s="107"/>
      <c r="J409" s="249" t="e">
        <f t="shared" si="220"/>
        <v>#VALUE!</v>
      </c>
      <c r="K409" s="101" t="str">
        <f>IFERROR(INDEX('Data Sheet'!$C$198:$C$275,MATCH(I409,'Data Sheet'!$F$198:$F$275,0)),"")</f>
        <v/>
      </c>
      <c r="L409" s="250" t="str">
        <f>IFERROR(INDEX('Data Sheet'!$G$198:$G$275,MATCH(I409,'Data Sheet'!$F$198:$F$275,0)),"")</f>
        <v/>
      </c>
      <c r="M409" s="194"/>
      <c r="N409" s="248"/>
      <c r="O409" s="248"/>
      <c r="P409" s="108" t="str">
        <f>IFERROR(INDEX(Setup!$D$44:$D$70,MATCH(M409,Setup!$K$44:$K$70,0))&amp;"","")</f>
        <v/>
      </c>
      <c r="Q409" s="108" t="str">
        <f>IFERROR(INDEX(Setup!$E$44:$E$70,MATCH(M409,Setup!$K$44:$K$70,0))&amp;"","")</f>
        <v/>
      </c>
      <c r="R409" s="108" t="str">
        <f>IFERROR(INDEX(Setup!$L$44:$L$70,MATCH(M409,Setup!$K$44:$K$70,0))&amp;"","")</f>
        <v/>
      </c>
      <c r="S409" s="108" t="str">
        <f>Setup!$C$30</f>
        <v>USD</v>
      </c>
      <c r="T409" s="109" t="str">
        <f>IFERROR(INDEX('Data Sheet'!$B$198:$B$275,MATCH(I409,'Data Sheet'!$F$198:$F$275,0)),"")</f>
        <v/>
      </c>
      <c r="U409" s="110" t="str">
        <f>IFERROR(INDEX('Data Sheet'!$D$198:$D$275,MATCH(I409,'Data Sheet'!$F$198:$F$275,0)),"")</f>
        <v/>
      </c>
      <c r="V409" s="99"/>
      <c r="W409" s="195" t="str">
        <f>IF(V409=Setup!$C$30,"Grant",IF(V409=Setup!$C$31,"Local",IF(V409=Setup!$C$32,"Other",IF(ISBLANK(V409),"","Other"))))</f>
        <v/>
      </c>
      <c r="X409" s="255"/>
      <c r="Y409" s="259" t="str">
        <f>IF(X409&lt;&gt;"",X409/VLOOKUP($V409,Setup!$C$30:$D$41,2,0),"")</f>
        <v/>
      </c>
      <c r="Z409" s="262"/>
      <c r="AA409" s="256" t="str">
        <f t="shared" si="192"/>
        <v/>
      </c>
      <c r="AB409" s="262"/>
      <c r="AC409" s="258" t="str">
        <f t="shared" si="193"/>
        <v/>
      </c>
      <c r="AD409" s="262"/>
      <c r="AE409" s="258" t="str">
        <f t="shared" si="194"/>
        <v/>
      </c>
      <c r="AF409" s="262"/>
      <c r="AG409" s="256" t="str">
        <f t="shared" si="195"/>
        <v/>
      </c>
      <c r="AH409" s="256" t="str">
        <f t="shared" si="196"/>
        <v/>
      </c>
      <c r="AI409" s="256" t="str">
        <f t="shared" si="197"/>
        <v/>
      </c>
      <c r="AJ409" s="111"/>
      <c r="AK409" s="255"/>
      <c r="AL409" s="259" t="str">
        <f>IF(AK409&lt;&gt;"",AK409/VLOOKUP($V409,Setup!$C$30:$D$41,2,0),"")</f>
        <v/>
      </c>
      <c r="AM409" s="266"/>
      <c r="AN409" s="258" t="str">
        <f t="shared" si="198"/>
        <v/>
      </c>
      <c r="AO409" s="266"/>
      <c r="AP409" s="258" t="str">
        <f t="shared" si="199"/>
        <v/>
      </c>
      <c r="AQ409" s="266"/>
      <c r="AR409" s="258" t="str">
        <f t="shared" si="200"/>
        <v/>
      </c>
      <c r="AS409" s="266"/>
      <c r="AT409" s="256" t="str">
        <f t="shared" si="201"/>
        <v/>
      </c>
      <c r="AU409" s="256" t="str">
        <f t="shared" si="202"/>
        <v/>
      </c>
      <c r="AV409" s="256" t="str">
        <f t="shared" si="203"/>
        <v/>
      </c>
      <c r="AW409" s="267"/>
      <c r="AX409" s="255"/>
      <c r="AY409" s="259" t="str">
        <f>IF(AX409&lt;&gt;"",AX409/VLOOKUP($V409,Setup!$C$30:$D$41,2,0),"")</f>
        <v/>
      </c>
      <c r="AZ409" s="268"/>
      <c r="BA409" s="258" t="str">
        <f t="shared" si="204"/>
        <v/>
      </c>
      <c r="BB409" s="268"/>
      <c r="BC409" s="258" t="str">
        <f t="shared" si="205"/>
        <v/>
      </c>
      <c r="BD409" s="268"/>
      <c r="BE409" s="258" t="str">
        <f t="shared" si="206"/>
        <v/>
      </c>
      <c r="BF409" s="268"/>
      <c r="BG409" s="256" t="str">
        <f t="shared" si="207"/>
        <v/>
      </c>
      <c r="BH409" s="256" t="str">
        <f t="shared" si="208"/>
        <v/>
      </c>
      <c r="BI409" s="256" t="str">
        <f t="shared" si="209"/>
        <v/>
      </c>
      <c r="BJ409" s="267"/>
      <c r="BK409" s="255"/>
      <c r="BL409" s="259" t="str">
        <f>IF(BK409&lt;&gt;"",BK409/VLOOKUP($V409,Setup!$C$30:$D$41,2,0),"")</f>
        <v/>
      </c>
      <c r="BM409" s="268"/>
      <c r="BN409" s="258" t="str">
        <f t="shared" si="210"/>
        <v/>
      </c>
      <c r="BO409" s="268"/>
      <c r="BP409" s="258" t="str">
        <f t="shared" si="211"/>
        <v/>
      </c>
      <c r="BQ409" s="268"/>
      <c r="BR409" s="258" t="str">
        <f t="shared" si="212"/>
        <v/>
      </c>
      <c r="BS409" s="268"/>
      <c r="BT409" s="256" t="str">
        <f t="shared" si="213"/>
        <v/>
      </c>
      <c r="BU409" s="256" t="str">
        <f t="shared" si="214"/>
        <v/>
      </c>
      <c r="BV409" s="256" t="str">
        <f t="shared" si="215"/>
        <v/>
      </c>
      <c r="BW409" s="267"/>
      <c r="BX409" s="256" t="str">
        <f t="shared" si="216"/>
        <v/>
      </c>
      <c r="BY409" s="256" t="str">
        <f t="shared" si="217"/>
        <v/>
      </c>
      <c r="BZ409" s="281"/>
      <c r="CA409" s="282"/>
      <c r="CC409" s="112" t="str">
        <f t="shared" ca="1" si="218"/>
        <v/>
      </c>
      <c r="CF409" s="284"/>
      <c r="CG409" s="284"/>
      <c r="CH409" s="284"/>
      <c r="CI409" s="284"/>
      <c r="CL409" s="356" t="str">
        <f>IFERROR(VLOOKUP(C409,'Data Sheet'!$A$3:$B$26,2,FALSE),"")</f>
        <v/>
      </c>
    </row>
    <row r="410" spans="1:90" s="98" customFormat="1" ht="15.75" x14ac:dyDescent="0.2">
      <c r="A410" s="97"/>
      <c r="B410" s="105" t="str">
        <f t="shared" si="221"/>
        <v>--</v>
      </c>
      <c r="C410" s="276"/>
      <c r="D410" s="101" t="str">
        <f>IFERROR(IF(VLOOKUP(C410,'Data Sheet'!$A$3:$D$26,4,FALSE)=0,"",VLOOKUP(C410,'Data Sheet'!$A$3:$D$26,4,FALSE)),"")</f>
        <v/>
      </c>
      <c r="E410" s="279"/>
      <c r="F410" s="103" t="str">
        <f>IFERROR(IF(VLOOKUP(E410,'Data Sheet'!$C$29:$E$174,3,FALSE)=0,"",VLOOKUP(E410,'Data Sheet'!$C$29:$E$174,3,FALSE)),"")</f>
        <v/>
      </c>
      <c r="G410" s="106" t="str">
        <f t="shared" si="219"/>
        <v>-</v>
      </c>
      <c r="H410" s="273"/>
      <c r="I410" s="107"/>
      <c r="J410" s="249" t="e">
        <f t="shared" si="220"/>
        <v>#VALUE!</v>
      </c>
      <c r="K410" s="101" t="str">
        <f>IFERROR(INDEX('Data Sheet'!$C$198:$C$275,MATCH(I410,'Data Sheet'!$F$198:$F$275,0)),"")</f>
        <v/>
      </c>
      <c r="L410" s="250" t="str">
        <f>IFERROR(INDEX('Data Sheet'!$G$198:$G$275,MATCH(I410,'Data Sheet'!$F$198:$F$275,0)),"")</f>
        <v/>
      </c>
      <c r="M410" s="194"/>
      <c r="N410" s="248"/>
      <c r="O410" s="248"/>
      <c r="P410" s="108" t="str">
        <f>IFERROR(INDEX(Setup!$D$44:$D$70,MATCH(M410,Setup!$K$44:$K$70,0))&amp;"","")</f>
        <v/>
      </c>
      <c r="Q410" s="108" t="str">
        <f>IFERROR(INDEX(Setup!$E$44:$E$70,MATCH(M410,Setup!$K$44:$K$70,0))&amp;"","")</f>
        <v/>
      </c>
      <c r="R410" s="108" t="str">
        <f>IFERROR(INDEX(Setup!$L$44:$L$70,MATCH(M410,Setup!$K$44:$K$70,0))&amp;"","")</f>
        <v/>
      </c>
      <c r="S410" s="108" t="str">
        <f>Setup!$C$30</f>
        <v>USD</v>
      </c>
      <c r="T410" s="109" t="str">
        <f>IFERROR(INDEX('Data Sheet'!$B$198:$B$275,MATCH(I410,'Data Sheet'!$F$198:$F$275,0)),"")</f>
        <v/>
      </c>
      <c r="U410" s="110" t="str">
        <f>IFERROR(INDEX('Data Sheet'!$D$198:$D$275,MATCH(I410,'Data Sheet'!$F$198:$F$275,0)),"")</f>
        <v/>
      </c>
      <c r="V410" s="99"/>
      <c r="W410" s="195" t="str">
        <f>IF(V410=Setup!$C$30,"Grant",IF(V410=Setup!$C$31,"Local",IF(V410=Setup!$C$32,"Other",IF(ISBLANK(V410),"","Other"))))</f>
        <v/>
      </c>
      <c r="X410" s="255"/>
      <c r="Y410" s="259" t="str">
        <f>IF(X410&lt;&gt;"",X410/VLOOKUP($V410,Setup!$C$30:$D$41,2,0),"")</f>
        <v/>
      </c>
      <c r="Z410" s="262"/>
      <c r="AA410" s="256" t="str">
        <f t="shared" si="192"/>
        <v/>
      </c>
      <c r="AB410" s="262"/>
      <c r="AC410" s="258" t="str">
        <f t="shared" si="193"/>
        <v/>
      </c>
      <c r="AD410" s="262"/>
      <c r="AE410" s="258" t="str">
        <f t="shared" si="194"/>
        <v/>
      </c>
      <c r="AF410" s="262"/>
      <c r="AG410" s="256" t="str">
        <f t="shared" si="195"/>
        <v/>
      </c>
      <c r="AH410" s="256" t="str">
        <f t="shared" si="196"/>
        <v/>
      </c>
      <c r="AI410" s="256" t="str">
        <f t="shared" si="197"/>
        <v/>
      </c>
      <c r="AJ410" s="111"/>
      <c r="AK410" s="255"/>
      <c r="AL410" s="259" t="str">
        <f>IF(AK410&lt;&gt;"",AK410/VLOOKUP($V410,Setup!$C$30:$D$41,2,0),"")</f>
        <v/>
      </c>
      <c r="AM410" s="266"/>
      <c r="AN410" s="258" t="str">
        <f t="shared" si="198"/>
        <v/>
      </c>
      <c r="AO410" s="266"/>
      <c r="AP410" s="258" t="str">
        <f t="shared" si="199"/>
        <v/>
      </c>
      <c r="AQ410" s="266"/>
      <c r="AR410" s="258" t="str">
        <f t="shared" si="200"/>
        <v/>
      </c>
      <c r="AS410" s="266"/>
      <c r="AT410" s="256" t="str">
        <f t="shared" si="201"/>
        <v/>
      </c>
      <c r="AU410" s="256" t="str">
        <f t="shared" si="202"/>
        <v/>
      </c>
      <c r="AV410" s="256" t="str">
        <f t="shared" si="203"/>
        <v/>
      </c>
      <c r="AW410" s="267"/>
      <c r="AX410" s="255"/>
      <c r="AY410" s="259" t="str">
        <f>IF(AX410&lt;&gt;"",AX410/VLOOKUP($V410,Setup!$C$30:$D$41,2,0),"")</f>
        <v/>
      </c>
      <c r="AZ410" s="268"/>
      <c r="BA410" s="258" t="str">
        <f t="shared" si="204"/>
        <v/>
      </c>
      <c r="BB410" s="268"/>
      <c r="BC410" s="258" t="str">
        <f t="shared" si="205"/>
        <v/>
      </c>
      <c r="BD410" s="268"/>
      <c r="BE410" s="258" t="str">
        <f t="shared" si="206"/>
        <v/>
      </c>
      <c r="BF410" s="268"/>
      <c r="BG410" s="256" t="str">
        <f t="shared" si="207"/>
        <v/>
      </c>
      <c r="BH410" s="256" t="str">
        <f t="shared" si="208"/>
        <v/>
      </c>
      <c r="BI410" s="256" t="str">
        <f t="shared" si="209"/>
        <v/>
      </c>
      <c r="BJ410" s="267"/>
      <c r="BK410" s="255"/>
      <c r="BL410" s="259" t="str">
        <f>IF(BK410&lt;&gt;"",BK410/VLOOKUP($V410,Setup!$C$30:$D$41,2,0),"")</f>
        <v/>
      </c>
      <c r="BM410" s="268"/>
      <c r="BN410" s="258" t="str">
        <f t="shared" si="210"/>
        <v/>
      </c>
      <c r="BO410" s="268"/>
      <c r="BP410" s="258" t="str">
        <f t="shared" si="211"/>
        <v/>
      </c>
      <c r="BQ410" s="268"/>
      <c r="BR410" s="258" t="str">
        <f t="shared" si="212"/>
        <v/>
      </c>
      <c r="BS410" s="268"/>
      <c r="BT410" s="256" t="str">
        <f t="shared" si="213"/>
        <v/>
      </c>
      <c r="BU410" s="256" t="str">
        <f t="shared" si="214"/>
        <v/>
      </c>
      <c r="BV410" s="256" t="str">
        <f t="shared" si="215"/>
        <v/>
      </c>
      <c r="BW410" s="267"/>
      <c r="BX410" s="256" t="str">
        <f t="shared" si="216"/>
        <v/>
      </c>
      <c r="BY410" s="256" t="str">
        <f t="shared" si="217"/>
        <v/>
      </c>
      <c r="BZ410" s="281"/>
      <c r="CA410" s="282"/>
      <c r="CC410" s="112" t="str">
        <f t="shared" ca="1" si="218"/>
        <v/>
      </c>
      <c r="CF410" s="284"/>
      <c r="CG410" s="284"/>
      <c r="CH410" s="284"/>
      <c r="CI410" s="284"/>
      <c r="CL410" s="356" t="str">
        <f>IFERROR(VLOOKUP(C410,'Data Sheet'!$A$3:$B$26,2,FALSE),"")</f>
        <v/>
      </c>
    </row>
    <row r="411" spans="1:90" s="98" customFormat="1" ht="15.75" x14ac:dyDescent="0.2">
      <c r="A411" s="97"/>
      <c r="B411" s="105" t="str">
        <f t="shared" si="221"/>
        <v>--</v>
      </c>
      <c r="C411" s="276"/>
      <c r="D411" s="101" t="str">
        <f>IFERROR(IF(VLOOKUP(C411,'Data Sheet'!$A$3:$D$26,4,FALSE)=0,"",VLOOKUP(C411,'Data Sheet'!$A$3:$D$26,4,FALSE)),"")</f>
        <v/>
      </c>
      <c r="E411" s="279"/>
      <c r="F411" s="103" t="str">
        <f>IFERROR(IF(VLOOKUP(E411,'Data Sheet'!$C$29:$E$174,3,FALSE)=0,"",VLOOKUP(E411,'Data Sheet'!$C$29:$E$174,3,FALSE)),"")</f>
        <v/>
      </c>
      <c r="G411" s="106" t="str">
        <f t="shared" si="219"/>
        <v>-</v>
      </c>
      <c r="H411" s="273"/>
      <c r="I411" s="107"/>
      <c r="J411" s="249" t="e">
        <f t="shared" si="220"/>
        <v>#VALUE!</v>
      </c>
      <c r="K411" s="101" t="str">
        <f>IFERROR(INDEX('Data Sheet'!$C$198:$C$275,MATCH(I411,'Data Sheet'!$F$198:$F$275,0)),"")</f>
        <v/>
      </c>
      <c r="L411" s="250" t="str">
        <f>IFERROR(INDEX('Data Sheet'!$G$198:$G$275,MATCH(I411,'Data Sheet'!$F$198:$F$275,0)),"")</f>
        <v/>
      </c>
      <c r="M411" s="194"/>
      <c r="N411" s="248"/>
      <c r="O411" s="248"/>
      <c r="P411" s="108" t="str">
        <f>IFERROR(INDEX(Setup!$D$44:$D$70,MATCH(M411,Setup!$K$44:$K$70,0))&amp;"","")</f>
        <v/>
      </c>
      <c r="Q411" s="108" t="str">
        <f>IFERROR(INDEX(Setup!$E$44:$E$70,MATCH(M411,Setup!$K$44:$K$70,0))&amp;"","")</f>
        <v/>
      </c>
      <c r="R411" s="108" t="str">
        <f>IFERROR(INDEX(Setup!$L$44:$L$70,MATCH(M411,Setup!$K$44:$K$70,0))&amp;"","")</f>
        <v/>
      </c>
      <c r="S411" s="108" t="str">
        <f>Setup!$C$30</f>
        <v>USD</v>
      </c>
      <c r="T411" s="109" t="str">
        <f>IFERROR(INDEX('Data Sheet'!$B$198:$B$275,MATCH(I411,'Data Sheet'!$F$198:$F$275,0)),"")</f>
        <v/>
      </c>
      <c r="U411" s="110" t="str">
        <f>IFERROR(INDEX('Data Sheet'!$D$198:$D$275,MATCH(I411,'Data Sheet'!$F$198:$F$275,0)),"")</f>
        <v/>
      </c>
      <c r="V411" s="99"/>
      <c r="W411" s="195" t="str">
        <f>IF(V411=Setup!$C$30,"Grant",IF(V411=Setup!$C$31,"Local",IF(V411=Setup!$C$32,"Other",IF(ISBLANK(V411),"","Other"))))</f>
        <v/>
      </c>
      <c r="X411" s="255"/>
      <c r="Y411" s="259" t="str">
        <f>IF(X411&lt;&gt;"",X411/VLOOKUP($V411,Setup!$C$30:$D$41,2,0),"")</f>
        <v/>
      </c>
      <c r="Z411" s="262"/>
      <c r="AA411" s="256" t="str">
        <f t="shared" si="192"/>
        <v/>
      </c>
      <c r="AB411" s="262"/>
      <c r="AC411" s="258" t="str">
        <f t="shared" si="193"/>
        <v/>
      </c>
      <c r="AD411" s="262"/>
      <c r="AE411" s="258" t="str">
        <f t="shared" si="194"/>
        <v/>
      </c>
      <c r="AF411" s="262"/>
      <c r="AG411" s="256" t="str">
        <f t="shared" si="195"/>
        <v/>
      </c>
      <c r="AH411" s="256" t="str">
        <f t="shared" si="196"/>
        <v/>
      </c>
      <c r="AI411" s="256" t="str">
        <f t="shared" si="197"/>
        <v/>
      </c>
      <c r="AJ411" s="111"/>
      <c r="AK411" s="255"/>
      <c r="AL411" s="259" t="str">
        <f>IF(AK411&lt;&gt;"",AK411/VLOOKUP($V411,Setup!$C$30:$D$41,2,0),"")</f>
        <v/>
      </c>
      <c r="AM411" s="266"/>
      <c r="AN411" s="258" t="str">
        <f t="shared" si="198"/>
        <v/>
      </c>
      <c r="AO411" s="266"/>
      <c r="AP411" s="258" t="str">
        <f t="shared" si="199"/>
        <v/>
      </c>
      <c r="AQ411" s="266"/>
      <c r="AR411" s="258" t="str">
        <f t="shared" si="200"/>
        <v/>
      </c>
      <c r="AS411" s="266"/>
      <c r="AT411" s="256" t="str">
        <f t="shared" si="201"/>
        <v/>
      </c>
      <c r="AU411" s="256" t="str">
        <f t="shared" si="202"/>
        <v/>
      </c>
      <c r="AV411" s="256" t="str">
        <f t="shared" si="203"/>
        <v/>
      </c>
      <c r="AW411" s="267"/>
      <c r="AX411" s="255"/>
      <c r="AY411" s="259" t="str">
        <f>IF(AX411&lt;&gt;"",AX411/VLOOKUP($V411,Setup!$C$30:$D$41,2,0),"")</f>
        <v/>
      </c>
      <c r="AZ411" s="268"/>
      <c r="BA411" s="258" t="str">
        <f t="shared" si="204"/>
        <v/>
      </c>
      <c r="BB411" s="268"/>
      <c r="BC411" s="258" t="str">
        <f t="shared" si="205"/>
        <v/>
      </c>
      <c r="BD411" s="268"/>
      <c r="BE411" s="258" t="str">
        <f t="shared" si="206"/>
        <v/>
      </c>
      <c r="BF411" s="268"/>
      <c r="BG411" s="256" t="str">
        <f t="shared" si="207"/>
        <v/>
      </c>
      <c r="BH411" s="256" t="str">
        <f t="shared" si="208"/>
        <v/>
      </c>
      <c r="BI411" s="256" t="str">
        <f t="shared" si="209"/>
        <v/>
      </c>
      <c r="BJ411" s="267"/>
      <c r="BK411" s="255"/>
      <c r="BL411" s="259" t="str">
        <f>IF(BK411&lt;&gt;"",BK411/VLOOKUP($V411,Setup!$C$30:$D$41,2,0),"")</f>
        <v/>
      </c>
      <c r="BM411" s="268"/>
      <c r="BN411" s="258" t="str">
        <f t="shared" si="210"/>
        <v/>
      </c>
      <c r="BO411" s="268"/>
      <c r="BP411" s="258" t="str">
        <f t="shared" si="211"/>
        <v/>
      </c>
      <c r="BQ411" s="268"/>
      <c r="BR411" s="258" t="str">
        <f t="shared" si="212"/>
        <v/>
      </c>
      <c r="BS411" s="268"/>
      <c r="BT411" s="256" t="str">
        <f t="shared" si="213"/>
        <v/>
      </c>
      <c r="BU411" s="256" t="str">
        <f t="shared" si="214"/>
        <v/>
      </c>
      <c r="BV411" s="256" t="str">
        <f t="shared" si="215"/>
        <v/>
      </c>
      <c r="BW411" s="267"/>
      <c r="BX411" s="256" t="str">
        <f t="shared" si="216"/>
        <v/>
      </c>
      <c r="BY411" s="256" t="str">
        <f t="shared" si="217"/>
        <v/>
      </c>
      <c r="BZ411" s="281"/>
      <c r="CA411" s="282"/>
      <c r="CC411" s="112" t="str">
        <f t="shared" ca="1" si="218"/>
        <v/>
      </c>
      <c r="CF411" s="284"/>
      <c r="CG411" s="284"/>
      <c r="CH411" s="284"/>
      <c r="CI411" s="284"/>
      <c r="CL411" s="356" t="str">
        <f>IFERROR(VLOOKUP(C411,'Data Sheet'!$A$3:$B$26,2,FALSE),"")</f>
        <v/>
      </c>
    </row>
    <row r="412" spans="1:90" s="98" customFormat="1" ht="15.75" x14ac:dyDescent="0.2">
      <c r="A412" s="97"/>
      <c r="B412" s="105" t="str">
        <f t="shared" si="221"/>
        <v>--</v>
      </c>
      <c r="C412" s="276"/>
      <c r="D412" s="101" t="str">
        <f>IFERROR(IF(VLOOKUP(C412,'Data Sheet'!$A$3:$D$26,4,FALSE)=0,"",VLOOKUP(C412,'Data Sheet'!$A$3:$D$26,4,FALSE)),"")</f>
        <v/>
      </c>
      <c r="E412" s="279"/>
      <c r="F412" s="103" t="str">
        <f>IFERROR(IF(VLOOKUP(E412,'Data Sheet'!$C$29:$E$174,3,FALSE)=0,"",VLOOKUP(E412,'Data Sheet'!$C$29:$E$174,3,FALSE)),"")</f>
        <v/>
      </c>
      <c r="G412" s="106" t="str">
        <f t="shared" si="219"/>
        <v>-</v>
      </c>
      <c r="H412" s="273"/>
      <c r="I412" s="107"/>
      <c r="J412" s="249" t="e">
        <f t="shared" si="220"/>
        <v>#VALUE!</v>
      </c>
      <c r="K412" s="101" t="str">
        <f>IFERROR(INDEX('Data Sheet'!$C$198:$C$275,MATCH(I412,'Data Sheet'!$F$198:$F$275,0)),"")</f>
        <v/>
      </c>
      <c r="L412" s="250" t="str">
        <f>IFERROR(INDEX('Data Sheet'!$G$198:$G$275,MATCH(I412,'Data Sheet'!$F$198:$F$275,0)),"")</f>
        <v/>
      </c>
      <c r="M412" s="194"/>
      <c r="N412" s="248"/>
      <c r="O412" s="248"/>
      <c r="P412" s="108" t="str">
        <f>IFERROR(INDEX(Setup!$D$44:$D$70,MATCH(M412,Setup!$K$44:$K$70,0))&amp;"","")</f>
        <v/>
      </c>
      <c r="Q412" s="108" t="str">
        <f>IFERROR(INDEX(Setup!$E$44:$E$70,MATCH(M412,Setup!$K$44:$K$70,0))&amp;"","")</f>
        <v/>
      </c>
      <c r="R412" s="108" t="str">
        <f>IFERROR(INDEX(Setup!$L$44:$L$70,MATCH(M412,Setup!$K$44:$K$70,0))&amp;"","")</f>
        <v/>
      </c>
      <c r="S412" s="108" t="str">
        <f>Setup!$C$30</f>
        <v>USD</v>
      </c>
      <c r="T412" s="109" t="str">
        <f>IFERROR(INDEX('Data Sheet'!$B$198:$B$275,MATCH(I412,'Data Sheet'!$F$198:$F$275,0)),"")</f>
        <v/>
      </c>
      <c r="U412" s="110" t="str">
        <f>IFERROR(INDEX('Data Sheet'!$D$198:$D$275,MATCH(I412,'Data Sheet'!$F$198:$F$275,0)),"")</f>
        <v/>
      </c>
      <c r="V412" s="99"/>
      <c r="W412" s="195" t="str">
        <f>IF(V412=Setup!$C$30,"Grant",IF(V412=Setup!$C$31,"Local",IF(V412=Setup!$C$32,"Other",IF(ISBLANK(V412),"","Other"))))</f>
        <v/>
      </c>
      <c r="X412" s="255"/>
      <c r="Y412" s="259" t="str">
        <f>IF(X412&lt;&gt;"",X412/VLOOKUP($V412,Setup!$C$30:$D$41,2,0),"")</f>
        <v/>
      </c>
      <c r="Z412" s="262"/>
      <c r="AA412" s="256" t="str">
        <f t="shared" si="192"/>
        <v/>
      </c>
      <c r="AB412" s="262"/>
      <c r="AC412" s="258" t="str">
        <f t="shared" si="193"/>
        <v/>
      </c>
      <c r="AD412" s="262"/>
      <c r="AE412" s="258" t="str">
        <f t="shared" si="194"/>
        <v/>
      </c>
      <c r="AF412" s="262"/>
      <c r="AG412" s="256" t="str">
        <f t="shared" si="195"/>
        <v/>
      </c>
      <c r="AH412" s="256" t="str">
        <f t="shared" si="196"/>
        <v/>
      </c>
      <c r="AI412" s="256" t="str">
        <f t="shared" si="197"/>
        <v/>
      </c>
      <c r="AJ412" s="111"/>
      <c r="AK412" s="255"/>
      <c r="AL412" s="259" t="str">
        <f>IF(AK412&lt;&gt;"",AK412/VLOOKUP($V412,Setup!$C$30:$D$41,2,0),"")</f>
        <v/>
      </c>
      <c r="AM412" s="266"/>
      <c r="AN412" s="258" t="str">
        <f t="shared" si="198"/>
        <v/>
      </c>
      <c r="AO412" s="266"/>
      <c r="AP412" s="258" t="str">
        <f t="shared" si="199"/>
        <v/>
      </c>
      <c r="AQ412" s="266"/>
      <c r="AR412" s="258" t="str">
        <f t="shared" si="200"/>
        <v/>
      </c>
      <c r="AS412" s="266"/>
      <c r="AT412" s="256" t="str">
        <f t="shared" si="201"/>
        <v/>
      </c>
      <c r="AU412" s="256" t="str">
        <f t="shared" si="202"/>
        <v/>
      </c>
      <c r="AV412" s="256" t="str">
        <f t="shared" si="203"/>
        <v/>
      </c>
      <c r="AW412" s="267"/>
      <c r="AX412" s="255"/>
      <c r="AY412" s="259" t="str">
        <f>IF(AX412&lt;&gt;"",AX412/VLOOKUP($V412,Setup!$C$30:$D$41,2,0),"")</f>
        <v/>
      </c>
      <c r="AZ412" s="268"/>
      <c r="BA412" s="258" t="str">
        <f t="shared" si="204"/>
        <v/>
      </c>
      <c r="BB412" s="268"/>
      <c r="BC412" s="258" t="str">
        <f t="shared" si="205"/>
        <v/>
      </c>
      <c r="BD412" s="268"/>
      <c r="BE412" s="258" t="str">
        <f t="shared" si="206"/>
        <v/>
      </c>
      <c r="BF412" s="268"/>
      <c r="BG412" s="256" t="str">
        <f t="shared" si="207"/>
        <v/>
      </c>
      <c r="BH412" s="256" t="str">
        <f t="shared" si="208"/>
        <v/>
      </c>
      <c r="BI412" s="256" t="str">
        <f t="shared" si="209"/>
        <v/>
      </c>
      <c r="BJ412" s="267"/>
      <c r="BK412" s="255"/>
      <c r="BL412" s="259" t="str">
        <f>IF(BK412&lt;&gt;"",BK412/VLOOKUP($V412,Setup!$C$30:$D$41,2,0),"")</f>
        <v/>
      </c>
      <c r="BM412" s="268"/>
      <c r="BN412" s="258" t="str">
        <f t="shared" si="210"/>
        <v/>
      </c>
      <c r="BO412" s="268"/>
      <c r="BP412" s="258" t="str">
        <f t="shared" si="211"/>
        <v/>
      </c>
      <c r="BQ412" s="268"/>
      <c r="BR412" s="258" t="str">
        <f t="shared" si="212"/>
        <v/>
      </c>
      <c r="BS412" s="268"/>
      <c r="BT412" s="256" t="str">
        <f t="shared" si="213"/>
        <v/>
      </c>
      <c r="BU412" s="256" t="str">
        <f t="shared" si="214"/>
        <v/>
      </c>
      <c r="BV412" s="256" t="str">
        <f t="shared" si="215"/>
        <v/>
      </c>
      <c r="BW412" s="267"/>
      <c r="BX412" s="256" t="str">
        <f t="shared" si="216"/>
        <v/>
      </c>
      <c r="BY412" s="256" t="str">
        <f t="shared" si="217"/>
        <v/>
      </c>
      <c r="BZ412" s="281"/>
      <c r="CA412" s="282"/>
      <c r="CC412" s="112" t="str">
        <f t="shared" ca="1" si="218"/>
        <v/>
      </c>
      <c r="CF412" s="284"/>
      <c r="CG412" s="284"/>
      <c r="CH412" s="284"/>
      <c r="CI412" s="284"/>
      <c r="CL412" s="356" t="str">
        <f>IFERROR(VLOOKUP(C412,'Data Sheet'!$A$3:$B$26,2,FALSE),"")</f>
        <v/>
      </c>
    </row>
    <row r="413" spans="1:90" s="98" customFormat="1" ht="15.75" x14ac:dyDescent="0.2">
      <c r="A413" s="97"/>
      <c r="B413" s="105" t="str">
        <f t="shared" si="221"/>
        <v>--</v>
      </c>
      <c r="C413" s="276"/>
      <c r="D413" s="101" t="str">
        <f>IFERROR(IF(VLOOKUP(C413,'Data Sheet'!$A$3:$D$26,4,FALSE)=0,"",VLOOKUP(C413,'Data Sheet'!$A$3:$D$26,4,FALSE)),"")</f>
        <v/>
      </c>
      <c r="E413" s="279"/>
      <c r="F413" s="103" t="str">
        <f>IFERROR(IF(VLOOKUP(E413,'Data Sheet'!$C$29:$E$174,3,FALSE)=0,"",VLOOKUP(E413,'Data Sheet'!$C$29:$E$174,3,FALSE)),"")</f>
        <v/>
      </c>
      <c r="G413" s="106" t="str">
        <f t="shared" si="219"/>
        <v>-</v>
      </c>
      <c r="H413" s="273"/>
      <c r="I413" s="107"/>
      <c r="J413" s="249" t="e">
        <f t="shared" si="220"/>
        <v>#VALUE!</v>
      </c>
      <c r="K413" s="101" t="str">
        <f>IFERROR(INDEX('Data Sheet'!$C$198:$C$275,MATCH(I413,'Data Sheet'!$F$198:$F$275,0)),"")</f>
        <v/>
      </c>
      <c r="L413" s="250" t="str">
        <f>IFERROR(INDEX('Data Sheet'!$G$198:$G$275,MATCH(I413,'Data Sheet'!$F$198:$F$275,0)),"")</f>
        <v/>
      </c>
      <c r="M413" s="194"/>
      <c r="N413" s="248"/>
      <c r="O413" s="248"/>
      <c r="P413" s="108" t="str">
        <f>IFERROR(INDEX(Setup!$D$44:$D$70,MATCH(M413,Setup!$K$44:$K$70,0))&amp;"","")</f>
        <v/>
      </c>
      <c r="Q413" s="108" t="str">
        <f>IFERROR(INDEX(Setup!$E$44:$E$70,MATCH(M413,Setup!$K$44:$K$70,0))&amp;"","")</f>
        <v/>
      </c>
      <c r="R413" s="108" t="str">
        <f>IFERROR(INDEX(Setup!$L$44:$L$70,MATCH(M413,Setup!$K$44:$K$70,0))&amp;"","")</f>
        <v/>
      </c>
      <c r="S413" s="108" t="str">
        <f>Setup!$C$30</f>
        <v>USD</v>
      </c>
      <c r="T413" s="109" t="str">
        <f>IFERROR(INDEX('Data Sheet'!$B$198:$B$275,MATCH(I413,'Data Sheet'!$F$198:$F$275,0)),"")</f>
        <v/>
      </c>
      <c r="U413" s="110" t="str">
        <f>IFERROR(INDEX('Data Sheet'!$D$198:$D$275,MATCH(I413,'Data Sheet'!$F$198:$F$275,0)),"")</f>
        <v/>
      </c>
      <c r="V413" s="99"/>
      <c r="W413" s="195" t="str">
        <f>IF(V413=Setup!$C$30,"Grant",IF(V413=Setup!$C$31,"Local",IF(V413=Setup!$C$32,"Other",IF(ISBLANK(V413),"","Other"))))</f>
        <v/>
      </c>
      <c r="X413" s="255"/>
      <c r="Y413" s="259" t="str">
        <f>IF(X413&lt;&gt;"",X413/VLOOKUP($V413,Setup!$C$30:$D$41,2,0),"")</f>
        <v/>
      </c>
      <c r="Z413" s="262"/>
      <c r="AA413" s="256" t="str">
        <f t="shared" si="192"/>
        <v/>
      </c>
      <c r="AB413" s="262"/>
      <c r="AC413" s="258" t="str">
        <f t="shared" si="193"/>
        <v/>
      </c>
      <c r="AD413" s="262"/>
      <c r="AE413" s="258" t="str">
        <f t="shared" si="194"/>
        <v/>
      </c>
      <c r="AF413" s="262"/>
      <c r="AG413" s="256" t="str">
        <f t="shared" si="195"/>
        <v/>
      </c>
      <c r="AH413" s="256" t="str">
        <f t="shared" si="196"/>
        <v/>
      </c>
      <c r="AI413" s="256" t="str">
        <f t="shared" si="197"/>
        <v/>
      </c>
      <c r="AJ413" s="111"/>
      <c r="AK413" s="255"/>
      <c r="AL413" s="259" t="str">
        <f>IF(AK413&lt;&gt;"",AK413/VLOOKUP($V413,Setup!$C$30:$D$41,2,0),"")</f>
        <v/>
      </c>
      <c r="AM413" s="266"/>
      <c r="AN413" s="258" t="str">
        <f t="shared" si="198"/>
        <v/>
      </c>
      <c r="AO413" s="266"/>
      <c r="AP413" s="258" t="str">
        <f t="shared" si="199"/>
        <v/>
      </c>
      <c r="AQ413" s="266"/>
      <c r="AR413" s="258" t="str">
        <f t="shared" si="200"/>
        <v/>
      </c>
      <c r="AS413" s="266"/>
      <c r="AT413" s="256" t="str">
        <f t="shared" si="201"/>
        <v/>
      </c>
      <c r="AU413" s="256" t="str">
        <f t="shared" si="202"/>
        <v/>
      </c>
      <c r="AV413" s="256" t="str">
        <f t="shared" si="203"/>
        <v/>
      </c>
      <c r="AW413" s="267"/>
      <c r="AX413" s="255"/>
      <c r="AY413" s="259" t="str">
        <f>IF(AX413&lt;&gt;"",AX413/VLOOKUP($V413,Setup!$C$30:$D$41,2,0),"")</f>
        <v/>
      </c>
      <c r="AZ413" s="268"/>
      <c r="BA413" s="258" t="str">
        <f t="shared" si="204"/>
        <v/>
      </c>
      <c r="BB413" s="268"/>
      <c r="BC413" s="258" t="str">
        <f t="shared" si="205"/>
        <v/>
      </c>
      <c r="BD413" s="268"/>
      <c r="BE413" s="258" t="str">
        <f t="shared" si="206"/>
        <v/>
      </c>
      <c r="BF413" s="268"/>
      <c r="BG413" s="256" t="str">
        <f t="shared" si="207"/>
        <v/>
      </c>
      <c r="BH413" s="256" t="str">
        <f t="shared" si="208"/>
        <v/>
      </c>
      <c r="BI413" s="256" t="str">
        <f t="shared" si="209"/>
        <v/>
      </c>
      <c r="BJ413" s="267"/>
      <c r="BK413" s="255"/>
      <c r="BL413" s="259" t="str">
        <f>IF(BK413&lt;&gt;"",BK413/VLOOKUP($V413,Setup!$C$30:$D$41,2,0),"")</f>
        <v/>
      </c>
      <c r="BM413" s="268"/>
      <c r="BN413" s="258" t="str">
        <f t="shared" si="210"/>
        <v/>
      </c>
      <c r="BO413" s="268"/>
      <c r="BP413" s="258" t="str">
        <f t="shared" si="211"/>
        <v/>
      </c>
      <c r="BQ413" s="268"/>
      <c r="BR413" s="258" t="str">
        <f t="shared" si="212"/>
        <v/>
      </c>
      <c r="BS413" s="268"/>
      <c r="BT413" s="256" t="str">
        <f t="shared" si="213"/>
        <v/>
      </c>
      <c r="BU413" s="256" t="str">
        <f t="shared" si="214"/>
        <v/>
      </c>
      <c r="BV413" s="256" t="str">
        <f t="shared" si="215"/>
        <v/>
      </c>
      <c r="BW413" s="267"/>
      <c r="BX413" s="256" t="str">
        <f t="shared" si="216"/>
        <v/>
      </c>
      <c r="BY413" s="256" t="str">
        <f t="shared" si="217"/>
        <v/>
      </c>
      <c r="BZ413" s="281"/>
      <c r="CA413" s="282"/>
      <c r="CC413" s="112" t="str">
        <f t="shared" ca="1" si="218"/>
        <v/>
      </c>
      <c r="CF413" s="284"/>
      <c r="CG413" s="284"/>
      <c r="CH413" s="284"/>
      <c r="CI413" s="284"/>
      <c r="CL413" s="356" t="str">
        <f>IFERROR(VLOOKUP(C413,'Data Sheet'!$A$3:$B$26,2,FALSE),"")</f>
        <v/>
      </c>
    </row>
    <row r="414" spans="1:90" s="98" customFormat="1" ht="15.75" x14ac:dyDescent="0.2">
      <c r="A414" s="97"/>
      <c r="B414" s="105" t="str">
        <f t="shared" si="221"/>
        <v>--</v>
      </c>
      <c r="C414" s="276"/>
      <c r="D414" s="101" t="str">
        <f>IFERROR(IF(VLOOKUP(C414,'Data Sheet'!$A$3:$D$26,4,FALSE)=0,"",VLOOKUP(C414,'Data Sheet'!$A$3:$D$26,4,FALSE)),"")</f>
        <v/>
      </c>
      <c r="E414" s="279"/>
      <c r="F414" s="103" t="str">
        <f>IFERROR(IF(VLOOKUP(E414,'Data Sheet'!$C$29:$E$174,3,FALSE)=0,"",VLOOKUP(E414,'Data Sheet'!$C$29:$E$174,3,FALSE)),"")</f>
        <v/>
      </c>
      <c r="G414" s="106" t="str">
        <f t="shared" si="219"/>
        <v>-</v>
      </c>
      <c r="H414" s="273"/>
      <c r="I414" s="107"/>
      <c r="J414" s="249" t="e">
        <f t="shared" si="220"/>
        <v>#VALUE!</v>
      </c>
      <c r="K414" s="101" t="str">
        <f>IFERROR(INDEX('Data Sheet'!$C$198:$C$275,MATCH(I414,'Data Sheet'!$F$198:$F$275,0)),"")</f>
        <v/>
      </c>
      <c r="L414" s="250" t="str">
        <f>IFERROR(INDEX('Data Sheet'!$G$198:$G$275,MATCH(I414,'Data Sheet'!$F$198:$F$275,0)),"")</f>
        <v/>
      </c>
      <c r="M414" s="194"/>
      <c r="N414" s="248"/>
      <c r="O414" s="248"/>
      <c r="P414" s="108" t="str">
        <f>IFERROR(INDEX(Setup!$D$44:$D$70,MATCH(M414,Setup!$K$44:$K$70,0))&amp;"","")</f>
        <v/>
      </c>
      <c r="Q414" s="108" t="str">
        <f>IFERROR(INDEX(Setup!$E$44:$E$70,MATCH(M414,Setup!$K$44:$K$70,0))&amp;"","")</f>
        <v/>
      </c>
      <c r="R414" s="108" t="str">
        <f>IFERROR(INDEX(Setup!$L$44:$L$70,MATCH(M414,Setup!$K$44:$K$70,0))&amp;"","")</f>
        <v/>
      </c>
      <c r="S414" s="108" t="str">
        <f>Setup!$C$30</f>
        <v>USD</v>
      </c>
      <c r="T414" s="109" t="str">
        <f>IFERROR(INDEX('Data Sheet'!$B$198:$B$275,MATCH(I414,'Data Sheet'!$F$198:$F$275,0)),"")</f>
        <v/>
      </c>
      <c r="U414" s="110" t="str">
        <f>IFERROR(INDEX('Data Sheet'!$D$198:$D$275,MATCH(I414,'Data Sheet'!$F$198:$F$275,0)),"")</f>
        <v/>
      </c>
      <c r="V414" s="99"/>
      <c r="W414" s="195" t="str">
        <f>IF(V414=Setup!$C$30,"Grant",IF(V414=Setup!$C$31,"Local",IF(V414=Setup!$C$32,"Other",IF(ISBLANK(V414),"","Other"))))</f>
        <v/>
      </c>
      <c r="X414" s="255"/>
      <c r="Y414" s="259" t="str">
        <f>IF(X414&lt;&gt;"",X414/VLOOKUP($V414,Setup!$C$30:$D$41,2,0),"")</f>
        <v/>
      </c>
      <c r="Z414" s="262"/>
      <c r="AA414" s="256" t="str">
        <f t="shared" si="192"/>
        <v/>
      </c>
      <c r="AB414" s="262"/>
      <c r="AC414" s="258" t="str">
        <f t="shared" si="193"/>
        <v/>
      </c>
      <c r="AD414" s="262"/>
      <c r="AE414" s="258" t="str">
        <f t="shared" si="194"/>
        <v/>
      </c>
      <c r="AF414" s="262"/>
      <c r="AG414" s="256" t="str">
        <f t="shared" si="195"/>
        <v/>
      </c>
      <c r="AH414" s="256" t="str">
        <f t="shared" si="196"/>
        <v/>
      </c>
      <c r="AI414" s="256" t="str">
        <f t="shared" si="197"/>
        <v/>
      </c>
      <c r="AJ414" s="111"/>
      <c r="AK414" s="255"/>
      <c r="AL414" s="259" t="str">
        <f>IF(AK414&lt;&gt;"",AK414/VLOOKUP($V414,Setup!$C$30:$D$41,2,0),"")</f>
        <v/>
      </c>
      <c r="AM414" s="266"/>
      <c r="AN414" s="258" t="str">
        <f t="shared" si="198"/>
        <v/>
      </c>
      <c r="AO414" s="266"/>
      <c r="AP414" s="258" t="str">
        <f t="shared" si="199"/>
        <v/>
      </c>
      <c r="AQ414" s="266"/>
      <c r="AR414" s="258" t="str">
        <f t="shared" si="200"/>
        <v/>
      </c>
      <c r="AS414" s="266"/>
      <c r="AT414" s="256" t="str">
        <f t="shared" si="201"/>
        <v/>
      </c>
      <c r="AU414" s="256" t="str">
        <f t="shared" si="202"/>
        <v/>
      </c>
      <c r="AV414" s="256" t="str">
        <f t="shared" si="203"/>
        <v/>
      </c>
      <c r="AW414" s="267"/>
      <c r="AX414" s="255"/>
      <c r="AY414" s="259" t="str">
        <f>IF(AX414&lt;&gt;"",AX414/VLOOKUP($V414,Setup!$C$30:$D$41,2,0),"")</f>
        <v/>
      </c>
      <c r="AZ414" s="268"/>
      <c r="BA414" s="258" t="str">
        <f t="shared" si="204"/>
        <v/>
      </c>
      <c r="BB414" s="268"/>
      <c r="BC414" s="258" t="str">
        <f t="shared" si="205"/>
        <v/>
      </c>
      <c r="BD414" s="268"/>
      <c r="BE414" s="258" t="str">
        <f t="shared" si="206"/>
        <v/>
      </c>
      <c r="BF414" s="268"/>
      <c r="BG414" s="256" t="str">
        <f t="shared" si="207"/>
        <v/>
      </c>
      <c r="BH414" s="256" t="str">
        <f t="shared" si="208"/>
        <v/>
      </c>
      <c r="BI414" s="256" t="str">
        <f t="shared" si="209"/>
        <v/>
      </c>
      <c r="BJ414" s="267"/>
      <c r="BK414" s="255"/>
      <c r="BL414" s="259" t="str">
        <f>IF(BK414&lt;&gt;"",BK414/VLOOKUP($V414,Setup!$C$30:$D$41,2,0),"")</f>
        <v/>
      </c>
      <c r="BM414" s="268"/>
      <c r="BN414" s="258" t="str">
        <f t="shared" si="210"/>
        <v/>
      </c>
      <c r="BO414" s="268"/>
      <c r="BP414" s="258" t="str">
        <f t="shared" si="211"/>
        <v/>
      </c>
      <c r="BQ414" s="268"/>
      <c r="BR414" s="258" t="str">
        <f t="shared" si="212"/>
        <v/>
      </c>
      <c r="BS414" s="268"/>
      <c r="BT414" s="256" t="str">
        <f t="shared" si="213"/>
        <v/>
      </c>
      <c r="BU414" s="256" t="str">
        <f t="shared" si="214"/>
        <v/>
      </c>
      <c r="BV414" s="256" t="str">
        <f t="shared" si="215"/>
        <v/>
      </c>
      <c r="BW414" s="267"/>
      <c r="BX414" s="256" t="str">
        <f t="shared" si="216"/>
        <v/>
      </c>
      <c r="BY414" s="256" t="str">
        <f t="shared" si="217"/>
        <v/>
      </c>
      <c r="BZ414" s="281"/>
      <c r="CA414" s="282"/>
      <c r="CC414" s="112" t="str">
        <f t="shared" ca="1" si="218"/>
        <v/>
      </c>
      <c r="CF414" s="284"/>
      <c r="CG414" s="284"/>
      <c r="CH414" s="284"/>
      <c r="CI414" s="284"/>
      <c r="CL414" s="356" t="str">
        <f>IFERROR(VLOOKUP(C414,'Data Sheet'!$A$3:$B$26,2,FALSE),"")</f>
        <v/>
      </c>
    </row>
    <row r="415" spans="1:90" s="98" customFormat="1" ht="15.75" x14ac:dyDescent="0.2">
      <c r="A415" s="97"/>
      <c r="B415" s="105" t="str">
        <f t="shared" si="221"/>
        <v>--</v>
      </c>
      <c r="C415" s="276"/>
      <c r="D415" s="101" t="str">
        <f>IFERROR(IF(VLOOKUP(C415,'Data Sheet'!$A$3:$D$26,4,FALSE)=0,"",VLOOKUP(C415,'Data Sheet'!$A$3:$D$26,4,FALSE)),"")</f>
        <v/>
      </c>
      <c r="E415" s="279"/>
      <c r="F415" s="103" t="str">
        <f>IFERROR(IF(VLOOKUP(E415,'Data Sheet'!$C$29:$E$174,3,FALSE)=0,"",VLOOKUP(E415,'Data Sheet'!$C$29:$E$174,3,FALSE)),"")</f>
        <v/>
      </c>
      <c r="G415" s="106" t="str">
        <f t="shared" si="219"/>
        <v>-</v>
      </c>
      <c r="H415" s="273"/>
      <c r="I415" s="107"/>
      <c r="J415" s="249" t="e">
        <f t="shared" si="220"/>
        <v>#VALUE!</v>
      </c>
      <c r="K415" s="101" t="str">
        <f>IFERROR(INDEX('Data Sheet'!$C$198:$C$275,MATCH(I415,'Data Sheet'!$F$198:$F$275,0)),"")</f>
        <v/>
      </c>
      <c r="L415" s="250" t="str">
        <f>IFERROR(INDEX('Data Sheet'!$G$198:$G$275,MATCH(I415,'Data Sheet'!$F$198:$F$275,0)),"")</f>
        <v/>
      </c>
      <c r="M415" s="194"/>
      <c r="N415" s="248"/>
      <c r="O415" s="248"/>
      <c r="P415" s="108" t="str">
        <f>IFERROR(INDEX(Setup!$D$44:$D$70,MATCH(M415,Setup!$K$44:$K$70,0))&amp;"","")</f>
        <v/>
      </c>
      <c r="Q415" s="108" t="str">
        <f>IFERROR(INDEX(Setup!$E$44:$E$70,MATCH(M415,Setup!$K$44:$K$70,0))&amp;"","")</f>
        <v/>
      </c>
      <c r="R415" s="108" t="str">
        <f>IFERROR(INDEX(Setup!$L$44:$L$70,MATCH(M415,Setup!$K$44:$K$70,0))&amp;"","")</f>
        <v/>
      </c>
      <c r="S415" s="108" t="str">
        <f>Setup!$C$30</f>
        <v>USD</v>
      </c>
      <c r="T415" s="109" t="str">
        <f>IFERROR(INDEX('Data Sheet'!$B$198:$B$275,MATCH(I415,'Data Sheet'!$F$198:$F$275,0)),"")</f>
        <v/>
      </c>
      <c r="U415" s="110" t="str">
        <f>IFERROR(INDEX('Data Sheet'!$D$198:$D$275,MATCH(I415,'Data Sheet'!$F$198:$F$275,0)),"")</f>
        <v/>
      </c>
      <c r="V415" s="99"/>
      <c r="W415" s="195" t="str">
        <f>IF(V415=Setup!$C$30,"Grant",IF(V415=Setup!$C$31,"Local",IF(V415=Setup!$C$32,"Other",IF(ISBLANK(V415),"","Other"))))</f>
        <v/>
      </c>
      <c r="X415" s="255"/>
      <c r="Y415" s="259" t="str">
        <f>IF(X415&lt;&gt;"",X415/VLOOKUP($V415,Setup!$C$30:$D$41,2,0),"")</f>
        <v/>
      </c>
      <c r="Z415" s="262"/>
      <c r="AA415" s="256" t="str">
        <f t="shared" si="192"/>
        <v/>
      </c>
      <c r="AB415" s="262"/>
      <c r="AC415" s="258" t="str">
        <f t="shared" si="193"/>
        <v/>
      </c>
      <c r="AD415" s="262"/>
      <c r="AE415" s="258" t="str">
        <f t="shared" si="194"/>
        <v/>
      </c>
      <c r="AF415" s="262"/>
      <c r="AG415" s="256" t="str">
        <f t="shared" si="195"/>
        <v/>
      </c>
      <c r="AH415" s="256" t="str">
        <f t="shared" si="196"/>
        <v/>
      </c>
      <c r="AI415" s="256" t="str">
        <f t="shared" si="197"/>
        <v/>
      </c>
      <c r="AJ415" s="111"/>
      <c r="AK415" s="255"/>
      <c r="AL415" s="259" t="str">
        <f>IF(AK415&lt;&gt;"",AK415/VLOOKUP($V415,Setup!$C$30:$D$41,2,0),"")</f>
        <v/>
      </c>
      <c r="AM415" s="266"/>
      <c r="AN415" s="258" t="str">
        <f t="shared" si="198"/>
        <v/>
      </c>
      <c r="AO415" s="266"/>
      <c r="AP415" s="258" t="str">
        <f t="shared" si="199"/>
        <v/>
      </c>
      <c r="AQ415" s="266"/>
      <c r="AR415" s="258" t="str">
        <f t="shared" si="200"/>
        <v/>
      </c>
      <c r="AS415" s="266"/>
      <c r="AT415" s="256" t="str">
        <f t="shared" si="201"/>
        <v/>
      </c>
      <c r="AU415" s="256" t="str">
        <f t="shared" si="202"/>
        <v/>
      </c>
      <c r="AV415" s="256" t="str">
        <f t="shared" si="203"/>
        <v/>
      </c>
      <c r="AW415" s="267"/>
      <c r="AX415" s="255"/>
      <c r="AY415" s="259" t="str">
        <f>IF(AX415&lt;&gt;"",AX415/VLOOKUP($V415,Setup!$C$30:$D$41,2,0),"")</f>
        <v/>
      </c>
      <c r="AZ415" s="268"/>
      <c r="BA415" s="258" t="str">
        <f t="shared" si="204"/>
        <v/>
      </c>
      <c r="BB415" s="268"/>
      <c r="BC415" s="258" t="str">
        <f t="shared" si="205"/>
        <v/>
      </c>
      <c r="BD415" s="268"/>
      <c r="BE415" s="258" t="str">
        <f t="shared" si="206"/>
        <v/>
      </c>
      <c r="BF415" s="268"/>
      <c r="BG415" s="256" t="str">
        <f t="shared" si="207"/>
        <v/>
      </c>
      <c r="BH415" s="256" t="str">
        <f t="shared" si="208"/>
        <v/>
      </c>
      <c r="BI415" s="256" t="str">
        <f t="shared" si="209"/>
        <v/>
      </c>
      <c r="BJ415" s="267"/>
      <c r="BK415" s="255"/>
      <c r="BL415" s="259" t="str">
        <f>IF(BK415&lt;&gt;"",BK415/VLOOKUP($V415,Setup!$C$30:$D$41,2,0),"")</f>
        <v/>
      </c>
      <c r="BM415" s="268"/>
      <c r="BN415" s="258" t="str">
        <f t="shared" si="210"/>
        <v/>
      </c>
      <c r="BO415" s="268"/>
      <c r="BP415" s="258" t="str">
        <f t="shared" si="211"/>
        <v/>
      </c>
      <c r="BQ415" s="268"/>
      <c r="BR415" s="258" t="str">
        <f t="shared" si="212"/>
        <v/>
      </c>
      <c r="BS415" s="268"/>
      <c r="BT415" s="256" t="str">
        <f t="shared" si="213"/>
        <v/>
      </c>
      <c r="BU415" s="256" t="str">
        <f t="shared" si="214"/>
        <v/>
      </c>
      <c r="BV415" s="256" t="str">
        <f t="shared" si="215"/>
        <v/>
      </c>
      <c r="BW415" s="267"/>
      <c r="BX415" s="256" t="str">
        <f t="shared" si="216"/>
        <v/>
      </c>
      <c r="BY415" s="256" t="str">
        <f t="shared" si="217"/>
        <v/>
      </c>
      <c r="BZ415" s="281"/>
      <c r="CA415" s="282"/>
      <c r="CC415" s="112" t="str">
        <f t="shared" ca="1" si="218"/>
        <v/>
      </c>
      <c r="CF415" s="284"/>
      <c r="CG415" s="284"/>
      <c r="CH415" s="284"/>
      <c r="CI415" s="284"/>
      <c r="CL415" s="356" t="str">
        <f>IFERROR(VLOOKUP(C415,'Data Sheet'!$A$3:$B$26,2,FALSE),"")</f>
        <v/>
      </c>
    </row>
    <row r="416" spans="1:90" s="98" customFormat="1" ht="15.75" x14ac:dyDescent="0.2">
      <c r="A416" s="97"/>
      <c r="B416" s="105" t="str">
        <f t="shared" si="221"/>
        <v>--</v>
      </c>
      <c r="C416" s="276"/>
      <c r="D416" s="101" t="str">
        <f>IFERROR(IF(VLOOKUP(C416,'Data Sheet'!$A$3:$D$26,4,FALSE)=0,"",VLOOKUP(C416,'Data Sheet'!$A$3:$D$26,4,FALSE)),"")</f>
        <v/>
      </c>
      <c r="E416" s="279"/>
      <c r="F416" s="103" t="str">
        <f>IFERROR(IF(VLOOKUP(E416,'Data Sheet'!$C$29:$E$174,3,FALSE)=0,"",VLOOKUP(E416,'Data Sheet'!$C$29:$E$174,3,FALSE)),"")</f>
        <v/>
      </c>
      <c r="G416" s="106" t="str">
        <f t="shared" si="219"/>
        <v>-</v>
      </c>
      <c r="H416" s="273"/>
      <c r="I416" s="107"/>
      <c r="J416" s="249" t="e">
        <f t="shared" si="220"/>
        <v>#VALUE!</v>
      </c>
      <c r="K416" s="101" t="str">
        <f>IFERROR(INDEX('Data Sheet'!$C$198:$C$275,MATCH(I416,'Data Sheet'!$F$198:$F$275,0)),"")</f>
        <v/>
      </c>
      <c r="L416" s="250" t="str">
        <f>IFERROR(INDEX('Data Sheet'!$G$198:$G$275,MATCH(I416,'Data Sheet'!$F$198:$F$275,0)),"")</f>
        <v/>
      </c>
      <c r="M416" s="194"/>
      <c r="N416" s="248"/>
      <c r="O416" s="248"/>
      <c r="P416" s="108" t="str">
        <f>IFERROR(INDEX(Setup!$D$44:$D$70,MATCH(M416,Setup!$K$44:$K$70,0))&amp;"","")</f>
        <v/>
      </c>
      <c r="Q416" s="108" t="str">
        <f>IFERROR(INDEX(Setup!$E$44:$E$70,MATCH(M416,Setup!$K$44:$K$70,0))&amp;"","")</f>
        <v/>
      </c>
      <c r="R416" s="108" t="str">
        <f>IFERROR(INDEX(Setup!$L$44:$L$70,MATCH(M416,Setup!$K$44:$K$70,0))&amp;"","")</f>
        <v/>
      </c>
      <c r="S416" s="108" t="str">
        <f>Setup!$C$30</f>
        <v>USD</v>
      </c>
      <c r="T416" s="109" t="str">
        <f>IFERROR(INDEX('Data Sheet'!$B$198:$B$275,MATCH(I416,'Data Sheet'!$F$198:$F$275,0)),"")</f>
        <v/>
      </c>
      <c r="U416" s="110" t="str">
        <f>IFERROR(INDEX('Data Sheet'!$D$198:$D$275,MATCH(I416,'Data Sheet'!$F$198:$F$275,0)),"")</f>
        <v/>
      </c>
      <c r="V416" s="99"/>
      <c r="W416" s="195" t="str">
        <f>IF(V416=Setup!$C$30,"Grant",IF(V416=Setup!$C$31,"Local",IF(V416=Setup!$C$32,"Other",IF(ISBLANK(V416),"","Other"))))</f>
        <v/>
      </c>
      <c r="X416" s="255"/>
      <c r="Y416" s="259" t="str">
        <f>IF(X416&lt;&gt;"",X416/VLOOKUP($V416,Setup!$C$30:$D$41,2,0),"")</f>
        <v/>
      </c>
      <c r="Z416" s="262"/>
      <c r="AA416" s="256" t="str">
        <f t="shared" si="192"/>
        <v/>
      </c>
      <c r="AB416" s="262"/>
      <c r="AC416" s="258" t="str">
        <f t="shared" si="193"/>
        <v/>
      </c>
      <c r="AD416" s="262"/>
      <c r="AE416" s="258" t="str">
        <f t="shared" si="194"/>
        <v/>
      </c>
      <c r="AF416" s="262"/>
      <c r="AG416" s="256" t="str">
        <f t="shared" si="195"/>
        <v/>
      </c>
      <c r="AH416" s="256" t="str">
        <f t="shared" si="196"/>
        <v/>
      </c>
      <c r="AI416" s="256" t="str">
        <f t="shared" si="197"/>
        <v/>
      </c>
      <c r="AJ416" s="111"/>
      <c r="AK416" s="255"/>
      <c r="AL416" s="259" t="str">
        <f>IF(AK416&lt;&gt;"",AK416/VLOOKUP($V416,Setup!$C$30:$D$41,2,0),"")</f>
        <v/>
      </c>
      <c r="AM416" s="266"/>
      <c r="AN416" s="258" t="str">
        <f t="shared" si="198"/>
        <v/>
      </c>
      <c r="AO416" s="266"/>
      <c r="AP416" s="258" t="str">
        <f t="shared" si="199"/>
        <v/>
      </c>
      <c r="AQ416" s="266"/>
      <c r="AR416" s="258" t="str">
        <f t="shared" si="200"/>
        <v/>
      </c>
      <c r="AS416" s="266"/>
      <c r="AT416" s="256" t="str">
        <f t="shared" si="201"/>
        <v/>
      </c>
      <c r="AU416" s="256" t="str">
        <f t="shared" si="202"/>
        <v/>
      </c>
      <c r="AV416" s="256" t="str">
        <f t="shared" si="203"/>
        <v/>
      </c>
      <c r="AW416" s="267"/>
      <c r="AX416" s="255"/>
      <c r="AY416" s="259" t="str">
        <f>IF(AX416&lt;&gt;"",AX416/VLOOKUP($V416,Setup!$C$30:$D$41,2,0),"")</f>
        <v/>
      </c>
      <c r="AZ416" s="268"/>
      <c r="BA416" s="258" t="str">
        <f t="shared" si="204"/>
        <v/>
      </c>
      <c r="BB416" s="268"/>
      <c r="BC416" s="258" t="str">
        <f t="shared" si="205"/>
        <v/>
      </c>
      <c r="BD416" s="268"/>
      <c r="BE416" s="258" t="str">
        <f t="shared" si="206"/>
        <v/>
      </c>
      <c r="BF416" s="268"/>
      <c r="BG416" s="256" t="str">
        <f t="shared" si="207"/>
        <v/>
      </c>
      <c r="BH416" s="256" t="str">
        <f t="shared" si="208"/>
        <v/>
      </c>
      <c r="BI416" s="256" t="str">
        <f t="shared" si="209"/>
        <v/>
      </c>
      <c r="BJ416" s="267"/>
      <c r="BK416" s="255"/>
      <c r="BL416" s="259" t="str">
        <f>IF(BK416&lt;&gt;"",BK416/VLOOKUP($V416,Setup!$C$30:$D$41,2,0),"")</f>
        <v/>
      </c>
      <c r="BM416" s="268"/>
      <c r="BN416" s="258" t="str">
        <f t="shared" si="210"/>
        <v/>
      </c>
      <c r="BO416" s="268"/>
      <c r="BP416" s="258" t="str">
        <f t="shared" si="211"/>
        <v/>
      </c>
      <c r="BQ416" s="268"/>
      <c r="BR416" s="258" t="str">
        <f t="shared" si="212"/>
        <v/>
      </c>
      <c r="BS416" s="268"/>
      <c r="BT416" s="256" t="str">
        <f t="shared" si="213"/>
        <v/>
      </c>
      <c r="BU416" s="256" t="str">
        <f t="shared" si="214"/>
        <v/>
      </c>
      <c r="BV416" s="256" t="str">
        <f t="shared" si="215"/>
        <v/>
      </c>
      <c r="BW416" s="267"/>
      <c r="BX416" s="256" t="str">
        <f t="shared" si="216"/>
        <v/>
      </c>
      <c r="BY416" s="256" t="str">
        <f t="shared" si="217"/>
        <v/>
      </c>
      <c r="BZ416" s="281"/>
      <c r="CA416" s="282"/>
      <c r="CC416" s="112" t="str">
        <f t="shared" ca="1" si="218"/>
        <v/>
      </c>
      <c r="CF416" s="284"/>
      <c r="CG416" s="284"/>
      <c r="CH416" s="284"/>
      <c r="CI416" s="284"/>
      <c r="CL416" s="356" t="str">
        <f>IFERROR(VLOOKUP(C416,'Data Sheet'!$A$3:$B$26,2,FALSE),"")</f>
        <v/>
      </c>
    </row>
    <row r="417" spans="1:90" s="98" customFormat="1" ht="15.75" x14ac:dyDescent="0.2">
      <c r="A417" s="97"/>
      <c r="B417" s="105" t="str">
        <f t="shared" si="221"/>
        <v>--</v>
      </c>
      <c r="C417" s="276"/>
      <c r="D417" s="101" t="str">
        <f>IFERROR(IF(VLOOKUP(C417,'Data Sheet'!$A$3:$D$26,4,FALSE)=0,"",VLOOKUP(C417,'Data Sheet'!$A$3:$D$26,4,FALSE)),"")</f>
        <v/>
      </c>
      <c r="E417" s="279"/>
      <c r="F417" s="103" t="str">
        <f>IFERROR(IF(VLOOKUP(E417,'Data Sheet'!$C$29:$E$174,3,FALSE)=0,"",VLOOKUP(E417,'Data Sheet'!$C$29:$E$174,3,FALSE)),"")</f>
        <v/>
      </c>
      <c r="G417" s="106" t="str">
        <f t="shared" si="219"/>
        <v>-</v>
      </c>
      <c r="H417" s="273"/>
      <c r="I417" s="107"/>
      <c r="J417" s="249" t="e">
        <f t="shared" si="220"/>
        <v>#VALUE!</v>
      </c>
      <c r="K417" s="101" t="str">
        <f>IFERROR(INDEX('Data Sheet'!$C$198:$C$275,MATCH(I417,'Data Sheet'!$F$198:$F$275,0)),"")</f>
        <v/>
      </c>
      <c r="L417" s="250" t="str">
        <f>IFERROR(INDEX('Data Sheet'!$G$198:$G$275,MATCH(I417,'Data Sheet'!$F$198:$F$275,0)),"")</f>
        <v/>
      </c>
      <c r="M417" s="194"/>
      <c r="N417" s="248"/>
      <c r="O417" s="248"/>
      <c r="P417" s="108" t="str">
        <f>IFERROR(INDEX(Setup!$D$44:$D$70,MATCH(M417,Setup!$K$44:$K$70,0))&amp;"","")</f>
        <v/>
      </c>
      <c r="Q417" s="108" t="str">
        <f>IFERROR(INDEX(Setup!$E$44:$E$70,MATCH(M417,Setup!$K$44:$K$70,0))&amp;"","")</f>
        <v/>
      </c>
      <c r="R417" s="108" t="str">
        <f>IFERROR(INDEX(Setup!$L$44:$L$70,MATCH(M417,Setup!$K$44:$K$70,0))&amp;"","")</f>
        <v/>
      </c>
      <c r="S417" s="108" t="str">
        <f>Setup!$C$30</f>
        <v>USD</v>
      </c>
      <c r="T417" s="109" t="str">
        <f>IFERROR(INDEX('Data Sheet'!$B$198:$B$275,MATCH(I417,'Data Sheet'!$F$198:$F$275,0)),"")</f>
        <v/>
      </c>
      <c r="U417" s="110" t="str">
        <f>IFERROR(INDEX('Data Sheet'!$D$198:$D$275,MATCH(I417,'Data Sheet'!$F$198:$F$275,0)),"")</f>
        <v/>
      </c>
      <c r="V417" s="99"/>
      <c r="W417" s="195" t="str">
        <f>IF(V417=Setup!$C$30,"Grant",IF(V417=Setup!$C$31,"Local",IF(V417=Setup!$C$32,"Other",IF(ISBLANK(V417),"","Other"))))</f>
        <v/>
      </c>
      <c r="X417" s="255"/>
      <c r="Y417" s="259" t="str">
        <f>IF(X417&lt;&gt;"",X417/VLOOKUP($V417,Setup!$C$30:$D$41,2,0),"")</f>
        <v/>
      </c>
      <c r="Z417" s="262"/>
      <c r="AA417" s="256" t="str">
        <f t="shared" si="192"/>
        <v/>
      </c>
      <c r="AB417" s="262"/>
      <c r="AC417" s="258" t="str">
        <f t="shared" si="193"/>
        <v/>
      </c>
      <c r="AD417" s="262"/>
      <c r="AE417" s="258" t="str">
        <f t="shared" si="194"/>
        <v/>
      </c>
      <c r="AF417" s="262"/>
      <c r="AG417" s="256" t="str">
        <f t="shared" si="195"/>
        <v/>
      </c>
      <c r="AH417" s="256" t="str">
        <f t="shared" si="196"/>
        <v/>
      </c>
      <c r="AI417" s="256" t="str">
        <f t="shared" si="197"/>
        <v/>
      </c>
      <c r="AJ417" s="111"/>
      <c r="AK417" s="255"/>
      <c r="AL417" s="259" t="str">
        <f>IF(AK417&lt;&gt;"",AK417/VLOOKUP($V417,Setup!$C$30:$D$41,2,0),"")</f>
        <v/>
      </c>
      <c r="AM417" s="266"/>
      <c r="AN417" s="258" t="str">
        <f t="shared" si="198"/>
        <v/>
      </c>
      <c r="AO417" s="266"/>
      <c r="AP417" s="258" t="str">
        <f t="shared" si="199"/>
        <v/>
      </c>
      <c r="AQ417" s="266"/>
      <c r="AR417" s="258" t="str">
        <f t="shared" si="200"/>
        <v/>
      </c>
      <c r="AS417" s="266"/>
      <c r="AT417" s="256" t="str">
        <f t="shared" si="201"/>
        <v/>
      </c>
      <c r="AU417" s="256" t="str">
        <f t="shared" si="202"/>
        <v/>
      </c>
      <c r="AV417" s="256" t="str">
        <f t="shared" si="203"/>
        <v/>
      </c>
      <c r="AW417" s="267"/>
      <c r="AX417" s="255"/>
      <c r="AY417" s="259" t="str">
        <f>IF(AX417&lt;&gt;"",AX417/VLOOKUP($V417,Setup!$C$30:$D$41,2,0),"")</f>
        <v/>
      </c>
      <c r="AZ417" s="268"/>
      <c r="BA417" s="258" t="str">
        <f t="shared" si="204"/>
        <v/>
      </c>
      <c r="BB417" s="268"/>
      <c r="BC417" s="258" t="str">
        <f t="shared" si="205"/>
        <v/>
      </c>
      <c r="BD417" s="268"/>
      <c r="BE417" s="258" t="str">
        <f t="shared" si="206"/>
        <v/>
      </c>
      <c r="BF417" s="268"/>
      <c r="BG417" s="256" t="str">
        <f t="shared" si="207"/>
        <v/>
      </c>
      <c r="BH417" s="256" t="str">
        <f t="shared" si="208"/>
        <v/>
      </c>
      <c r="BI417" s="256" t="str">
        <f t="shared" si="209"/>
        <v/>
      </c>
      <c r="BJ417" s="267"/>
      <c r="BK417" s="255"/>
      <c r="BL417" s="259" t="str">
        <f>IF(BK417&lt;&gt;"",BK417/VLOOKUP($V417,Setup!$C$30:$D$41,2,0),"")</f>
        <v/>
      </c>
      <c r="BM417" s="268"/>
      <c r="BN417" s="258" t="str">
        <f t="shared" si="210"/>
        <v/>
      </c>
      <c r="BO417" s="268"/>
      <c r="BP417" s="258" t="str">
        <f t="shared" si="211"/>
        <v/>
      </c>
      <c r="BQ417" s="268"/>
      <c r="BR417" s="258" t="str">
        <f t="shared" si="212"/>
        <v/>
      </c>
      <c r="BS417" s="268"/>
      <c r="BT417" s="256" t="str">
        <f t="shared" si="213"/>
        <v/>
      </c>
      <c r="BU417" s="256" t="str">
        <f t="shared" si="214"/>
        <v/>
      </c>
      <c r="BV417" s="256" t="str">
        <f t="shared" si="215"/>
        <v/>
      </c>
      <c r="BW417" s="267"/>
      <c r="BX417" s="256" t="str">
        <f t="shared" si="216"/>
        <v/>
      </c>
      <c r="BY417" s="256" t="str">
        <f t="shared" si="217"/>
        <v/>
      </c>
      <c r="BZ417" s="281"/>
      <c r="CA417" s="282"/>
      <c r="CC417" s="112" t="str">
        <f t="shared" ca="1" si="218"/>
        <v/>
      </c>
      <c r="CF417" s="284"/>
      <c r="CG417" s="284"/>
      <c r="CH417" s="284"/>
      <c r="CI417" s="284"/>
      <c r="CL417" s="356" t="str">
        <f>IFERROR(VLOOKUP(C417,'Data Sheet'!$A$3:$B$26,2,FALSE),"")</f>
        <v/>
      </c>
    </row>
    <row r="418" spans="1:90" s="98" customFormat="1" ht="15.75" x14ac:dyDescent="0.2">
      <c r="A418" s="97"/>
      <c r="B418" s="105" t="str">
        <f t="shared" si="221"/>
        <v>--</v>
      </c>
      <c r="C418" s="276"/>
      <c r="D418" s="101" t="str">
        <f>IFERROR(IF(VLOOKUP(C418,'Data Sheet'!$A$3:$D$26,4,FALSE)=0,"",VLOOKUP(C418,'Data Sheet'!$A$3:$D$26,4,FALSE)),"")</f>
        <v/>
      </c>
      <c r="E418" s="279"/>
      <c r="F418" s="103" t="str">
        <f>IFERROR(IF(VLOOKUP(E418,'Data Sheet'!$C$29:$E$174,3,FALSE)=0,"",VLOOKUP(E418,'Data Sheet'!$C$29:$E$174,3,FALSE)),"")</f>
        <v/>
      </c>
      <c r="G418" s="106" t="str">
        <f t="shared" si="219"/>
        <v>-</v>
      </c>
      <c r="H418" s="273"/>
      <c r="I418" s="107"/>
      <c r="J418" s="249" t="e">
        <f t="shared" si="220"/>
        <v>#VALUE!</v>
      </c>
      <c r="K418" s="101" t="str">
        <f>IFERROR(INDEX('Data Sheet'!$C$198:$C$275,MATCH(I418,'Data Sheet'!$F$198:$F$275,0)),"")</f>
        <v/>
      </c>
      <c r="L418" s="250" t="str">
        <f>IFERROR(INDEX('Data Sheet'!$G$198:$G$275,MATCH(I418,'Data Sheet'!$F$198:$F$275,0)),"")</f>
        <v/>
      </c>
      <c r="M418" s="194"/>
      <c r="N418" s="248"/>
      <c r="O418" s="248"/>
      <c r="P418" s="108" t="str">
        <f>IFERROR(INDEX(Setup!$D$44:$D$70,MATCH(M418,Setup!$K$44:$K$70,0))&amp;"","")</f>
        <v/>
      </c>
      <c r="Q418" s="108" t="str">
        <f>IFERROR(INDEX(Setup!$E$44:$E$70,MATCH(M418,Setup!$K$44:$K$70,0))&amp;"","")</f>
        <v/>
      </c>
      <c r="R418" s="108" t="str">
        <f>IFERROR(INDEX(Setup!$L$44:$L$70,MATCH(M418,Setup!$K$44:$K$70,0))&amp;"","")</f>
        <v/>
      </c>
      <c r="S418" s="108" t="str">
        <f>Setup!$C$30</f>
        <v>USD</v>
      </c>
      <c r="T418" s="109" t="str">
        <f>IFERROR(INDEX('Data Sheet'!$B$198:$B$275,MATCH(I418,'Data Sheet'!$F$198:$F$275,0)),"")</f>
        <v/>
      </c>
      <c r="U418" s="110" t="str">
        <f>IFERROR(INDEX('Data Sheet'!$D$198:$D$275,MATCH(I418,'Data Sheet'!$F$198:$F$275,0)),"")</f>
        <v/>
      </c>
      <c r="V418" s="99"/>
      <c r="W418" s="195" t="str">
        <f>IF(V418=Setup!$C$30,"Grant",IF(V418=Setup!$C$31,"Local",IF(V418=Setup!$C$32,"Other",IF(ISBLANK(V418),"","Other"))))</f>
        <v/>
      </c>
      <c r="X418" s="255"/>
      <c r="Y418" s="259" t="str">
        <f>IF(X418&lt;&gt;"",X418/VLOOKUP($V418,Setup!$C$30:$D$41,2,0),"")</f>
        <v/>
      </c>
      <c r="Z418" s="262"/>
      <c r="AA418" s="256" t="str">
        <f t="shared" si="192"/>
        <v/>
      </c>
      <c r="AB418" s="262"/>
      <c r="AC418" s="258" t="str">
        <f t="shared" si="193"/>
        <v/>
      </c>
      <c r="AD418" s="262"/>
      <c r="AE418" s="258" t="str">
        <f t="shared" si="194"/>
        <v/>
      </c>
      <c r="AF418" s="262"/>
      <c r="AG418" s="256" t="str">
        <f t="shared" si="195"/>
        <v/>
      </c>
      <c r="AH418" s="256" t="str">
        <f t="shared" si="196"/>
        <v/>
      </c>
      <c r="AI418" s="256" t="str">
        <f t="shared" si="197"/>
        <v/>
      </c>
      <c r="AJ418" s="111"/>
      <c r="AK418" s="255"/>
      <c r="AL418" s="259" t="str">
        <f>IF(AK418&lt;&gt;"",AK418/VLOOKUP($V418,Setup!$C$30:$D$41,2,0),"")</f>
        <v/>
      </c>
      <c r="AM418" s="266"/>
      <c r="AN418" s="258" t="str">
        <f t="shared" si="198"/>
        <v/>
      </c>
      <c r="AO418" s="266"/>
      <c r="AP418" s="258" t="str">
        <f t="shared" si="199"/>
        <v/>
      </c>
      <c r="AQ418" s="266"/>
      <c r="AR418" s="258" t="str">
        <f t="shared" si="200"/>
        <v/>
      </c>
      <c r="AS418" s="266"/>
      <c r="AT418" s="256" t="str">
        <f t="shared" si="201"/>
        <v/>
      </c>
      <c r="AU418" s="256" t="str">
        <f t="shared" si="202"/>
        <v/>
      </c>
      <c r="AV418" s="256" t="str">
        <f t="shared" si="203"/>
        <v/>
      </c>
      <c r="AW418" s="267"/>
      <c r="AX418" s="255"/>
      <c r="AY418" s="259" t="str">
        <f>IF(AX418&lt;&gt;"",AX418/VLOOKUP($V418,Setup!$C$30:$D$41,2,0),"")</f>
        <v/>
      </c>
      <c r="AZ418" s="268"/>
      <c r="BA418" s="258" t="str">
        <f t="shared" si="204"/>
        <v/>
      </c>
      <c r="BB418" s="268"/>
      <c r="BC418" s="258" t="str">
        <f t="shared" si="205"/>
        <v/>
      </c>
      <c r="BD418" s="268"/>
      <c r="BE418" s="258" t="str">
        <f t="shared" si="206"/>
        <v/>
      </c>
      <c r="BF418" s="268"/>
      <c r="BG418" s="256" t="str">
        <f t="shared" si="207"/>
        <v/>
      </c>
      <c r="BH418" s="256" t="str">
        <f t="shared" si="208"/>
        <v/>
      </c>
      <c r="BI418" s="256" t="str">
        <f t="shared" si="209"/>
        <v/>
      </c>
      <c r="BJ418" s="267"/>
      <c r="BK418" s="255"/>
      <c r="BL418" s="259" t="str">
        <f>IF(BK418&lt;&gt;"",BK418/VLOOKUP($V418,Setup!$C$30:$D$41,2,0),"")</f>
        <v/>
      </c>
      <c r="BM418" s="268"/>
      <c r="BN418" s="258" t="str">
        <f t="shared" si="210"/>
        <v/>
      </c>
      <c r="BO418" s="268"/>
      <c r="BP418" s="258" t="str">
        <f t="shared" si="211"/>
        <v/>
      </c>
      <c r="BQ418" s="268"/>
      <c r="BR418" s="258" t="str">
        <f t="shared" si="212"/>
        <v/>
      </c>
      <c r="BS418" s="268"/>
      <c r="BT418" s="256" t="str">
        <f t="shared" si="213"/>
        <v/>
      </c>
      <c r="BU418" s="256" t="str">
        <f t="shared" si="214"/>
        <v/>
      </c>
      <c r="BV418" s="256" t="str">
        <f t="shared" si="215"/>
        <v/>
      </c>
      <c r="BW418" s="267"/>
      <c r="BX418" s="256" t="str">
        <f t="shared" si="216"/>
        <v/>
      </c>
      <c r="BY418" s="256" t="str">
        <f t="shared" si="217"/>
        <v/>
      </c>
      <c r="BZ418" s="281"/>
      <c r="CA418" s="282"/>
      <c r="CC418" s="112" t="str">
        <f t="shared" ca="1" si="218"/>
        <v/>
      </c>
      <c r="CF418" s="284"/>
      <c r="CG418" s="284"/>
      <c r="CH418" s="284"/>
      <c r="CI418" s="284"/>
      <c r="CL418" s="356" t="str">
        <f>IFERROR(VLOOKUP(C418,'Data Sheet'!$A$3:$B$26,2,FALSE),"")</f>
        <v/>
      </c>
    </row>
    <row r="419" spans="1:90" s="98" customFormat="1" ht="15.75" x14ac:dyDescent="0.2">
      <c r="A419" s="97"/>
      <c r="B419" s="105" t="str">
        <f t="shared" si="221"/>
        <v>--</v>
      </c>
      <c r="C419" s="276"/>
      <c r="D419" s="101" t="str">
        <f>IFERROR(IF(VLOOKUP(C419,'Data Sheet'!$A$3:$D$26,4,FALSE)=0,"",VLOOKUP(C419,'Data Sheet'!$A$3:$D$26,4,FALSE)),"")</f>
        <v/>
      </c>
      <c r="E419" s="279"/>
      <c r="F419" s="103" t="str">
        <f>IFERROR(IF(VLOOKUP(E419,'Data Sheet'!$C$29:$E$174,3,FALSE)=0,"",VLOOKUP(E419,'Data Sheet'!$C$29:$E$174,3,FALSE)),"")</f>
        <v/>
      </c>
      <c r="G419" s="106" t="str">
        <f t="shared" si="219"/>
        <v>-</v>
      </c>
      <c r="H419" s="273"/>
      <c r="I419" s="107"/>
      <c r="J419" s="249" t="e">
        <f t="shared" si="220"/>
        <v>#VALUE!</v>
      </c>
      <c r="K419" s="101" t="str">
        <f>IFERROR(INDEX('Data Sheet'!$C$198:$C$275,MATCH(I419,'Data Sheet'!$F$198:$F$275,0)),"")</f>
        <v/>
      </c>
      <c r="L419" s="250" t="str">
        <f>IFERROR(INDEX('Data Sheet'!$G$198:$G$275,MATCH(I419,'Data Sheet'!$F$198:$F$275,0)),"")</f>
        <v/>
      </c>
      <c r="M419" s="194"/>
      <c r="N419" s="248"/>
      <c r="O419" s="248"/>
      <c r="P419" s="108" t="str">
        <f>IFERROR(INDEX(Setup!$D$44:$D$70,MATCH(M419,Setup!$K$44:$K$70,0))&amp;"","")</f>
        <v/>
      </c>
      <c r="Q419" s="108" t="str">
        <f>IFERROR(INDEX(Setup!$E$44:$E$70,MATCH(M419,Setup!$K$44:$K$70,0))&amp;"","")</f>
        <v/>
      </c>
      <c r="R419" s="108" t="str">
        <f>IFERROR(INDEX(Setup!$L$44:$L$70,MATCH(M419,Setup!$K$44:$K$70,0))&amp;"","")</f>
        <v/>
      </c>
      <c r="S419" s="108" t="str">
        <f>Setup!$C$30</f>
        <v>USD</v>
      </c>
      <c r="T419" s="109" t="str">
        <f>IFERROR(INDEX('Data Sheet'!$B$198:$B$275,MATCH(I419,'Data Sheet'!$F$198:$F$275,0)),"")</f>
        <v/>
      </c>
      <c r="U419" s="110" t="str">
        <f>IFERROR(INDEX('Data Sheet'!$D$198:$D$275,MATCH(I419,'Data Sheet'!$F$198:$F$275,0)),"")</f>
        <v/>
      </c>
      <c r="V419" s="99"/>
      <c r="W419" s="195" t="str">
        <f>IF(V419=Setup!$C$30,"Grant",IF(V419=Setup!$C$31,"Local",IF(V419=Setup!$C$32,"Other",IF(ISBLANK(V419),"","Other"))))</f>
        <v/>
      </c>
      <c r="X419" s="255"/>
      <c r="Y419" s="259" t="str">
        <f>IF(X419&lt;&gt;"",X419/VLOOKUP($V419,Setup!$C$30:$D$41,2,0),"")</f>
        <v/>
      </c>
      <c r="Z419" s="262"/>
      <c r="AA419" s="256" t="str">
        <f t="shared" si="192"/>
        <v/>
      </c>
      <c r="AB419" s="262"/>
      <c r="AC419" s="258" t="str">
        <f t="shared" si="193"/>
        <v/>
      </c>
      <c r="AD419" s="262"/>
      <c r="AE419" s="258" t="str">
        <f t="shared" si="194"/>
        <v/>
      </c>
      <c r="AF419" s="262"/>
      <c r="AG419" s="256" t="str">
        <f t="shared" si="195"/>
        <v/>
      </c>
      <c r="AH419" s="256" t="str">
        <f t="shared" si="196"/>
        <v/>
      </c>
      <c r="AI419" s="256" t="str">
        <f t="shared" si="197"/>
        <v/>
      </c>
      <c r="AJ419" s="111"/>
      <c r="AK419" s="255"/>
      <c r="AL419" s="259" t="str">
        <f>IF(AK419&lt;&gt;"",AK419/VLOOKUP($V419,Setup!$C$30:$D$41,2,0),"")</f>
        <v/>
      </c>
      <c r="AM419" s="266"/>
      <c r="AN419" s="258" t="str">
        <f t="shared" si="198"/>
        <v/>
      </c>
      <c r="AO419" s="266"/>
      <c r="AP419" s="258" t="str">
        <f t="shared" si="199"/>
        <v/>
      </c>
      <c r="AQ419" s="266"/>
      <c r="AR419" s="258" t="str">
        <f t="shared" si="200"/>
        <v/>
      </c>
      <c r="AS419" s="266"/>
      <c r="AT419" s="256" t="str">
        <f t="shared" si="201"/>
        <v/>
      </c>
      <c r="AU419" s="256" t="str">
        <f t="shared" si="202"/>
        <v/>
      </c>
      <c r="AV419" s="256" t="str">
        <f t="shared" si="203"/>
        <v/>
      </c>
      <c r="AW419" s="267"/>
      <c r="AX419" s="255"/>
      <c r="AY419" s="259" t="str">
        <f>IF(AX419&lt;&gt;"",AX419/VLOOKUP($V419,Setup!$C$30:$D$41,2,0),"")</f>
        <v/>
      </c>
      <c r="AZ419" s="268"/>
      <c r="BA419" s="258" t="str">
        <f t="shared" si="204"/>
        <v/>
      </c>
      <c r="BB419" s="268"/>
      <c r="BC419" s="258" t="str">
        <f t="shared" si="205"/>
        <v/>
      </c>
      <c r="BD419" s="268"/>
      <c r="BE419" s="258" t="str">
        <f t="shared" si="206"/>
        <v/>
      </c>
      <c r="BF419" s="268"/>
      <c r="BG419" s="256" t="str">
        <f t="shared" si="207"/>
        <v/>
      </c>
      <c r="BH419" s="256" t="str">
        <f t="shared" si="208"/>
        <v/>
      </c>
      <c r="BI419" s="256" t="str">
        <f t="shared" si="209"/>
        <v/>
      </c>
      <c r="BJ419" s="267"/>
      <c r="BK419" s="255"/>
      <c r="BL419" s="259" t="str">
        <f>IF(BK419&lt;&gt;"",BK419/VLOOKUP($V419,Setup!$C$30:$D$41,2,0),"")</f>
        <v/>
      </c>
      <c r="BM419" s="268"/>
      <c r="BN419" s="258" t="str">
        <f t="shared" si="210"/>
        <v/>
      </c>
      <c r="BO419" s="268"/>
      <c r="BP419" s="258" t="str">
        <f t="shared" si="211"/>
        <v/>
      </c>
      <c r="BQ419" s="268"/>
      <c r="BR419" s="258" t="str">
        <f t="shared" si="212"/>
        <v/>
      </c>
      <c r="BS419" s="268"/>
      <c r="BT419" s="256" t="str">
        <f t="shared" si="213"/>
        <v/>
      </c>
      <c r="BU419" s="256" t="str">
        <f t="shared" si="214"/>
        <v/>
      </c>
      <c r="BV419" s="256" t="str">
        <f t="shared" si="215"/>
        <v/>
      </c>
      <c r="BW419" s="267"/>
      <c r="BX419" s="256" t="str">
        <f t="shared" si="216"/>
        <v/>
      </c>
      <c r="BY419" s="256" t="str">
        <f t="shared" si="217"/>
        <v/>
      </c>
      <c r="BZ419" s="281"/>
      <c r="CA419" s="282"/>
      <c r="CC419" s="112" t="str">
        <f t="shared" ca="1" si="218"/>
        <v/>
      </c>
      <c r="CF419" s="284"/>
      <c r="CG419" s="284"/>
      <c r="CH419" s="284"/>
      <c r="CI419" s="284"/>
      <c r="CL419" s="356" t="str">
        <f>IFERROR(VLOOKUP(C419,'Data Sheet'!$A$3:$B$26,2,FALSE),"")</f>
        <v/>
      </c>
    </row>
    <row r="420" spans="1:90" s="98" customFormat="1" ht="15.75" x14ac:dyDescent="0.2">
      <c r="A420" s="97"/>
      <c r="B420" s="105" t="str">
        <f t="shared" si="221"/>
        <v>--</v>
      </c>
      <c r="C420" s="276"/>
      <c r="D420" s="101" t="str">
        <f>IFERROR(IF(VLOOKUP(C420,'Data Sheet'!$A$3:$D$26,4,FALSE)=0,"",VLOOKUP(C420,'Data Sheet'!$A$3:$D$26,4,FALSE)),"")</f>
        <v/>
      </c>
      <c r="E420" s="279"/>
      <c r="F420" s="103" t="str">
        <f>IFERROR(IF(VLOOKUP(E420,'Data Sheet'!$C$29:$E$174,3,FALSE)=0,"",VLOOKUP(E420,'Data Sheet'!$C$29:$E$174,3,FALSE)),"")</f>
        <v/>
      </c>
      <c r="G420" s="106" t="str">
        <f t="shared" si="219"/>
        <v>-</v>
      </c>
      <c r="H420" s="273"/>
      <c r="I420" s="107"/>
      <c r="J420" s="249" t="e">
        <f t="shared" si="220"/>
        <v>#VALUE!</v>
      </c>
      <c r="K420" s="101" t="str">
        <f>IFERROR(INDEX('Data Sheet'!$C$198:$C$275,MATCH(I420,'Data Sheet'!$F$198:$F$275,0)),"")</f>
        <v/>
      </c>
      <c r="L420" s="250" t="str">
        <f>IFERROR(INDEX('Data Sheet'!$G$198:$G$275,MATCH(I420,'Data Sheet'!$F$198:$F$275,0)),"")</f>
        <v/>
      </c>
      <c r="M420" s="194"/>
      <c r="N420" s="248"/>
      <c r="O420" s="248"/>
      <c r="P420" s="108" t="str">
        <f>IFERROR(INDEX(Setup!$D$44:$D$70,MATCH(M420,Setup!$K$44:$K$70,0))&amp;"","")</f>
        <v/>
      </c>
      <c r="Q420" s="108" t="str">
        <f>IFERROR(INDEX(Setup!$E$44:$E$70,MATCH(M420,Setup!$K$44:$K$70,0))&amp;"","")</f>
        <v/>
      </c>
      <c r="R420" s="108" t="str">
        <f>IFERROR(INDEX(Setup!$L$44:$L$70,MATCH(M420,Setup!$K$44:$K$70,0))&amp;"","")</f>
        <v/>
      </c>
      <c r="S420" s="108" t="str">
        <f>Setup!$C$30</f>
        <v>USD</v>
      </c>
      <c r="T420" s="109" t="str">
        <f>IFERROR(INDEX('Data Sheet'!$B$198:$B$275,MATCH(I420,'Data Sheet'!$F$198:$F$275,0)),"")</f>
        <v/>
      </c>
      <c r="U420" s="110" t="str">
        <f>IFERROR(INDEX('Data Sheet'!$D$198:$D$275,MATCH(I420,'Data Sheet'!$F$198:$F$275,0)),"")</f>
        <v/>
      </c>
      <c r="V420" s="99"/>
      <c r="W420" s="195" t="str">
        <f>IF(V420=Setup!$C$30,"Grant",IF(V420=Setup!$C$31,"Local",IF(V420=Setup!$C$32,"Other",IF(ISBLANK(V420),"","Other"))))</f>
        <v/>
      </c>
      <c r="X420" s="255"/>
      <c r="Y420" s="259" t="str">
        <f>IF(X420&lt;&gt;"",X420/VLOOKUP($V420,Setup!$C$30:$D$41,2,0),"")</f>
        <v/>
      </c>
      <c r="Z420" s="262"/>
      <c r="AA420" s="256" t="str">
        <f t="shared" si="192"/>
        <v/>
      </c>
      <c r="AB420" s="262"/>
      <c r="AC420" s="258" t="str">
        <f t="shared" si="193"/>
        <v/>
      </c>
      <c r="AD420" s="262"/>
      <c r="AE420" s="258" t="str">
        <f t="shared" si="194"/>
        <v/>
      </c>
      <c r="AF420" s="262"/>
      <c r="AG420" s="256" t="str">
        <f t="shared" si="195"/>
        <v/>
      </c>
      <c r="AH420" s="256" t="str">
        <f t="shared" si="196"/>
        <v/>
      </c>
      <c r="AI420" s="256" t="str">
        <f t="shared" si="197"/>
        <v/>
      </c>
      <c r="AJ420" s="111"/>
      <c r="AK420" s="255"/>
      <c r="AL420" s="259" t="str">
        <f>IF(AK420&lt;&gt;"",AK420/VLOOKUP($V420,Setup!$C$30:$D$41,2,0),"")</f>
        <v/>
      </c>
      <c r="AM420" s="266"/>
      <c r="AN420" s="258" t="str">
        <f t="shared" si="198"/>
        <v/>
      </c>
      <c r="AO420" s="266"/>
      <c r="AP420" s="258" t="str">
        <f t="shared" si="199"/>
        <v/>
      </c>
      <c r="AQ420" s="266"/>
      <c r="AR420" s="258" t="str">
        <f t="shared" si="200"/>
        <v/>
      </c>
      <c r="AS420" s="266"/>
      <c r="AT420" s="256" t="str">
        <f t="shared" si="201"/>
        <v/>
      </c>
      <c r="AU420" s="256" t="str">
        <f t="shared" si="202"/>
        <v/>
      </c>
      <c r="AV420" s="256" t="str">
        <f t="shared" si="203"/>
        <v/>
      </c>
      <c r="AW420" s="267"/>
      <c r="AX420" s="255"/>
      <c r="AY420" s="259" t="str">
        <f>IF(AX420&lt;&gt;"",AX420/VLOOKUP($V420,Setup!$C$30:$D$41,2,0),"")</f>
        <v/>
      </c>
      <c r="AZ420" s="268"/>
      <c r="BA420" s="258" t="str">
        <f t="shared" si="204"/>
        <v/>
      </c>
      <c r="BB420" s="268"/>
      <c r="BC420" s="258" t="str">
        <f t="shared" si="205"/>
        <v/>
      </c>
      <c r="BD420" s="268"/>
      <c r="BE420" s="258" t="str">
        <f t="shared" si="206"/>
        <v/>
      </c>
      <c r="BF420" s="268"/>
      <c r="BG420" s="256" t="str">
        <f t="shared" si="207"/>
        <v/>
      </c>
      <c r="BH420" s="256" t="str">
        <f t="shared" si="208"/>
        <v/>
      </c>
      <c r="BI420" s="256" t="str">
        <f t="shared" si="209"/>
        <v/>
      </c>
      <c r="BJ420" s="267"/>
      <c r="BK420" s="255"/>
      <c r="BL420" s="259" t="str">
        <f>IF(BK420&lt;&gt;"",BK420/VLOOKUP($V420,Setup!$C$30:$D$41,2,0),"")</f>
        <v/>
      </c>
      <c r="BM420" s="268"/>
      <c r="BN420" s="258" t="str">
        <f t="shared" si="210"/>
        <v/>
      </c>
      <c r="BO420" s="268"/>
      <c r="BP420" s="258" t="str">
        <f t="shared" si="211"/>
        <v/>
      </c>
      <c r="BQ420" s="268"/>
      <c r="BR420" s="258" t="str">
        <f t="shared" si="212"/>
        <v/>
      </c>
      <c r="BS420" s="268"/>
      <c r="BT420" s="256" t="str">
        <f t="shared" si="213"/>
        <v/>
      </c>
      <c r="BU420" s="256" t="str">
        <f t="shared" si="214"/>
        <v/>
      </c>
      <c r="BV420" s="256" t="str">
        <f t="shared" si="215"/>
        <v/>
      </c>
      <c r="BW420" s="267"/>
      <c r="BX420" s="256" t="str">
        <f t="shared" si="216"/>
        <v/>
      </c>
      <c r="BY420" s="256" t="str">
        <f t="shared" si="217"/>
        <v/>
      </c>
      <c r="BZ420" s="281"/>
      <c r="CA420" s="282"/>
      <c r="CC420" s="112" t="str">
        <f t="shared" ca="1" si="218"/>
        <v/>
      </c>
      <c r="CF420" s="284"/>
      <c r="CG420" s="284"/>
      <c r="CH420" s="284"/>
      <c r="CI420" s="284"/>
      <c r="CL420" s="356" t="str">
        <f>IFERROR(VLOOKUP(C420,'Data Sheet'!$A$3:$B$26,2,FALSE),"")</f>
        <v/>
      </c>
    </row>
    <row r="421" spans="1:90" s="98" customFormat="1" ht="15.75" x14ac:dyDescent="0.2">
      <c r="A421" s="97"/>
      <c r="B421" s="105" t="str">
        <f t="shared" si="221"/>
        <v>--</v>
      </c>
      <c r="C421" s="276"/>
      <c r="D421" s="101" t="str">
        <f>IFERROR(IF(VLOOKUP(C421,'Data Sheet'!$A$3:$D$26,4,FALSE)=0,"",VLOOKUP(C421,'Data Sheet'!$A$3:$D$26,4,FALSE)),"")</f>
        <v/>
      </c>
      <c r="E421" s="279"/>
      <c r="F421" s="103" t="str">
        <f>IFERROR(IF(VLOOKUP(E421,'Data Sheet'!$C$29:$E$174,3,FALSE)=0,"",VLOOKUP(E421,'Data Sheet'!$C$29:$E$174,3,FALSE)),"")</f>
        <v/>
      </c>
      <c r="G421" s="106" t="str">
        <f t="shared" si="219"/>
        <v>-</v>
      </c>
      <c r="H421" s="273"/>
      <c r="I421" s="107"/>
      <c r="J421" s="249" t="e">
        <f t="shared" si="220"/>
        <v>#VALUE!</v>
      </c>
      <c r="K421" s="101" t="str">
        <f>IFERROR(INDEX('Data Sheet'!$C$198:$C$275,MATCH(I421,'Data Sheet'!$F$198:$F$275,0)),"")</f>
        <v/>
      </c>
      <c r="L421" s="250" t="str">
        <f>IFERROR(INDEX('Data Sheet'!$G$198:$G$275,MATCH(I421,'Data Sheet'!$F$198:$F$275,0)),"")</f>
        <v/>
      </c>
      <c r="M421" s="194"/>
      <c r="N421" s="248"/>
      <c r="O421" s="248"/>
      <c r="P421" s="108" t="str">
        <f>IFERROR(INDEX(Setup!$D$44:$D$70,MATCH(M421,Setup!$K$44:$K$70,0))&amp;"","")</f>
        <v/>
      </c>
      <c r="Q421" s="108" t="str">
        <f>IFERROR(INDEX(Setup!$E$44:$E$70,MATCH(M421,Setup!$K$44:$K$70,0))&amp;"","")</f>
        <v/>
      </c>
      <c r="R421" s="108" t="str">
        <f>IFERROR(INDEX(Setup!$L$44:$L$70,MATCH(M421,Setup!$K$44:$K$70,0))&amp;"","")</f>
        <v/>
      </c>
      <c r="S421" s="108" t="str">
        <f>Setup!$C$30</f>
        <v>USD</v>
      </c>
      <c r="T421" s="109" t="str">
        <f>IFERROR(INDEX('Data Sheet'!$B$198:$B$275,MATCH(I421,'Data Sheet'!$F$198:$F$275,0)),"")</f>
        <v/>
      </c>
      <c r="U421" s="110" t="str">
        <f>IFERROR(INDEX('Data Sheet'!$D$198:$D$275,MATCH(I421,'Data Sheet'!$F$198:$F$275,0)),"")</f>
        <v/>
      </c>
      <c r="V421" s="99"/>
      <c r="W421" s="195" t="str">
        <f>IF(V421=Setup!$C$30,"Grant",IF(V421=Setup!$C$31,"Local",IF(V421=Setup!$C$32,"Other",IF(ISBLANK(V421),"","Other"))))</f>
        <v/>
      </c>
      <c r="X421" s="255"/>
      <c r="Y421" s="259" t="str">
        <f>IF(X421&lt;&gt;"",X421/VLOOKUP($V421,Setup!$C$30:$D$41,2,0),"")</f>
        <v/>
      </c>
      <c r="Z421" s="262"/>
      <c r="AA421" s="256" t="str">
        <f t="shared" si="192"/>
        <v/>
      </c>
      <c r="AB421" s="262"/>
      <c r="AC421" s="258" t="str">
        <f t="shared" si="193"/>
        <v/>
      </c>
      <c r="AD421" s="262"/>
      <c r="AE421" s="258" t="str">
        <f t="shared" si="194"/>
        <v/>
      </c>
      <c r="AF421" s="262"/>
      <c r="AG421" s="256" t="str">
        <f t="shared" si="195"/>
        <v/>
      </c>
      <c r="AH421" s="256" t="str">
        <f t="shared" si="196"/>
        <v/>
      </c>
      <c r="AI421" s="256" t="str">
        <f t="shared" si="197"/>
        <v/>
      </c>
      <c r="AJ421" s="111"/>
      <c r="AK421" s="255"/>
      <c r="AL421" s="259" t="str">
        <f>IF(AK421&lt;&gt;"",AK421/VLOOKUP($V421,Setup!$C$30:$D$41,2,0),"")</f>
        <v/>
      </c>
      <c r="AM421" s="266"/>
      <c r="AN421" s="258" t="str">
        <f t="shared" si="198"/>
        <v/>
      </c>
      <c r="AO421" s="266"/>
      <c r="AP421" s="258" t="str">
        <f t="shared" si="199"/>
        <v/>
      </c>
      <c r="AQ421" s="266"/>
      <c r="AR421" s="258" t="str">
        <f t="shared" si="200"/>
        <v/>
      </c>
      <c r="AS421" s="266"/>
      <c r="AT421" s="256" t="str">
        <f t="shared" si="201"/>
        <v/>
      </c>
      <c r="AU421" s="256" t="str">
        <f t="shared" si="202"/>
        <v/>
      </c>
      <c r="AV421" s="256" t="str">
        <f t="shared" si="203"/>
        <v/>
      </c>
      <c r="AW421" s="267"/>
      <c r="AX421" s="255"/>
      <c r="AY421" s="259" t="str">
        <f>IF(AX421&lt;&gt;"",AX421/VLOOKUP($V421,Setup!$C$30:$D$41,2,0),"")</f>
        <v/>
      </c>
      <c r="AZ421" s="268"/>
      <c r="BA421" s="258" t="str">
        <f t="shared" si="204"/>
        <v/>
      </c>
      <c r="BB421" s="268"/>
      <c r="BC421" s="258" t="str">
        <f t="shared" si="205"/>
        <v/>
      </c>
      <c r="BD421" s="268"/>
      <c r="BE421" s="258" t="str">
        <f t="shared" si="206"/>
        <v/>
      </c>
      <c r="BF421" s="268"/>
      <c r="BG421" s="256" t="str">
        <f t="shared" si="207"/>
        <v/>
      </c>
      <c r="BH421" s="256" t="str">
        <f t="shared" si="208"/>
        <v/>
      </c>
      <c r="BI421" s="256" t="str">
        <f t="shared" si="209"/>
        <v/>
      </c>
      <c r="BJ421" s="267"/>
      <c r="BK421" s="255"/>
      <c r="BL421" s="259" t="str">
        <f>IF(BK421&lt;&gt;"",BK421/VLOOKUP($V421,Setup!$C$30:$D$41,2,0),"")</f>
        <v/>
      </c>
      <c r="BM421" s="268"/>
      <c r="BN421" s="258" t="str">
        <f t="shared" si="210"/>
        <v/>
      </c>
      <c r="BO421" s="268"/>
      <c r="BP421" s="258" t="str">
        <f t="shared" si="211"/>
        <v/>
      </c>
      <c r="BQ421" s="268"/>
      <c r="BR421" s="258" t="str">
        <f t="shared" si="212"/>
        <v/>
      </c>
      <c r="BS421" s="268"/>
      <c r="BT421" s="256" t="str">
        <f t="shared" si="213"/>
        <v/>
      </c>
      <c r="BU421" s="256" t="str">
        <f t="shared" si="214"/>
        <v/>
      </c>
      <c r="BV421" s="256" t="str">
        <f t="shared" si="215"/>
        <v/>
      </c>
      <c r="BW421" s="267"/>
      <c r="BX421" s="256" t="str">
        <f t="shared" si="216"/>
        <v/>
      </c>
      <c r="BY421" s="256" t="str">
        <f t="shared" si="217"/>
        <v/>
      </c>
      <c r="BZ421" s="281"/>
      <c r="CA421" s="282"/>
      <c r="CC421" s="112" t="str">
        <f t="shared" ca="1" si="218"/>
        <v/>
      </c>
      <c r="CF421" s="284"/>
      <c r="CG421" s="284"/>
      <c r="CH421" s="284"/>
      <c r="CI421" s="284"/>
      <c r="CL421" s="356" t="str">
        <f>IFERROR(VLOOKUP(C421,'Data Sheet'!$A$3:$B$26,2,FALSE),"")</f>
        <v/>
      </c>
    </row>
    <row r="422" spans="1:90" s="98" customFormat="1" ht="15.75" x14ac:dyDescent="0.2">
      <c r="A422" s="97"/>
      <c r="B422" s="105" t="str">
        <f t="shared" si="221"/>
        <v>--</v>
      </c>
      <c r="C422" s="276"/>
      <c r="D422" s="101" t="str">
        <f>IFERROR(IF(VLOOKUP(C422,'Data Sheet'!$A$3:$D$26,4,FALSE)=0,"",VLOOKUP(C422,'Data Sheet'!$A$3:$D$26,4,FALSE)),"")</f>
        <v/>
      </c>
      <c r="E422" s="279"/>
      <c r="F422" s="103" t="str">
        <f>IFERROR(IF(VLOOKUP(E422,'Data Sheet'!$C$29:$E$174,3,FALSE)=0,"",VLOOKUP(E422,'Data Sheet'!$C$29:$E$174,3,FALSE)),"")</f>
        <v/>
      </c>
      <c r="G422" s="106" t="str">
        <f t="shared" si="219"/>
        <v>-</v>
      </c>
      <c r="H422" s="273"/>
      <c r="I422" s="107"/>
      <c r="J422" s="249" t="e">
        <f t="shared" si="220"/>
        <v>#VALUE!</v>
      </c>
      <c r="K422" s="101" t="str">
        <f>IFERROR(INDEX('Data Sheet'!$C$198:$C$275,MATCH(I422,'Data Sheet'!$F$198:$F$275,0)),"")</f>
        <v/>
      </c>
      <c r="L422" s="250" t="str">
        <f>IFERROR(INDEX('Data Sheet'!$G$198:$G$275,MATCH(I422,'Data Sheet'!$F$198:$F$275,0)),"")</f>
        <v/>
      </c>
      <c r="M422" s="194"/>
      <c r="N422" s="248"/>
      <c r="O422" s="248"/>
      <c r="P422" s="108" t="str">
        <f>IFERROR(INDEX(Setup!$D$44:$D$70,MATCH(M422,Setup!$K$44:$K$70,0))&amp;"","")</f>
        <v/>
      </c>
      <c r="Q422" s="108" t="str">
        <f>IFERROR(INDEX(Setup!$E$44:$E$70,MATCH(M422,Setup!$K$44:$K$70,0))&amp;"","")</f>
        <v/>
      </c>
      <c r="R422" s="108" t="str">
        <f>IFERROR(INDEX(Setup!$L$44:$L$70,MATCH(M422,Setup!$K$44:$K$70,0))&amp;"","")</f>
        <v/>
      </c>
      <c r="S422" s="108" t="str">
        <f>Setup!$C$30</f>
        <v>USD</v>
      </c>
      <c r="T422" s="109" t="str">
        <f>IFERROR(INDEX('Data Sheet'!$B$198:$B$275,MATCH(I422,'Data Sheet'!$F$198:$F$275,0)),"")</f>
        <v/>
      </c>
      <c r="U422" s="110" t="str">
        <f>IFERROR(INDEX('Data Sheet'!$D$198:$D$275,MATCH(I422,'Data Sheet'!$F$198:$F$275,0)),"")</f>
        <v/>
      </c>
      <c r="V422" s="99"/>
      <c r="W422" s="195" t="str">
        <f>IF(V422=Setup!$C$30,"Grant",IF(V422=Setup!$C$31,"Local",IF(V422=Setup!$C$32,"Other",IF(ISBLANK(V422),"","Other"))))</f>
        <v/>
      </c>
      <c r="X422" s="255"/>
      <c r="Y422" s="259" t="str">
        <f>IF(X422&lt;&gt;"",X422/VLOOKUP($V422,Setup!$C$30:$D$41,2,0),"")</f>
        <v/>
      </c>
      <c r="Z422" s="262"/>
      <c r="AA422" s="256" t="str">
        <f t="shared" si="192"/>
        <v/>
      </c>
      <c r="AB422" s="262"/>
      <c r="AC422" s="258" t="str">
        <f t="shared" si="193"/>
        <v/>
      </c>
      <c r="AD422" s="262"/>
      <c r="AE422" s="258" t="str">
        <f t="shared" si="194"/>
        <v/>
      </c>
      <c r="AF422" s="262"/>
      <c r="AG422" s="256" t="str">
        <f t="shared" si="195"/>
        <v/>
      </c>
      <c r="AH422" s="256" t="str">
        <f t="shared" si="196"/>
        <v/>
      </c>
      <c r="AI422" s="256" t="str">
        <f t="shared" si="197"/>
        <v/>
      </c>
      <c r="AJ422" s="111"/>
      <c r="AK422" s="255"/>
      <c r="AL422" s="259" t="str">
        <f>IF(AK422&lt;&gt;"",AK422/VLOOKUP($V422,Setup!$C$30:$D$41,2,0),"")</f>
        <v/>
      </c>
      <c r="AM422" s="266"/>
      <c r="AN422" s="258" t="str">
        <f t="shared" si="198"/>
        <v/>
      </c>
      <c r="AO422" s="266"/>
      <c r="AP422" s="258" t="str">
        <f t="shared" si="199"/>
        <v/>
      </c>
      <c r="AQ422" s="266"/>
      <c r="AR422" s="258" t="str">
        <f t="shared" si="200"/>
        <v/>
      </c>
      <c r="AS422" s="266"/>
      <c r="AT422" s="256" t="str">
        <f t="shared" si="201"/>
        <v/>
      </c>
      <c r="AU422" s="256" t="str">
        <f t="shared" si="202"/>
        <v/>
      </c>
      <c r="AV422" s="256" t="str">
        <f t="shared" si="203"/>
        <v/>
      </c>
      <c r="AW422" s="267"/>
      <c r="AX422" s="255"/>
      <c r="AY422" s="259" t="str">
        <f>IF(AX422&lt;&gt;"",AX422/VLOOKUP($V422,Setup!$C$30:$D$41,2,0),"")</f>
        <v/>
      </c>
      <c r="AZ422" s="268"/>
      <c r="BA422" s="258" t="str">
        <f t="shared" si="204"/>
        <v/>
      </c>
      <c r="BB422" s="268"/>
      <c r="BC422" s="258" t="str">
        <f t="shared" si="205"/>
        <v/>
      </c>
      <c r="BD422" s="268"/>
      <c r="BE422" s="258" t="str">
        <f t="shared" si="206"/>
        <v/>
      </c>
      <c r="BF422" s="268"/>
      <c r="BG422" s="256" t="str">
        <f t="shared" si="207"/>
        <v/>
      </c>
      <c r="BH422" s="256" t="str">
        <f t="shared" si="208"/>
        <v/>
      </c>
      <c r="BI422" s="256" t="str">
        <f t="shared" si="209"/>
        <v/>
      </c>
      <c r="BJ422" s="267"/>
      <c r="BK422" s="255"/>
      <c r="BL422" s="259" t="str">
        <f>IF(BK422&lt;&gt;"",BK422/VLOOKUP($V422,Setup!$C$30:$D$41,2,0),"")</f>
        <v/>
      </c>
      <c r="BM422" s="268"/>
      <c r="BN422" s="258" t="str">
        <f t="shared" si="210"/>
        <v/>
      </c>
      <c r="BO422" s="268"/>
      <c r="BP422" s="258" t="str">
        <f t="shared" si="211"/>
        <v/>
      </c>
      <c r="BQ422" s="268"/>
      <c r="BR422" s="258" t="str">
        <f t="shared" si="212"/>
        <v/>
      </c>
      <c r="BS422" s="268"/>
      <c r="BT422" s="256" t="str">
        <f t="shared" si="213"/>
        <v/>
      </c>
      <c r="BU422" s="256" t="str">
        <f t="shared" si="214"/>
        <v/>
      </c>
      <c r="BV422" s="256" t="str">
        <f t="shared" si="215"/>
        <v/>
      </c>
      <c r="BW422" s="267"/>
      <c r="BX422" s="256" t="str">
        <f t="shared" si="216"/>
        <v/>
      </c>
      <c r="BY422" s="256" t="str">
        <f t="shared" si="217"/>
        <v/>
      </c>
      <c r="BZ422" s="281"/>
      <c r="CA422" s="282"/>
      <c r="CC422" s="112" t="str">
        <f t="shared" ca="1" si="218"/>
        <v/>
      </c>
      <c r="CF422" s="284"/>
      <c r="CG422" s="284"/>
      <c r="CH422" s="284"/>
      <c r="CI422" s="284"/>
      <c r="CL422" s="356" t="str">
        <f>IFERROR(VLOOKUP(C422,'Data Sheet'!$A$3:$B$26,2,FALSE),"")</f>
        <v/>
      </c>
    </row>
    <row r="423" spans="1:90" s="98" customFormat="1" ht="15.75" x14ac:dyDescent="0.2">
      <c r="A423" s="97"/>
      <c r="B423" s="105" t="str">
        <f t="shared" si="221"/>
        <v>--</v>
      </c>
      <c r="C423" s="276"/>
      <c r="D423" s="101" t="str">
        <f>IFERROR(IF(VLOOKUP(C423,'Data Sheet'!$A$3:$D$26,4,FALSE)=0,"",VLOOKUP(C423,'Data Sheet'!$A$3:$D$26,4,FALSE)),"")</f>
        <v/>
      </c>
      <c r="E423" s="279"/>
      <c r="F423" s="103" t="str">
        <f>IFERROR(IF(VLOOKUP(E423,'Data Sheet'!$C$29:$E$174,3,FALSE)=0,"",VLOOKUP(E423,'Data Sheet'!$C$29:$E$174,3,FALSE)),"")</f>
        <v/>
      </c>
      <c r="G423" s="106" t="str">
        <f t="shared" si="219"/>
        <v>-</v>
      </c>
      <c r="H423" s="273"/>
      <c r="I423" s="107"/>
      <c r="J423" s="249" t="e">
        <f t="shared" si="220"/>
        <v>#VALUE!</v>
      </c>
      <c r="K423" s="101" t="str">
        <f>IFERROR(INDEX('Data Sheet'!$C$198:$C$275,MATCH(I423,'Data Sheet'!$F$198:$F$275,0)),"")</f>
        <v/>
      </c>
      <c r="L423" s="250" t="str">
        <f>IFERROR(INDEX('Data Sheet'!$G$198:$G$275,MATCH(I423,'Data Sheet'!$F$198:$F$275,0)),"")</f>
        <v/>
      </c>
      <c r="M423" s="194"/>
      <c r="N423" s="248"/>
      <c r="O423" s="248"/>
      <c r="P423" s="108" t="str">
        <f>IFERROR(INDEX(Setup!$D$44:$D$70,MATCH(M423,Setup!$K$44:$K$70,0))&amp;"","")</f>
        <v/>
      </c>
      <c r="Q423" s="108" t="str">
        <f>IFERROR(INDEX(Setup!$E$44:$E$70,MATCH(M423,Setup!$K$44:$K$70,0))&amp;"","")</f>
        <v/>
      </c>
      <c r="R423" s="108" t="str">
        <f>IFERROR(INDEX(Setup!$L$44:$L$70,MATCH(M423,Setup!$K$44:$K$70,0))&amp;"","")</f>
        <v/>
      </c>
      <c r="S423" s="108" t="str">
        <f>Setup!$C$30</f>
        <v>USD</v>
      </c>
      <c r="T423" s="109" t="str">
        <f>IFERROR(INDEX('Data Sheet'!$B$198:$B$275,MATCH(I423,'Data Sheet'!$F$198:$F$275,0)),"")</f>
        <v/>
      </c>
      <c r="U423" s="110" t="str">
        <f>IFERROR(INDEX('Data Sheet'!$D$198:$D$275,MATCH(I423,'Data Sheet'!$F$198:$F$275,0)),"")</f>
        <v/>
      </c>
      <c r="V423" s="99"/>
      <c r="W423" s="195" t="str">
        <f>IF(V423=Setup!$C$30,"Grant",IF(V423=Setup!$C$31,"Local",IF(V423=Setup!$C$32,"Other",IF(ISBLANK(V423),"","Other"))))</f>
        <v/>
      </c>
      <c r="X423" s="255"/>
      <c r="Y423" s="259" t="str">
        <f>IF(X423&lt;&gt;"",X423/VLOOKUP($V423,Setup!$C$30:$D$41,2,0),"")</f>
        <v/>
      </c>
      <c r="Z423" s="262"/>
      <c r="AA423" s="256" t="str">
        <f t="shared" si="192"/>
        <v/>
      </c>
      <c r="AB423" s="262"/>
      <c r="AC423" s="258" t="str">
        <f t="shared" si="193"/>
        <v/>
      </c>
      <c r="AD423" s="262"/>
      <c r="AE423" s="258" t="str">
        <f t="shared" si="194"/>
        <v/>
      </c>
      <c r="AF423" s="262"/>
      <c r="AG423" s="256" t="str">
        <f t="shared" si="195"/>
        <v/>
      </c>
      <c r="AH423" s="256" t="str">
        <f t="shared" si="196"/>
        <v/>
      </c>
      <c r="AI423" s="256" t="str">
        <f t="shared" si="197"/>
        <v/>
      </c>
      <c r="AJ423" s="111"/>
      <c r="AK423" s="255"/>
      <c r="AL423" s="259" t="str">
        <f>IF(AK423&lt;&gt;"",AK423/VLOOKUP($V423,Setup!$C$30:$D$41,2,0),"")</f>
        <v/>
      </c>
      <c r="AM423" s="266"/>
      <c r="AN423" s="258" t="str">
        <f t="shared" si="198"/>
        <v/>
      </c>
      <c r="AO423" s="266"/>
      <c r="AP423" s="258" t="str">
        <f t="shared" si="199"/>
        <v/>
      </c>
      <c r="AQ423" s="266"/>
      <c r="AR423" s="258" t="str">
        <f t="shared" si="200"/>
        <v/>
      </c>
      <c r="AS423" s="266"/>
      <c r="AT423" s="256" t="str">
        <f t="shared" si="201"/>
        <v/>
      </c>
      <c r="AU423" s="256" t="str">
        <f t="shared" si="202"/>
        <v/>
      </c>
      <c r="AV423" s="256" t="str">
        <f t="shared" si="203"/>
        <v/>
      </c>
      <c r="AW423" s="267"/>
      <c r="AX423" s="255"/>
      <c r="AY423" s="259" t="str">
        <f>IF(AX423&lt;&gt;"",AX423/VLOOKUP($V423,Setup!$C$30:$D$41,2,0),"")</f>
        <v/>
      </c>
      <c r="AZ423" s="268"/>
      <c r="BA423" s="258" t="str">
        <f t="shared" si="204"/>
        <v/>
      </c>
      <c r="BB423" s="268"/>
      <c r="BC423" s="258" t="str">
        <f t="shared" si="205"/>
        <v/>
      </c>
      <c r="BD423" s="268"/>
      <c r="BE423" s="258" t="str">
        <f t="shared" si="206"/>
        <v/>
      </c>
      <c r="BF423" s="268"/>
      <c r="BG423" s="256" t="str">
        <f t="shared" si="207"/>
        <v/>
      </c>
      <c r="BH423" s="256" t="str">
        <f t="shared" si="208"/>
        <v/>
      </c>
      <c r="BI423" s="256" t="str">
        <f t="shared" si="209"/>
        <v/>
      </c>
      <c r="BJ423" s="267"/>
      <c r="BK423" s="255"/>
      <c r="BL423" s="259" t="str">
        <f>IF(BK423&lt;&gt;"",BK423/VLOOKUP($V423,Setup!$C$30:$D$41,2,0),"")</f>
        <v/>
      </c>
      <c r="BM423" s="268"/>
      <c r="BN423" s="258" t="str">
        <f t="shared" si="210"/>
        <v/>
      </c>
      <c r="BO423" s="268"/>
      <c r="BP423" s="258" t="str">
        <f t="shared" si="211"/>
        <v/>
      </c>
      <c r="BQ423" s="268"/>
      <c r="BR423" s="258" t="str">
        <f t="shared" si="212"/>
        <v/>
      </c>
      <c r="BS423" s="268"/>
      <c r="BT423" s="256" t="str">
        <f t="shared" si="213"/>
        <v/>
      </c>
      <c r="BU423" s="256" t="str">
        <f t="shared" si="214"/>
        <v/>
      </c>
      <c r="BV423" s="256" t="str">
        <f t="shared" si="215"/>
        <v/>
      </c>
      <c r="BW423" s="267"/>
      <c r="BX423" s="256" t="str">
        <f t="shared" si="216"/>
        <v/>
      </c>
      <c r="BY423" s="256" t="str">
        <f t="shared" si="217"/>
        <v/>
      </c>
      <c r="BZ423" s="281"/>
      <c r="CA423" s="282"/>
      <c r="CC423" s="112" t="str">
        <f t="shared" ca="1" si="218"/>
        <v/>
      </c>
      <c r="CF423" s="284"/>
      <c r="CG423" s="284"/>
      <c r="CH423" s="284"/>
      <c r="CI423" s="284"/>
      <c r="CL423" s="356" t="str">
        <f>IFERROR(VLOOKUP(C423,'Data Sheet'!$A$3:$B$26,2,FALSE),"")</f>
        <v/>
      </c>
    </row>
    <row r="424" spans="1:90" s="98" customFormat="1" ht="15.75" x14ac:dyDescent="0.2">
      <c r="A424" s="97"/>
      <c r="B424" s="105" t="str">
        <f t="shared" si="221"/>
        <v>--</v>
      </c>
      <c r="C424" s="276"/>
      <c r="D424" s="101" t="str">
        <f>IFERROR(IF(VLOOKUP(C424,'Data Sheet'!$A$3:$D$26,4,FALSE)=0,"",VLOOKUP(C424,'Data Sheet'!$A$3:$D$26,4,FALSE)),"")</f>
        <v/>
      </c>
      <c r="E424" s="279"/>
      <c r="F424" s="103" t="str">
        <f>IFERROR(IF(VLOOKUP(E424,'Data Sheet'!$C$29:$E$174,3,FALSE)=0,"",VLOOKUP(E424,'Data Sheet'!$C$29:$E$174,3,FALSE)),"")</f>
        <v/>
      </c>
      <c r="G424" s="106" t="str">
        <f t="shared" si="219"/>
        <v>-</v>
      </c>
      <c r="H424" s="273"/>
      <c r="I424" s="107"/>
      <c r="J424" s="249" t="e">
        <f t="shared" si="220"/>
        <v>#VALUE!</v>
      </c>
      <c r="K424" s="101" t="str">
        <f>IFERROR(INDEX('Data Sheet'!$C$198:$C$275,MATCH(I424,'Data Sheet'!$F$198:$F$275,0)),"")</f>
        <v/>
      </c>
      <c r="L424" s="250" t="str">
        <f>IFERROR(INDEX('Data Sheet'!$G$198:$G$275,MATCH(I424,'Data Sheet'!$F$198:$F$275,0)),"")</f>
        <v/>
      </c>
      <c r="M424" s="194"/>
      <c r="N424" s="248"/>
      <c r="O424" s="248"/>
      <c r="P424" s="108" t="str">
        <f>IFERROR(INDEX(Setup!$D$44:$D$70,MATCH(M424,Setup!$K$44:$K$70,0))&amp;"","")</f>
        <v/>
      </c>
      <c r="Q424" s="108" t="str">
        <f>IFERROR(INDEX(Setup!$E$44:$E$70,MATCH(M424,Setup!$K$44:$K$70,0))&amp;"","")</f>
        <v/>
      </c>
      <c r="R424" s="108" t="str">
        <f>IFERROR(INDEX(Setup!$L$44:$L$70,MATCH(M424,Setup!$K$44:$K$70,0))&amp;"","")</f>
        <v/>
      </c>
      <c r="S424" s="108" t="str">
        <f>Setup!$C$30</f>
        <v>USD</v>
      </c>
      <c r="T424" s="109" t="str">
        <f>IFERROR(INDEX('Data Sheet'!$B$198:$B$275,MATCH(I424,'Data Sheet'!$F$198:$F$275,0)),"")</f>
        <v/>
      </c>
      <c r="U424" s="110" t="str">
        <f>IFERROR(INDEX('Data Sheet'!$D$198:$D$275,MATCH(I424,'Data Sheet'!$F$198:$F$275,0)),"")</f>
        <v/>
      </c>
      <c r="V424" s="99"/>
      <c r="W424" s="195" t="str">
        <f>IF(V424=Setup!$C$30,"Grant",IF(V424=Setup!$C$31,"Local",IF(V424=Setup!$C$32,"Other",IF(ISBLANK(V424),"","Other"))))</f>
        <v/>
      </c>
      <c r="X424" s="255"/>
      <c r="Y424" s="259" t="str">
        <f>IF(X424&lt;&gt;"",X424/VLOOKUP($V424,Setup!$C$30:$D$41,2,0),"")</f>
        <v/>
      </c>
      <c r="Z424" s="262"/>
      <c r="AA424" s="256" t="str">
        <f t="shared" si="192"/>
        <v/>
      </c>
      <c r="AB424" s="262"/>
      <c r="AC424" s="258" t="str">
        <f t="shared" si="193"/>
        <v/>
      </c>
      <c r="AD424" s="262"/>
      <c r="AE424" s="258" t="str">
        <f t="shared" si="194"/>
        <v/>
      </c>
      <c r="AF424" s="262"/>
      <c r="AG424" s="256" t="str">
        <f t="shared" si="195"/>
        <v/>
      </c>
      <c r="AH424" s="256" t="str">
        <f t="shared" si="196"/>
        <v/>
      </c>
      <c r="AI424" s="256" t="str">
        <f t="shared" si="197"/>
        <v/>
      </c>
      <c r="AJ424" s="111"/>
      <c r="AK424" s="255"/>
      <c r="AL424" s="259" t="str">
        <f>IF(AK424&lt;&gt;"",AK424/VLOOKUP($V424,Setup!$C$30:$D$41,2,0),"")</f>
        <v/>
      </c>
      <c r="AM424" s="266"/>
      <c r="AN424" s="258" t="str">
        <f t="shared" si="198"/>
        <v/>
      </c>
      <c r="AO424" s="266"/>
      <c r="AP424" s="258" t="str">
        <f t="shared" si="199"/>
        <v/>
      </c>
      <c r="AQ424" s="266"/>
      <c r="AR424" s="258" t="str">
        <f t="shared" si="200"/>
        <v/>
      </c>
      <c r="AS424" s="266"/>
      <c r="AT424" s="256" t="str">
        <f t="shared" si="201"/>
        <v/>
      </c>
      <c r="AU424" s="256" t="str">
        <f t="shared" si="202"/>
        <v/>
      </c>
      <c r="AV424" s="256" t="str">
        <f t="shared" si="203"/>
        <v/>
      </c>
      <c r="AW424" s="267"/>
      <c r="AX424" s="255"/>
      <c r="AY424" s="259" t="str">
        <f>IF(AX424&lt;&gt;"",AX424/VLOOKUP($V424,Setup!$C$30:$D$41,2,0),"")</f>
        <v/>
      </c>
      <c r="AZ424" s="268"/>
      <c r="BA424" s="258" t="str">
        <f t="shared" si="204"/>
        <v/>
      </c>
      <c r="BB424" s="268"/>
      <c r="BC424" s="258" t="str">
        <f t="shared" si="205"/>
        <v/>
      </c>
      <c r="BD424" s="268"/>
      <c r="BE424" s="258" t="str">
        <f t="shared" si="206"/>
        <v/>
      </c>
      <c r="BF424" s="268"/>
      <c r="BG424" s="256" t="str">
        <f t="shared" si="207"/>
        <v/>
      </c>
      <c r="BH424" s="256" t="str">
        <f t="shared" si="208"/>
        <v/>
      </c>
      <c r="BI424" s="256" t="str">
        <f t="shared" si="209"/>
        <v/>
      </c>
      <c r="BJ424" s="267"/>
      <c r="BK424" s="255"/>
      <c r="BL424" s="259" t="str">
        <f>IF(BK424&lt;&gt;"",BK424/VLOOKUP($V424,Setup!$C$30:$D$41,2,0),"")</f>
        <v/>
      </c>
      <c r="BM424" s="268"/>
      <c r="BN424" s="258" t="str">
        <f t="shared" si="210"/>
        <v/>
      </c>
      <c r="BO424" s="268"/>
      <c r="BP424" s="258" t="str">
        <f t="shared" si="211"/>
        <v/>
      </c>
      <c r="BQ424" s="268"/>
      <c r="BR424" s="258" t="str">
        <f t="shared" si="212"/>
        <v/>
      </c>
      <c r="BS424" s="268"/>
      <c r="BT424" s="256" t="str">
        <f t="shared" si="213"/>
        <v/>
      </c>
      <c r="BU424" s="256" t="str">
        <f t="shared" si="214"/>
        <v/>
      </c>
      <c r="BV424" s="256" t="str">
        <f t="shared" si="215"/>
        <v/>
      </c>
      <c r="BW424" s="267"/>
      <c r="BX424" s="256" t="str">
        <f t="shared" si="216"/>
        <v/>
      </c>
      <c r="BY424" s="256" t="str">
        <f t="shared" si="217"/>
        <v/>
      </c>
      <c r="BZ424" s="281"/>
      <c r="CA424" s="282"/>
      <c r="CC424" s="112" t="str">
        <f t="shared" ca="1" si="218"/>
        <v/>
      </c>
      <c r="CF424" s="284"/>
      <c r="CG424" s="284"/>
      <c r="CH424" s="284"/>
      <c r="CI424" s="284"/>
      <c r="CL424" s="356" t="str">
        <f>IFERROR(VLOOKUP(C424,'Data Sheet'!$A$3:$B$26,2,FALSE),"")</f>
        <v/>
      </c>
    </row>
    <row r="425" spans="1:90" s="98" customFormat="1" ht="15.75" x14ac:dyDescent="0.2">
      <c r="A425" s="97"/>
      <c r="B425" s="105" t="str">
        <f t="shared" si="221"/>
        <v>--</v>
      </c>
      <c r="C425" s="276"/>
      <c r="D425" s="101" t="str">
        <f>IFERROR(IF(VLOOKUP(C425,'Data Sheet'!$A$3:$D$26,4,FALSE)=0,"",VLOOKUP(C425,'Data Sheet'!$A$3:$D$26,4,FALSE)),"")</f>
        <v/>
      </c>
      <c r="E425" s="279"/>
      <c r="F425" s="103" t="str">
        <f>IFERROR(IF(VLOOKUP(E425,'Data Sheet'!$C$29:$E$174,3,FALSE)=0,"",VLOOKUP(E425,'Data Sheet'!$C$29:$E$174,3,FALSE)),"")</f>
        <v/>
      </c>
      <c r="G425" s="106" t="str">
        <f t="shared" si="219"/>
        <v>-</v>
      </c>
      <c r="H425" s="273"/>
      <c r="I425" s="107"/>
      <c r="J425" s="249" t="e">
        <f t="shared" si="220"/>
        <v>#VALUE!</v>
      </c>
      <c r="K425" s="101" t="str">
        <f>IFERROR(INDEX('Data Sheet'!$C$198:$C$275,MATCH(I425,'Data Sheet'!$F$198:$F$275,0)),"")</f>
        <v/>
      </c>
      <c r="L425" s="250" t="str">
        <f>IFERROR(INDEX('Data Sheet'!$G$198:$G$275,MATCH(I425,'Data Sheet'!$F$198:$F$275,0)),"")</f>
        <v/>
      </c>
      <c r="M425" s="194"/>
      <c r="N425" s="248"/>
      <c r="O425" s="248"/>
      <c r="P425" s="108" t="str">
        <f>IFERROR(INDEX(Setup!$D$44:$D$70,MATCH(M425,Setup!$K$44:$K$70,0))&amp;"","")</f>
        <v/>
      </c>
      <c r="Q425" s="108" t="str">
        <f>IFERROR(INDEX(Setup!$E$44:$E$70,MATCH(M425,Setup!$K$44:$K$70,0))&amp;"","")</f>
        <v/>
      </c>
      <c r="R425" s="108" t="str">
        <f>IFERROR(INDEX(Setup!$L$44:$L$70,MATCH(M425,Setup!$K$44:$K$70,0))&amp;"","")</f>
        <v/>
      </c>
      <c r="S425" s="108" t="str">
        <f>Setup!$C$30</f>
        <v>USD</v>
      </c>
      <c r="T425" s="109" t="str">
        <f>IFERROR(INDEX('Data Sheet'!$B$198:$B$275,MATCH(I425,'Data Sheet'!$F$198:$F$275,0)),"")</f>
        <v/>
      </c>
      <c r="U425" s="110" t="str">
        <f>IFERROR(INDEX('Data Sheet'!$D$198:$D$275,MATCH(I425,'Data Sheet'!$F$198:$F$275,0)),"")</f>
        <v/>
      </c>
      <c r="V425" s="99"/>
      <c r="W425" s="195" t="str">
        <f>IF(V425=Setup!$C$30,"Grant",IF(V425=Setup!$C$31,"Local",IF(V425=Setup!$C$32,"Other",IF(ISBLANK(V425),"","Other"))))</f>
        <v/>
      </c>
      <c r="X425" s="255"/>
      <c r="Y425" s="259" t="str">
        <f>IF(X425&lt;&gt;"",X425/VLOOKUP($V425,Setup!$C$30:$D$41,2,0),"")</f>
        <v/>
      </c>
      <c r="Z425" s="262"/>
      <c r="AA425" s="256" t="str">
        <f t="shared" si="192"/>
        <v/>
      </c>
      <c r="AB425" s="262"/>
      <c r="AC425" s="258" t="str">
        <f t="shared" si="193"/>
        <v/>
      </c>
      <c r="AD425" s="262"/>
      <c r="AE425" s="258" t="str">
        <f t="shared" si="194"/>
        <v/>
      </c>
      <c r="AF425" s="262"/>
      <c r="AG425" s="256" t="str">
        <f t="shared" si="195"/>
        <v/>
      </c>
      <c r="AH425" s="256" t="str">
        <f t="shared" si="196"/>
        <v/>
      </c>
      <c r="AI425" s="256" t="str">
        <f t="shared" si="197"/>
        <v/>
      </c>
      <c r="AJ425" s="111"/>
      <c r="AK425" s="255"/>
      <c r="AL425" s="259" t="str">
        <f>IF(AK425&lt;&gt;"",AK425/VLOOKUP($V425,Setup!$C$30:$D$41,2,0),"")</f>
        <v/>
      </c>
      <c r="AM425" s="266"/>
      <c r="AN425" s="258" t="str">
        <f t="shared" si="198"/>
        <v/>
      </c>
      <c r="AO425" s="266"/>
      <c r="AP425" s="258" t="str">
        <f t="shared" si="199"/>
        <v/>
      </c>
      <c r="AQ425" s="266"/>
      <c r="AR425" s="258" t="str">
        <f t="shared" si="200"/>
        <v/>
      </c>
      <c r="AS425" s="266"/>
      <c r="AT425" s="256" t="str">
        <f t="shared" si="201"/>
        <v/>
      </c>
      <c r="AU425" s="256" t="str">
        <f t="shared" si="202"/>
        <v/>
      </c>
      <c r="AV425" s="256" t="str">
        <f t="shared" si="203"/>
        <v/>
      </c>
      <c r="AW425" s="267"/>
      <c r="AX425" s="255"/>
      <c r="AY425" s="259" t="str">
        <f>IF(AX425&lt;&gt;"",AX425/VLOOKUP($V425,Setup!$C$30:$D$41,2,0),"")</f>
        <v/>
      </c>
      <c r="AZ425" s="268"/>
      <c r="BA425" s="258" t="str">
        <f t="shared" si="204"/>
        <v/>
      </c>
      <c r="BB425" s="268"/>
      <c r="BC425" s="258" t="str">
        <f t="shared" si="205"/>
        <v/>
      </c>
      <c r="BD425" s="268"/>
      <c r="BE425" s="258" t="str">
        <f t="shared" si="206"/>
        <v/>
      </c>
      <c r="BF425" s="268"/>
      <c r="BG425" s="256" t="str">
        <f t="shared" si="207"/>
        <v/>
      </c>
      <c r="BH425" s="256" t="str">
        <f t="shared" si="208"/>
        <v/>
      </c>
      <c r="BI425" s="256" t="str">
        <f t="shared" si="209"/>
        <v/>
      </c>
      <c r="BJ425" s="267"/>
      <c r="BK425" s="255"/>
      <c r="BL425" s="259" t="str">
        <f>IF(BK425&lt;&gt;"",BK425/VLOOKUP($V425,Setup!$C$30:$D$41,2,0),"")</f>
        <v/>
      </c>
      <c r="BM425" s="268"/>
      <c r="BN425" s="258" t="str">
        <f t="shared" si="210"/>
        <v/>
      </c>
      <c r="BO425" s="268"/>
      <c r="BP425" s="258" t="str">
        <f t="shared" si="211"/>
        <v/>
      </c>
      <c r="BQ425" s="268"/>
      <c r="BR425" s="258" t="str">
        <f t="shared" si="212"/>
        <v/>
      </c>
      <c r="BS425" s="268"/>
      <c r="BT425" s="256" t="str">
        <f t="shared" si="213"/>
        <v/>
      </c>
      <c r="BU425" s="256" t="str">
        <f t="shared" si="214"/>
        <v/>
      </c>
      <c r="BV425" s="256" t="str">
        <f t="shared" si="215"/>
        <v/>
      </c>
      <c r="BW425" s="267"/>
      <c r="BX425" s="256" t="str">
        <f t="shared" si="216"/>
        <v/>
      </c>
      <c r="BY425" s="256" t="str">
        <f t="shared" si="217"/>
        <v/>
      </c>
      <c r="BZ425" s="281"/>
      <c r="CA425" s="282"/>
      <c r="CC425" s="112" t="str">
        <f t="shared" ca="1" si="218"/>
        <v/>
      </c>
      <c r="CF425" s="284"/>
      <c r="CG425" s="284"/>
      <c r="CH425" s="284"/>
      <c r="CI425" s="284"/>
      <c r="CL425" s="356" t="str">
        <f>IFERROR(VLOOKUP(C425,'Data Sheet'!$A$3:$B$26,2,FALSE),"")</f>
        <v/>
      </c>
    </row>
    <row r="426" spans="1:90" s="98" customFormat="1" ht="15.75" x14ac:dyDescent="0.2">
      <c r="A426" s="97"/>
      <c r="B426" s="105" t="str">
        <f t="shared" si="221"/>
        <v>--</v>
      </c>
      <c r="C426" s="276"/>
      <c r="D426" s="101" t="str">
        <f>IFERROR(IF(VLOOKUP(C426,'Data Sheet'!$A$3:$D$26,4,FALSE)=0,"",VLOOKUP(C426,'Data Sheet'!$A$3:$D$26,4,FALSE)),"")</f>
        <v/>
      </c>
      <c r="E426" s="279"/>
      <c r="F426" s="103" t="str">
        <f>IFERROR(IF(VLOOKUP(E426,'Data Sheet'!$C$29:$E$174,3,FALSE)=0,"",VLOOKUP(E426,'Data Sheet'!$C$29:$E$174,3,FALSE)),"")</f>
        <v/>
      </c>
      <c r="G426" s="106" t="str">
        <f t="shared" si="219"/>
        <v>-</v>
      </c>
      <c r="H426" s="273"/>
      <c r="I426" s="107"/>
      <c r="J426" s="249" t="e">
        <f t="shared" si="220"/>
        <v>#VALUE!</v>
      </c>
      <c r="K426" s="101" t="str">
        <f>IFERROR(INDEX('Data Sheet'!$C$198:$C$275,MATCH(I426,'Data Sheet'!$F$198:$F$275,0)),"")</f>
        <v/>
      </c>
      <c r="L426" s="250" t="str">
        <f>IFERROR(INDEX('Data Sheet'!$G$198:$G$275,MATCH(I426,'Data Sheet'!$F$198:$F$275,0)),"")</f>
        <v/>
      </c>
      <c r="M426" s="194"/>
      <c r="N426" s="248"/>
      <c r="O426" s="248"/>
      <c r="P426" s="108" t="str">
        <f>IFERROR(INDEX(Setup!$D$44:$D$70,MATCH(M426,Setup!$K$44:$K$70,0))&amp;"","")</f>
        <v/>
      </c>
      <c r="Q426" s="108" t="str">
        <f>IFERROR(INDEX(Setup!$E$44:$E$70,MATCH(M426,Setup!$K$44:$K$70,0))&amp;"","")</f>
        <v/>
      </c>
      <c r="R426" s="108" t="str">
        <f>IFERROR(INDEX(Setup!$L$44:$L$70,MATCH(M426,Setup!$K$44:$K$70,0))&amp;"","")</f>
        <v/>
      </c>
      <c r="S426" s="108" t="str">
        <f>Setup!$C$30</f>
        <v>USD</v>
      </c>
      <c r="T426" s="109" t="str">
        <f>IFERROR(INDEX('Data Sheet'!$B$198:$B$275,MATCH(I426,'Data Sheet'!$F$198:$F$275,0)),"")</f>
        <v/>
      </c>
      <c r="U426" s="110" t="str">
        <f>IFERROR(INDEX('Data Sheet'!$D$198:$D$275,MATCH(I426,'Data Sheet'!$F$198:$F$275,0)),"")</f>
        <v/>
      </c>
      <c r="V426" s="99"/>
      <c r="W426" s="195" t="str">
        <f>IF(V426=Setup!$C$30,"Grant",IF(V426=Setup!$C$31,"Local",IF(V426=Setup!$C$32,"Other",IF(ISBLANK(V426),"","Other"))))</f>
        <v/>
      </c>
      <c r="X426" s="255"/>
      <c r="Y426" s="259" t="str">
        <f>IF(X426&lt;&gt;"",X426/VLOOKUP($V426,Setup!$C$30:$D$41,2,0),"")</f>
        <v/>
      </c>
      <c r="Z426" s="262"/>
      <c r="AA426" s="256" t="str">
        <f t="shared" si="192"/>
        <v/>
      </c>
      <c r="AB426" s="262"/>
      <c r="AC426" s="258" t="str">
        <f t="shared" si="193"/>
        <v/>
      </c>
      <c r="AD426" s="262"/>
      <c r="AE426" s="258" t="str">
        <f t="shared" si="194"/>
        <v/>
      </c>
      <c r="AF426" s="262"/>
      <c r="AG426" s="256" t="str">
        <f t="shared" si="195"/>
        <v/>
      </c>
      <c r="AH426" s="256" t="str">
        <f t="shared" si="196"/>
        <v/>
      </c>
      <c r="AI426" s="256" t="str">
        <f t="shared" si="197"/>
        <v/>
      </c>
      <c r="AJ426" s="111"/>
      <c r="AK426" s="255"/>
      <c r="AL426" s="259" t="str">
        <f>IF(AK426&lt;&gt;"",AK426/VLOOKUP($V426,Setup!$C$30:$D$41,2,0),"")</f>
        <v/>
      </c>
      <c r="AM426" s="266"/>
      <c r="AN426" s="258" t="str">
        <f t="shared" si="198"/>
        <v/>
      </c>
      <c r="AO426" s="266"/>
      <c r="AP426" s="258" t="str">
        <f t="shared" si="199"/>
        <v/>
      </c>
      <c r="AQ426" s="266"/>
      <c r="AR426" s="258" t="str">
        <f t="shared" si="200"/>
        <v/>
      </c>
      <c r="AS426" s="266"/>
      <c r="AT426" s="256" t="str">
        <f t="shared" si="201"/>
        <v/>
      </c>
      <c r="AU426" s="256" t="str">
        <f t="shared" si="202"/>
        <v/>
      </c>
      <c r="AV426" s="256" t="str">
        <f t="shared" si="203"/>
        <v/>
      </c>
      <c r="AW426" s="267"/>
      <c r="AX426" s="255"/>
      <c r="AY426" s="259" t="str">
        <f>IF(AX426&lt;&gt;"",AX426/VLOOKUP($V426,Setup!$C$30:$D$41,2,0),"")</f>
        <v/>
      </c>
      <c r="AZ426" s="268"/>
      <c r="BA426" s="258" t="str">
        <f t="shared" si="204"/>
        <v/>
      </c>
      <c r="BB426" s="268"/>
      <c r="BC426" s="258" t="str">
        <f t="shared" si="205"/>
        <v/>
      </c>
      <c r="BD426" s="268"/>
      <c r="BE426" s="258" t="str">
        <f t="shared" si="206"/>
        <v/>
      </c>
      <c r="BF426" s="268"/>
      <c r="BG426" s="256" t="str">
        <f t="shared" si="207"/>
        <v/>
      </c>
      <c r="BH426" s="256" t="str">
        <f t="shared" si="208"/>
        <v/>
      </c>
      <c r="BI426" s="256" t="str">
        <f t="shared" si="209"/>
        <v/>
      </c>
      <c r="BJ426" s="267"/>
      <c r="BK426" s="255"/>
      <c r="BL426" s="259" t="str">
        <f>IF(BK426&lt;&gt;"",BK426/VLOOKUP($V426,Setup!$C$30:$D$41,2,0),"")</f>
        <v/>
      </c>
      <c r="BM426" s="268"/>
      <c r="BN426" s="258" t="str">
        <f t="shared" si="210"/>
        <v/>
      </c>
      <c r="BO426" s="268"/>
      <c r="BP426" s="258" t="str">
        <f t="shared" si="211"/>
        <v/>
      </c>
      <c r="BQ426" s="268"/>
      <c r="BR426" s="258" t="str">
        <f t="shared" si="212"/>
        <v/>
      </c>
      <c r="BS426" s="268"/>
      <c r="BT426" s="256" t="str">
        <f t="shared" si="213"/>
        <v/>
      </c>
      <c r="BU426" s="256" t="str">
        <f t="shared" si="214"/>
        <v/>
      </c>
      <c r="BV426" s="256" t="str">
        <f t="shared" si="215"/>
        <v/>
      </c>
      <c r="BW426" s="267"/>
      <c r="BX426" s="256" t="str">
        <f t="shared" si="216"/>
        <v/>
      </c>
      <c r="BY426" s="256" t="str">
        <f t="shared" si="217"/>
        <v/>
      </c>
      <c r="BZ426" s="281"/>
      <c r="CA426" s="282"/>
      <c r="CC426" s="112" t="str">
        <f t="shared" ca="1" si="218"/>
        <v/>
      </c>
      <c r="CF426" s="284"/>
      <c r="CG426" s="284"/>
      <c r="CH426" s="284"/>
      <c r="CI426" s="284"/>
      <c r="CL426" s="356" t="str">
        <f>IFERROR(VLOOKUP(C426,'Data Sheet'!$A$3:$B$26,2,FALSE),"")</f>
        <v/>
      </c>
    </row>
    <row r="427" spans="1:90" s="98" customFormat="1" ht="15.75" x14ac:dyDescent="0.2">
      <c r="A427" s="97"/>
      <c r="B427" s="105" t="str">
        <f t="shared" si="221"/>
        <v>--</v>
      </c>
      <c r="C427" s="276"/>
      <c r="D427" s="101" t="str">
        <f>IFERROR(IF(VLOOKUP(C427,'Data Sheet'!$A$3:$D$26,4,FALSE)=0,"",VLOOKUP(C427,'Data Sheet'!$A$3:$D$26,4,FALSE)),"")</f>
        <v/>
      </c>
      <c r="E427" s="279"/>
      <c r="F427" s="103" t="str">
        <f>IFERROR(IF(VLOOKUP(E427,'Data Sheet'!$C$29:$E$174,3,FALSE)=0,"",VLOOKUP(E427,'Data Sheet'!$C$29:$E$174,3,FALSE)),"")</f>
        <v/>
      </c>
      <c r="G427" s="106" t="str">
        <f t="shared" si="219"/>
        <v>-</v>
      </c>
      <c r="H427" s="273"/>
      <c r="I427" s="107"/>
      <c r="J427" s="249" t="e">
        <f t="shared" si="220"/>
        <v>#VALUE!</v>
      </c>
      <c r="K427" s="101" t="str">
        <f>IFERROR(INDEX('Data Sheet'!$C$198:$C$275,MATCH(I427,'Data Sheet'!$F$198:$F$275,0)),"")</f>
        <v/>
      </c>
      <c r="L427" s="250" t="str">
        <f>IFERROR(INDEX('Data Sheet'!$G$198:$G$275,MATCH(I427,'Data Sheet'!$F$198:$F$275,0)),"")</f>
        <v/>
      </c>
      <c r="M427" s="194"/>
      <c r="N427" s="248"/>
      <c r="O427" s="248"/>
      <c r="P427" s="108" t="str">
        <f>IFERROR(INDEX(Setup!$D$44:$D$70,MATCH(M427,Setup!$K$44:$K$70,0))&amp;"","")</f>
        <v/>
      </c>
      <c r="Q427" s="108" t="str">
        <f>IFERROR(INDEX(Setup!$E$44:$E$70,MATCH(M427,Setup!$K$44:$K$70,0))&amp;"","")</f>
        <v/>
      </c>
      <c r="R427" s="108" t="str">
        <f>IFERROR(INDEX(Setup!$L$44:$L$70,MATCH(M427,Setup!$K$44:$K$70,0))&amp;"","")</f>
        <v/>
      </c>
      <c r="S427" s="108" t="str">
        <f>Setup!$C$30</f>
        <v>USD</v>
      </c>
      <c r="T427" s="109" t="str">
        <f>IFERROR(INDEX('Data Sheet'!$B$198:$B$275,MATCH(I427,'Data Sheet'!$F$198:$F$275,0)),"")</f>
        <v/>
      </c>
      <c r="U427" s="110" t="str">
        <f>IFERROR(INDEX('Data Sheet'!$D$198:$D$275,MATCH(I427,'Data Sheet'!$F$198:$F$275,0)),"")</f>
        <v/>
      </c>
      <c r="V427" s="99"/>
      <c r="W427" s="195" t="str">
        <f>IF(V427=Setup!$C$30,"Grant",IF(V427=Setup!$C$31,"Local",IF(V427=Setup!$C$32,"Other",IF(ISBLANK(V427),"","Other"))))</f>
        <v/>
      </c>
      <c r="X427" s="255"/>
      <c r="Y427" s="259" t="str">
        <f>IF(X427&lt;&gt;"",X427/VLOOKUP($V427,Setup!$C$30:$D$41,2,0),"")</f>
        <v/>
      </c>
      <c r="Z427" s="262"/>
      <c r="AA427" s="256" t="str">
        <f t="shared" si="192"/>
        <v/>
      </c>
      <c r="AB427" s="262"/>
      <c r="AC427" s="258" t="str">
        <f t="shared" si="193"/>
        <v/>
      </c>
      <c r="AD427" s="262"/>
      <c r="AE427" s="258" t="str">
        <f t="shared" si="194"/>
        <v/>
      </c>
      <c r="AF427" s="262"/>
      <c r="AG427" s="256" t="str">
        <f t="shared" si="195"/>
        <v/>
      </c>
      <c r="AH427" s="256" t="str">
        <f t="shared" si="196"/>
        <v/>
      </c>
      <c r="AI427" s="256" t="str">
        <f t="shared" si="197"/>
        <v/>
      </c>
      <c r="AJ427" s="111"/>
      <c r="AK427" s="255"/>
      <c r="AL427" s="259" t="str">
        <f>IF(AK427&lt;&gt;"",AK427/VLOOKUP($V427,Setup!$C$30:$D$41,2,0),"")</f>
        <v/>
      </c>
      <c r="AM427" s="266"/>
      <c r="AN427" s="258" t="str">
        <f t="shared" si="198"/>
        <v/>
      </c>
      <c r="AO427" s="266"/>
      <c r="AP427" s="258" t="str">
        <f t="shared" si="199"/>
        <v/>
      </c>
      <c r="AQ427" s="266"/>
      <c r="AR427" s="258" t="str">
        <f t="shared" si="200"/>
        <v/>
      </c>
      <c r="AS427" s="266"/>
      <c r="AT427" s="256" t="str">
        <f t="shared" si="201"/>
        <v/>
      </c>
      <c r="AU427" s="256" t="str">
        <f t="shared" si="202"/>
        <v/>
      </c>
      <c r="AV427" s="256" t="str">
        <f t="shared" si="203"/>
        <v/>
      </c>
      <c r="AW427" s="267"/>
      <c r="AX427" s="255"/>
      <c r="AY427" s="259" t="str">
        <f>IF(AX427&lt;&gt;"",AX427/VLOOKUP($V427,Setup!$C$30:$D$41,2,0),"")</f>
        <v/>
      </c>
      <c r="AZ427" s="268"/>
      <c r="BA427" s="258" t="str">
        <f t="shared" si="204"/>
        <v/>
      </c>
      <c r="BB427" s="268"/>
      <c r="BC427" s="258" t="str">
        <f t="shared" si="205"/>
        <v/>
      </c>
      <c r="BD427" s="268"/>
      <c r="BE427" s="258" t="str">
        <f t="shared" si="206"/>
        <v/>
      </c>
      <c r="BF427" s="268"/>
      <c r="BG427" s="256" t="str">
        <f t="shared" si="207"/>
        <v/>
      </c>
      <c r="BH427" s="256" t="str">
        <f t="shared" si="208"/>
        <v/>
      </c>
      <c r="BI427" s="256" t="str">
        <f t="shared" si="209"/>
        <v/>
      </c>
      <c r="BJ427" s="267"/>
      <c r="BK427" s="255"/>
      <c r="BL427" s="259" t="str">
        <f>IF(BK427&lt;&gt;"",BK427/VLOOKUP($V427,Setup!$C$30:$D$41,2,0),"")</f>
        <v/>
      </c>
      <c r="BM427" s="268"/>
      <c r="BN427" s="258" t="str">
        <f t="shared" si="210"/>
        <v/>
      </c>
      <c r="BO427" s="268"/>
      <c r="BP427" s="258" t="str">
        <f t="shared" si="211"/>
        <v/>
      </c>
      <c r="BQ427" s="268"/>
      <c r="BR427" s="258" t="str">
        <f t="shared" si="212"/>
        <v/>
      </c>
      <c r="BS427" s="268"/>
      <c r="BT427" s="256" t="str">
        <f t="shared" si="213"/>
        <v/>
      </c>
      <c r="BU427" s="256" t="str">
        <f t="shared" si="214"/>
        <v/>
      </c>
      <c r="BV427" s="256" t="str">
        <f t="shared" si="215"/>
        <v/>
      </c>
      <c r="BW427" s="267"/>
      <c r="BX427" s="256" t="str">
        <f t="shared" si="216"/>
        <v/>
      </c>
      <c r="BY427" s="256" t="str">
        <f t="shared" si="217"/>
        <v/>
      </c>
      <c r="BZ427" s="281"/>
      <c r="CA427" s="282"/>
      <c r="CC427" s="112" t="str">
        <f t="shared" ca="1" si="218"/>
        <v/>
      </c>
      <c r="CF427" s="284"/>
      <c r="CG427" s="284"/>
      <c r="CH427" s="284"/>
      <c r="CI427" s="284"/>
      <c r="CL427" s="356" t="str">
        <f>IFERROR(VLOOKUP(C427,'Data Sheet'!$A$3:$B$26,2,FALSE),"")</f>
        <v/>
      </c>
    </row>
    <row r="428" spans="1:90" s="98" customFormat="1" ht="15.75" x14ac:dyDescent="0.2">
      <c r="A428" s="97"/>
      <c r="B428" s="105" t="str">
        <f t="shared" si="221"/>
        <v>--</v>
      </c>
      <c r="C428" s="276"/>
      <c r="D428" s="101" t="str">
        <f>IFERROR(IF(VLOOKUP(C428,'Data Sheet'!$A$3:$D$26,4,FALSE)=0,"",VLOOKUP(C428,'Data Sheet'!$A$3:$D$26,4,FALSE)),"")</f>
        <v/>
      </c>
      <c r="E428" s="279"/>
      <c r="F428" s="103" t="str">
        <f>IFERROR(IF(VLOOKUP(E428,'Data Sheet'!$C$29:$E$174,3,FALSE)=0,"",VLOOKUP(E428,'Data Sheet'!$C$29:$E$174,3,FALSE)),"")</f>
        <v/>
      </c>
      <c r="G428" s="106" t="str">
        <f t="shared" si="219"/>
        <v>-</v>
      </c>
      <c r="H428" s="273"/>
      <c r="I428" s="107"/>
      <c r="J428" s="249" t="e">
        <f t="shared" si="220"/>
        <v>#VALUE!</v>
      </c>
      <c r="K428" s="101" t="str">
        <f>IFERROR(INDEX('Data Sheet'!$C$198:$C$275,MATCH(I428,'Data Sheet'!$F$198:$F$275,0)),"")</f>
        <v/>
      </c>
      <c r="L428" s="250" t="str">
        <f>IFERROR(INDEX('Data Sheet'!$G$198:$G$275,MATCH(I428,'Data Sheet'!$F$198:$F$275,0)),"")</f>
        <v/>
      </c>
      <c r="M428" s="194"/>
      <c r="N428" s="248"/>
      <c r="O428" s="248"/>
      <c r="P428" s="108" t="str">
        <f>IFERROR(INDEX(Setup!$D$44:$D$70,MATCH(M428,Setup!$K$44:$K$70,0))&amp;"","")</f>
        <v/>
      </c>
      <c r="Q428" s="108" t="str">
        <f>IFERROR(INDEX(Setup!$E$44:$E$70,MATCH(M428,Setup!$K$44:$K$70,0))&amp;"","")</f>
        <v/>
      </c>
      <c r="R428" s="108" t="str">
        <f>IFERROR(INDEX(Setup!$L$44:$L$70,MATCH(M428,Setup!$K$44:$K$70,0))&amp;"","")</f>
        <v/>
      </c>
      <c r="S428" s="108" t="str">
        <f>Setup!$C$30</f>
        <v>USD</v>
      </c>
      <c r="T428" s="109" t="str">
        <f>IFERROR(INDEX('Data Sheet'!$B$198:$B$275,MATCH(I428,'Data Sheet'!$F$198:$F$275,0)),"")</f>
        <v/>
      </c>
      <c r="U428" s="110" t="str">
        <f>IFERROR(INDEX('Data Sheet'!$D$198:$D$275,MATCH(I428,'Data Sheet'!$F$198:$F$275,0)),"")</f>
        <v/>
      </c>
      <c r="V428" s="99"/>
      <c r="W428" s="195" t="str">
        <f>IF(V428=Setup!$C$30,"Grant",IF(V428=Setup!$C$31,"Local",IF(V428=Setup!$C$32,"Other",IF(ISBLANK(V428),"","Other"))))</f>
        <v/>
      </c>
      <c r="X428" s="255"/>
      <c r="Y428" s="259" t="str">
        <f>IF(X428&lt;&gt;"",X428/VLOOKUP($V428,Setup!$C$30:$D$41,2,0),"")</f>
        <v/>
      </c>
      <c r="Z428" s="262"/>
      <c r="AA428" s="256" t="str">
        <f t="shared" si="192"/>
        <v/>
      </c>
      <c r="AB428" s="262"/>
      <c r="AC428" s="258" t="str">
        <f t="shared" si="193"/>
        <v/>
      </c>
      <c r="AD428" s="262"/>
      <c r="AE428" s="258" t="str">
        <f t="shared" si="194"/>
        <v/>
      </c>
      <c r="AF428" s="262"/>
      <c r="AG428" s="256" t="str">
        <f t="shared" si="195"/>
        <v/>
      </c>
      <c r="AH428" s="256" t="str">
        <f t="shared" si="196"/>
        <v/>
      </c>
      <c r="AI428" s="256" t="str">
        <f t="shared" si="197"/>
        <v/>
      </c>
      <c r="AJ428" s="111"/>
      <c r="AK428" s="255"/>
      <c r="AL428" s="259" t="str">
        <f>IF(AK428&lt;&gt;"",AK428/VLOOKUP($V428,Setup!$C$30:$D$41,2,0),"")</f>
        <v/>
      </c>
      <c r="AM428" s="266"/>
      <c r="AN428" s="258" t="str">
        <f t="shared" si="198"/>
        <v/>
      </c>
      <c r="AO428" s="266"/>
      <c r="AP428" s="258" t="str">
        <f t="shared" si="199"/>
        <v/>
      </c>
      <c r="AQ428" s="266"/>
      <c r="AR428" s="258" t="str">
        <f t="shared" si="200"/>
        <v/>
      </c>
      <c r="AS428" s="266"/>
      <c r="AT428" s="256" t="str">
        <f t="shared" si="201"/>
        <v/>
      </c>
      <c r="AU428" s="256" t="str">
        <f t="shared" si="202"/>
        <v/>
      </c>
      <c r="AV428" s="256" t="str">
        <f t="shared" si="203"/>
        <v/>
      </c>
      <c r="AW428" s="267"/>
      <c r="AX428" s="255"/>
      <c r="AY428" s="259" t="str">
        <f>IF(AX428&lt;&gt;"",AX428/VLOOKUP($V428,Setup!$C$30:$D$41,2,0),"")</f>
        <v/>
      </c>
      <c r="AZ428" s="268"/>
      <c r="BA428" s="258" t="str">
        <f t="shared" si="204"/>
        <v/>
      </c>
      <c r="BB428" s="268"/>
      <c r="BC428" s="258" t="str">
        <f t="shared" si="205"/>
        <v/>
      </c>
      <c r="BD428" s="268"/>
      <c r="BE428" s="258" t="str">
        <f t="shared" si="206"/>
        <v/>
      </c>
      <c r="BF428" s="268"/>
      <c r="BG428" s="256" t="str">
        <f t="shared" si="207"/>
        <v/>
      </c>
      <c r="BH428" s="256" t="str">
        <f t="shared" si="208"/>
        <v/>
      </c>
      <c r="BI428" s="256" t="str">
        <f t="shared" si="209"/>
        <v/>
      </c>
      <c r="BJ428" s="267"/>
      <c r="BK428" s="255"/>
      <c r="BL428" s="259" t="str">
        <f>IF(BK428&lt;&gt;"",BK428/VLOOKUP($V428,Setup!$C$30:$D$41,2,0),"")</f>
        <v/>
      </c>
      <c r="BM428" s="268"/>
      <c r="BN428" s="258" t="str">
        <f t="shared" si="210"/>
        <v/>
      </c>
      <c r="BO428" s="268"/>
      <c r="BP428" s="258" t="str">
        <f t="shared" si="211"/>
        <v/>
      </c>
      <c r="BQ428" s="268"/>
      <c r="BR428" s="258" t="str">
        <f t="shared" si="212"/>
        <v/>
      </c>
      <c r="BS428" s="268"/>
      <c r="BT428" s="256" t="str">
        <f t="shared" si="213"/>
        <v/>
      </c>
      <c r="BU428" s="256" t="str">
        <f t="shared" si="214"/>
        <v/>
      </c>
      <c r="BV428" s="256" t="str">
        <f t="shared" si="215"/>
        <v/>
      </c>
      <c r="BW428" s="267"/>
      <c r="BX428" s="256" t="str">
        <f t="shared" si="216"/>
        <v/>
      </c>
      <c r="BY428" s="256" t="str">
        <f t="shared" si="217"/>
        <v/>
      </c>
      <c r="BZ428" s="281"/>
      <c r="CA428" s="282"/>
      <c r="CC428" s="112" t="str">
        <f t="shared" ca="1" si="218"/>
        <v/>
      </c>
      <c r="CF428" s="284"/>
      <c r="CG428" s="284"/>
      <c r="CH428" s="284"/>
      <c r="CI428" s="284"/>
      <c r="CL428" s="356" t="str">
        <f>IFERROR(VLOOKUP(C428,'Data Sheet'!$A$3:$B$26,2,FALSE),"")</f>
        <v/>
      </c>
    </row>
    <row r="429" spans="1:90" s="98" customFormat="1" ht="15.75" x14ac:dyDescent="0.2">
      <c r="A429" s="97"/>
      <c r="B429" s="105" t="str">
        <f t="shared" si="221"/>
        <v>--</v>
      </c>
      <c r="C429" s="276"/>
      <c r="D429" s="101" t="str">
        <f>IFERROR(IF(VLOOKUP(C429,'Data Sheet'!$A$3:$D$26,4,FALSE)=0,"",VLOOKUP(C429,'Data Sheet'!$A$3:$D$26,4,FALSE)),"")</f>
        <v/>
      </c>
      <c r="E429" s="279"/>
      <c r="F429" s="103" t="str">
        <f>IFERROR(IF(VLOOKUP(E429,'Data Sheet'!$C$29:$E$174,3,FALSE)=0,"",VLOOKUP(E429,'Data Sheet'!$C$29:$E$174,3,FALSE)),"")</f>
        <v/>
      </c>
      <c r="G429" s="106" t="str">
        <f t="shared" si="219"/>
        <v>-</v>
      </c>
      <c r="H429" s="273"/>
      <c r="I429" s="107"/>
      <c r="J429" s="249" t="e">
        <f t="shared" si="220"/>
        <v>#VALUE!</v>
      </c>
      <c r="K429" s="101" t="str">
        <f>IFERROR(INDEX('Data Sheet'!$C$198:$C$275,MATCH(I429,'Data Sheet'!$F$198:$F$275,0)),"")</f>
        <v/>
      </c>
      <c r="L429" s="250" t="str">
        <f>IFERROR(INDEX('Data Sheet'!$G$198:$G$275,MATCH(I429,'Data Sheet'!$F$198:$F$275,0)),"")</f>
        <v/>
      </c>
      <c r="M429" s="194"/>
      <c r="N429" s="248"/>
      <c r="O429" s="248"/>
      <c r="P429" s="108" t="str">
        <f>IFERROR(INDEX(Setup!$D$44:$D$70,MATCH(M429,Setup!$K$44:$K$70,0))&amp;"","")</f>
        <v/>
      </c>
      <c r="Q429" s="108" t="str">
        <f>IFERROR(INDEX(Setup!$E$44:$E$70,MATCH(M429,Setup!$K$44:$K$70,0))&amp;"","")</f>
        <v/>
      </c>
      <c r="R429" s="108" t="str">
        <f>IFERROR(INDEX(Setup!$L$44:$L$70,MATCH(M429,Setup!$K$44:$K$70,0))&amp;"","")</f>
        <v/>
      </c>
      <c r="S429" s="108" t="str">
        <f>Setup!$C$30</f>
        <v>USD</v>
      </c>
      <c r="T429" s="109" t="str">
        <f>IFERROR(INDEX('Data Sheet'!$B$198:$B$275,MATCH(I429,'Data Sheet'!$F$198:$F$275,0)),"")</f>
        <v/>
      </c>
      <c r="U429" s="110" t="str">
        <f>IFERROR(INDEX('Data Sheet'!$D$198:$D$275,MATCH(I429,'Data Sheet'!$F$198:$F$275,0)),"")</f>
        <v/>
      </c>
      <c r="V429" s="99"/>
      <c r="W429" s="195" t="str">
        <f>IF(V429=Setup!$C$30,"Grant",IF(V429=Setup!$C$31,"Local",IF(V429=Setup!$C$32,"Other",IF(ISBLANK(V429),"","Other"))))</f>
        <v/>
      </c>
      <c r="X429" s="255"/>
      <c r="Y429" s="259" t="str">
        <f>IF(X429&lt;&gt;"",X429/VLOOKUP($V429,Setup!$C$30:$D$41,2,0),"")</f>
        <v/>
      </c>
      <c r="Z429" s="262"/>
      <c r="AA429" s="256" t="str">
        <f t="shared" si="192"/>
        <v/>
      </c>
      <c r="AB429" s="262"/>
      <c r="AC429" s="258" t="str">
        <f t="shared" si="193"/>
        <v/>
      </c>
      <c r="AD429" s="262"/>
      <c r="AE429" s="258" t="str">
        <f t="shared" si="194"/>
        <v/>
      </c>
      <c r="AF429" s="262"/>
      <c r="AG429" s="256" t="str">
        <f t="shared" si="195"/>
        <v/>
      </c>
      <c r="AH429" s="256" t="str">
        <f t="shared" si="196"/>
        <v/>
      </c>
      <c r="AI429" s="256" t="str">
        <f t="shared" si="197"/>
        <v/>
      </c>
      <c r="AJ429" s="111"/>
      <c r="AK429" s="255"/>
      <c r="AL429" s="259" t="str">
        <f>IF(AK429&lt;&gt;"",AK429/VLOOKUP($V429,Setup!$C$30:$D$41,2,0),"")</f>
        <v/>
      </c>
      <c r="AM429" s="266"/>
      <c r="AN429" s="258" t="str">
        <f t="shared" si="198"/>
        <v/>
      </c>
      <c r="AO429" s="266"/>
      <c r="AP429" s="258" t="str">
        <f t="shared" si="199"/>
        <v/>
      </c>
      <c r="AQ429" s="266"/>
      <c r="AR429" s="258" t="str">
        <f t="shared" si="200"/>
        <v/>
      </c>
      <c r="AS429" s="266"/>
      <c r="AT429" s="256" t="str">
        <f t="shared" si="201"/>
        <v/>
      </c>
      <c r="AU429" s="256" t="str">
        <f t="shared" si="202"/>
        <v/>
      </c>
      <c r="AV429" s="256" t="str">
        <f t="shared" si="203"/>
        <v/>
      </c>
      <c r="AW429" s="267"/>
      <c r="AX429" s="255"/>
      <c r="AY429" s="259" t="str">
        <f>IF(AX429&lt;&gt;"",AX429/VLOOKUP($V429,Setup!$C$30:$D$41,2,0),"")</f>
        <v/>
      </c>
      <c r="AZ429" s="268"/>
      <c r="BA429" s="258" t="str">
        <f t="shared" si="204"/>
        <v/>
      </c>
      <c r="BB429" s="268"/>
      <c r="BC429" s="258" t="str">
        <f t="shared" si="205"/>
        <v/>
      </c>
      <c r="BD429" s="268"/>
      <c r="BE429" s="258" t="str">
        <f t="shared" si="206"/>
        <v/>
      </c>
      <c r="BF429" s="268"/>
      <c r="BG429" s="256" t="str">
        <f t="shared" si="207"/>
        <v/>
      </c>
      <c r="BH429" s="256" t="str">
        <f t="shared" si="208"/>
        <v/>
      </c>
      <c r="BI429" s="256" t="str">
        <f t="shared" si="209"/>
        <v/>
      </c>
      <c r="BJ429" s="267"/>
      <c r="BK429" s="255"/>
      <c r="BL429" s="259" t="str">
        <f>IF(BK429&lt;&gt;"",BK429/VLOOKUP($V429,Setup!$C$30:$D$41,2,0),"")</f>
        <v/>
      </c>
      <c r="BM429" s="268"/>
      <c r="BN429" s="258" t="str">
        <f t="shared" si="210"/>
        <v/>
      </c>
      <c r="BO429" s="268"/>
      <c r="BP429" s="258" t="str">
        <f t="shared" si="211"/>
        <v/>
      </c>
      <c r="BQ429" s="268"/>
      <c r="BR429" s="258" t="str">
        <f t="shared" si="212"/>
        <v/>
      </c>
      <c r="BS429" s="268"/>
      <c r="BT429" s="256" t="str">
        <f t="shared" si="213"/>
        <v/>
      </c>
      <c r="BU429" s="256" t="str">
        <f t="shared" si="214"/>
        <v/>
      </c>
      <c r="BV429" s="256" t="str">
        <f t="shared" si="215"/>
        <v/>
      </c>
      <c r="BW429" s="267"/>
      <c r="BX429" s="256" t="str">
        <f t="shared" si="216"/>
        <v/>
      </c>
      <c r="BY429" s="256" t="str">
        <f t="shared" si="217"/>
        <v/>
      </c>
      <c r="BZ429" s="281"/>
      <c r="CA429" s="282"/>
      <c r="CC429" s="112" t="str">
        <f t="shared" ca="1" si="218"/>
        <v/>
      </c>
      <c r="CF429" s="284"/>
      <c r="CG429" s="284"/>
      <c r="CH429" s="284"/>
      <c r="CI429" s="284"/>
      <c r="CL429" s="356" t="str">
        <f>IFERROR(VLOOKUP(C429,'Data Sheet'!$A$3:$B$26,2,FALSE),"")</f>
        <v/>
      </c>
    </row>
    <row r="430" spans="1:90" s="98" customFormat="1" ht="15.75" x14ac:dyDescent="0.2">
      <c r="A430" s="97"/>
      <c r="B430" s="105" t="str">
        <f t="shared" si="221"/>
        <v>--</v>
      </c>
      <c r="C430" s="276"/>
      <c r="D430" s="101" t="str">
        <f>IFERROR(IF(VLOOKUP(C430,'Data Sheet'!$A$3:$D$26,4,FALSE)=0,"",VLOOKUP(C430,'Data Sheet'!$A$3:$D$26,4,FALSE)),"")</f>
        <v/>
      </c>
      <c r="E430" s="279"/>
      <c r="F430" s="103" t="str">
        <f>IFERROR(IF(VLOOKUP(E430,'Data Sheet'!$C$29:$E$174,3,FALSE)=0,"",VLOOKUP(E430,'Data Sheet'!$C$29:$E$174,3,FALSE)),"")</f>
        <v/>
      </c>
      <c r="G430" s="106" t="str">
        <f t="shared" si="219"/>
        <v>-</v>
      </c>
      <c r="H430" s="273"/>
      <c r="I430" s="107"/>
      <c r="J430" s="249" t="e">
        <f t="shared" si="220"/>
        <v>#VALUE!</v>
      </c>
      <c r="K430" s="101" t="str">
        <f>IFERROR(INDEX('Data Sheet'!$C$198:$C$275,MATCH(I430,'Data Sheet'!$F$198:$F$275,0)),"")</f>
        <v/>
      </c>
      <c r="L430" s="250" t="str">
        <f>IFERROR(INDEX('Data Sheet'!$G$198:$G$275,MATCH(I430,'Data Sheet'!$F$198:$F$275,0)),"")</f>
        <v/>
      </c>
      <c r="M430" s="194"/>
      <c r="N430" s="248"/>
      <c r="O430" s="248"/>
      <c r="P430" s="108" t="str">
        <f>IFERROR(INDEX(Setup!$D$44:$D$70,MATCH(M430,Setup!$K$44:$K$70,0))&amp;"","")</f>
        <v/>
      </c>
      <c r="Q430" s="108" t="str">
        <f>IFERROR(INDEX(Setup!$E$44:$E$70,MATCH(M430,Setup!$K$44:$K$70,0))&amp;"","")</f>
        <v/>
      </c>
      <c r="R430" s="108" t="str">
        <f>IFERROR(INDEX(Setup!$L$44:$L$70,MATCH(M430,Setup!$K$44:$K$70,0))&amp;"","")</f>
        <v/>
      </c>
      <c r="S430" s="108" t="str">
        <f>Setup!$C$30</f>
        <v>USD</v>
      </c>
      <c r="T430" s="109" t="str">
        <f>IFERROR(INDEX('Data Sheet'!$B$198:$B$275,MATCH(I430,'Data Sheet'!$F$198:$F$275,0)),"")</f>
        <v/>
      </c>
      <c r="U430" s="110" t="str">
        <f>IFERROR(INDEX('Data Sheet'!$D$198:$D$275,MATCH(I430,'Data Sheet'!$F$198:$F$275,0)),"")</f>
        <v/>
      </c>
      <c r="V430" s="99"/>
      <c r="W430" s="195" t="str">
        <f>IF(V430=Setup!$C$30,"Grant",IF(V430=Setup!$C$31,"Local",IF(V430=Setup!$C$32,"Other",IF(ISBLANK(V430),"","Other"))))</f>
        <v/>
      </c>
      <c r="X430" s="255"/>
      <c r="Y430" s="259" t="str">
        <f>IF(X430&lt;&gt;"",X430/VLOOKUP($V430,Setup!$C$30:$D$41,2,0),"")</f>
        <v/>
      </c>
      <c r="Z430" s="262"/>
      <c r="AA430" s="256" t="str">
        <f t="shared" si="192"/>
        <v/>
      </c>
      <c r="AB430" s="262"/>
      <c r="AC430" s="258" t="str">
        <f t="shared" si="193"/>
        <v/>
      </c>
      <c r="AD430" s="262"/>
      <c r="AE430" s="258" t="str">
        <f t="shared" si="194"/>
        <v/>
      </c>
      <c r="AF430" s="262"/>
      <c r="AG430" s="256" t="str">
        <f t="shared" si="195"/>
        <v/>
      </c>
      <c r="AH430" s="256" t="str">
        <f t="shared" si="196"/>
        <v/>
      </c>
      <c r="AI430" s="256" t="str">
        <f t="shared" si="197"/>
        <v/>
      </c>
      <c r="AJ430" s="111"/>
      <c r="AK430" s="255"/>
      <c r="AL430" s="259" t="str">
        <f>IF(AK430&lt;&gt;"",AK430/VLOOKUP($V430,Setup!$C$30:$D$41,2,0),"")</f>
        <v/>
      </c>
      <c r="AM430" s="266"/>
      <c r="AN430" s="258" t="str">
        <f t="shared" si="198"/>
        <v/>
      </c>
      <c r="AO430" s="266"/>
      <c r="AP430" s="258" t="str">
        <f t="shared" si="199"/>
        <v/>
      </c>
      <c r="AQ430" s="266"/>
      <c r="AR430" s="258" t="str">
        <f t="shared" si="200"/>
        <v/>
      </c>
      <c r="AS430" s="266"/>
      <c r="AT430" s="256" t="str">
        <f t="shared" si="201"/>
        <v/>
      </c>
      <c r="AU430" s="256" t="str">
        <f t="shared" si="202"/>
        <v/>
      </c>
      <c r="AV430" s="256" t="str">
        <f t="shared" si="203"/>
        <v/>
      </c>
      <c r="AW430" s="267"/>
      <c r="AX430" s="255"/>
      <c r="AY430" s="259" t="str">
        <f>IF(AX430&lt;&gt;"",AX430/VLOOKUP($V430,Setup!$C$30:$D$41,2,0),"")</f>
        <v/>
      </c>
      <c r="AZ430" s="268"/>
      <c r="BA430" s="258" t="str">
        <f t="shared" si="204"/>
        <v/>
      </c>
      <c r="BB430" s="268"/>
      <c r="BC430" s="258" t="str">
        <f t="shared" si="205"/>
        <v/>
      </c>
      <c r="BD430" s="268"/>
      <c r="BE430" s="258" t="str">
        <f t="shared" si="206"/>
        <v/>
      </c>
      <c r="BF430" s="268"/>
      <c r="BG430" s="256" t="str">
        <f t="shared" si="207"/>
        <v/>
      </c>
      <c r="BH430" s="256" t="str">
        <f t="shared" si="208"/>
        <v/>
      </c>
      <c r="BI430" s="256" t="str">
        <f t="shared" si="209"/>
        <v/>
      </c>
      <c r="BJ430" s="267"/>
      <c r="BK430" s="255"/>
      <c r="BL430" s="259" t="str">
        <f>IF(BK430&lt;&gt;"",BK430/VLOOKUP($V430,Setup!$C$30:$D$41,2,0),"")</f>
        <v/>
      </c>
      <c r="BM430" s="268"/>
      <c r="BN430" s="258" t="str">
        <f t="shared" si="210"/>
        <v/>
      </c>
      <c r="BO430" s="268"/>
      <c r="BP430" s="258" t="str">
        <f t="shared" si="211"/>
        <v/>
      </c>
      <c r="BQ430" s="268"/>
      <c r="BR430" s="258" t="str">
        <f t="shared" si="212"/>
        <v/>
      </c>
      <c r="BS430" s="268"/>
      <c r="BT430" s="256" t="str">
        <f t="shared" si="213"/>
        <v/>
      </c>
      <c r="BU430" s="256" t="str">
        <f t="shared" si="214"/>
        <v/>
      </c>
      <c r="BV430" s="256" t="str">
        <f t="shared" si="215"/>
        <v/>
      </c>
      <c r="BW430" s="267"/>
      <c r="BX430" s="256" t="str">
        <f t="shared" si="216"/>
        <v/>
      </c>
      <c r="BY430" s="256" t="str">
        <f t="shared" si="217"/>
        <v/>
      </c>
      <c r="BZ430" s="281"/>
      <c r="CA430" s="282"/>
      <c r="CC430" s="112" t="str">
        <f t="shared" ca="1" si="218"/>
        <v/>
      </c>
      <c r="CF430" s="284"/>
      <c r="CG430" s="284"/>
      <c r="CH430" s="284"/>
      <c r="CI430" s="284"/>
      <c r="CL430" s="356" t="str">
        <f>IFERROR(VLOOKUP(C430,'Data Sheet'!$A$3:$B$26,2,FALSE),"")</f>
        <v/>
      </c>
    </row>
    <row r="431" spans="1:90" s="98" customFormat="1" ht="15.75" x14ac:dyDescent="0.2">
      <c r="A431" s="97"/>
      <c r="B431" s="105" t="str">
        <f t="shared" si="221"/>
        <v>--</v>
      </c>
      <c r="C431" s="276"/>
      <c r="D431" s="101" t="str">
        <f>IFERROR(IF(VLOOKUP(C431,'Data Sheet'!$A$3:$D$26,4,FALSE)=0,"",VLOOKUP(C431,'Data Sheet'!$A$3:$D$26,4,FALSE)),"")</f>
        <v/>
      </c>
      <c r="E431" s="279"/>
      <c r="F431" s="103" t="str">
        <f>IFERROR(IF(VLOOKUP(E431,'Data Sheet'!$C$29:$E$174,3,FALSE)=0,"",VLOOKUP(E431,'Data Sheet'!$C$29:$E$174,3,FALSE)),"")</f>
        <v/>
      </c>
      <c r="G431" s="106" t="str">
        <f t="shared" si="219"/>
        <v>-</v>
      </c>
      <c r="H431" s="273"/>
      <c r="I431" s="107"/>
      <c r="J431" s="249" t="e">
        <f t="shared" si="220"/>
        <v>#VALUE!</v>
      </c>
      <c r="K431" s="101" t="str">
        <f>IFERROR(INDEX('Data Sheet'!$C$198:$C$275,MATCH(I431,'Data Sheet'!$F$198:$F$275,0)),"")</f>
        <v/>
      </c>
      <c r="L431" s="250" t="str">
        <f>IFERROR(INDEX('Data Sheet'!$G$198:$G$275,MATCH(I431,'Data Sheet'!$F$198:$F$275,0)),"")</f>
        <v/>
      </c>
      <c r="M431" s="194"/>
      <c r="N431" s="248"/>
      <c r="O431" s="248"/>
      <c r="P431" s="108" t="str">
        <f>IFERROR(INDEX(Setup!$D$44:$D$70,MATCH(M431,Setup!$K$44:$K$70,0))&amp;"","")</f>
        <v/>
      </c>
      <c r="Q431" s="108" t="str">
        <f>IFERROR(INDEX(Setup!$E$44:$E$70,MATCH(M431,Setup!$K$44:$K$70,0))&amp;"","")</f>
        <v/>
      </c>
      <c r="R431" s="108" t="str">
        <f>IFERROR(INDEX(Setup!$L$44:$L$70,MATCH(M431,Setup!$K$44:$K$70,0))&amp;"","")</f>
        <v/>
      </c>
      <c r="S431" s="108" t="str">
        <f>Setup!$C$30</f>
        <v>USD</v>
      </c>
      <c r="T431" s="109" t="str">
        <f>IFERROR(INDEX('Data Sheet'!$B$198:$B$275,MATCH(I431,'Data Sheet'!$F$198:$F$275,0)),"")</f>
        <v/>
      </c>
      <c r="U431" s="110" t="str">
        <f>IFERROR(INDEX('Data Sheet'!$D$198:$D$275,MATCH(I431,'Data Sheet'!$F$198:$F$275,0)),"")</f>
        <v/>
      </c>
      <c r="V431" s="99"/>
      <c r="W431" s="195" t="str">
        <f>IF(V431=Setup!$C$30,"Grant",IF(V431=Setup!$C$31,"Local",IF(V431=Setup!$C$32,"Other",IF(ISBLANK(V431),"","Other"))))</f>
        <v/>
      </c>
      <c r="X431" s="255"/>
      <c r="Y431" s="259" t="str">
        <f>IF(X431&lt;&gt;"",X431/VLOOKUP($V431,Setup!$C$30:$D$41,2,0),"")</f>
        <v/>
      </c>
      <c r="Z431" s="262"/>
      <c r="AA431" s="256" t="str">
        <f t="shared" si="192"/>
        <v/>
      </c>
      <c r="AB431" s="262"/>
      <c r="AC431" s="258" t="str">
        <f t="shared" si="193"/>
        <v/>
      </c>
      <c r="AD431" s="262"/>
      <c r="AE431" s="258" t="str">
        <f t="shared" si="194"/>
        <v/>
      </c>
      <c r="AF431" s="262"/>
      <c r="AG431" s="256" t="str">
        <f t="shared" si="195"/>
        <v/>
      </c>
      <c r="AH431" s="256" t="str">
        <f t="shared" si="196"/>
        <v/>
      </c>
      <c r="AI431" s="256" t="str">
        <f t="shared" si="197"/>
        <v/>
      </c>
      <c r="AJ431" s="111"/>
      <c r="AK431" s="255"/>
      <c r="AL431" s="259" t="str">
        <f>IF(AK431&lt;&gt;"",AK431/VLOOKUP($V431,Setup!$C$30:$D$41,2,0),"")</f>
        <v/>
      </c>
      <c r="AM431" s="266"/>
      <c r="AN431" s="258" t="str">
        <f t="shared" si="198"/>
        <v/>
      </c>
      <c r="AO431" s="266"/>
      <c r="AP431" s="258" t="str">
        <f t="shared" si="199"/>
        <v/>
      </c>
      <c r="AQ431" s="266"/>
      <c r="AR431" s="258" t="str">
        <f t="shared" si="200"/>
        <v/>
      </c>
      <c r="AS431" s="266"/>
      <c r="AT431" s="256" t="str">
        <f t="shared" si="201"/>
        <v/>
      </c>
      <c r="AU431" s="256" t="str">
        <f t="shared" si="202"/>
        <v/>
      </c>
      <c r="AV431" s="256" t="str">
        <f t="shared" si="203"/>
        <v/>
      </c>
      <c r="AW431" s="267"/>
      <c r="AX431" s="255"/>
      <c r="AY431" s="259" t="str">
        <f>IF(AX431&lt;&gt;"",AX431/VLOOKUP($V431,Setup!$C$30:$D$41,2,0),"")</f>
        <v/>
      </c>
      <c r="AZ431" s="268"/>
      <c r="BA431" s="258" t="str">
        <f t="shared" si="204"/>
        <v/>
      </c>
      <c r="BB431" s="268"/>
      <c r="BC431" s="258" t="str">
        <f t="shared" si="205"/>
        <v/>
      </c>
      <c r="BD431" s="268"/>
      <c r="BE431" s="258" t="str">
        <f t="shared" si="206"/>
        <v/>
      </c>
      <c r="BF431" s="268"/>
      <c r="BG431" s="256" t="str">
        <f t="shared" si="207"/>
        <v/>
      </c>
      <c r="BH431" s="256" t="str">
        <f t="shared" si="208"/>
        <v/>
      </c>
      <c r="BI431" s="256" t="str">
        <f t="shared" si="209"/>
        <v/>
      </c>
      <c r="BJ431" s="267"/>
      <c r="BK431" s="255"/>
      <c r="BL431" s="259" t="str">
        <f>IF(BK431&lt;&gt;"",BK431/VLOOKUP($V431,Setup!$C$30:$D$41,2,0),"")</f>
        <v/>
      </c>
      <c r="BM431" s="268"/>
      <c r="BN431" s="258" t="str">
        <f t="shared" si="210"/>
        <v/>
      </c>
      <c r="BO431" s="268"/>
      <c r="BP431" s="258" t="str">
        <f t="shared" si="211"/>
        <v/>
      </c>
      <c r="BQ431" s="268"/>
      <c r="BR431" s="258" t="str">
        <f t="shared" si="212"/>
        <v/>
      </c>
      <c r="BS431" s="268"/>
      <c r="BT431" s="256" t="str">
        <f t="shared" si="213"/>
        <v/>
      </c>
      <c r="BU431" s="256" t="str">
        <f t="shared" si="214"/>
        <v/>
      </c>
      <c r="BV431" s="256" t="str">
        <f t="shared" si="215"/>
        <v/>
      </c>
      <c r="BW431" s="267"/>
      <c r="BX431" s="256" t="str">
        <f t="shared" si="216"/>
        <v/>
      </c>
      <c r="BY431" s="256" t="str">
        <f t="shared" si="217"/>
        <v/>
      </c>
      <c r="BZ431" s="281"/>
      <c r="CA431" s="282"/>
      <c r="CC431" s="112" t="str">
        <f t="shared" ca="1" si="218"/>
        <v/>
      </c>
      <c r="CF431" s="284"/>
      <c r="CG431" s="284"/>
      <c r="CH431" s="284"/>
      <c r="CI431" s="284"/>
      <c r="CL431" s="356" t="str">
        <f>IFERROR(VLOOKUP(C431,'Data Sheet'!$A$3:$B$26,2,FALSE),"")</f>
        <v/>
      </c>
    </row>
    <row r="432" spans="1:90" s="98" customFormat="1" ht="15.75" x14ac:dyDescent="0.2">
      <c r="A432" s="97"/>
      <c r="B432" s="105" t="str">
        <f t="shared" si="221"/>
        <v>--</v>
      </c>
      <c r="C432" s="276"/>
      <c r="D432" s="101" t="str">
        <f>IFERROR(IF(VLOOKUP(C432,'Data Sheet'!$A$3:$D$26,4,FALSE)=0,"",VLOOKUP(C432,'Data Sheet'!$A$3:$D$26,4,FALSE)),"")</f>
        <v/>
      </c>
      <c r="E432" s="279"/>
      <c r="F432" s="103" t="str">
        <f>IFERROR(IF(VLOOKUP(E432,'Data Sheet'!$C$29:$E$174,3,FALSE)=0,"",VLOOKUP(E432,'Data Sheet'!$C$29:$E$174,3,FALSE)),"")</f>
        <v/>
      </c>
      <c r="G432" s="106" t="str">
        <f t="shared" si="219"/>
        <v>-</v>
      </c>
      <c r="H432" s="273"/>
      <c r="I432" s="107"/>
      <c r="J432" s="249" t="e">
        <f t="shared" si="220"/>
        <v>#VALUE!</v>
      </c>
      <c r="K432" s="101" t="str">
        <f>IFERROR(INDEX('Data Sheet'!$C$198:$C$275,MATCH(I432,'Data Sheet'!$F$198:$F$275,0)),"")</f>
        <v/>
      </c>
      <c r="L432" s="250" t="str">
        <f>IFERROR(INDEX('Data Sheet'!$G$198:$G$275,MATCH(I432,'Data Sheet'!$F$198:$F$275,0)),"")</f>
        <v/>
      </c>
      <c r="M432" s="194"/>
      <c r="N432" s="248"/>
      <c r="O432" s="248"/>
      <c r="P432" s="108" t="str">
        <f>IFERROR(INDEX(Setup!$D$44:$D$70,MATCH(M432,Setup!$K$44:$K$70,0))&amp;"","")</f>
        <v/>
      </c>
      <c r="Q432" s="108" t="str">
        <f>IFERROR(INDEX(Setup!$E$44:$E$70,MATCH(M432,Setup!$K$44:$K$70,0))&amp;"","")</f>
        <v/>
      </c>
      <c r="R432" s="108" t="str">
        <f>IFERROR(INDEX(Setup!$L$44:$L$70,MATCH(M432,Setup!$K$44:$K$70,0))&amp;"","")</f>
        <v/>
      </c>
      <c r="S432" s="108" t="str">
        <f>Setup!$C$30</f>
        <v>USD</v>
      </c>
      <c r="T432" s="109" t="str">
        <f>IFERROR(INDEX('Data Sheet'!$B$198:$B$275,MATCH(I432,'Data Sheet'!$F$198:$F$275,0)),"")</f>
        <v/>
      </c>
      <c r="U432" s="110" t="str">
        <f>IFERROR(INDEX('Data Sheet'!$D$198:$D$275,MATCH(I432,'Data Sheet'!$F$198:$F$275,0)),"")</f>
        <v/>
      </c>
      <c r="V432" s="99"/>
      <c r="W432" s="195" t="str">
        <f>IF(V432=Setup!$C$30,"Grant",IF(V432=Setup!$C$31,"Local",IF(V432=Setup!$C$32,"Other",IF(ISBLANK(V432),"","Other"))))</f>
        <v/>
      </c>
      <c r="X432" s="255"/>
      <c r="Y432" s="259" t="str">
        <f>IF(X432&lt;&gt;"",X432/VLOOKUP($V432,Setup!$C$30:$D$41,2,0),"")</f>
        <v/>
      </c>
      <c r="Z432" s="262"/>
      <c r="AA432" s="256" t="str">
        <f t="shared" si="192"/>
        <v/>
      </c>
      <c r="AB432" s="262"/>
      <c r="AC432" s="258" t="str">
        <f t="shared" si="193"/>
        <v/>
      </c>
      <c r="AD432" s="262"/>
      <c r="AE432" s="258" t="str">
        <f t="shared" si="194"/>
        <v/>
      </c>
      <c r="AF432" s="262"/>
      <c r="AG432" s="256" t="str">
        <f t="shared" si="195"/>
        <v/>
      </c>
      <c r="AH432" s="256" t="str">
        <f t="shared" si="196"/>
        <v/>
      </c>
      <c r="AI432" s="256" t="str">
        <f t="shared" si="197"/>
        <v/>
      </c>
      <c r="AJ432" s="111"/>
      <c r="AK432" s="255"/>
      <c r="AL432" s="259" t="str">
        <f>IF(AK432&lt;&gt;"",AK432/VLOOKUP($V432,Setup!$C$30:$D$41,2,0),"")</f>
        <v/>
      </c>
      <c r="AM432" s="266"/>
      <c r="AN432" s="258" t="str">
        <f t="shared" si="198"/>
        <v/>
      </c>
      <c r="AO432" s="266"/>
      <c r="AP432" s="258" t="str">
        <f t="shared" si="199"/>
        <v/>
      </c>
      <c r="AQ432" s="266"/>
      <c r="AR432" s="258" t="str">
        <f t="shared" si="200"/>
        <v/>
      </c>
      <c r="AS432" s="266"/>
      <c r="AT432" s="256" t="str">
        <f t="shared" si="201"/>
        <v/>
      </c>
      <c r="AU432" s="256" t="str">
        <f t="shared" si="202"/>
        <v/>
      </c>
      <c r="AV432" s="256" t="str">
        <f t="shared" si="203"/>
        <v/>
      </c>
      <c r="AW432" s="267"/>
      <c r="AX432" s="255"/>
      <c r="AY432" s="259" t="str">
        <f>IF(AX432&lt;&gt;"",AX432/VLOOKUP($V432,Setup!$C$30:$D$41,2,0),"")</f>
        <v/>
      </c>
      <c r="AZ432" s="268"/>
      <c r="BA432" s="258" t="str">
        <f t="shared" si="204"/>
        <v/>
      </c>
      <c r="BB432" s="268"/>
      <c r="BC432" s="258" t="str">
        <f t="shared" si="205"/>
        <v/>
      </c>
      <c r="BD432" s="268"/>
      <c r="BE432" s="258" t="str">
        <f t="shared" si="206"/>
        <v/>
      </c>
      <c r="BF432" s="268"/>
      <c r="BG432" s="256" t="str">
        <f t="shared" si="207"/>
        <v/>
      </c>
      <c r="BH432" s="256" t="str">
        <f t="shared" si="208"/>
        <v/>
      </c>
      <c r="BI432" s="256" t="str">
        <f t="shared" si="209"/>
        <v/>
      </c>
      <c r="BJ432" s="267"/>
      <c r="BK432" s="255"/>
      <c r="BL432" s="259" t="str">
        <f>IF(BK432&lt;&gt;"",BK432/VLOOKUP($V432,Setup!$C$30:$D$41,2,0),"")</f>
        <v/>
      </c>
      <c r="BM432" s="268"/>
      <c r="BN432" s="258" t="str">
        <f t="shared" si="210"/>
        <v/>
      </c>
      <c r="BO432" s="268"/>
      <c r="BP432" s="258" t="str">
        <f t="shared" si="211"/>
        <v/>
      </c>
      <c r="BQ432" s="268"/>
      <c r="BR432" s="258" t="str">
        <f t="shared" si="212"/>
        <v/>
      </c>
      <c r="BS432" s="268"/>
      <c r="BT432" s="256" t="str">
        <f t="shared" si="213"/>
        <v/>
      </c>
      <c r="BU432" s="256" t="str">
        <f t="shared" si="214"/>
        <v/>
      </c>
      <c r="BV432" s="256" t="str">
        <f t="shared" si="215"/>
        <v/>
      </c>
      <c r="BW432" s="267"/>
      <c r="BX432" s="256" t="str">
        <f t="shared" si="216"/>
        <v/>
      </c>
      <c r="BY432" s="256" t="str">
        <f t="shared" si="217"/>
        <v/>
      </c>
      <c r="BZ432" s="281"/>
      <c r="CA432" s="282"/>
      <c r="CC432" s="112" t="str">
        <f t="shared" ca="1" si="218"/>
        <v/>
      </c>
      <c r="CF432" s="284"/>
      <c r="CG432" s="284"/>
      <c r="CH432" s="284"/>
      <c r="CI432" s="284"/>
      <c r="CL432" s="356" t="str">
        <f>IFERROR(VLOOKUP(C432,'Data Sheet'!$A$3:$B$26,2,FALSE),"")</f>
        <v/>
      </c>
    </row>
    <row r="433" spans="1:90" s="98" customFormat="1" ht="15.75" x14ac:dyDescent="0.2">
      <c r="A433" s="97"/>
      <c r="B433" s="105" t="str">
        <f t="shared" si="221"/>
        <v>--</v>
      </c>
      <c r="C433" s="276"/>
      <c r="D433" s="101" t="str">
        <f>IFERROR(IF(VLOOKUP(C433,'Data Sheet'!$A$3:$D$26,4,FALSE)=0,"",VLOOKUP(C433,'Data Sheet'!$A$3:$D$26,4,FALSE)),"")</f>
        <v/>
      </c>
      <c r="E433" s="279"/>
      <c r="F433" s="103" t="str">
        <f>IFERROR(IF(VLOOKUP(E433,'Data Sheet'!$C$29:$E$174,3,FALSE)=0,"",VLOOKUP(E433,'Data Sheet'!$C$29:$E$174,3,FALSE)),"")</f>
        <v/>
      </c>
      <c r="G433" s="106" t="str">
        <f t="shared" si="219"/>
        <v>-</v>
      </c>
      <c r="H433" s="273"/>
      <c r="I433" s="107"/>
      <c r="J433" s="249" t="e">
        <f t="shared" si="220"/>
        <v>#VALUE!</v>
      </c>
      <c r="K433" s="101" t="str">
        <f>IFERROR(INDEX('Data Sheet'!$C$198:$C$275,MATCH(I433,'Data Sheet'!$F$198:$F$275,0)),"")</f>
        <v/>
      </c>
      <c r="L433" s="250" t="str">
        <f>IFERROR(INDEX('Data Sheet'!$G$198:$G$275,MATCH(I433,'Data Sheet'!$F$198:$F$275,0)),"")</f>
        <v/>
      </c>
      <c r="M433" s="194"/>
      <c r="N433" s="248"/>
      <c r="O433" s="248"/>
      <c r="P433" s="108" t="str">
        <f>IFERROR(INDEX(Setup!$D$44:$D$70,MATCH(M433,Setup!$K$44:$K$70,0))&amp;"","")</f>
        <v/>
      </c>
      <c r="Q433" s="108" t="str">
        <f>IFERROR(INDEX(Setup!$E$44:$E$70,MATCH(M433,Setup!$K$44:$K$70,0))&amp;"","")</f>
        <v/>
      </c>
      <c r="R433" s="108" t="str">
        <f>IFERROR(INDEX(Setup!$L$44:$L$70,MATCH(M433,Setup!$K$44:$K$70,0))&amp;"","")</f>
        <v/>
      </c>
      <c r="S433" s="108" t="str">
        <f>Setup!$C$30</f>
        <v>USD</v>
      </c>
      <c r="T433" s="109" t="str">
        <f>IFERROR(INDEX('Data Sheet'!$B$198:$B$275,MATCH(I433,'Data Sheet'!$F$198:$F$275,0)),"")</f>
        <v/>
      </c>
      <c r="U433" s="110" t="str">
        <f>IFERROR(INDEX('Data Sheet'!$D$198:$D$275,MATCH(I433,'Data Sheet'!$F$198:$F$275,0)),"")</f>
        <v/>
      </c>
      <c r="V433" s="99"/>
      <c r="W433" s="195" t="str">
        <f>IF(V433=Setup!$C$30,"Grant",IF(V433=Setup!$C$31,"Local",IF(V433=Setup!$C$32,"Other",IF(ISBLANK(V433),"","Other"))))</f>
        <v/>
      </c>
      <c r="X433" s="255"/>
      <c r="Y433" s="259" t="str">
        <f>IF(X433&lt;&gt;"",X433/VLOOKUP($V433,Setup!$C$30:$D$41,2,0),"")</f>
        <v/>
      </c>
      <c r="Z433" s="262"/>
      <c r="AA433" s="256" t="str">
        <f t="shared" si="192"/>
        <v/>
      </c>
      <c r="AB433" s="262"/>
      <c r="AC433" s="258" t="str">
        <f t="shared" si="193"/>
        <v/>
      </c>
      <c r="AD433" s="262"/>
      <c r="AE433" s="258" t="str">
        <f t="shared" si="194"/>
        <v/>
      </c>
      <c r="AF433" s="262"/>
      <c r="AG433" s="256" t="str">
        <f t="shared" si="195"/>
        <v/>
      </c>
      <c r="AH433" s="256" t="str">
        <f t="shared" si="196"/>
        <v/>
      </c>
      <c r="AI433" s="256" t="str">
        <f t="shared" si="197"/>
        <v/>
      </c>
      <c r="AJ433" s="111"/>
      <c r="AK433" s="255"/>
      <c r="AL433" s="259" t="str">
        <f>IF(AK433&lt;&gt;"",AK433/VLOOKUP($V433,Setup!$C$30:$D$41,2,0),"")</f>
        <v/>
      </c>
      <c r="AM433" s="266"/>
      <c r="AN433" s="258" t="str">
        <f t="shared" si="198"/>
        <v/>
      </c>
      <c r="AO433" s="266"/>
      <c r="AP433" s="258" t="str">
        <f t="shared" si="199"/>
        <v/>
      </c>
      <c r="AQ433" s="266"/>
      <c r="AR433" s="258" t="str">
        <f t="shared" si="200"/>
        <v/>
      </c>
      <c r="AS433" s="266"/>
      <c r="AT433" s="256" t="str">
        <f t="shared" si="201"/>
        <v/>
      </c>
      <c r="AU433" s="256" t="str">
        <f t="shared" si="202"/>
        <v/>
      </c>
      <c r="AV433" s="256" t="str">
        <f t="shared" si="203"/>
        <v/>
      </c>
      <c r="AW433" s="267"/>
      <c r="AX433" s="255"/>
      <c r="AY433" s="259" t="str">
        <f>IF(AX433&lt;&gt;"",AX433/VLOOKUP($V433,Setup!$C$30:$D$41,2,0),"")</f>
        <v/>
      </c>
      <c r="AZ433" s="268"/>
      <c r="BA433" s="258" t="str">
        <f t="shared" si="204"/>
        <v/>
      </c>
      <c r="BB433" s="268"/>
      <c r="BC433" s="258" t="str">
        <f t="shared" si="205"/>
        <v/>
      </c>
      <c r="BD433" s="268"/>
      <c r="BE433" s="258" t="str">
        <f t="shared" si="206"/>
        <v/>
      </c>
      <c r="BF433" s="268"/>
      <c r="BG433" s="256" t="str">
        <f t="shared" si="207"/>
        <v/>
      </c>
      <c r="BH433" s="256" t="str">
        <f t="shared" si="208"/>
        <v/>
      </c>
      <c r="BI433" s="256" t="str">
        <f t="shared" si="209"/>
        <v/>
      </c>
      <c r="BJ433" s="267"/>
      <c r="BK433" s="255"/>
      <c r="BL433" s="259" t="str">
        <f>IF(BK433&lt;&gt;"",BK433/VLOOKUP($V433,Setup!$C$30:$D$41,2,0),"")</f>
        <v/>
      </c>
      <c r="BM433" s="268"/>
      <c r="BN433" s="258" t="str">
        <f t="shared" si="210"/>
        <v/>
      </c>
      <c r="BO433" s="268"/>
      <c r="BP433" s="258" t="str">
        <f t="shared" si="211"/>
        <v/>
      </c>
      <c r="BQ433" s="268"/>
      <c r="BR433" s="258" t="str">
        <f t="shared" si="212"/>
        <v/>
      </c>
      <c r="BS433" s="268"/>
      <c r="BT433" s="256" t="str">
        <f t="shared" si="213"/>
        <v/>
      </c>
      <c r="BU433" s="256" t="str">
        <f t="shared" si="214"/>
        <v/>
      </c>
      <c r="BV433" s="256" t="str">
        <f t="shared" si="215"/>
        <v/>
      </c>
      <c r="BW433" s="267"/>
      <c r="BX433" s="256" t="str">
        <f t="shared" si="216"/>
        <v/>
      </c>
      <c r="BY433" s="256" t="str">
        <f t="shared" si="217"/>
        <v/>
      </c>
      <c r="BZ433" s="281"/>
      <c r="CA433" s="282"/>
      <c r="CC433" s="112" t="str">
        <f t="shared" ca="1" si="218"/>
        <v/>
      </c>
      <c r="CF433" s="284"/>
      <c r="CG433" s="284"/>
      <c r="CH433" s="284"/>
      <c r="CI433" s="284"/>
      <c r="CL433" s="356" t="str">
        <f>IFERROR(VLOOKUP(C433,'Data Sheet'!$A$3:$B$26,2,FALSE),"")</f>
        <v/>
      </c>
    </row>
    <row r="434" spans="1:90" s="98" customFormat="1" ht="15.75" x14ac:dyDescent="0.2">
      <c r="A434" s="97"/>
      <c r="B434" s="105" t="str">
        <f t="shared" si="221"/>
        <v>--</v>
      </c>
      <c r="C434" s="276"/>
      <c r="D434" s="101" t="str">
        <f>IFERROR(IF(VLOOKUP(C434,'Data Sheet'!$A$3:$D$26,4,FALSE)=0,"",VLOOKUP(C434,'Data Sheet'!$A$3:$D$26,4,FALSE)),"")</f>
        <v/>
      </c>
      <c r="E434" s="279"/>
      <c r="F434" s="103" t="str">
        <f>IFERROR(IF(VLOOKUP(E434,'Data Sheet'!$C$29:$E$174,3,FALSE)=0,"",VLOOKUP(E434,'Data Sheet'!$C$29:$E$174,3,FALSE)),"")</f>
        <v/>
      </c>
      <c r="G434" s="106" t="str">
        <f t="shared" si="219"/>
        <v>-</v>
      </c>
      <c r="H434" s="273"/>
      <c r="I434" s="107"/>
      <c r="J434" s="249" t="e">
        <f t="shared" si="220"/>
        <v>#VALUE!</v>
      </c>
      <c r="K434" s="101" t="str">
        <f>IFERROR(INDEX('Data Sheet'!$C$198:$C$275,MATCH(I434,'Data Sheet'!$F$198:$F$275,0)),"")</f>
        <v/>
      </c>
      <c r="L434" s="250" t="str">
        <f>IFERROR(INDEX('Data Sheet'!$G$198:$G$275,MATCH(I434,'Data Sheet'!$F$198:$F$275,0)),"")</f>
        <v/>
      </c>
      <c r="M434" s="194"/>
      <c r="N434" s="248"/>
      <c r="O434" s="248"/>
      <c r="P434" s="108" t="str">
        <f>IFERROR(INDEX(Setup!$D$44:$D$70,MATCH(M434,Setup!$K$44:$K$70,0))&amp;"","")</f>
        <v/>
      </c>
      <c r="Q434" s="108" t="str">
        <f>IFERROR(INDEX(Setup!$E$44:$E$70,MATCH(M434,Setup!$K$44:$K$70,0))&amp;"","")</f>
        <v/>
      </c>
      <c r="R434" s="108" t="str">
        <f>IFERROR(INDEX(Setup!$L$44:$L$70,MATCH(M434,Setup!$K$44:$K$70,0))&amp;"","")</f>
        <v/>
      </c>
      <c r="S434" s="108" t="str">
        <f>Setup!$C$30</f>
        <v>USD</v>
      </c>
      <c r="T434" s="109" t="str">
        <f>IFERROR(INDEX('Data Sheet'!$B$198:$B$275,MATCH(I434,'Data Sheet'!$F$198:$F$275,0)),"")</f>
        <v/>
      </c>
      <c r="U434" s="110" t="str">
        <f>IFERROR(INDEX('Data Sheet'!$D$198:$D$275,MATCH(I434,'Data Sheet'!$F$198:$F$275,0)),"")</f>
        <v/>
      </c>
      <c r="V434" s="99"/>
      <c r="W434" s="195" t="str">
        <f>IF(V434=Setup!$C$30,"Grant",IF(V434=Setup!$C$31,"Local",IF(V434=Setup!$C$32,"Other",IF(ISBLANK(V434),"","Other"))))</f>
        <v/>
      </c>
      <c r="X434" s="255"/>
      <c r="Y434" s="259" t="str">
        <f>IF(X434&lt;&gt;"",X434/VLOOKUP($V434,Setup!$C$30:$D$41,2,0),"")</f>
        <v/>
      </c>
      <c r="Z434" s="262"/>
      <c r="AA434" s="256" t="str">
        <f t="shared" si="192"/>
        <v/>
      </c>
      <c r="AB434" s="262"/>
      <c r="AC434" s="258" t="str">
        <f t="shared" si="193"/>
        <v/>
      </c>
      <c r="AD434" s="262"/>
      <c r="AE434" s="258" t="str">
        <f t="shared" si="194"/>
        <v/>
      </c>
      <c r="AF434" s="262"/>
      <c r="AG434" s="256" t="str">
        <f t="shared" si="195"/>
        <v/>
      </c>
      <c r="AH434" s="256" t="str">
        <f t="shared" si="196"/>
        <v/>
      </c>
      <c r="AI434" s="256" t="str">
        <f t="shared" si="197"/>
        <v/>
      </c>
      <c r="AJ434" s="111"/>
      <c r="AK434" s="255"/>
      <c r="AL434" s="259" t="str">
        <f>IF(AK434&lt;&gt;"",AK434/VLOOKUP($V434,Setup!$C$30:$D$41,2,0),"")</f>
        <v/>
      </c>
      <c r="AM434" s="266"/>
      <c r="AN434" s="258" t="str">
        <f t="shared" si="198"/>
        <v/>
      </c>
      <c r="AO434" s="266"/>
      <c r="AP434" s="258" t="str">
        <f t="shared" si="199"/>
        <v/>
      </c>
      <c r="AQ434" s="266"/>
      <c r="AR434" s="258" t="str">
        <f t="shared" si="200"/>
        <v/>
      </c>
      <c r="AS434" s="266"/>
      <c r="AT434" s="256" t="str">
        <f t="shared" si="201"/>
        <v/>
      </c>
      <c r="AU434" s="256" t="str">
        <f t="shared" si="202"/>
        <v/>
      </c>
      <c r="AV434" s="256" t="str">
        <f t="shared" si="203"/>
        <v/>
      </c>
      <c r="AW434" s="267"/>
      <c r="AX434" s="255"/>
      <c r="AY434" s="259" t="str">
        <f>IF(AX434&lt;&gt;"",AX434/VLOOKUP($V434,Setup!$C$30:$D$41,2,0),"")</f>
        <v/>
      </c>
      <c r="AZ434" s="268"/>
      <c r="BA434" s="258" t="str">
        <f t="shared" si="204"/>
        <v/>
      </c>
      <c r="BB434" s="268"/>
      <c r="BC434" s="258" t="str">
        <f t="shared" si="205"/>
        <v/>
      </c>
      <c r="BD434" s="268"/>
      <c r="BE434" s="258" t="str">
        <f t="shared" si="206"/>
        <v/>
      </c>
      <c r="BF434" s="268"/>
      <c r="BG434" s="256" t="str">
        <f t="shared" si="207"/>
        <v/>
      </c>
      <c r="BH434" s="256" t="str">
        <f t="shared" si="208"/>
        <v/>
      </c>
      <c r="BI434" s="256" t="str">
        <f t="shared" si="209"/>
        <v/>
      </c>
      <c r="BJ434" s="267"/>
      <c r="BK434" s="255"/>
      <c r="BL434" s="259" t="str">
        <f>IF(BK434&lt;&gt;"",BK434/VLOOKUP($V434,Setup!$C$30:$D$41,2,0),"")</f>
        <v/>
      </c>
      <c r="BM434" s="268"/>
      <c r="BN434" s="258" t="str">
        <f t="shared" si="210"/>
        <v/>
      </c>
      <c r="BO434" s="268"/>
      <c r="BP434" s="258" t="str">
        <f t="shared" si="211"/>
        <v/>
      </c>
      <c r="BQ434" s="268"/>
      <c r="BR434" s="258" t="str">
        <f t="shared" si="212"/>
        <v/>
      </c>
      <c r="BS434" s="268"/>
      <c r="BT434" s="256" t="str">
        <f t="shared" si="213"/>
        <v/>
      </c>
      <c r="BU434" s="256" t="str">
        <f t="shared" si="214"/>
        <v/>
      </c>
      <c r="BV434" s="256" t="str">
        <f t="shared" si="215"/>
        <v/>
      </c>
      <c r="BW434" s="267"/>
      <c r="BX434" s="256" t="str">
        <f t="shared" si="216"/>
        <v/>
      </c>
      <c r="BY434" s="256" t="str">
        <f t="shared" si="217"/>
        <v/>
      </c>
      <c r="BZ434" s="281"/>
      <c r="CA434" s="282"/>
      <c r="CC434" s="112" t="str">
        <f t="shared" ca="1" si="218"/>
        <v/>
      </c>
      <c r="CF434" s="284"/>
      <c r="CG434" s="284"/>
      <c r="CH434" s="284"/>
      <c r="CI434" s="284"/>
      <c r="CL434" s="356" t="str">
        <f>IFERROR(VLOOKUP(C434,'Data Sheet'!$A$3:$B$26,2,FALSE),"")</f>
        <v/>
      </c>
    </row>
    <row r="435" spans="1:90" s="98" customFormat="1" ht="15.75" x14ac:dyDescent="0.2">
      <c r="A435" s="97"/>
      <c r="B435" s="105" t="str">
        <f t="shared" si="221"/>
        <v>--</v>
      </c>
      <c r="C435" s="276"/>
      <c r="D435" s="101" t="str">
        <f>IFERROR(IF(VLOOKUP(C435,'Data Sheet'!$A$3:$D$26,4,FALSE)=0,"",VLOOKUP(C435,'Data Sheet'!$A$3:$D$26,4,FALSE)),"")</f>
        <v/>
      </c>
      <c r="E435" s="279"/>
      <c r="F435" s="103" t="str">
        <f>IFERROR(IF(VLOOKUP(E435,'Data Sheet'!$C$29:$E$174,3,FALSE)=0,"",VLOOKUP(E435,'Data Sheet'!$C$29:$E$174,3,FALSE)),"")</f>
        <v/>
      </c>
      <c r="G435" s="106" t="str">
        <f t="shared" si="219"/>
        <v>-</v>
      </c>
      <c r="H435" s="273"/>
      <c r="I435" s="107"/>
      <c r="J435" s="249" t="e">
        <f t="shared" si="220"/>
        <v>#VALUE!</v>
      </c>
      <c r="K435" s="101" t="str">
        <f>IFERROR(INDEX('Data Sheet'!$C$198:$C$275,MATCH(I435,'Data Sheet'!$F$198:$F$275,0)),"")</f>
        <v/>
      </c>
      <c r="L435" s="250" t="str">
        <f>IFERROR(INDEX('Data Sheet'!$G$198:$G$275,MATCH(I435,'Data Sheet'!$F$198:$F$275,0)),"")</f>
        <v/>
      </c>
      <c r="M435" s="194"/>
      <c r="N435" s="248"/>
      <c r="O435" s="248"/>
      <c r="P435" s="108" t="str">
        <f>IFERROR(INDEX(Setup!$D$44:$D$70,MATCH(M435,Setup!$K$44:$K$70,0))&amp;"","")</f>
        <v/>
      </c>
      <c r="Q435" s="108" t="str">
        <f>IFERROR(INDEX(Setup!$E$44:$E$70,MATCH(M435,Setup!$K$44:$K$70,0))&amp;"","")</f>
        <v/>
      </c>
      <c r="R435" s="108" t="str">
        <f>IFERROR(INDEX(Setup!$L$44:$L$70,MATCH(M435,Setup!$K$44:$K$70,0))&amp;"","")</f>
        <v/>
      </c>
      <c r="S435" s="108" t="str">
        <f>Setup!$C$30</f>
        <v>USD</v>
      </c>
      <c r="T435" s="109" t="str">
        <f>IFERROR(INDEX('Data Sheet'!$B$198:$B$275,MATCH(I435,'Data Sheet'!$F$198:$F$275,0)),"")</f>
        <v/>
      </c>
      <c r="U435" s="110" t="str">
        <f>IFERROR(INDEX('Data Sheet'!$D$198:$D$275,MATCH(I435,'Data Sheet'!$F$198:$F$275,0)),"")</f>
        <v/>
      </c>
      <c r="V435" s="99"/>
      <c r="W435" s="195" t="str">
        <f>IF(V435=Setup!$C$30,"Grant",IF(V435=Setup!$C$31,"Local",IF(V435=Setup!$C$32,"Other",IF(ISBLANK(V435),"","Other"))))</f>
        <v/>
      </c>
      <c r="X435" s="255"/>
      <c r="Y435" s="259" t="str">
        <f>IF(X435&lt;&gt;"",X435/VLOOKUP($V435,Setup!$C$30:$D$41,2,0),"")</f>
        <v/>
      </c>
      <c r="Z435" s="262"/>
      <c r="AA435" s="256" t="str">
        <f t="shared" si="192"/>
        <v/>
      </c>
      <c r="AB435" s="262"/>
      <c r="AC435" s="258" t="str">
        <f t="shared" si="193"/>
        <v/>
      </c>
      <c r="AD435" s="262"/>
      <c r="AE435" s="258" t="str">
        <f t="shared" si="194"/>
        <v/>
      </c>
      <c r="AF435" s="262"/>
      <c r="AG435" s="256" t="str">
        <f t="shared" si="195"/>
        <v/>
      </c>
      <c r="AH435" s="256" t="str">
        <f t="shared" si="196"/>
        <v/>
      </c>
      <c r="AI435" s="256" t="str">
        <f t="shared" si="197"/>
        <v/>
      </c>
      <c r="AJ435" s="111"/>
      <c r="AK435" s="255"/>
      <c r="AL435" s="259" t="str">
        <f>IF(AK435&lt;&gt;"",AK435/VLOOKUP($V435,Setup!$C$30:$D$41,2,0),"")</f>
        <v/>
      </c>
      <c r="AM435" s="266"/>
      <c r="AN435" s="258" t="str">
        <f t="shared" si="198"/>
        <v/>
      </c>
      <c r="AO435" s="266"/>
      <c r="AP435" s="258" t="str">
        <f t="shared" si="199"/>
        <v/>
      </c>
      <c r="AQ435" s="266"/>
      <c r="AR435" s="258" t="str">
        <f t="shared" si="200"/>
        <v/>
      </c>
      <c r="AS435" s="266"/>
      <c r="AT435" s="256" t="str">
        <f t="shared" si="201"/>
        <v/>
      </c>
      <c r="AU435" s="256" t="str">
        <f t="shared" si="202"/>
        <v/>
      </c>
      <c r="AV435" s="256" t="str">
        <f t="shared" si="203"/>
        <v/>
      </c>
      <c r="AW435" s="267"/>
      <c r="AX435" s="255"/>
      <c r="AY435" s="259" t="str">
        <f>IF(AX435&lt;&gt;"",AX435/VLOOKUP($V435,Setup!$C$30:$D$41,2,0),"")</f>
        <v/>
      </c>
      <c r="AZ435" s="268"/>
      <c r="BA435" s="258" t="str">
        <f t="shared" si="204"/>
        <v/>
      </c>
      <c r="BB435" s="268"/>
      <c r="BC435" s="258" t="str">
        <f t="shared" si="205"/>
        <v/>
      </c>
      <c r="BD435" s="268"/>
      <c r="BE435" s="258" t="str">
        <f t="shared" si="206"/>
        <v/>
      </c>
      <c r="BF435" s="268"/>
      <c r="BG435" s="256" t="str">
        <f t="shared" si="207"/>
        <v/>
      </c>
      <c r="BH435" s="256" t="str">
        <f t="shared" si="208"/>
        <v/>
      </c>
      <c r="BI435" s="256" t="str">
        <f t="shared" si="209"/>
        <v/>
      </c>
      <c r="BJ435" s="267"/>
      <c r="BK435" s="255"/>
      <c r="BL435" s="259" t="str">
        <f>IF(BK435&lt;&gt;"",BK435/VLOOKUP($V435,Setup!$C$30:$D$41,2,0),"")</f>
        <v/>
      </c>
      <c r="BM435" s="268"/>
      <c r="BN435" s="258" t="str">
        <f t="shared" si="210"/>
        <v/>
      </c>
      <c r="BO435" s="268"/>
      <c r="BP435" s="258" t="str">
        <f t="shared" si="211"/>
        <v/>
      </c>
      <c r="BQ435" s="268"/>
      <c r="BR435" s="258" t="str">
        <f t="shared" si="212"/>
        <v/>
      </c>
      <c r="BS435" s="268"/>
      <c r="BT435" s="256" t="str">
        <f t="shared" si="213"/>
        <v/>
      </c>
      <c r="BU435" s="256" t="str">
        <f t="shared" si="214"/>
        <v/>
      </c>
      <c r="BV435" s="256" t="str">
        <f t="shared" si="215"/>
        <v/>
      </c>
      <c r="BW435" s="267"/>
      <c r="BX435" s="256" t="str">
        <f t="shared" si="216"/>
        <v/>
      </c>
      <c r="BY435" s="256" t="str">
        <f t="shared" si="217"/>
        <v/>
      </c>
      <c r="BZ435" s="281"/>
      <c r="CA435" s="282"/>
      <c r="CC435" s="112" t="str">
        <f t="shared" ca="1" si="218"/>
        <v/>
      </c>
      <c r="CF435" s="284"/>
      <c r="CG435" s="284"/>
      <c r="CH435" s="284"/>
      <c r="CI435" s="284"/>
      <c r="CL435" s="356" t="str">
        <f>IFERROR(VLOOKUP(C435,'Data Sheet'!$A$3:$B$26,2,FALSE),"")</f>
        <v/>
      </c>
    </row>
    <row r="436" spans="1:90" s="98" customFormat="1" ht="15.75" x14ac:dyDescent="0.2">
      <c r="A436" s="97"/>
      <c r="B436" s="105" t="str">
        <f t="shared" si="221"/>
        <v>--</v>
      </c>
      <c r="C436" s="276"/>
      <c r="D436" s="101" t="str">
        <f>IFERROR(IF(VLOOKUP(C436,'Data Sheet'!$A$3:$D$26,4,FALSE)=0,"",VLOOKUP(C436,'Data Sheet'!$A$3:$D$26,4,FALSE)),"")</f>
        <v/>
      </c>
      <c r="E436" s="279"/>
      <c r="F436" s="103" t="str">
        <f>IFERROR(IF(VLOOKUP(E436,'Data Sheet'!$C$29:$E$174,3,FALSE)=0,"",VLOOKUP(E436,'Data Sheet'!$C$29:$E$174,3,FALSE)),"")</f>
        <v/>
      </c>
      <c r="G436" s="106" t="str">
        <f t="shared" si="219"/>
        <v>-</v>
      </c>
      <c r="H436" s="273"/>
      <c r="I436" s="107"/>
      <c r="J436" s="249" t="e">
        <f t="shared" si="220"/>
        <v>#VALUE!</v>
      </c>
      <c r="K436" s="101" t="str">
        <f>IFERROR(INDEX('Data Sheet'!$C$198:$C$275,MATCH(I436,'Data Sheet'!$F$198:$F$275,0)),"")</f>
        <v/>
      </c>
      <c r="L436" s="250" t="str">
        <f>IFERROR(INDEX('Data Sheet'!$G$198:$G$275,MATCH(I436,'Data Sheet'!$F$198:$F$275,0)),"")</f>
        <v/>
      </c>
      <c r="M436" s="194"/>
      <c r="N436" s="248"/>
      <c r="O436" s="248"/>
      <c r="P436" s="108" t="str">
        <f>IFERROR(INDEX(Setup!$D$44:$D$70,MATCH(M436,Setup!$K$44:$K$70,0))&amp;"","")</f>
        <v/>
      </c>
      <c r="Q436" s="108" t="str">
        <f>IFERROR(INDEX(Setup!$E$44:$E$70,MATCH(M436,Setup!$K$44:$K$70,0))&amp;"","")</f>
        <v/>
      </c>
      <c r="R436" s="108" t="str">
        <f>IFERROR(INDEX(Setup!$L$44:$L$70,MATCH(M436,Setup!$K$44:$K$70,0))&amp;"","")</f>
        <v/>
      </c>
      <c r="S436" s="108" t="str">
        <f>Setup!$C$30</f>
        <v>USD</v>
      </c>
      <c r="T436" s="109" t="str">
        <f>IFERROR(INDEX('Data Sheet'!$B$198:$B$275,MATCH(I436,'Data Sheet'!$F$198:$F$275,0)),"")</f>
        <v/>
      </c>
      <c r="U436" s="110" t="str">
        <f>IFERROR(INDEX('Data Sheet'!$D$198:$D$275,MATCH(I436,'Data Sheet'!$F$198:$F$275,0)),"")</f>
        <v/>
      </c>
      <c r="V436" s="99"/>
      <c r="W436" s="195" t="str">
        <f>IF(V436=Setup!$C$30,"Grant",IF(V436=Setup!$C$31,"Local",IF(V436=Setup!$C$32,"Other",IF(ISBLANK(V436),"","Other"))))</f>
        <v/>
      </c>
      <c r="X436" s="255"/>
      <c r="Y436" s="259" t="str">
        <f>IF(X436&lt;&gt;"",X436/VLOOKUP($V436,Setup!$C$30:$D$41,2,0),"")</f>
        <v/>
      </c>
      <c r="Z436" s="262"/>
      <c r="AA436" s="256" t="str">
        <f t="shared" si="192"/>
        <v/>
      </c>
      <c r="AB436" s="262"/>
      <c r="AC436" s="258" t="str">
        <f t="shared" si="193"/>
        <v/>
      </c>
      <c r="AD436" s="262"/>
      <c r="AE436" s="258" t="str">
        <f t="shared" si="194"/>
        <v/>
      </c>
      <c r="AF436" s="262"/>
      <c r="AG436" s="256" t="str">
        <f t="shared" si="195"/>
        <v/>
      </c>
      <c r="AH436" s="256" t="str">
        <f t="shared" si="196"/>
        <v/>
      </c>
      <c r="AI436" s="256" t="str">
        <f t="shared" si="197"/>
        <v/>
      </c>
      <c r="AJ436" s="111"/>
      <c r="AK436" s="255"/>
      <c r="AL436" s="259" t="str">
        <f>IF(AK436&lt;&gt;"",AK436/VLOOKUP($V436,Setup!$C$30:$D$41,2,0),"")</f>
        <v/>
      </c>
      <c r="AM436" s="266"/>
      <c r="AN436" s="258" t="str">
        <f t="shared" si="198"/>
        <v/>
      </c>
      <c r="AO436" s="266"/>
      <c r="AP436" s="258" t="str">
        <f t="shared" si="199"/>
        <v/>
      </c>
      <c r="AQ436" s="266"/>
      <c r="AR436" s="258" t="str">
        <f t="shared" si="200"/>
        <v/>
      </c>
      <c r="AS436" s="266"/>
      <c r="AT436" s="256" t="str">
        <f t="shared" si="201"/>
        <v/>
      </c>
      <c r="AU436" s="256" t="str">
        <f t="shared" si="202"/>
        <v/>
      </c>
      <c r="AV436" s="256" t="str">
        <f t="shared" si="203"/>
        <v/>
      </c>
      <c r="AW436" s="267"/>
      <c r="AX436" s="255"/>
      <c r="AY436" s="259" t="str">
        <f>IF(AX436&lt;&gt;"",AX436/VLOOKUP($V436,Setup!$C$30:$D$41,2,0),"")</f>
        <v/>
      </c>
      <c r="AZ436" s="268"/>
      <c r="BA436" s="258" t="str">
        <f t="shared" si="204"/>
        <v/>
      </c>
      <c r="BB436" s="268"/>
      <c r="BC436" s="258" t="str">
        <f t="shared" si="205"/>
        <v/>
      </c>
      <c r="BD436" s="268"/>
      <c r="BE436" s="258" t="str">
        <f t="shared" si="206"/>
        <v/>
      </c>
      <c r="BF436" s="268"/>
      <c r="BG436" s="256" t="str">
        <f t="shared" si="207"/>
        <v/>
      </c>
      <c r="BH436" s="256" t="str">
        <f t="shared" si="208"/>
        <v/>
      </c>
      <c r="BI436" s="256" t="str">
        <f t="shared" si="209"/>
        <v/>
      </c>
      <c r="BJ436" s="267"/>
      <c r="BK436" s="255"/>
      <c r="BL436" s="259" t="str">
        <f>IF(BK436&lt;&gt;"",BK436/VLOOKUP($V436,Setup!$C$30:$D$41,2,0),"")</f>
        <v/>
      </c>
      <c r="BM436" s="268"/>
      <c r="BN436" s="258" t="str">
        <f t="shared" si="210"/>
        <v/>
      </c>
      <c r="BO436" s="268"/>
      <c r="BP436" s="258" t="str">
        <f t="shared" si="211"/>
        <v/>
      </c>
      <c r="BQ436" s="268"/>
      <c r="BR436" s="258" t="str">
        <f t="shared" si="212"/>
        <v/>
      </c>
      <c r="BS436" s="268"/>
      <c r="BT436" s="256" t="str">
        <f t="shared" si="213"/>
        <v/>
      </c>
      <c r="BU436" s="256" t="str">
        <f t="shared" si="214"/>
        <v/>
      </c>
      <c r="BV436" s="256" t="str">
        <f t="shared" si="215"/>
        <v/>
      </c>
      <c r="BW436" s="267"/>
      <c r="BX436" s="256" t="str">
        <f t="shared" si="216"/>
        <v/>
      </c>
      <c r="BY436" s="256" t="str">
        <f t="shared" si="217"/>
        <v/>
      </c>
      <c r="BZ436" s="281"/>
      <c r="CA436" s="282"/>
      <c r="CC436" s="112" t="str">
        <f t="shared" ca="1" si="218"/>
        <v/>
      </c>
      <c r="CF436" s="284"/>
      <c r="CG436" s="284"/>
      <c r="CH436" s="284"/>
      <c r="CI436" s="284"/>
      <c r="CL436" s="356" t="str">
        <f>IFERROR(VLOOKUP(C436,'Data Sheet'!$A$3:$B$26,2,FALSE),"")</f>
        <v/>
      </c>
    </row>
    <row r="437" spans="1:90" s="98" customFormat="1" ht="15.75" x14ac:dyDescent="0.2">
      <c r="A437" s="97"/>
      <c r="B437" s="105" t="str">
        <f t="shared" si="221"/>
        <v>--</v>
      </c>
      <c r="C437" s="276"/>
      <c r="D437" s="101" t="str">
        <f>IFERROR(IF(VLOOKUP(C437,'Data Sheet'!$A$3:$D$26,4,FALSE)=0,"",VLOOKUP(C437,'Data Sheet'!$A$3:$D$26,4,FALSE)),"")</f>
        <v/>
      </c>
      <c r="E437" s="279"/>
      <c r="F437" s="103" t="str">
        <f>IFERROR(IF(VLOOKUP(E437,'Data Sheet'!$C$29:$E$174,3,FALSE)=0,"",VLOOKUP(E437,'Data Sheet'!$C$29:$E$174,3,FALSE)),"")</f>
        <v/>
      </c>
      <c r="G437" s="106" t="str">
        <f t="shared" si="219"/>
        <v>-</v>
      </c>
      <c r="H437" s="273"/>
      <c r="I437" s="107"/>
      <c r="J437" s="249" t="e">
        <f t="shared" si="220"/>
        <v>#VALUE!</v>
      </c>
      <c r="K437" s="101" t="str">
        <f>IFERROR(INDEX('Data Sheet'!$C$198:$C$275,MATCH(I437,'Data Sheet'!$F$198:$F$275,0)),"")</f>
        <v/>
      </c>
      <c r="L437" s="250" t="str">
        <f>IFERROR(INDEX('Data Sheet'!$G$198:$G$275,MATCH(I437,'Data Sheet'!$F$198:$F$275,0)),"")</f>
        <v/>
      </c>
      <c r="M437" s="194"/>
      <c r="N437" s="248"/>
      <c r="O437" s="248"/>
      <c r="P437" s="108" t="str">
        <f>IFERROR(INDEX(Setup!$D$44:$D$70,MATCH(M437,Setup!$K$44:$K$70,0))&amp;"","")</f>
        <v/>
      </c>
      <c r="Q437" s="108" t="str">
        <f>IFERROR(INDEX(Setup!$E$44:$E$70,MATCH(M437,Setup!$K$44:$K$70,0))&amp;"","")</f>
        <v/>
      </c>
      <c r="R437" s="108" t="str">
        <f>IFERROR(INDEX(Setup!$L$44:$L$70,MATCH(M437,Setup!$K$44:$K$70,0))&amp;"","")</f>
        <v/>
      </c>
      <c r="S437" s="108" t="str">
        <f>Setup!$C$30</f>
        <v>USD</v>
      </c>
      <c r="T437" s="109" t="str">
        <f>IFERROR(INDEX('Data Sheet'!$B$198:$B$275,MATCH(I437,'Data Sheet'!$F$198:$F$275,0)),"")</f>
        <v/>
      </c>
      <c r="U437" s="110" t="str">
        <f>IFERROR(INDEX('Data Sheet'!$D$198:$D$275,MATCH(I437,'Data Sheet'!$F$198:$F$275,0)),"")</f>
        <v/>
      </c>
      <c r="V437" s="99"/>
      <c r="W437" s="195" t="str">
        <f>IF(V437=Setup!$C$30,"Grant",IF(V437=Setup!$C$31,"Local",IF(V437=Setup!$C$32,"Other",IF(ISBLANK(V437),"","Other"))))</f>
        <v/>
      </c>
      <c r="X437" s="255"/>
      <c r="Y437" s="259" t="str">
        <f>IF(X437&lt;&gt;"",X437/VLOOKUP($V437,Setup!$C$30:$D$41,2,0),"")</f>
        <v/>
      </c>
      <c r="Z437" s="262"/>
      <c r="AA437" s="256" t="str">
        <f t="shared" si="192"/>
        <v/>
      </c>
      <c r="AB437" s="262"/>
      <c r="AC437" s="258" t="str">
        <f t="shared" si="193"/>
        <v/>
      </c>
      <c r="AD437" s="262"/>
      <c r="AE437" s="258" t="str">
        <f t="shared" si="194"/>
        <v/>
      </c>
      <c r="AF437" s="262"/>
      <c r="AG437" s="256" t="str">
        <f t="shared" si="195"/>
        <v/>
      </c>
      <c r="AH437" s="256" t="str">
        <f t="shared" si="196"/>
        <v/>
      </c>
      <c r="AI437" s="256" t="str">
        <f t="shared" si="197"/>
        <v/>
      </c>
      <c r="AJ437" s="111"/>
      <c r="AK437" s="255"/>
      <c r="AL437" s="259" t="str">
        <f>IF(AK437&lt;&gt;"",AK437/VLOOKUP($V437,Setup!$C$30:$D$41,2,0),"")</f>
        <v/>
      </c>
      <c r="AM437" s="266"/>
      <c r="AN437" s="258" t="str">
        <f t="shared" si="198"/>
        <v/>
      </c>
      <c r="AO437" s="266"/>
      <c r="AP437" s="258" t="str">
        <f t="shared" si="199"/>
        <v/>
      </c>
      <c r="AQ437" s="266"/>
      <c r="AR437" s="258" t="str">
        <f t="shared" si="200"/>
        <v/>
      </c>
      <c r="AS437" s="266"/>
      <c r="AT437" s="256" t="str">
        <f t="shared" si="201"/>
        <v/>
      </c>
      <c r="AU437" s="256" t="str">
        <f t="shared" si="202"/>
        <v/>
      </c>
      <c r="AV437" s="256" t="str">
        <f t="shared" si="203"/>
        <v/>
      </c>
      <c r="AW437" s="267"/>
      <c r="AX437" s="255"/>
      <c r="AY437" s="259" t="str">
        <f>IF(AX437&lt;&gt;"",AX437/VLOOKUP($V437,Setup!$C$30:$D$41,2,0),"")</f>
        <v/>
      </c>
      <c r="AZ437" s="268"/>
      <c r="BA437" s="258" t="str">
        <f t="shared" si="204"/>
        <v/>
      </c>
      <c r="BB437" s="268"/>
      <c r="BC437" s="258" t="str">
        <f t="shared" si="205"/>
        <v/>
      </c>
      <c r="BD437" s="268"/>
      <c r="BE437" s="258" t="str">
        <f t="shared" si="206"/>
        <v/>
      </c>
      <c r="BF437" s="268"/>
      <c r="BG437" s="256" t="str">
        <f t="shared" si="207"/>
        <v/>
      </c>
      <c r="BH437" s="256" t="str">
        <f t="shared" si="208"/>
        <v/>
      </c>
      <c r="BI437" s="256" t="str">
        <f t="shared" si="209"/>
        <v/>
      </c>
      <c r="BJ437" s="267"/>
      <c r="BK437" s="255"/>
      <c r="BL437" s="259" t="str">
        <f>IF(BK437&lt;&gt;"",BK437/VLOOKUP($V437,Setup!$C$30:$D$41,2,0),"")</f>
        <v/>
      </c>
      <c r="BM437" s="268"/>
      <c r="BN437" s="258" t="str">
        <f t="shared" si="210"/>
        <v/>
      </c>
      <c r="BO437" s="268"/>
      <c r="BP437" s="258" t="str">
        <f t="shared" si="211"/>
        <v/>
      </c>
      <c r="BQ437" s="268"/>
      <c r="BR437" s="258" t="str">
        <f t="shared" si="212"/>
        <v/>
      </c>
      <c r="BS437" s="268"/>
      <c r="BT437" s="256" t="str">
        <f t="shared" si="213"/>
        <v/>
      </c>
      <c r="BU437" s="256" t="str">
        <f t="shared" si="214"/>
        <v/>
      </c>
      <c r="BV437" s="256" t="str">
        <f t="shared" si="215"/>
        <v/>
      </c>
      <c r="BW437" s="267"/>
      <c r="BX437" s="256" t="str">
        <f t="shared" si="216"/>
        <v/>
      </c>
      <c r="BY437" s="256" t="str">
        <f t="shared" si="217"/>
        <v/>
      </c>
      <c r="BZ437" s="281"/>
      <c r="CA437" s="282"/>
      <c r="CC437" s="112" t="str">
        <f t="shared" ca="1" si="218"/>
        <v/>
      </c>
      <c r="CF437" s="284"/>
      <c r="CG437" s="284"/>
      <c r="CH437" s="284"/>
      <c r="CI437" s="284"/>
      <c r="CL437" s="356" t="str">
        <f>IFERROR(VLOOKUP(C437,'Data Sheet'!$A$3:$B$26,2,FALSE),"")</f>
        <v/>
      </c>
    </row>
    <row r="438" spans="1:90" s="98" customFormat="1" ht="15.75" x14ac:dyDescent="0.2">
      <c r="A438" s="97"/>
      <c r="B438" s="105" t="str">
        <f t="shared" si="221"/>
        <v>--</v>
      </c>
      <c r="C438" s="276"/>
      <c r="D438" s="101" t="str">
        <f>IFERROR(IF(VLOOKUP(C438,'Data Sheet'!$A$3:$D$26,4,FALSE)=0,"",VLOOKUP(C438,'Data Sheet'!$A$3:$D$26,4,FALSE)),"")</f>
        <v/>
      </c>
      <c r="E438" s="279"/>
      <c r="F438" s="103" t="str">
        <f>IFERROR(IF(VLOOKUP(E438,'Data Sheet'!$C$29:$E$174,3,FALSE)=0,"",VLOOKUP(E438,'Data Sheet'!$C$29:$E$174,3,FALSE)),"")</f>
        <v/>
      </c>
      <c r="G438" s="106" t="str">
        <f t="shared" si="219"/>
        <v>-</v>
      </c>
      <c r="H438" s="273"/>
      <c r="I438" s="107"/>
      <c r="J438" s="249" t="e">
        <f t="shared" si="220"/>
        <v>#VALUE!</v>
      </c>
      <c r="K438" s="101" t="str">
        <f>IFERROR(INDEX('Data Sheet'!$C$198:$C$275,MATCH(I438,'Data Sheet'!$F$198:$F$275,0)),"")</f>
        <v/>
      </c>
      <c r="L438" s="250" t="str">
        <f>IFERROR(INDEX('Data Sheet'!$G$198:$G$275,MATCH(I438,'Data Sheet'!$F$198:$F$275,0)),"")</f>
        <v/>
      </c>
      <c r="M438" s="194"/>
      <c r="N438" s="248"/>
      <c r="O438" s="248"/>
      <c r="P438" s="108" t="str">
        <f>IFERROR(INDEX(Setup!$D$44:$D$70,MATCH(M438,Setup!$K$44:$K$70,0))&amp;"","")</f>
        <v/>
      </c>
      <c r="Q438" s="108" t="str">
        <f>IFERROR(INDEX(Setup!$E$44:$E$70,MATCH(M438,Setup!$K$44:$K$70,0))&amp;"","")</f>
        <v/>
      </c>
      <c r="R438" s="108" t="str">
        <f>IFERROR(INDEX(Setup!$L$44:$L$70,MATCH(M438,Setup!$K$44:$K$70,0))&amp;"","")</f>
        <v/>
      </c>
      <c r="S438" s="108" t="str">
        <f>Setup!$C$30</f>
        <v>USD</v>
      </c>
      <c r="T438" s="109" t="str">
        <f>IFERROR(INDEX('Data Sheet'!$B$198:$B$275,MATCH(I438,'Data Sheet'!$F$198:$F$275,0)),"")</f>
        <v/>
      </c>
      <c r="U438" s="110" t="str">
        <f>IFERROR(INDEX('Data Sheet'!$D$198:$D$275,MATCH(I438,'Data Sheet'!$F$198:$F$275,0)),"")</f>
        <v/>
      </c>
      <c r="V438" s="99"/>
      <c r="W438" s="195" t="str">
        <f>IF(V438=Setup!$C$30,"Grant",IF(V438=Setup!$C$31,"Local",IF(V438=Setup!$C$32,"Other",IF(ISBLANK(V438),"","Other"))))</f>
        <v/>
      </c>
      <c r="X438" s="255"/>
      <c r="Y438" s="259" t="str">
        <f>IF(X438&lt;&gt;"",X438/VLOOKUP($V438,Setup!$C$30:$D$41,2,0),"")</f>
        <v/>
      </c>
      <c r="Z438" s="262"/>
      <c r="AA438" s="256" t="str">
        <f t="shared" si="192"/>
        <v/>
      </c>
      <c r="AB438" s="262"/>
      <c r="AC438" s="258" t="str">
        <f t="shared" si="193"/>
        <v/>
      </c>
      <c r="AD438" s="262"/>
      <c r="AE438" s="258" t="str">
        <f t="shared" si="194"/>
        <v/>
      </c>
      <c r="AF438" s="262"/>
      <c r="AG438" s="256" t="str">
        <f t="shared" si="195"/>
        <v/>
      </c>
      <c r="AH438" s="256" t="str">
        <f t="shared" si="196"/>
        <v/>
      </c>
      <c r="AI438" s="256" t="str">
        <f t="shared" si="197"/>
        <v/>
      </c>
      <c r="AJ438" s="111"/>
      <c r="AK438" s="255"/>
      <c r="AL438" s="259" t="str">
        <f>IF(AK438&lt;&gt;"",AK438/VLOOKUP($V438,Setup!$C$30:$D$41,2,0),"")</f>
        <v/>
      </c>
      <c r="AM438" s="266"/>
      <c r="AN438" s="258" t="str">
        <f t="shared" si="198"/>
        <v/>
      </c>
      <c r="AO438" s="266"/>
      <c r="AP438" s="258" t="str">
        <f t="shared" si="199"/>
        <v/>
      </c>
      <c r="AQ438" s="266"/>
      <c r="AR438" s="258" t="str">
        <f t="shared" si="200"/>
        <v/>
      </c>
      <c r="AS438" s="266"/>
      <c r="AT438" s="256" t="str">
        <f t="shared" si="201"/>
        <v/>
      </c>
      <c r="AU438" s="256" t="str">
        <f t="shared" si="202"/>
        <v/>
      </c>
      <c r="AV438" s="256" t="str">
        <f t="shared" si="203"/>
        <v/>
      </c>
      <c r="AW438" s="267"/>
      <c r="AX438" s="255"/>
      <c r="AY438" s="259" t="str">
        <f>IF(AX438&lt;&gt;"",AX438/VLOOKUP($V438,Setup!$C$30:$D$41,2,0),"")</f>
        <v/>
      </c>
      <c r="AZ438" s="268"/>
      <c r="BA438" s="258" t="str">
        <f t="shared" si="204"/>
        <v/>
      </c>
      <c r="BB438" s="268"/>
      <c r="BC438" s="258" t="str">
        <f t="shared" si="205"/>
        <v/>
      </c>
      <c r="BD438" s="268"/>
      <c r="BE438" s="258" t="str">
        <f t="shared" si="206"/>
        <v/>
      </c>
      <c r="BF438" s="268"/>
      <c r="BG438" s="256" t="str">
        <f t="shared" si="207"/>
        <v/>
      </c>
      <c r="BH438" s="256" t="str">
        <f t="shared" si="208"/>
        <v/>
      </c>
      <c r="BI438" s="256" t="str">
        <f t="shared" si="209"/>
        <v/>
      </c>
      <c r="BJ438" s="267"/>
      <c r="BK438" s="255"/>
      <c r="BL438" s="259" t="str">
        <f>IF(BK438&lt;&gt;"",BK438/VLOOKUP($V438,Setup!$C$30:$D$41,2,0),"")</f>
        <v/>
      </c>
      <c r="BM438" s="268"/>
      <c r="BN438" s="258" t="str">
        <f t="shared" si="210"/>
        <v/>
      </c>
      <c r="BO438" s="268"/>
      <c r="BP438" s="258" t="str">
        <f t="shared" si="211"/>
        <v/>
      </c>
      <c r="BQ438" s="268"/>
      <c r="BR438" s="258" t="str">
        <f t="shared" si="212"/>
        <v/>
      </c>
      <c r="BS438" s="268"/>
      <c r="BT438" s="256" t="str">
        <f t="shared" si="213"/>
        <v/>
      </c>
      <c r="BU438" s="256" t="str">
        <f t="shared" si="214"/>
        <v/>
      </c>
      <c r="BV438" s="256" t="str">
        <f t="shared" si="215"/>
        <v/>
      </c>
      <c r="BW438" s="267"/>
      <c r="BX438" s="256" t="str">
        <f t="shared" si="216"/>
        <v/>
      </c>
      <c r="BY438" s="256" t="str">
        <f t="shared" si="217"/>
        <v/>
      </c>
      <c r="BZ438" s="281"/>
      <c r="CA438" s="282"/>
      <c r="CC438" s="112" t="str">
        <f t="shared" ca="1" si="218"/>
        <v/>
      </c>
      <c r="CF438" s="284"/>
      <c r="CG438" s="284"/>
      <c r="CH438" s="284"/>
      <c r="CI438" s="284"/>
      <c r="CL438" s="356" t="str">
        <f>IFERROR(VLOOKUP(C438,'Data Sheet'!$A$3:$B$26,2,FALSE),"")</f>
        <v/>
      </c>
    </row>
    <row r="439" spans="1:90" s="98" customFormat="1" ht="15.75" x14ac:dyDescent="0.2">
      <c r="A439" s="97"/>
      <c r="B439" s="105" t="str">
        <f t="shared" si="221"/>
        <v>--</v>
      </c>
      <c r="C439" s="276"/>
      <c r="D439" s="101" t="str">
        <f>IFERROR(IF(VLOOKUP(C439,'Data Sheet'!$A$3:$D$26,4,FALSE)=0,"",VLOOKUP(C439,'Data Sheet'!$A$3:$D$26,4,FALSE)),"")</f>
        <v/>
      </c>
      <c r="E439" s="279"/>
      <c r="F439" s="103" t="str">
        <f>IFERROR(IF(VLOOKUP(E439,'Data Sheet'!$C$29:$E$174,3,FALSE)=0,"",VLOOKUP(E439,'Data Sheet'!$C$29:$E$174,3,FALSE)),"")</f>
        <v/>
      </c>
      <c r="G439" s="106" t="str">
        <f t="shared" si="219"/>
        <v>-</v>
      </c>
      <c r="H439" s="273"/>
      <c r="I439" s="107"/>
      <c r="J439" s="249" t="e">
        <f t="shared" si="220"/>
        <v>#VALUE!</v>
      </c>
      <c r="K439" s="101" t="str">
        <f>IFERROR(INDEX('Data Sheet'!$C$198:$C$275,MATCH(I439,'Data Sheet'!$F$198:$F$275,0)),"")</f>
        <v/>
      </c>
      <c r="L439" s="250" t="str">
        <f>IFERROR(INDEX('Data Sheet'!$G$198:$G$275,MATCH(I439,'Data Sheet'!$F$198:$F$275,0)),"")</f>
        <v/>
      </c>
      <c r="M439" s="194"/>
      <c r="N439" s="248"/>
      <c r="O439" s="248"/>
      <c r="P439" s="108" t="str">
        <f>IFERROR(INDEX(Setup!$D$44:$D$70,MATCH(M439,Setup!$K$44:$K$70,0))&amp;"","")</f>
        <v/>
      </c>
      <c r="Q439" s="108" t="str">
        <f>IFERROR(INDEX(Setup!$E$44:$E$70,MATCH(M439,Setup!$K$44:$K$70,0))&amp;"","")</f>
        <v/>
      </c>
      <c r="R439" s="108" t="str">
        <f>IFERROR(INDEX(Setup!$L$44:$L$70,MATCH(M439,Setup!$K$44:$K$70,0))&amp;"","")</f>
        <v/>
      </c>
      <c r="S439" s="108" t="str">
        <f>Setup!$C$30</f>
        <v>USD</v>
      </c>
      <c r="T439" s="109" t="str">
        <f>IFERROR(INDEX('Data Sheet'!$B$198:$B$275,MATCH(I439,'Data Sheet'!$F$198:$F$275,0)),"")</f>
        <v/>
      </c>
      <c r="U439" s="110" t="str">
        <f>IFERROR(INDEX('Data Sheet'!$D$198:$D$275,MATCH(I439,'Data Sheet'!$F$198:$F$275,0)),"")</f>
        <v/>
      </c>
      <c r="V439" s="99"/>
      <c r="W439" s="195" t="str">
        <f>IF(V439=Setup!$C$30,"Grant",IF(V439=Setup!$C$31,"Local",IF(V439=Setup!$C$32,"Other",IF(ISBLANK(V439),"","Other"))))</f>
        <v/>
      </c>
      <c r="X439" s="255"/>
      <c r="Y439" s="259" t="str">
        <f>IF(X439&lt;&gt;"",X439/VLOOKUP($V439,Setup!$C$30:$D$41,2,0),"")</f>
        <v/>
      </c>
      <c r="Z439" s="262"/>
      <c r="AA439" s="256" t="str">
        <f t="shared" si="192"/>
        <v/>
      </c>
      <c r="AB439" s="262"/>
      <c r="AC439" s="258" t="str">
        <f t="shared" si="193"/>
        <v/>
      </c>
      <c r="AD439" s="262"/>
      <c r="AE439" s="258" t="str">
        <f t="shared" si="194"/>
        <v/>
      </c>
      <c r="AF439" s="262"/>
      <c r="AG439" s="256" t="str">
        <f t="shared" si="195"/>
        <v/>
      </c>
      <c r="AH439" s="256" t="str">
        <f t="shared" si="196"/>
        <v/>
      </c>
      <c r="AI439" s="256" t="str">
        <f t="shared" si="197"/>
        <v/>
      </c>
      <c r="AJ439" s="111"/>
      <c r="AK439" s="255"/>
      <c r="AL439" s="259" t="str">
        <f>IF(AK439&lt;&gt;"",AK439/VLOOKUP($V439,Setup!$C$30:$D$41,2,0),"")</f>
        <v/>
      </c>
      <c r="AM439" s="266"/>
      <c r="AN439" s="258" t="str">
        <f t="shared" si="198"/>
        <v/>
      </c>
      <c r="AO439" s="266"/>
      <c r="AP439" s="258" t="str">
        <f t="shared" si="199"/>
        <v/>
      </c>
      <c r="AQ439" s="266"/>
      <c r="AR439" s="258" t="str">
        <f t="shared" si="200"/>
        <v/>
      </c>
      <c r="AS439" s="266"/>
      <c r="AT439" s="256" t="str">
        <f t="shared" si="201"/>
        <v/>
      </c>
      <c r="AU439" s="256" t="str">
        <f t="shared" si="202"/>
        <v/>
      </c>
      <c r="AV439" s="256" t="str">
        <f t="shared" si="203"/>
        <v/>
      </c>
      <c r="AW439" s="267"/>
      <c r="AX439" s="255"/>
      <c r="AY439" s="259" t="str">
        <f>IF(AX439&lt;&gt;"",AX439/VLOOKUP($V439,Setup!$C$30:$D$41,2,0),"")</f>
        <v/>
      </c>
      <c r="AZ439" s="268"/>
      <c r="BA439" s="258" t="str">
        <f t="shared" si="204"/>
        <v/>
      </c>
      <c r="BB439" s="268"/>
      <c r="BC439" s="258" t="str">
        <f t="shared" si="205"/>
        <v/>
      </c>
      <c r="BD439" s="268"/>
      <c r="BE439" s="258" t="str">
        <f t="shared" si="206"/>
        <v/>
      </c>
      <c r="BF439" s="268"/>
      <c r="BG439" s="256" t="str">
        <f t="shared" si="207"/>
        <v/>
      </c>
      <c r="BH439" s="256" t="str">
        <f t="shared" si="208"/>
        <v/>
      </c>
      <c r="BI439" s="256" t="str">
        <f t="shared" si="209"/>
        <v/>
      </c>
      <c r="BJ439" s="267"/>
      <c r="BK439" s="255"/>
      <c r="BL439" s="259" t="str">
        <f>IF(BK439&lt;&gt;"",BK439/VLOOKUP($V439,Setup!$C$30:$D$41,2,0),"")</f>
        <v/>
      </c>
      <c r="BM439" s="268"/>
      <c r="BN439" s="258" t="str">
        <f t="shared" si="210"/>
        <v/>
      </c>
      <c r="BO439" s="268"/>
      <c r="BP439" s="258" t="str">
        <f t="shared" si="211"/>
        <v/>
      </c>
      <c r="BQ439" s="268"/>
      <c r="BR439" s="258" t="str">
        <f t="shared" si="212"/>
        <v/>
      </c>
      <c r="BS439" s="268"/>
      <c r="BT439" s="256" t="str">
        <f t="shared" si="213"/>
        <v/>
      </c>
      <c r="BU439" s="256" t="str">
        <f t="shared" si="214"/>
        <v/>
      </c>
      <c r="BV439" s="256" t="str">
        <f t="shared" si="215"/>
        <v/>
      </c>
      <c r="BW439" s="267"/>
      <c r="BX439" s="256" t="str">
        <f t="shared" si="216"/>
        <v/>
      </c>
      <c r="BY439" s="256" t="str">
        <f t="shared" si="217"/>
        <v/>
      </c>
      <c r="BZ439" s="281"/>
      <c r="CA439" s="282"/>
      <c r="CC439" s="112" t="str">
        <f t="shared" ca="1" si="218"/>
        <v/>
      </c>
      <c r="CF439" s="284"/>
      <c r="CG439" s="284"/>
      <c r="CH439" s="284"/>
      <c r="CI439" s="284"/>
      <c r="CL439" s="356" t="str">
        <f>IFERROR(VLOOKUP(C439,'Data Sheet'!$A$3:$B$26,2,FALSE),"")</f>
        <v/>
      </c>
    </row>
    <row r="440" spans="1:90" s="98" customFormat="1" ht="15.75" x14ac:dyDescent="0.2">
      <c r="A440" s="97"/>
      <c r="B440" s="105" t="str">
        <f t="shared" si="221"/>
        <v>--</v>
      </c>
      <c r="C440" s="276"/>
      <c r="D440" s="101" t="str">
        <f>IFERROR(IF(VLOOKUP(C440,'Data Sheet'!$A$3:$D$26,4,FALSE)=0,"",VLOOKUP(C440,'Data Sheet'!$A$3:$D$26,4,FALSE)),"")</f>
        <v/>
      </c>
      <c r="E440" s="279"/>
      <c r="F440" s="103" t="str">
        <f>IFERROR(IF(VLOOKUP(E440,'Data Sheet'!$C$29:$E$174,3,FALSE)=0,"",VLOOKUP(E440,'Data Sheet'!$C$29:$E$174,3,FALSE)),"")</f>
        <v/>
      </c>
      <c r="G440" s="106" t="str">
        <f t="shared" si="219"/>
        <v>-</v>
      </c>
      <c r="H440" s="273"/>
      <c r="I440" s="107"/>
      <c r="J440" s="249" t="e">
        <f t="shared" si="220"/>
        <v>#VALUE!</v>
      </c>
      <c r="K440" s="101" t="str">
        <f>IFERROR(INDEX('Data Sheet'!$C$198:$C$275,MATCH(I440,'Data Sheet'!$F$198:$F$275,0)),"")</f>
        <v/>
      </c>
      <c r="L440" s="250" t="str">
        <f>IFERROR(INDEX('Data Sheet'!$G$198:$G$275,MATCH(I440,'Data Sheet'!$F$198:$F$275,0)),"")</f>
        <v/>
      </c>
      <c r="M440" s="194"/>
      <c r="N440" s="248"/>
      <c r="O440" s="248"/>
      <c r="P440" s="108" t="str">
        <f>IFERROR(INDEX(Setup!$D$44:$D$70,MATCH(M440,Setup!$K$44:$K$70,0))&amp;"","")</f>
        <v/>
      </c>
      <c r="Q440" s="108" t="str">
        <f>IFERROR(INDEX(Setup!$E$44:$E$70,MATCH(M440,Setup!$K$44:$K$70,0))&amp;"","")</f>
        <v/>
      </c>
      <c r="R440" s="108" t="str">
        <f>IFERROR(INDEX(Setup!$L$44:$L$70,MATCH(M440,Setup!$K$44:$K$70,0))&amp;"","")</f>
        <v/>
      </c>
      <c r="S440" s="108" t="str">
        <f>Setup!$C$30</f>
        <v>USD</v>
      </c>
      <c r="T440" s="109" t="str">
        <f>IFERROR(INDEX('Data Sheet'!$B$198:$B$275,MATCH(I440,'Data Sheet'!$F$198:$F$275,0)),"")</f>
        <v/>
      </c>
      <c r="U440" s="110" t="str">
        <f>IFERROR(INDEX('Data Sheet'!$D$198:$D$275,MATCH(I440,'Data Sheet'!$F$198:$F$275,0)),"")</f>
        <v/>
      </c>
      <c r="V440" s="99"/>
      <c r="W440" s="195" t="str">
        <f>IF(V440=Setup!$C$30,"Grant",IF(V440=Setup!$C$31,"Local",IF(V440=Setup!$C$32,"Other",IF(ISBLANK(V440),"","Other"))))</f>
        <v/>
      </c>
      <c r="X440" s="255"/>
      <c r="Y440" s="259" t="str">
        <f>IF(X440&lt;&gt;"",X440/VLOOKUP($V440,Setup!$C$30:$D$41,2,0),"")</f>
        <v/>
      </c>
      <c r="Z440" s="262"/>
      <c r="AA440" s="256" t="str">
        <f t="shared" si="192"/>
        <v/>
      </c>
      <c r="AB440" s="262"/>
      <c r="AC440" s="258" t="str">
        <f t="shared" si="193"/>
        <v/>
      </c>
      <c r="AD440" s="262"/>
      <c r="AE440" s="258" t="str">
        <f t="shared" si="194"/>
        <v/>
      </c>
      <c r="AF440" s="262"/>
      <c r="AG440" s="256" t="str">
        <f t="shared" si="195"/>
        <v/>
      </c>
      <c r="AH440" s="256" t="str">
        <f t="shared" si="196"/>
        <v/>
      </c>
      <c r="AI440" s="256" t="str">
        <f t="shared" si="197"/>
        <v/>
      </c>
      <c r="AJ440" s="111"/>
      <c r="AK440" s="255"/>
      <c r="AL440" s="259" t="str">
        <f>IF(AK440&lt;&gt;"",AK440/VLOOKUP($V440,Setup!$C$30:$D$41,2,0),"")</f>
        <v/>
      </c>
      <c r="AM440" s="266"/>
      <c r="AN440" s="258" t="str">
        <f t="shared" si="198"/>
        <v/>
      </c>
      <c r="AO440" s="266"/>
      <c r="AP440" s="258" t="str">
        <f t="shared" si="199"/>
        <v/>
      </c>
      <c r="AQ440" s="266"/>
      <c r="AR440" s="258" t="str">
        <f t="shared" si="200"/>
        <v/>
      </c>
      <c r="AS440" s="266"/>
      <c r="AT440" s="256" t="str">
        <f t="shared" si="201"/>
        <v/>
      </c>
      <c r="AU440" s="256" t="str">
        <f t="shared" si="202"/>
        <v/>
      </c>
      <c r="AV440" s="256" t="str">
        <f t="shared" si="203"/>
        <v/>
      </c>
      <c r="AW440" s="267"/>
      <c r="AX440" s="255"/>
      <c r="AY440" s="259" t="str">
        <f>IF(AX440&lt;&gt;"",AX440/VLOOKUP($V440,Setup!$C$30:$D$41,2,0),"")</f>
        <v/>
      </c>
      <c r="AZ440" s="268"/>
      <c r="BA440" s="258" t="str">
        <f t="shared" si="204"/>
        <v/>
      </c>
      <c r="BB440" s="268"/>
      <c r="BC440" s="258" t="str">
        <f t="shared" si="205"/>
        <v/>
      </c>
      <c r="BD440" s="268"/>
      <c r="BE440" s="258" t="str">
        <f t="shared" si="206"/>
        <v/>
      </c>
      <c r="BF440" s="268"/>
      <c r="BG440" s="256" t="str">
        <f t="shared" si="207"/>
        <v/>
      </c>
      <c r="BH440" s="256" t="str">
        <f t="shared" si="208"/>
        <v/>
      </c>
      <c r="BI440" s="256" t="str">
        <f t="shared" si="209"/>
        <v/>
      </c>
      <c r="BJ440" s="267"/>
      <c r="BK440" s="255"/>
      <c r="BL440" s="259" t="str">
        <f>IF(BK440&lt;&gt;"",BK440/VLOOKUP($V440,Setup!$C$30:$D$41,2,0),"")</f>
        <v/>
      </c>
      <c r="BM440" s="268"/>
      <c r="BN440" s="258" t="str">
        <f t="shared" si="210"/>
        <v/>
      </c>
      <c r="BO440" s="268"/>
      <c r="BP440" s="258" t="str">
        <f t="shared" si="211"/>
        <v/>
      </c>
      <c r="BQ440" s="268"/>
      <c r="BR440" s="258" t="str">
        <f t="shared" si="212"/>
        <v/>
      </c>
      <c r="BS440" s="268"/>
      <c r="BT440" s="256" t="str">
        <f t="shared" si="213"/>
        <v/>
      </c>
      <c r="BU440" s="256" t="str">
        <f t="shared" si="214"/>
        <v/>
      </c>
      <c r="BV440" s="256" t="str">
        <f t="shared" si="215"/>
        <v/>
      </c>
      <c r="BW440" s="267"/>
      <c r="BX440" s="256" t="str">
        <f t="shared" si="216"/>
        <v/>
      </c>
      <c r="BY440" s="256" t="str">
        <f t="shared" si="217"/>
        <v/>
      </c>
      <c r="BZ440" s="281"/>
      <c r="CA440" s="282"/>
      <c r="CC440" s="112" t="str">
        <f t="shared" ca="1" si="218"/>
        <v/>
      </c>
      <c r="CF440" s="284"/>
      <c r="CG440" s="284"/>
      <c r="CH440" s="284"/>
      <c r="CI440" s="284"/>
      <c r="CL440" s="356" t="str">
        <f>IFERROR(VLOOKUP(C440,'Data Sheet'!$A$3:$B$26,2,FALSE),"")</f>
        <v/>
      </c>
    </row>
    <row r="441" spans="1:90" s="98" customFormat="1" ht="15.75" x14ac:dyDescent="0.2">
      <c r="A441" s="97"/>
      <c r="B441" s="105" t="str">
        <f t="shared" si="221"/>
        <v>--</v>
      </c>
      <c r="C441" s="276"/>
      <c r="D441" s="101" t="str">
        <f>IFERROR(IF(VLOOKUP(C441,'Data Sheet'!$A$3:$D$26,4,FALSE)=0,"",VLOOKUP(C441,'Data Sheet'!$A$3:$D$26,4,FALSE)),"")</f>
        <v/>
      </c>
      <c r="E441" s="279"/>
      <c r="F441" s="103" t="str">
        <f>IFERROR(IF(VLOOKUP(E441,'Data Sheet'!$C$29:$E$174,3,FALSE)=0,"",VLOOKUP(E441,'Data Sheet'!$C$29:$E$174,3,FALSE)),"")</f>
        <v/>
      </c>
      <c r="G441" s="106" t="str">
        <f t="shared" si="219"/>
        <v>-</v>
      </c>
      <c r="H441" s="273"/>
      <c r="I441" s="107"/>
      <c r="J441" s="249" t="e">
        <f t="shared" si="220"/>
        <v>#VALUE!</v>
      </c>
      <c r="K441" s="101" t="str">
        <f>IFERROR(INDEX('Data Sheet'!$C$198:$C$275,MATCH(I441,'Data Sheet'!$F$198:$F$275,0)),"")</f>
        <v/>
      </c>
      <c r="L441" s="250" t="str">
        <f>IFERROR(INDEX('Data Sheet'!$G$198:$G$275,MATCH(I441,'Data Sheet'!$F$198:$F$275,0)),"")</f>
        <v/>
      </c>
      <c r="M441" s="194"/>
      <c r="N441" s="248"/>
      <c r="O441" s="248"/>
      <c r="P441" s="108" t="str">
        <f>IFERROR(INDEX(Setup!$D$44:$D$70,MATCH(M441,Setup!$K$44:$K$70,0))&amp;"","")</f>
        <v/>
      </c>
      <c r="Q441" s="108" t="str">
        <f>IFERROR(INDEX(Setup!$E$44:$E$70,MATCH(M441,Setup!$K$44:$K$70,0))&amp;"","")</f>
        <v/>
      </c>
      <c r="R441" s="108" t="str">
        <f>IFERROR(INDEX(Setup!$L$44:$L$70,MATCH(M441,Setup!$K$44:$K$70,0))&amp;"","")</f>
        <v/>
      </c>
      <c r="S441" s="108" t="str">
        <f>Setup!$C$30</f>
        <v>USD</v>
      </c>
      <c r="T441" s="109" t="str">
        <f>IFERROR(INDEX('Data Sheet'!$B$198:$B$275,MATCH(I441,'Data Sheet'!$F$198:$F$275,0)),"")</f>
        <v/>
      </c>
      <c r="U441" s="110" t="str">
        <f>IFERROR(INDEX('Data Sheet'!$D$198:$D$275,MATCH(I441,'Data Sheet'!$F$198:$F$275,0)),"")</f>
        <v/>
      </c>
      <c r="V441" s="99"/>
      <c r="W441" s="195" t="str">
        <f>IF(V441=Setup!$C$30,"Grant",IF(V441=Setup!$C$31,"Local",IF(V441=Setup!$C$32,"Other",IF(ISBLANK(V441),"","Other"))))</f>
        <v/>
      </c>
      <c r="X441" s="255"/>
      <c r="Y441" s="259" t="str">
        <f>IF(X441&lt;&gt;"",X441/VLOOKUP($V441,Setup!$C$30:$D$41,2,0),"")</f>
        <v/>
      </c>
      <c r="Z441" s="262"/>
      <c r="AA441" s="256" t="str">
        <f t="shared" si="192"/>
        <v/>
      </c>
      <c r="AB441" s="262"/>
      <c r="AC441" s="258" t="str">
        <f t="shared" si="193"/>
        <v/>
      </c>
      <c r="AD441" s="262"/>
      <c r="AE441" s="258" t="str">
        <f t="shared" si="194"/>
        <v/>
      </c>
      <c r="AF441" s="262"/>
      <c r="AG441" s="256" t="str">
        <f t="shared" si="195"/>
        <v/>
      </c>
      <c r="AH441" s="256" t="str">
        <f t="shared" si="196"/>
        <v/>
      </c>
      <c r="AI441" s="256" t="str">
        <f t="shared" si="197"/>
        <v/>
      </c>
      <c r="AJ441" s="111"/>
      <c r="AK441" s="255"/>
      <c r="AL441" s="259" t="str">
        <f>IF(AK441&lt;&gt;"",AK441/VLOOKUP($V441,Setup!$C$30:$D$41,2,0),"")</f>
        <v/>
      </c>
      <c r="AM441" s="266"/>
      <c r="AN441" s="258" t="str">
        <f t="shared" si="198"/>
        <v/>
      </c>
      <c r="AO441" s="266"/>
      <c r="AP441" s="258" t="str">
        <f t="shared" si="199"/>
        <v/>
      </c>
      <c r="AQ441" s="266"/>
      <c r="AR441" s="258" t="str">
        <f t="shared" si="200"/>
        <v/>
      </c>
      <c r="AS441" s="266"/>
      <c r="AT441" s="256" t="str">
        <f t="shared" si="201"/>
        <v/>
      </c>
      <c r="AU441" s="256" t="str">
        <f t="shared" si="202"/>
        <v/>
      </c>
      <c r="AV441" s="256" t="str">
        <f t="shared" si="203"/>
        <v/>
      </c>
      <c r="AW441" s="267"/>
      <c r="AX441" s="255"/>
      <c r="AY441" s="259" t="str">
        <f>IF(AX441&lt;&gt;"",AX441/VLOOKUP($V441,Setup!$C$30:$D$41,2,0),"")</f>
        <v/>
      </c>
      <c r="AZ441" s="268"/>
      <c r="BA441" s="258" t="str">
        <f t="shared" si="204"/>
        <v/>
      </c>
      <c r="BB441" s="268"/>
      <c r="BC441" s="258" t="str">
        <f t="shared" si="205"/>
        <v/>
      </c>
      <c r="BD441" s="268"/>
      <c r="BE441" s="258" t="str">
        <f t="shared" si="206"/>
        <v/>
      </c>
      <c r="BF441" s="268"/>
      <c r="BG441" s="256" t="str">
        <f t="shared" si="207"/>
        <v/>
      </c>
      <c r="BH441" s="256" t="str">
        <f t="shared" si="208"/>
        <v/>
      </c>
      <c r="BI441" s="256" t="str">
        <f t="shared" si="209"/>
        <v/>
      </c>
      <c r="BJ441" s="267"/>
      <c r="BK441" s="255"/>
      <c r="BL441" s="259" t="str">
        <f>IF(BK441&lt;&gt;"",BK441/VLOOKUP($V441,Setup!$C$30:$D$41,2,0),"")</f>
        <v/>
      </c>
      <c r="BM441" s="268"/>
      <c r="BN441" s="258" t="str">
        <f t="shared" si="210"/>
        <v/>
      </c>
      <c r="BO441" s="268"/>
      <c r="BP441" s="258" t="str">
        <f t="shared" si="211"/>
        <v/>
      </c>
      <c r="BQ441" s="268"/>
      <c r="BR441" s="258" t="str">
        <f t="shared" si="212"/>
        <v/>
      </c>
      <c r="BS441" s="268"/>
      <c r="BT441" s="256" t="str">
        <f t="shared" si="213"/>
        <v/>
      </c>
      <c r="BU441" s="256" t="str">
        <f t="shared" si="214"/>
        <v/>
      </c>
      <c r="BV441" s="256" t="str">
        <f t="shared" si="215"/>
        <v/>
      </c>
      <c r="BW441" s="267"/>
      <c r="BX441" s="256" t="str">
        <f t="shared" si="216"/>
        <v/>
      </c>
      <c r="BY441" s="256" t="str">
        <f t="shared" si="217"/>
        <v/>
      </c>
      <c r="BZ441" s="281"/>
      <c r="CA441" s="282"/>
      <c r="CC441" s="112" t="str">
        <f t="shared" ca="1" si="218"/>
        <v/>
      </c>
      <c r="CF441" s="284"/>
      <c r="CG441" s="284"/>
      <c r="CH441" s="284"/>
      <c r="CI441" s="284"/>
      <c r="CL441" s="356" t="str">
        <f>IFERROR(VLOOKUP(C441,'Data Sheet'!$A$3:$B$26,2,FALSE),"")</f>
        <v/>
      </c>
    </row>
    <row r="442" spans="1:90" s="98" customFormat="1" ht="15.75" x14ac:dyDescent="0.2">
      <c r="A442" s="97"/>
      <c r="B442" s="105" t="str">
        <f t="shared" si="221"/>
        <v>--</v>
      </c>
      <c r="C442" s="276"/>
      <c r="D442" s="101" t="str">
        <f>IFERROR(IF(VLOOKUP(C442,'Data Sheet'!$A$3:$D$26,4,FALSE)=0,"",VLOOKUP(C442,'Data Sheet'!$A$3:$D$26,4,FALSE)),"")</f>
        <v/>
      </c>
      <c r="E442" s="279"/>
      <c r="F442" s="103" t="str">
        <f>IFERROR(IF(VLOOKUP(E442,'Data Sheet'!$C$29:$E$174,3,FALSE)=0,"",VLOOKUP(E442,'Data Sheet'!$C$29:$E$174,3,FALSE)),"")</f>
        <v/>
      </c>
      <c r="G442" s="106" t="str">
        <f t="shared" si="219"/>
        <v>-</v>
      </c>
      <c r="H442" s="273"/>
      <c r="I442" s="107"/>
      <c r="J442" s="249" t="e">
        <f t="shared" si="220"/>
        <v>#VALUE!</v>
      </c>
      <c r="K442" s="101" t="str">
        <f>IFERROR(INDEX('Data Sheet'!$C$198:$C$275,MATCH(I442,'Data Sheet'!$F$198:$F$275,0)),"")</f>
        <v/>
      </c>
      <c r="L442" s="250" t="str">
        <f>IFERROR(INDEX('Data Sheet'!$G$198:$G$275,MATCH(I442,'Data Sheet'!$F$198:$F$275,0)),"")</f>
        <v/>
      </c>
      <c r="M442" s="194"/>
      <c r="N442" s="248"/>
      <c r="O442" s="248"/>
      <c r="P442" s="108" t="str">
        <f>IFERROR(INDEX(Setup!$D$44:$D$70,MATCH(M442,Setup!$K$44:$K$70,0))&amp;"","")</f>
        <v/>
      </c>
      <c r="Q442" s="108" t="str">
        <f>IFERROR(INDEX(Setup!$E$44:$E$70,MATCH(M442,Setup!$K$44:$K$70,0))&amp;"","")</f>
        <v/>
      </c>
      <c r="R442" s="108" t="str">
        <f>IFERROR(INDEX(Setup!$L$44:$L$70,MATCH(M442,Setup!$K$44:$K$70,0))&amp;"","")</f>
        <v/>
      </c>
      <c r="S442" s="108" t="str">
        <f>Setup!$C$30</f>
        <v>USD</v>
      </c>
      <c r="T442" s="109" t="str">
        <f>IFERROR(INDEX('Data Sheet'!$B$198:$B$275,MATCH(I442,'Data Sheet'!$F$198:$F$275,0)),"")</f>
        <v/>
      </c>
      <c r="U442" s="110" t="str">
        <f>IFERROR(INDEX('Data Sheet'!$D$198:$D$275,MATCH(I442,'Data Sheet'!$F$198:$F$275,0)),"")</f>
        <v/>
      </c>
      <c r="V442" s="99"/>
      <c r="W442" s="195" t="str">
        <f>IF(V442=Setup!$C$30,"Grant",IF(V442=Setup!$C$31,"Local",IF(V442=Setup!$C$32,"Other",IF(ISBLANK(V442),"","Other"))))</f>
        <v/>
      </c>
      <c r="X442" s="255"/>
      <c r="Y442" s="259" t="str">
        <f>IF(X442&lt;&gt;"",X442/VLOOKUP($V442,Setup!$C$30:$D$41,2,0),"")</f>
        <v/>
      </c>
      <c r="Z442" s="262"/>
      <c r="AA442" s="256" t="str">
        <f t="shared" si="192"/>
        <v/>
      </c>
      <c r="AB442" s="262"/>
      <c r="AC442" s="258" t="str">
        <f t="shared" si="193"/>
        <v/>
      </c>
      <c r="AD442" s="262"/>
      <c r="AE442" s="258" t="str">
        <f t="shared" si="194"/>
        <v/>
      </c>
      <c r="AF442" s="262"/>
      <c r="AG442" s="256" t="str">
        <f t="shared" si="195"/>
        <v/>
      </c>
      <c r="AH442" s="256" t="str">
        <f t="shared" si="196"/>
        <v/>
      </c>
      <c r="AI442" s="256" t="str">
        <f t="shared" si="197"/>
        <v/>
      </c>
      <c r="AJ442" s="111"/>
      <c r="AK442" s="255"/>
      <c r="AL442" s="259" t="str">
        <f>IF(AK442&lt;&gt;"",AK442/VLOOKUP($V442,Setup!$C$30:$D$41,2,0),"")</f>
        <v/>
      </c>
      <c r="AM442" s="266"/>
      <c r="AN442" s="258" t="str">
        <f t="shared" si="198"/>
        <v/>
      </c>
      <c r="AO442" s="266"/>
      <c r="AP442" s="258" t="str">
        <f t="shared" si="199"/>
        <v/>
      </c>
      <c r="AQ442" s="266"/>
      <c r="AR442" s="258" t="str">
        <f t="shared" si="200"/>
        <v/>
      </c>
      <c r="AS442" s="266"/>
      <c r="AT442" s="256" t="str">
        <f t="shared" si="201"/>
        <v/>
      </c>
      <c r="AU442" s="256" t="str">
        <f t="shared" si="202"/>
        <v/>
      </c>
      <c r="AV442" s="256" t="str">
        <f t="shared" si="203"/>
        <v/>
      </c>
      <c r="AW442" s="267"/>
      <c r="AX442" s="255"/>
      <c r="AY442" s="259" t="str">
        <f>IF(AX442&lt;&gt;"",AX442/VLOOKUP($V442,Setup!$C$30:$D$41,2,0),"")</f>
        <v/>
      </c>
      <c r="AZ442" s="268"/>
      <c r="BA442" s="258" t="str">
        <f t="shared" si="204"/>
        <v/>
      </c>
      <c r="BB442" s="268"/>
      <c r="BC442" s="258" t="str">
        <f t="shared" si="205"/>
        <v/>
      </c>
      <c r="BD442" s="268"/>
      <c r="BE442" s="258" t="str">
        <f t="shared" si="206"/>
        <v/>
      </c>
      <c r="BF442" s="268"/>
      <c r="BG442" s="256" t="str">
        <f t="shared" si="207"/>
        <v/>
      </c>
      <c r="BH442" s="256" t="str">
        <f t="shared" si="208"/>
        <v/>
      </c>
      <c r="BI442" s="256" t="str">
        <f t="shared" si="209"/>
        <v/>
      </c>
      <c r="BJ442" s="267"/>
      <c r="BK442" s="255"/>
      <c r="BL442" s="259" t="str">
        <f>IF(BK442&lt;&gt;"",BK442/VLOOKUP($V442,Setup!$C$30:$D$41,2,0),"")</f>
        <v/>
      </c>
      <c r="BM442" s="268"/>
      <c r="BN442" s="258" t="str">
        <f t="shared" si="210"/>
        <v/>
      </c>
      <c r="BO442" s="268"/>
      <c r="BP442" s="258" t="str">
        <f t="shared" si="211"/>
        <v/>
      </c>
      <c r="BQ442" s="268"/>
      <c r="BR442" s="258" t="str">
        <f t="shared" si="212"/>
        <v/>
      </c>
      <c r="BS442" s="268"/>
      <c r="BT442" s="256" t="str">
        <f t="shared" si="213"/>
        <v/>
      </c>
      <c r="BU442" s="256" t="str">
        <f t="shared" si="214"/>
        <v/>
      </c>
      <c r="BV442" s="256" t="str">
        <f t="shared" si="215"/>
        <v/>
      </c>
      <c r="BW442" s="267"/>
      <c r="BX442" s="256" t="str">
        <f t="shared" si="216"/>
        <v/>
      </c>
      <c r="BY442" s="256" t="str">
        <f t="shared" si="217"/>
        <v/>
      </c>
      <c r="BZ442" s="281"/>
      <c r="CA442" s="282"/>
      <c r="CC442" s="112" t="str">
        <f t="shared" ca="1" si="218"/>
        <v/>
      </c>
      <c r="CF442" s="284"/>
      <c r="CG442" s="284"/>
      <c r="CH442" s="284"/>
      <c r="CI442" s="284"/>
      <c r="CL442" s="356" t="str">
        <f>IFERROR(VLOOKUP(C442,'Data Sheet'!$A$3:$B$26,2,FALSE),"")</f>
        <v/>
      </c>
    </row>
    <row r="443" spans="1:90" s="98" customFormat="1" ht="15.75" x14ac:dyDescent="0.2">
      <c r="A443" s="97"/>
      <c r="B443" s="105" t="str">
        <f t="shared" si="221"/>
        <v>--</v>
      </c>
      <c r="C443" s="276"/>
      <c r="D443" s="101" t="str">
        <f>IFERROR(IF(VLOOKUP(C443,'Data Sheet'!$A$3:$D$26,4,FALSE)=0,"",VLOOKUP(C443,'Data Sheet'!$A$3:$D$26,4,FALSE)),"")</f>
        <v/>
      </c>
      <c r="E443" s="279"/>
      <c r="F443" s="103" t="str">
        <f>IFERROR(IF(VLOOKUP(E443,'Data Sheet'!$C$29:$E$174,3,FALSE)=0,"",VLOOKUP(E443,'Data Sheet'!$C$29:$E$174,3,FALSE)),"")</f>
        <v/>
      </c>
      <c r="G443" s="106" t="str">
        <f t="shared" si="219"/>
        <v>-</v>
      </c>
      <c r="H443" s="273"/>
      <c r="I443" s="107"/>
      <c r="J443" s="249" t="e">
        <f t="shared" si="220"/>
        <v>#VALUE!</v>
      </c>
      <c r="K443" s="101" t="str">
        <f>IFERROR(INDEX('Data Sheet'!$C$198:$C$275,MATCH(I443,'Data Sheet'!$F$198:$F$275,0)),"")</f>
        <v/>
      </c>
      <c r="L443" s="250" t="str">
        <f>IFERROR(INDEX('Data Sheet'!$G$198:$G$275,MATCH(I443,'Data Sheet'!$F$198:$F$275,0)),"")</f>
        <v/>
      </c>
      <c r="M443" s="194"/>
      <c r="N443" s="248"/>
      <c r="O443" s="248"/>
      <c r="P443" s="108" t="str">
        <f>IFERROR(INDEX(Setup!$D$44:$D$70,MATCH(M443,Setup!$K$44:$K$70,0))&amp;"","")</f>
        <v/>
      </c>
      <c r="Q443" s="108" t="str">
        <f>IFERROR(INDEX(Setup!$E$44:$E$70,MATCH(M443,Setup!$K$44:$K$70,0))&amp;"","")</f>
        <v/>
      </c>
      <c r="R443" s="108" t="str">
        <f>IFERROR(INDEX(Setup!$L$44:$L$70,MATCH(M443,Setup!$K$44:$K$70,0))&amp;"","")</f>
        <v/>
      </c>
      <c r="S443" s="108" t="str">
        <f>Setup!$C$30</f>
        <v>USD</v>
      </c>
      <c r="T443" s="109" t="str">
        <f>IFERROR(INDEX('Data Sheet'!$B$198:$B$275,MATCH(I443,'Data Sheet'!$F$198:$F$275,0)),"")</f>
        <v/>
      </c>
      <c r="U443" s="110" t="str">
        <f>IFERROR(INDEX('Data Sheet'!$D$198:$D$275,MATCH(I443,'Data Sheet'!$F$198:$F$275,0)),"")</f>
        <v/>
      </c>
      <c r="V443" s="99"/>
      <c r="W443" s="195" t="str">
        <f>IF(V443=Setup!$C$30,"Grant",IF(V443=Setup!$C$31,"Local",IF(V443=Setup!$C$32,"Other",IF(ISBLANK(V443),"","Other"))))</f>
        <v/>
      </c>
      <c r="X443" s="255"/>
      <c r="Y443" s="259" t="str">
        <f>IF(X443&lt;&gt;"",X443/VLOOKUP($V443,Setup!$C$30:$D$41,2,0),"")</f>
        <v/>
      </c>
      <c r="Z443" s="262"/>
      <c r="AA443" s="256" t="str">
        <f t="shared" si="192"/>
        <v/>
      </c>
      <c r="AB443" s="262"/>
      <c r="AC443" s="258" t="str">
        <f t="shared" si="193"/>
        <v/>
      </c>
      <c r="AD443" s="262"/>
      <c r="AE443" s="258" t="str">
        <f t="shared" si="194"/>
        <v/>
      </c>
      <c r="AF443" s="262"/>
      <c r="AG443" s="256" t="str">
        <f t="shared" si="195"/>
        <v/>
      </c>
      <c r="AH443" s="256" t="str">
        <f t="shared" si="196"/>
        <v/>
      </c>
      <c r="AI443" s="256" t="str">
        <f t="shared" si="197"/>
        <v/>
      </c>
      <c r="AJ443" s="111"/>
      <c r="AK443" s="255"/>
      <c r="AL443" s="259" t="str">
        <f>IF(AK443&lt;&gt;"",AK443/VLOOKUP($V443,Setup!$C$30:$D$41,2,0),"")</f>
        <v/>
      </c>
      <c r="AM443" s="266"/>
      <c r="AN443" s="258" t="str">
        <f t="shared" si="198"/>
        <v/>
      </c>
      <c r="AO443" s="266"/>
      <c r="AP443" s="258" t="str">
        <f t="shared" si="199"/>
        <v/>
      </c>
      <c r="AQ443" s="266"/>
      <c r="AR443" s="258" t="str">
        <f t="shared" si="200"/>
        <v/>
      </c>
      <c r="AS443" s="266"/>
      <c r="AT443" s="256" t="str">
        <f t="shared" si="201"/>
        <v/>
      </c>
      <c r="AU443" s="256" t="str">
        <f t="shared" si="202"/>
        <v/>
      </c>
      <c r="AV443" s="256" t="str">
        <f t="shared" si="203"/>
        <v/>
      </c>
      <c r="AW443" s="267"/>
      <c r="AX443" s="255"/>
      <c r="AY443" s="259" t="str">
        <f>IF(AX443&lt;&gt;"",AX443/VLOOKUP($V443,Setup!$C$30:$D$41,2,0),"")</f>
        <v/>
      </c>
      <c r="AZ443" s="268"/>
      <c r="BA443" s="258" t="str">
        <f t="shared" si="204"/>
        <v/>
      </c>
      <c r="BB443" s="268"/>
      <c r="BC443" s="258" t="str">
        <f t="shared" si="205"/>
        <v/>
      </c>
      <c r="BD443" s="268"/>
      <c r="BE443" s="258" t="str">
        <f t="shared" si="206"/>
        <v/>
      </c>
      <c r="BF443" s="268"/>
      <c r="BG443" s="256" t="str">
        <f t="shared" si="207"/>
        <v/>
      </c>
      <c r="BH443" s="256" t="str">
        <f t="shared" si="208"/>
        <v/>
      </c>
      <c r="BI443" s="256" t="str">
        <f t="shared" si="209"/>
        <v/>
      </c>
      <c r="BJ443" s="267"/>
      <c r="BK443" s="255"/>
      <c r="BL443" s="259" t="str">
        <f>IF(BK443&lt;&gt;"",BK443/VLOOKUP($V443,Setup!$C$30:$D$41,2,0),"")</f>
        <v/>
      </c>
      <c r="BM443" s="268"/>
      <c r="BN443" s="258" t="str">
        <f t="shared" si="210"/>
        <v/>
      </c>
      <c r="BO443" s="268"/>
      <c r="BP443" s="258" t="str">
        <f t="shared" si="211"/>
        <v/>
      </c>
      <c r="BQ443" s="268"/>
      <c r="BR443" s="258" t="str">
        <f t="shared" si="212"/>
        <v/>
      </c>
      <c r="BS443" s="268"/>
      <c r="BT443" s="256" t="str">
        <f t="shared" si="213"/>
        <v/>
      </c>
      <c r="BU443" s="256" t="str">
        <f t="shared" si="214"/>
        <v/>
      </c>
      <c r="BV443" s="256" t="str">
        <f t="shared" si="215"/>
        <v/>
      </c>
      <c r="BW443" s="267"/>
      <c r="BX443" s="256" t="str">
        <f t="shared" si="216"/>
        <v/>
      </c>
      <c r="BY443" s="256" t="str">
        <f t="shared" si="217"/>
        <v/>
      </c>
      <c r="BZ443" s="281"/>
      <c r="CA443" s="282"/>
      <c r="CC443" s="112" t="str">
        <f t="shared" ca="1" si="218"/>
        <v/>
      </c>
      <c r="CF443" s="284"/>
      <c r="CG443" s="284"/>
      <c r="CH443" s="284"/>
      <c r="CI443" s="284"/>
      <c r="CL443" s="356" t="str">
        <f>IFERROR(VLOOKUP(C443,'Data Sheet'!$A$3:$B$26,2,FALSE),"")</f>
        <v/>
      </c>
    </row>
    <row r="444" spans="1:90" s="98" customFormat="1" ht="15.75" x14ac:dyDescent="0.2">
      <c r="A444" s="97"/>
      <c r="B444" s="105" t="str">
        <f t="shared" si="221"/>
        <v>--</v>
      </c>
      <c r="C444" s="276"/>
      <c r="D444" s="101" t="str">
        <f>IFERROR(IF(VLOOKUP(C444,'Data Sheet'!$A$3:$D$26,4,FALSE)=0,"",VLOOKUP(C444,'Data Sheet'!$A$3:$D$26,4,FALSE)),"")</f>
        <v/>
      </c>
      <c r="E444" s="279"/>
      <c r="F444" s="103" t="str">
        <f>IFERROR(IF(VLOOKUP(E444,'Data Sheet'!$C$29:$E$174,3,FALSE)=0,"",VLOOKUP(E444,'Data Sheet'!$C$29:$E$174,3,FALSE)),"")</f>
        <v/>
      </c>
      <c r="G444" s="106" t="str">
        <f t="shared" si="219"/>
        <v>-</v>
      </c>
      <c r="H444" s="273"/>
      <c r="I444" s="107"/>
      <c r="J444" s="249" t="e">
        <f t="shared" si="220"/>
        <v>#VALUE!</v>
      </c>
      <c r="K444" s="101" t="str">
        <f>IFERROR(INDEX('Data Sheet'!$C$198:$C$275,MATCH(I444,'Data Sheet'!$F$198:$F$275,0)),"")</f>
        <v/>
      </c>
      <c r="L444" s="250" t="str">
        <f>IFERROR(INDEX('Data Sheet'!$G$198:$G$275,MATCH(I444,'Data Sheet'!$F$198:$F$275,0)),"")</f>
        <v/>
      </c>
      <c r="M444" s="194"/>
      <c r="N444" s="248"/>
      <c r="O444" s="248"/>
      <c r="P444" s="108" t="str">
        <f>IFERROR(INDEX(Setup!$D$44:$D$70,MATCH(M444,Setup!$K$44:$K$70,0))&amp;"","")</f>
        <v/>
      </c>
      <c r="Q444" s="108" t="str">
        <f>IFERROR(INDEX(Setup!$E$44:$E$70,MATCH(M444,Setup!$K$44:$K$70,0))&amp;"","")</f>
        <v/>
      </c>
      <c r="R444" s="108" t="str">
        <f>IFERROR(INDEX(Setup!$L$44:$L$70,MATCH(M444,Setup!$K$44:$K$70,0))&amp;"","")</f>
        <v/>
      </c>
      <c r="S444" s="108" t="str">
        <f>Setup!$C$30</f>
        <v>USD</v>
      </c>
      <c r="T444" s="109" t="str">
        <f>IFERROR(INDEX('Data Sheet'!$B$198:$B$275,MATCH(I444,'Data Sheet'!$F$198:$F$275,0)),"")</f>
        <v/>
      </c>
      <c r="U444" s="110" t="str">
        <f>IFERROR(INDEX('Data Sheet'!$D$198:$D$275,MATCH(I444,'Data Sheet'!$F$198:$F$275,0)),"")</f>
        <v/>
      </c>
      <c r="V444" s="99"/>
      <c r="W444" s="195" t="str">
        <f>IF(V444=Setup!$C$30,"Grant",IF(V444=Setup!$C$31,"Local",IF(V444=Setup!$C$32,"Other",IF(ISBLANK(V444),"","Other"))))</f>
        <v/>
      </c>
      <c r="X444" s="255"/>
      <c r="Y444" s="259" t="str">
        <f>IF(X444&lt;&gt;"",X444/VLOOKUP($V444,Setup!$C$30:$D$41,2,0),"")</f>
        <v/>
      </c>
      <c r="Z444" s="262"/>
      <c r="AA444" s="256" t="str">
        <f t="shared" si="192"/>
        <v/>
      </c>
      <c r="AB444" s="262"/>
      <c r="AC444" s="258" t="str">
        <f t="shared" si="193"/>
        <v/>
      </c>
      <c r="AD444" s="262"/>
      <c r="AE444" s="258" t="str">
        <f t="shared" si="194"/>
        <v/>
      </c>
      <c r="AF444" s="262"/>
      <c r="AG444" s="256" t="str">
        <f t="shared" si="195"/>
        <v/>
      </c>
      <c r="AH444" s="256" t="str">
        <f t="shared" si="196"/>
        <v/>
      </c>
      <c r="AI444" s="256" t="str">
        <f t="shared" si="197"/>
        <v/>
      </c>
      <c r="AJ444" s="111"/>
      <c r="AK444" s="255"/>
      <c r="AL444" s="259" t="str">
        <f>IF(AK444&lt;&gt;"",AK444/VLOOKUP($V444,Setup!$C$30:$D$41,2,0),"")</f>
        <v/>
      </c>
      <c r="AM444" s="266"/>
      <c r="AN444" s="258" t="str">
        <f t="shared" si="198"/>
        <v/>
      </c>
      <c r="AO444" s="266"/>
      <c r="AP444" s="258" t="str">
        <f t="shared" si="199"/>
        <v/>
      </c>
      <c r="AQ444" s="266"/>
      <c r="AR444" s="258" t="str">
        <f t="shared" si="200"/>
        <v/>
      </c>
      <c r="AS444" s="266"/>
      <c r="AT444" s="256" t="str">
        <f t="shared" si="201"/>
        <v/>
      </c>
      <c r="AU444" s="256" t="str">
        <f t="shared" si="202"/>
        <v/>
      </c>
      <c r="AV444" s="256" t="str">
        <f t="shared" si="203"/>
        <v/>
      </c>
      <c r="AW444" s="267"/>
      <c r="AX444" s="255"/>
      <c r="AY444" s="259" t="str">
        <f>IF(AX444&lt;&gt;"",AX444/VLOOKUP($V444,Setup!$C$30:$D$41,2,0),"")</f>
        <v/>
      </c>
      <c r="AZ444" s="268"/>
      <c r="BA444" s="258" t="str">
        <f t="shared" si="204"/>
        <v/>
      </c>
      <c r="BB444" s="268"/>
      <c r="BC444" s="258" t="str">
        <f t="shared" si="205"/>
        <v/>
      </c>
      <c r="BD444" s="268"/>
      <c r="BE444" s="258" t="str">
        <f t="shared" si="206"/>
        <v/>
      </c>
      <c r="BF444" s="268"/>
      <c r="BG444" s="256" t="str">
        <f t="shared" si="207"/>
        <v/>
      </c>
      <c r="BH444" s="256" t="str">
        <f t="shared" si="208"/>
        <v/>
      </c>
      <c r="BI444" s="256" t="str">
        <f t="shared" si="209"/>
        <v/>
      </c>
      <c r="BJ444" s="267"/>
      <c r="BK444" s="255"/>
      <c r="BL444" s="259" t="str">
        <f>IF(BK444&lt;&gt;"",BK444/VLOOKUP($V444,Setup!$C$30:$D$41,2,0),"")</f>
        <v/>
      </c>
      <c r="BM444" s="268"/>
      <c r="BN444" s="258" t="str">
        <f t="shared" si="210"/>
        <v/>
      </c>
      <c r="BO444" s="268"/>
      <c r="BP444" s="258" t="str">
        <f t="shared" si="211"/>
        <v/>
      </c>
      <c r="BQ444" s="268"/>
      <c r="BR444" s="258" t="str">
        <f t="shared" si="212"/>
        <v/>
      </c>
      <c r="BS444" s="268"/>
      <c r="BT444" s="256" t="str">
        <f t="shared" si="213"/>
        <v/>
      </c>
      <c r="BU444" s="256" t="str">
        <f t="shared" si="214"/>
        <v/>
      </c>
      <c r="BV444" s="256" t="str">
        <f t="shared" si="215"/>
        <v/>
      </c>
      <c r="BW444" s="267"/>
      <c r="BX444" s="256" t="str">
        <f t="shared" si="216"/>
        <v/>
      </c>
      <c r="BY444" s="256" t="str">
        <f t="shared" si="217"/>
        <v/>
      </c>
      <c r="BZ444" s="281"/>
      <c r="CA444" s="282"/>
      <c r="CC444" s="112" t="str">
        <f t="shared" ca="1" si="218"/>
        <v/>
      </c>
      <c r="CF444" s="284"/>
      <c r="CG444" s="284"/>
      <c r="CH444" s="284"/>
      <c r="CI444" s="284"/>
      <c r="CL444" s="356" t="str">
        <f>IFERROR(VLOOKUP(C444,'Data Sheet'!$A$3:$B$26,2,FALSE),"")</f>
        <v/>
      </c>
    </row>
    <row r="445" spans="1:90" s="98" customFormat="1" ht="15.75" x14ac:dyDescent="0.2">
      <c r="A445" s="97"/>
      <c r="B445" s="105" t="str">
        <f t="shared" si="221"/>
        <v>--</v>
      </c>
      <c r="C445" s="276"/>
      <c r="D445" s="101" t="str">
        <f>IFERROR(IF(VLOOKUP(C445,'Data Sheet'!$A$3:$D$26,4,FALSE)=0,"",VLOOKUP(C445,'Data Sheet'!$A$3:$D$26,4,FALSE)),"")</f>
        <v/>
      </c>
      <c r="E445" s="279"/>
      <c r="F445" s="103" t="str">
        <f>IFERROR(IF(VLOOKUP(E445,'Data Sheet'!$C$29:$E$174,3,FALSE)=0,"",VLOOKUP(E445,'Data Sheet'!$C$29:$E$174,3,FALSE)),"")</f>
        <v/>
      </c>
      <c r="G445" s="106" t="str">
        <f t="shared" si="219"/>
        <v>-</v>
      </c>
      <c r="H445" s="273"/>
      <c r="I445" s="107"/>
      <c r="J445" s="249" t="e">
        <f t="shared" si="220"/>
        <v>#VALUE!</v>
      </c>
      <c r="K445" s="101" t="str">
        <f>IFERROR(INDEX('Data Sheet'!$C$198:$C$275,MATCH(I445,'Data Sheet'!$F$198:$F$275,0)),"")</f>
        <v/>
      </c>
      <c r="L445" s="250" t="str">
        <f>IFERROR(INDEX('Data Sheet'!$G$198:$G$275,MATCH(I445,'Data Sheet'!$F$198:$F$275,0)),"")</f>
        <v/>
      </c>
      <c r="M445" s="194"/>
      <c r="N445" s="248"/>
      <c r="O445" s="248"/>
      <c r="P445" s="108" t="str">
        <f>IFERROR(INDEX(Setup!$D$44:$D$70,MATCH(M445,Setup!$K$44:$K$70,0))&amp;"","")</f>
        <v/>
      </c>
      <c r="Q445" s="108" t="str">
        <f>IFERROR(INDEX(Setup!$E$44:$E$70,MATCH(M445,Setup!$K$44:$K$70,0))&amp;"","")</f>
        <v/>
      </c>
      <c r="R445" s="108" t="str">
        <f>IFERROR(INDEX(Setup!$L$44:$L$70,MATCH(M445,Setup!$K$44:$K$70,0))&amp;"","")</f>
        <v/>
      </c>
      <c r="S445" s="108" t="str">
        <f>Setup!$C$30</f>
        <v>USD</v>
      </c>
      <c r="T445" s="109" t="str">
        <f>IFERROR(INDEX('Data Sheet'!$B$198:$B$275,MATCH(I445,'Data Sheet'!$F$198:$F$275,0)),"")</f>
        <v/>
      </c>
      <c r="U445" s="110" t="str">
        <f>IFERROR(INDEX('Data Sheet'!$D$198:$D$275,MATCH(I445,'Data Sheet'!$F$198:$F$275,0)),"")</f>
        <v/>
      </c>
      <c r="V445" s="99"/>
      <c r="W445" s="195" t="str">
        <f>IF(V445=Setup!$C$30,"Grant",IF(V445=Setup!$C$31,"Local",IF(V445=Setup!$C$32,"Other",IF(ISBLANK(V445),"","Other"))))</f>
        <v/>
      </c>
      <c r="X445" s="255"/>
      <c r="Y445" s="259" t="str">
        <f>IF(X445&lt;&gt;"",X445/VLOOKUP($V445,Setup!$C$30:$D$41,2,0),"")</f>
        <v/>
      </c>
      <c r="Z445" s="262"/>
      <c r="AA445" s="256" t="str">
        <f t="shared" si="192"/>
        <v/>
      </c>
      <c r="AB445" s="262"/>
      <c r="AC445" s="258" t="str">
        <f t="shared" si="193"/>
        <v/>
      </c>
      <c r="AD445" s="262"/>
      <c r="AE445" s="258" t="str">
        <f t="shared" si="194"/>
        <v/>
      </c>
      <c r="AF445" s="262"/>
      <c r="AG445" s="256" t="str">
        <f t="shared" si="195"/>
        <v/>
      </c>
      <c r="AH445" s="256" t="str">
        <f t="shared" si="196"/>
        <v/>
      </c>
      <c r="AI445" s="256" t="str">
        <f t="shared" si="197"/>
        <v/>
      </c>
      <c r="AJ445" s="111"/>
      <c r="AK445" s="255"/>
      <c r="AL445" s="259" t="str">
        <f>IF(AK445&lt;&gt;"",AK445/VLOOKUP($V445,Setup!$C$30:$D$41,2,0),"")</f>
        <v/>
      </c>
      <c r="AM445" s="266"/>
      <c r="AN445" s="258" t="str">
        <f t="shared" si="198"/>
        <v/>
      </c>
      <c r="AO445" s="266"/>
      <c r="AP445" s="258" t="str">
        <f t="shared" si="199"/>
        <v/>
      </c>
      <c r="AQ445" s="266"/>
      <c r="AR445" s="258" t="str">
        <f t="shared" si="200"/>
        <v/>
      </c>
      <c r="AS445" s="266"/>
      <c r="AT445" s="256" t="str">
        <f t="shared" si="201"/>
        <v/>
      </c>
      <c r="AU445" s="256" t="str">
        <f t="shared" si="202"/>
        <v/>
      </c>
      <c r="AV445" s="256" t="str">
        <f t="shared" si="203"/>
        <v/>
      </c>
      <c r="AW445" s="267"/>
      <c r="AX445" s="255"/>
      <c r="AY445" s="259" t="str">
        <f>IF(AX445&lt;&gt;"",AX445/VLOOKUP($V445,Setup!$C$30:$D$41,2,0),"")</f>
        <v/>
      </c>
      <c r="AZ445" s="268"/>
      <c r="BA445" s="258" t="str">
        <f t="shared" si="204"/>
        <v/>
      </c>
      <c r="BB445" s="268"/>
      <c r="BC445" s="258" t="str">
        <f t="shared" si="205"/>
        <v/>
      </c>
      <c r="BD445" s="268"/>
      <c r="BE445" s="258" t="str">
        <f t="shared" si="206"/>
        <v/>
      </c>
      <c r="BF445" s="268"/>
      <c r="BG445" s="256" t="str">
        <f t="shared" si="207"/>
        <v/>
      </c>
      <c r="BH445" s="256" t="str">
        <f t="shared" si="208"/>
        <v/>
      </c>
      <c r="BI445" s="256" t="str">
        <f t="shared" si="209"/>
        <v/>
      </c>
      <c r="BJ445" s="267"/>
      <c r="BK445" s="255"/>
      <c r="BL445" s="259" t="str">
        <f>IF(BK445&lt;&gt;"",BK445/VLOOKUP($V445,Setup!$C$30:$D$41,2,0),"")</f>
        <v/>
      </c>
      <c r="BM445" s="268"/>
      <c r="BN445" s="258" t="str">
        <f t="shared" si="210"/>
        <v/>
      </c>
      <c r="BO445" s="268"/>
      <c r="BP445" s="258" t="str">
        <f t="shared" si="211"/>
        <v/>
      </c>
      <c r="BQ445" s="268"/>
      <c r="BR445" s="258" t="str">
        <f t="shared" si="212"/>
        <v/>
      </c>
      <c r="BS445" s="268"/>
      <c r="BT445" s="256" t="str">
        <f t="shared" si="213"/>
        <v/>
      </c>
      <c r="BU445" s="256" t="str">
        <f t="shared" si="214"/>
        <v/>
      </c>
      <c r="BV445" s="256" t="str">
        <f t="shared" si="215"/>
        <v/>
      </c>
      <c r="BW445" s="267"/>
      <c r="BX445" s="256" t="str">
        <f t="shared" si="216"/>
        <v/>
      </c>
      <c r="BY445" s="256" t="str">
        <f t="shared" si="217"/>
        <v/>
      </c>
      <c r="BZ445" s="281"/>
      <c r="CA445" s="282"/>
      <c r="CC445" s="112" t="str">
        <f t="shared" ca="1" si="218"/>
        <v/>
      </c>
      <c r="CF445" s="284"/>
      <c r="CG445" s="284"/>
      <c r="CH445" s="284"/>
      <c r="CI445" s="284"/>
      <c r="CL445" s="356" t="str">
        <f>IFERROR(VLOOKUP(C445,'Data Sheet'!$A$3:$B$26,2,FALSE),"")</f>
        <v/>
      </c>
    </row>
    <row r="446" spans="1:90" s="98" customFormat="1" ht="15.75" x14ac:dyDescent="0.2">
      <c r="A446" s="97"/>
      <c r="B446" s="105" t="str">
        <f t="shared" si="221"/>
        <v>--</v>
      </c>
      <c r="C446" s="276"/>
      <c r="D446" s="101" t="str">
        <f>IFERROR(IF(VLOOKUP(C446,'Data Sheet'!$A$3:$D$26,4,FALSE)=0,"",VLOOKUP(C446,'Data Sheet'!$A$3:$D$26,4,FALSE)),"")</f>
        <v/>
      </c>
      <c r="E446" s="279"/>
      <c r="F446" s="103" t="str">
        <f>IFERROR(IF(VLOOKUP(E446,'Data Sheet'!$C$29:$E$174,3,FALSE)=0,"",VLOOKUP(E446,'Data Sheet'!$C$29:$E$174,3,FALSE)),"")</f>
        <v/>
      </c>
      <c r="G446" s="106" t="str">
        <f t="shared" si="219"/>
        <v>-</v>
      </c>
      <c r="H446" s="273"/>
      <c r="I446" s="107"/>
      <c r="J446" s="249" t="e">
        <f t="shared" si="220"/>
        <v>#VALUE!</v>
      </c>
      <c r="K446" s="101" t="str">
        <f>IFERROR(INDEX('Data Sheet'!$C$198:$C$275,MATCH(I446,'Data Sheet'!$F$198:$F$275,0)),"")</f>
        <v/>
      </c>
      <c r="L446" s="250" t="str">
        <f>IFERROR(INDEX('Data Sheet'!$G$198:$G$275,MATCH(I446,'Data Sheet'!$F$198:$F$275,0)),"")</f>
        <v/>
      </c>
      <c r="M446" s="194"/>
      <c r="N446" s="248"/>
      <c r="O446" s="248"/>
      <c r="P446" s="108" t="str">
        <f>IFERROR(INDEX(Setup!$D$44:$D$70,MATCH(M446,Setup!$K$44:$K$70,0))&amp;"","")</f>
        <v/>
      </c>
      <c r="Q446" s="108" t="str">
        <f>IFERROR(INDEX(Setup!$E$44:$E$70,MATCH(M446,Setup!$K$44:$K$70,0))&amp;"","")</f>
        <v/>
      </c>
      <c r="R446" s="108" t="str">
        <f>IFERROR(INDEX(Setup!$L$44:$L$70,MATCH(M446,Setup!$K$44:$K$70,0))&amp;"","")</f>
        <v/>
      </c>
      <c r="S446" s="108" t="str">
        <f>Setup!$C$30</f>
        <v>USD</v>
      </c>
      <c r="T446" s="109" t="str">
        <f>IFERROR(INDEX('Data Sheet'!$B$198:$B$275,MATCH(I446,'Data Sheet'!$F$198:$F$275,0)),"")</f>
        <v/>
      </c>
      <c r="U446" s="110" t="str">
        <f>IFERROR(INDEX('Data Sheet'!$D$198:$D$275,MATCH(I446,'Data Sheet'!$F$198:$F$275,0)),"")</f>
        <v/>
      </c>
      <c r="V446" s="99"/>
      <c r="W446" s="195" t="str">
        <f>IF(V446=Setup!$C$30,"Grant",IF(V446=Setup!$C$31,"Local",IF(V446=Setup!$C$32,"Other",IF(ISBLANK(V446),"","Other"))))</f>
        <v/>
      </c>
      <c r="X446" s="255"/>
      <c r="Y446" s="259" t="str">
        <f>IF(X446&lt;&gt;"",X446/VLOOKUP($V446,Setup!$C$30:$D$41,2,0),"")</f>
        <v/>
      </c>
      <c r="Z446" s="262"/>
      <c r="AA446" s="256" t="str">
        <f t="shared" si="192"/>
        <v/>
      </c>
      <c r="AB446" s="262"/>
      <c r="AC446" s="258" t="str">
        <f t="shared" si="193"/>
        <v/>
      </c>
      <c r="AD446" s="262"/>
      <c r="AE446" s="258" t="str">
        <f t="shared" si="194"/>
        <v/>
      </c>
      <c r="AF446" s="262"/>
      <c r="AG446" s="256" t="str">
        <f t="shared" si="195"/>
        <v/>
      </c>
      <c r="AH446" s="256" t="str">
        <f t="shared" si="196"/>
        <v/>
      </c>
      <c r="AI446" s="256" t="str">
        <f t="shared" si="197"/>
        <v/>
      </c>
      <c r="AJ446" s="111"/>
      <c r="AK446" s="255"/>
      <c r="AL446" s="259" t="str">
        <f>IF(AK446&lt;&gt;"",AK446/VLOOKUP($V446,Setup!$C$30:$D$41,2,0),"")</f>
        <v/>
      </c>
      <c r="AM446" s="266"/>
      <c r="AN446" s="258" t="str">
        <f t="shared" si="198"/>
        <v/>
      </c>
      <c r="AO446" s="266"/>
      <c r="AP446" s="258" t="str">
        <f t="shared" si="199"/>
        <v/>
      </c>
      <c r="AQ446" s="266"/>
      <c r="AR446" s="258" t="str">
        <f t="shared" si="200"/>
        <v/>
      </c>
      <c r="AS446" s="266"/>
      <c r="AT446" s="256" t="str">
        <f t="shared" si="201"/>
        <v/>
      </c>
      <c r="AU446" s="256" t="str">
        <f t="shared" si="202"/>
        <v/>
      </c>
      <c r="AV446" s="256" t="str">
        <f t="shared" si="203"/>
        <v/>
      </c>
      <c r="AW446" s="267"/>
      <c r="AX446" s="255"/>
      <c r="AY446" s="259" t="str">
        <f>IF(AX446&lt;&gt;"",AX446/VLOOKUP($V446,Setup!$C$30:$D$41,2,0),"")</f>
        <v/>
      </c>
      <c r="AZ446" s="268"/>
      <c r="BA446" s="258" t="str">
        <f t="shared" si="204"/>
        <v/>
      </c>
      <c r="BB446" s="268"/>
      <c r="BC446" s="258" t="str">
        <f t="shared" si="205"/>
        <v/>
      </c>
      <c r="BD446" s="268"/>
      <c r="BE446" s="258" t="str">
        <f t="shared" si="206"/>
        <v/>
      </c>
      <c r="BF446" s="268"/>
      <c r="BG446" s="256" t="str">
        <f t="shared" si="207"/>
        <v/>
      </c>
      <c r="BH446" s="256" t="str">
        <f t="shared" si="208"/>
        <v/>
      </c>
      <c r="BI446" s="256" t="str">
        <f t="shared" si="209"/>
        <v/>
      </c>
      <c r="BJ446" s="267"/>
      <c r="BK446" s="255"/>
      <c r="BL446" s="259" t="str">
        <f>IF(BK446&lt;&gt;"",BK446/VLOOKUP($V446,Setup!$C$30:$D$41,2,0),"")</f>
        <v/>
      </c>
      <c r="BM446" s="268"/>
      <c r="BN446" s="258" t="str">
        <f t="shared" si="210"/>
        <v/>
      </c>
      <c r="BO446" s="268"/>
      <c r="BP446" s="258" t="str">
        <f t="shared" si="211"/>
        <v/>
      </c>
      <c r="BQ446" s="268"/>
      <c r="BR446" s="258" t="str">
        <f t="shared" si="212"/>
        <v/>
      </c>
      <c r="BS446" s="268"/>
      <c r="BT446" s="256" t="str">
        <f t="shared" si="213"/>
        <v/>
      </c>
      <c r="BU446" s="256" t="str">
        <f t="shared" si="214"/>
        <v/>
      </c>
      <c r="BV446" s="256" t="str">
        <f t="shared" si="215"/>
        <v/>
      </c>
      <c r="BW446" s="267"/>
      <c r="BX446" s="256" t="str">
        <f t="shared" si="216"/>
        <v/>
      </c>
      <c r="BY446" s="256" t="str">
        <f t="shared" si="217"/>
        <v/>
      </c>
      <c r="BZ446" s="281"/>
      <c r="CA446" s="282"/>
      <c r="CC446" s="112" t="str">
        <f t="shared" ca="1" si="218"/>
        <v/>
      </c>
      <c r="CF446" s="284"/>
      <c r="CG446" s="284"/>
      <c r="CH446" s="284"/>
      <c r="CI446" s="284"/>
      <c r="CL446" s="356" t="str">
        <f>IFERROR(VLOOKUP(C446,'Data Sheet'!$A$3:$B$26,2,FALSE),"")</f>
        <v/>
      </c>
    </row>
    <row r="447" spans="1:90" s="98" customFormat="1" ht="15.75" x14ac:dyDescent="0.2">
      <c r="A447" s="97"/>
      <c r="B447" s="105" t="str">
        <f t="shared" si="221"/>
        <v>--</v>
      </c>
      <c r="C447" s="276"/>
      <c r="D447" s="101" t="str">
        <f>IFERROR(IF(VLOOKUP(C447,'Data Sheet'!$A$3:$D$26,4,FALSE)=0,"",VLOOKUP(C447,'Data Sheet'!$A$3:$D$26,4,FALSE)),"")</f>
        <v/>
      </c>
      <c r="E447" s="279"/>
      <c r="F447" s="103" t="str">
        <f>IFERROR(IF(VLOOKUP(E447,'Data Sheet'!$C$29:$E$174,3,FALSE)=0,"",VLOOKUP(E447,'Data Sheet'!$C$29:$E$174,3,FALSE)),"")</f>
        <v/>
      </c>
      <c r="G447" s="106" t="str">
        <f t="shared" si="219"/>
        <v>-</v>
      </c>
      <c r="H447" s="273"/>
      <c r="I447" s="107"/>
      <c r="J447" s="249" t="e">
        <f t="shared" si="220"/>
        <v>#VALUE!</v>
      </c>
      <c r="K447" s="101" t="str">
        <f>IFERROR(INDEX('Data Sheet'!$C$198:$C$275,MATCH(I447,'Data Sheet'!$F$198:$F$275,0)),"")</f>
        <v/>
      </c>
      <c r="L447" s="250" t="str">
        <f>IFERROR(INDEX('Data Sheet'!$G$198:$G$275,MATCH(I447,'Data Sheet'!$F$198:$F$275,0)),"")</f>
        <v/>
      </c>
      <c r="M447" s="194"/>
      <c r="N447" s="248"/>
      <c r="O447" s="248"/>
      <c r="P447" s="108" t="str">
        <f>IFERROR(INDEX(Setup!$D$44:$D$70,MATCH(M447,Setup!$K$44:$K$70,0))&amp;"","")</f>
        <v/>
      </c>
      <c r="Q447" s="108" t="str">
        <f>IFERROR(INDEX(Setup!$E$44:$E$70,MATCH(M447,Setup!$K$44:$K$70,0))&amp;"","")</f>
        <v/>
      </c>
      <c r="R447" s="108" t="str">
        <f>IFERROR(INDEX(Setup!$L$44:$L$70,MATCH(M447,Setup!$K$44:$K$70,0))&amp;"","")</f>
        <v/>
      </c>
      <c r="S447" s="108" t="str">
        <f>Setup!$C$30</f>
        <v>USD</v>
      </c>
      <c r="T447" s="109" t="str">
        <f>IFERROR(INDEX('Data Sheet'!$B$198:$B$275,MATCH(I447,'Data Sheet'!$F$198:$F$275,0)),"")</f>
        <v/>
      </c>
      <c r="U447" s="110" t="str">
        <f>IFERROR(INDEX('Data Sheet'!$D$198:$D$275,MATCH(I447,'Data Sheet'!$F$198:$F$275,0)),"")</f>
        <v/>
      </c>
      <c r="V447" s="99"/>
      <c r="W447" s="195" t="str">
        <f>IF(V447=Setup!$C$30,"Grant",IF(V447=Setup!$C$31,"Local",IF(V447=Setup!$C$32,"Other",IF(ISBLANK(V447),"","Other"))))</f>
        <v/>
      </c>
      <c r="X447" s="255"/>
      <c r="Y447" s="259" t="str">
        <f>IF(X447&lt;&gt;"",X447/VLOOKUP($V447,Setup!$C$30:$D$41,2,0),"")</f>
        <v/>
      </c>
      <c r="Z447" s="262"/>
      <c r="AA447" s="256" t="str">
        <f t="shared" si="192"/>
        <v/>
      </c>
      <c r="AB447" s="262"/>
      <c r="AC447" s="258" t="str">
        <f t="shared" si="193"/>
        <v/>
      </c>
      <c r="AD447" s="262"/>
      <c r="AE447" s="258" t="str">
        <f t="shared" si="194"/>
        <v/>
      </c>
      <c r="AF447" s="262"/>
      <c r="AG447" s="256" t="str">
        <f t="shared" si="195"/>
        <v/>
      </c>
      <c r="AH447" s="256" t="str">
        <f t="shared" si="196"/>
        <v/>
      </c>
      <c r="AI447" s="256" t="str">
        <f t="shared" si="197"/>
        <v/>
      </c>
      <c r="AJ447" s="111"/>
      <c r="AK447" s="255"/>
      <c r="AL447" s="259" t="str">
        <f>IF(AK447&lt;&gt;"",AK447/VLOOKUP($V447,Setup!$C$30:$D$41,2,0),"")</f>
        <v/>
      </c>
      <c r="AM447" s="266"/>
      <c r="AN447" s="258" t="str">
        <f t="shared" si="198"/>
        <v/>
      </c>
      <c r="AO447" s="266"/>
      <c r="AP447" s="258" t="str">
        <f t="shared" si="199"/>
        <v/>
      </c>
      <c r="AQ447" s="266"/>
      <c r="AR447" s="258" t="str">
        <f t="shared" si="200"/>
        <v/>
      </c>
      <c r="AS447" s="266"/>
      <c r="AT447" s="256" t="str">
        <f t="shared" si="201"/>
        <v/>
      </c>
      <c r="AU447" s="256" t="str">
        <f t="shared" si="202"/>
        <v/>
      </c>
      <c r="AV447" s="256" t="str">
        <f t="shared" si="203"/>
        <v/>
      </c>
      <c r="AW447" s="267"/>
      <c r="AX447" s="255"/>
      <c r="AY447" s="259" t="str">
        <f>IF(AX447&lt;&gt;"",AX447/VLOOKUP($V447,Setup!$C$30:$D$41,2,0),"")</f>
        <v/>
      </c>
      <c r="AZ447" s="268"/>
      <c r="BA447" s="258" t="str">
        <f t="shared" si="204"/>
        <v/>
      </c>
      <c r="BB447" s="268"/>
      <c r="BC447" s="258" t="str">
        <f t="shared" si="205"/>
        <v/>
      </c>
      <c r="BD447" s="268"/>
      <c r="BE447" s="258" t="str">
        <f t="shared" si="206"/>
        <v/>
      </c>
      <c r="BF447" s="268"/>
      <c r="BG447" s="256" t="str">
        <f t="shared" si="207"/>
        <v/>
      </c>
      <c r="BH447" s="256" t="str">
        <f t="shared" si="208"/>
        <v/>
      </c>
      <c r="BI447" s="256" t="str">
        <f t="shared" si="209"/>
        <v/>
      </c>
      <c r="BJ447" s="267"/>
      <c r="BK447" s="255"/>
      <c r="BL447" s="259" t="str">
        <f>IF(BK447&lt;&gt;"",BK447/VLOOKUP($V447,Setup!$C$30:$D$41,2,0),"")</f>
        <v/>
      </c>
      <c r="BM447" s="268"/>
      <c r="BN447" s="258" t="str">
        <f t="shared" si="210"/>
        <v/>
      </c>
      <c r="BO447" s="268"/>
      <c r="BP447" s="258" t="str">
        <f t="shared" si="211"/>
        <v/>
      </c>
      <c r="BQ447" s="268"/>
      <c r="BR447" s="258" t="str">
        <f t="shared" si="212"/>
        <v/>
      </c>
      <c r="BS447" s="268"/>
      <c r="BT447" s="256" t="str">
        <f t="shared" si="213"/>
        <v/>
      </c>
      <c r="BU447" s="256" t="str">
        <f t="shared" si="214"/>
        <v/>
      </c>
      <c r="BV447" s="256" t="str">
        <f t="shared" si="215"/>
        <v/>
      </c>
      <c r="BW447" s="267"/>
      <c r="BX447" s="256" t="str">
        <f t="shared" si="216"/>
        <v/>
      </c>
      <c r="BY447" s="256" t="str">
        <f t="shared" si="217"/>
        <v/>
      </c>
      <c r="BZ447" s="281"/>
      <c r="CA447" s="282"/>
      <c r="CC447" s="112" t="str">
        <f t="shared" ca="1" si="218"/>
        <v/>
      </c>
      <c r="CF447" s="284"/>
      <c r="CG447" s="284"/>
      <c r="CH447" s="284"/>
      <c r="CI447" s="284"/>
      <c r="CL447" s="356" t="str">
        <f>IFERROR(VLOOKUP(C447,'Data Sheet'!$A$3:$B$26,2,FALSE),"")</f>
        <v/>
      </c>
    </row>
    <row r="448" spans="1:90" s="98" customFormat="1" ht="15.75" x14ac:dyDescent="0.2">
      <c r="A448" s="97"/>
      <c r="B448" s="105" t="str">
        <f t="shared" si="221"/>
        <v>--</v>
      </c>
      <c r="C448" s="276"/>
      <c r="D448" s="101" t="str">
        <f>IFERROR(IF(VLOOKUP(C448,'Data Sheet'!$A$3:$D$26,4,FALSE)=0,"",VLOOKUP(C448,'Data Sheet'!$A$3:$D$26,4,FALSE)),"")</f>
        <v/>
      </c>
      <c r="E448" s="279"/>
      <c r="F448" s="103" t="str">
        <f>IFERROR(IF(VLOOKUP(E448,'Data Sheet'!$C$29:$E$174,3,FALSE)=0,"",VLOOKUP(E448,'Data Sheet'!$C$29:$E$174,3,FALSE)),"")</f>
        <v/>
      </c>
      <c r="G448" s="106" t="str">
        <f t="shared" si="219"/>
        <v>-</v>
      </c>
      <c r="H448" s="273"/>
      <c r="I448" s="107"/>
      <c r="J448" s="249" t="e">
        <f t="shared" si="220"/>
        <v>#VALUE!</v>
      </c>
      <c r="K448" s="101" t="str">
        <f>IFERROR(INDEX('Data Sheet'!$C$198:$C$275,MATCH(I448,'Data Sheet'!$F$198:$F$275,0)),"")</f>
        <v/>
      </c>
      <c r="L448" s="250" t="str">
        <f>IFERROR(INDEX('Data Sheet'!$G$198:$G$275,MATCH(I448,'Data Sheet'!$F$198:$F$275,0)),"")</f>
        <v/>
      </c>
      <c r="M448" s="194"/>
      <c r="N448" s="248"/>
      <c r="O448" s="248"/>
      <c r="P448" s="108" t="str">
        <f>IFERROR(INDEX(Setup!$D$44:$D$70,MATCH(M448,Setup!$K$44:$K$70,0))&amp;"","")</f>
        <v/>
      </c>
      <c r="Q448" s="108" t="str">
        <f>IFERROR(INDEX(Setup!$E$44:$E$70,MATCH(M448,Setup!$K$44:$K$70,0))&amp;"","")</f>
        <v/>
      </c>
      <c r="R448" s="108" t="str">
        <f>IFERROR(INDEX(Setup!$L$44:$L$70,MATCH(M448,Setup!$K$44:$K$70,0))&amp;"","")</f>
        <v/>
      </c>
      <c r="S448" s="108" t="str">
        <f>Setup!$C$30</f>
        <v>USD</v>
      </c>
      <c r="T448" s="109" t="str">
        <f>IFERROR(INDEX('Data Sheet'!$B$198:$B$275,MATCH(I448,'Data Sheet'!$F$198:$F$275,0)),"")</f>
        <v/>
      </c>
      <c r="U448" s="110" t="str">
        <f>IFERROR(INDEX('Data Sheet'!$D$198:$D$275,MATCH(I448,'Data Sheet'!$F$198:$F$275,0)),"")</f>
        <v/>
      </c>
      <c r="V448" s="99"/>
      <c r="W448" s="195" t="str">
        <f>IF(V448=Setup!$C$30,"Grant",IF(V448=Setup!$C$31,"Local",IF(V448=Setup!$C$32,"Other",IF(ISBLANK(V448),"","Other"))))</f>
        <v/>
      </c>
      <c r="X448" s="255"/>
      <c r="Y448" s="259" t="str">
        <f>IF(X448&lt;&gt;"",X448/VLOOKUP($V448,Setup!$C$30:$D$41,2,0),"")</f>
        <v/>
      </c>
      <c r="Z448" s="262"/>
      <c r="AA448" s="256" t="str">
        <f t="shared" si="192"/>
        <v/>
      </c>
      <c r="AB448" s="262"/>
      <c r="AC448" s="258" t="str">
        <f t="shared" si="193"/>
        <v/>
      </c>
      <c r="AD448" s="262"/>
      <c r="AE448" s="258" t="str">
        <f t="shared" si="194"/>
        <v/>
      </c>
      <c r="AF448" s="262"/>
      <c r="AG448" s="256" t="str">
        <f t="shared" si="195"/>
        <v/>
      </c>
      <c r="AH448" s="256" t="str">
        <f t="shared" si="196"/>
        <v/>
      </c>
      <c r="AI448" s="256" t="str">
        <f t="shared" si="197"/>
        <v/>
      </c>
      <c r="AJ448" s="111"/>
      <c r="AK448" s="255"/>
      <c r="AL448" s="259" t="str">
        <f>IF(AK448&lt;&gt;"",AK448/VLOOKUP($V448,Setup!$C$30:$D$41,2,0),"")</f>
        <v/>
      </c>
      <c r="AM448" s="266"/>
      <c r="AN448" s="258" t="str">
        <f t="shared" si="198"/>
        <v/>
      </c>
      <c r="AO448" s="266"/>
      <c r="AP448" s="258" t="str">
        <f t="shared" si="199"/>
        <v/>
      </c>
      <c r="AQ448" s="266"/>
      <c r="AR448" s="258" t="str">
        <f t="shared" si="200"/>
        <v/>
      </c>
      <c r="AS448" s="266"/>
      <c r="AT448" s="256" t="str">
        <f t="shared" si="201"/>
        <v/>
      </c>
      <c r="AU448" s="256" t="str">
        <f t="shared" si="202"/>
        <v/>
      </c>
      <c r="AV448" s="256" t="str">
        <f t="shared" si="203"/>
        <v/>
      </c>
      <c r="AW448" s="267"/>
      <c r="AX448" s="255"/>
      <c r="AY448" s="259" t="str">
        <f>IF(AX448&lt;&gt;"",AX448/VLOOKUP($V448,Setup!$C$30:$D$41,2,0),"")</f>
        <v/>
      </c>
      <c r="AZ448" s="268"/>
      <c r="BA448" s="258" t="str">
        <f t="shared" si="204"/>
        <v/>
      </c>
      <c r="BB448" s="268"/>
      <c r="BC448" s="258" t="str">
        <f t="shared" si="205"/>
        <v/>
      </c>
      <c r="BD448" s="268"/>
      <c r="BE448" s="258" t="str">
        <f t="shared" si="206"/>
        <v/>
      </c>
      <c r="BF448" s="268"/>
      <c r="BG448" s="256" t="str">
        <f t="shared" si="207"/>
        <v/>
      </c>
      <c r="BH448" s="256" t="str">
        <f t="shared" si="208"/>
        <v/>
      </c>
      <c r="BI448" s="256" t="str">
        <f t="shared" si="209"/>
        <v/>
      </c>
      <c r="BJ448" s="267"/>
      <c r="BK448" s="255"/>
      <c r="BL448" s="259" t="str">
        <f>IF(BK448&lt;&gt;"",BK448/VLOOKUP($V448,Setup!$C$30:$D$41,2,0),"")</f>
        <v/>
      </c>
      <c r="BM448" s="268"/>
      <c r="BN448" s="258" t="str">
        <f t="shared" si="210"/>
        <v/>
      </c>
      <c r="BO448" s="268"/>
      <c r="BP448" s="258" t="str">
        <f t="shared" si="211"/>
        <v/>
      </c>
      <c r="BQ448" s="268"/>
      <c r="BR448" s="258" t="str">
        <f t="shared" si="212"/>
        <v/>
      </c>
      <c r="BS448" s="268"/>
      <c r="BT448" s="256" t="str">
        <f t="shared" si="213"/>
        <v/>
      </c>
      <c r="BU448" s="256" t="str">
        <f t="shared" si="214"/>
        <v/>
      </c>
      <c r="BV448" s="256" t="str">
        <f t="shared" si="215"/>
        <v/>
      </c>
      <c r="BW448" s="267"/>
      <c r="BX448" s="256" t="str">
        <f t="shared" si="216"/>
        <v/>
      </c>
      <c r="BY448" s="256" t="str">
        <f t="shared" si="217"/>
        <v/>
      </c>
      <c r="BZ448" s="281"/>
      <c r="CA448" s="282"/>
      <c r="CC448" s="112" t="str">
        <f t="shared" ca="1" si="218"/>
        <v/>
      </c>
      <c r="CF448" s="284"/>
      <c r="CG448" s="284"/>
      <c r="CH448" s="284"/>
      <c r="CI448" s="284"/>
      <c r="CL448" s="356" t="str">
        <f>IFERROR(VLOOKUP(C448,'Data Sheet'!$A$3:$B$26,2,FALSE),"")</f>
        <v/>
      </c>
    </row>
    <row r="449" spans="1:90" s="98" customFormat="1" ht="15.75" x14ac:dyDescent="0.2">
      <c r="A449" s="97"/>
      <c r="B449" s="105" t="str">
        <f t="shared" si="221"/>
        <v>--</v>
      </c>
      <c r="C449" s="276"/>
      <c r="D449" s="101" t="str">
        <f>IFERROR(IF(VLOOKUP(C449,'Data Sheet'!$A$3:$D$26,4,FALSE)=0,"",VLOOKUP(C449,'Data Sheet'!$A$3:$D$26,4,FALSE)),"")</f>
        <v/>
      </c>
      <c r="E449" s="279"/>
      <c r="F449" s="103" t="str">
        <f>IFERROR(IF(VLOOKUP(E449,'Data Sheet'!$C$29:$E$174,3,FALSE)=0,"",VLOOKUP(E449,'Data Sheet'!$C$29:$E$174,3,FALSE)),"")</f>
        <v/>
      </c>
      <c r="G449" s="106" t="str">
        <f t="shared" si="219"/>
        <v>-</v>
      </c>
      <c r="H449" s="273"/>
      <c r="I449" s="107"/>
      <c r="J449" s="249" t="e">
        <f t="shared" si="220"/>
        <v>#VALUE!</v>
      </c>
      <c r="K449" s="101" t="str">
        <f>IFERROR(INDEX('Data Sheet'!$C$198:$C$275,MATCH(I449,'Data Sheet'!$F$198:$F$275,0)),"")</f>
        <v/>
      </c>
      <c r="L449" s="250" t="str">
        <f>IFERROR(INDEX('Data Sheet'!$G$198:$G$275,MATCH(I449,'Data Sheet'!$F$198:$F$275,0)),"")</f>
        <v/>
      </c>
      <c r="M449" s="194"/>
      <c r="N449" s="248"/>
      <c r="O449" s="248"/>
      <c r="P449" s="108" t="str">
        <f>IFERROR(INDEX(Setup!$D$44:$D$70,MATCH(M449,Setup!$K$44:$K$70,0))&amp;"","")</f>
        <v/>
      </c>
      <c r="Q449" s="108" t="str">
        <f>IFERROR(INDEX(Setup!$E$44:$E$70,MATCH(M449,Setup!$K$44:$K$70,0))&amp;"","")</f>
        <v/>
      </c>
      <c r="R449" s="108" t="str">
        <f>IFERROR(INDEX(Setup!$L$44:$L$70,MATCH(M449,Setup!$K$44:$K$70,0))&amp;"","")</f>
        <v/>
      </c>
      <c r="S449" s="108" t="str">
        <f>Setup!$C$30</f>
        <v>USD</v>
      </c>
      <c r="T449" s="109" t="str">
        <f>IFERROR(INDEX('Data Sheet'!$B$198:$B$275,MATCH(I449,'Data Sheet'!$F$198:$F$275,0)),"")</f>
        <v/>
      </c>
      <c r="U449" s="110" t="str">
        <f>IFERROR(INDEX('Data Sheet'!$D$198:$D$275,MATCH(I449,'Data Sheet'!$F$198:$F$275,0)),"")</f>
        <v/>
      </c>
      <c r="V449" s="99"/>
      <c r="W449" s="195" t="str">
        <f>IF(V449=Setup!$C$30,"Grant",IF(V449=Setup!$C$31,"Local",IF(V449=Setup!$C$32,"Other",IF(ISBLANK(V449),"","Other"))))</f>
        <v/>
      </c>
      <c r="X449" s="255"/>
      <c r="Y449" s="259" t="str">
        <f>IF(X449&lt;&gt;"",X449/VLOOKUP($V449,Setup!$C$30:$D$41,2,0),"")</f>
        <v/>
      </c>
      <c r="Z449" s="262"/>
      <c r="AA449" s="256" t="str">
        <f t="shared" si="192"/>
        <v/>
      </c>
      <c r="AB449" s="262"/>
      <c r="AC449" s="258" t="str">
        <f t="shared" si="193"/>
        <v/>
      </c>
      <c r="AD449" s="262"/>
      <c r="AE449" s="258" t="str">
        <f t="shared" si="194"/>
        <v/>
      </c>
      <c r="AF449" s="262"/>
      <c r="AG449" s="256" t="str">
        <f t="shared" si="195"/>
        <v/>
      </c>
      <c r="AH449" s="256" t="str">
        <f t="shared" si="196"/>
        <v/>
      </c>
      <c r="AI449" s="256" t="str">
        <f t="shared" si="197"/>
        <v/>
      </c>
      <c r="AJ449" s="111"/>
      <c r="AK449" s="255"/>
      <c r="AL449" s="259" t="str">
        <f>IF(AK449&lt;&gt;"",AK449/VLOOKUP($V449,Setup!$C$30:$D$41,2,0),"")</f>
        <v/>
      </c>
      <c r="AM449" s="266"/>
      <c r="AN449" s="258" t="str">
        <f t="shared" si="198"/>
        <v/>
      </c>
      <c r="AO449" s="266"/>
      <c r="AP449" s="258" t="str">
        <f t="shared" si="199"/>
        <v/>
      </c>
      <c r="AQ449" s="266"/>
      <c r="AR449" s="258" t="str">
        <f t="shared" si="200"/>
        <v/>
      </c>
      <c r="AS449" s="266"/>
      <c r="AT449" s="256" t="str">
        <f t="shared" si="201"/>
        <v/>
      </c>
      <c r="AU449" s="256" t="str">
        <f t="shared" si="202"/>
        <v/>
      </c>
      <c r="AV449" s="256" t="str">
        <f t="shared" si="203"/>
        <v/>
      </c>
      <c r="AW449" s="267"/>
      <c r="AX449" s="255"/>
      <c r="AY449" s="259" t="str">
        <f>IF(AX449&lt;&gt;"",AX449/VLOOKUP($V449,Setup!$C$30:$D$41,2,0),"")</f>
        <v/>
      </c>
      <c r="AZ449" s="268"/>
      <c r="BA449" s="258" t="str">
        <f t="shared" si="204"/>
        <v/>
      </c>
      <c r="BB449" s="268"/>
      <c r="BC449" s="258" t="str">
        <f t="shared" si="205"/>
        <v/>
      </c>
      <c r="BD449" s="268"/>
      <c r="BE449" s="258" t="str">
        <f t="shared" si="206"/>
        <v/>
      </c>
      <c r="BF449" s="268"/>
      <c r="BG449" s="256" t="str">
        <f t="shared" si="207"/>
        <v/>
      </c>
      <c r="BH449" s="256" t="str">
        <f t="shared" si="208"/>
        <v/>
      </c>
      <c r="BI449" s="256" t="str">
        <f t="shared" si="209"/>
        <v/>
      </c>
      <c r="BJ449" s="267"/>
      <c r="BK449" s="255"/>
      <c r="BL449" s="259" t="str">
        <f>IF(BK449&lt;&gt;"",BK449/VLOOKUP($V449,Setup!$C$30:$D$41,2,0),"")</f>
        <v/>
      </c>
      <c r="BM449" s="268"/>
      <c r="BN449" s="258" t="str">
        <f t="shared" si="210"/>
        <v/>
      </c>
      <c r="BO449" s="268"/>
      <c r="BP449" s="258" t="str">
        <f t="shared" si="211"/>
        <v/>
      </c>
      <c r="BQ449" s="268"/>
      <c r="BR449" s="258" t="str">
        <f t="shared" si="212"/>
        <v/>
      </c>
      <c r="BS449" s="268"/>
      <c r="BT449" s="256" t="str">
        <f t="shared" si="213"/>
        <v/>
      </c>
      <c r="BU449" s="256" t="str">
        <f t="shared" si="214"/>
        <v/>
      </c>
      <c r="BV449" s="256" t="str">
        <f t="shared" si="215"/>
        <v/>
      </c>
      <c r="BW449" s="267"/>
      <c r="BX449" s="256" t="str">
        <f t="shared" si="216"/>
        <v/>
      </c>
      <c r="BY449" s="256" t="str">
        <f t="shared" si="217"/>
        <v/>
      </c>
      <c r="BZ449" s="281"/>
      <c r="CA449" s="282"/>
      <c r="CC449" s="112" t="str">
        <f t="shared" ca="1" si="218"/>
        <v/>
      </c>
      <c r="CF449" s="284"/>
      <c r="CG449" s="284"/>
      <c r="CH449" s="284"/>
      <c r="CI449" s="284"/>
      <c r="CL449" s="356" t="str">
        <f>IFERROR(VLOOKUP(C449,'Data Sheet'!$A$3:$B$26,2,FALSE),"")</f>
        <v/>
      </c>
    </row>
    <row r="450" spans="1:90" s="98" customFormat="1" ht="15.75" x14ac:dyDescent="0.2">
      <c r="A450" s="97"/>
      <c r="B450" s="105" t="str">
        <f t="shared" si="221"/>
        <v>--</v>
      </c>
      <c r="C450" s="276"/>
      <c r="D450" s="101" t="str">
        <f>IFERROR(IF(VLOOKUP(C450,'Data Sheet'!$A$3:$D$26,4,FALSE)=0,"",VLOOKUP(C450,'Data Sheet'!$A$3:$D$26,4,FALSE)),"")</f>
        <v/>
      </c>
      <c r="E450" s="279"/>
      <c r="F450" s="103" t="str">
        <f>IFERROR(IF(VLOOKUP(E450,'Data Sheet'!$C$29:$E$174,3,FALSE)=0,"",VLOOKUP(E450,'Data Sheet'!$C$29:$E$174,3,FALSE)),"")</f>
        <v/>
      </c>
      <c r="G450" s="106" t="str">
        <f t="shared" si="219"/>
        <v>-</v>
      </c>
      <c r="H450" s="273"/>
      <c r="I450" s="107"/>
      <c r="J450" s="249" t="e">
        <f t="shared" si="220"/>
        <v>#VALUE!</v>
      </c>
      <c r="K450" s="101" t="str">
        <f>IFERROR(INDEX('Data Sheet'!$C$198:$C$275,MATCH(I450,'Data Sheet'!$F$198:$F$275,0)),"")</f>
        <v/>
      </c>
      <c r="L450" s="250" t="str">
        <f>IFERROR(INDEX('Data Sheet'!$G$198:$G$275,MATCH(I450,'Data Sheet'!$F$198:$F$275,0)),"")</f>
        <v/>
      </c>
      <c r="M450" s="194"/>
      <c r="N450" s="248"/>
      <c r="O450" s="248"/>
      <c r="P450" s="108" t="str">
        <f>IFERROR(INDEX(Setup!$D$44:$D$70,MATCH(M450,Setup!$K$44:$K$70,0))&amp;"","")</f>
        <v/>
      </c>
      <c r="Q450" s="108" t="str">
        <f>IFERROR(INDEX(Setup!$E$44:$E$70,MATCH(M450,Setup!$K$44:$K$70,0))&amp;"","")</f>
        <v/>
      </c>
      <c r="R450" s="108" t="str">
        <f>IFERROR(INDEX(Setup!$L$44:$L$70,MATCH(M450,Setup!$K$44:$K$70,0))&amp;"","")</f>
        <v/>
      </c>
      <c r="S450" s="108" t="str">
        <f>Setup!$C$30</f>
        <v>USD</v>
      </c>
      <c r="T450" s="109" t="str">
        <f>IFERROR(INDEX('Data Sheet'!$B$198:$B$275,MATCH(I450,'Data Sheet'!$F$198:$F$275,0)),"")</f>
        <v/>
      </c>
      <c r="U450" s="110" t="str">
        <f>IFERROR(INDEX('Data Sheet'!$D$198:$D$275,MATCH(I450,'Data Sheet'!$F$198:$F$275,0)),"")</f>
        <v/>
      </c>
      <c r="V450" s="99"/>
      <c r="W450" s="195" t="str">
        <f>IF(V450=Setup!$C$30,"Grant",IF(V450=Setup!$C$31,"Local",IF(V450=Setup!$C$32,"Other",IF(ISBLANK(V450),"","Other"))))</f>
        <v/>
      </c>
      <c r="X450" s="255"/>
      <c r="Y450" s="259" t="str">
        <f>IF(X450&lt;&gt;"",X450/VLOOKUP($V450,Setup!$C$30:$D$41,2,0),"")</f>
        <v/>
      </c>
      <c r="Z450" s="262"/>
      <c r="AA450" s="256" t="str">
        <f t="shared" si="192"/>
        <v/>
      </c>
      <c r="AB450" s="262"/>
      <c r="AC450" s="258" t="str">
        <f t="shared" si="193"/>
        <v/>
      </c>
      <c r="AD450" s="262"/>
      <c r="AE450" s="258" t="str">
        <f t="shared" si="194"/>
        <v/>
      </c>
      <c r="AF450" s="262"/>
      <c r="AG450" s="256" t="str">
        <f t="shared" si="195"/>
        <v/>
      </c>
      <c r="AH450" s="256" t="str">
        <f t="shared" si="196"/>
        <v/>
      </c>
      <c r="AI450" s="256" t="str">
        <f t="shared" si="197"/>
        <v/>
      </c>
      <c r="AJ450" s="111"/>
      <c r="AK450" s="255"/>
      <c r="AL450" s="259" t="str">
        <f>IF(AK450&lt;&gt;"",AK450/VLOOKUP($V450,Setup!$C$30:$D$41,2,0),"")</f>
        <v/>
      </c>
      <c r="AM450" s="266"/>
      <c r="AN450" s="258" t="str">
        <f t="shared" si="198"/>
        <v/>
      </c>
      <c r="AO450" s="266"/>
      <c r="AP450" s="258" t="str">
        <f t="shared" si="199"/>
        <v/>
      </c>
      <c r="AQ450" s="266"/>
      <c r="AR450" s="258" t="str">
        <f t="shared" si="200"/>
        <v/>
      </c>
      <c r="AS450" s="266"/>
      <c r="AT450" s="256" t="str">
        <f t="shared" si="201"/>
        <v/>
      </c>
      <c r="AU450" s="256" t="str">
        <f t="shared" si="202"/>
        <v/>
      </c>
      <c r="AV450" s="256" t="str">
        <f t="shared" si="203"/>
        <v/>
      </c>
      <c r="AW450" s="267"/>
      <c r="AX450" s="255"/>
      <c r="AY450" s="259" t="str">
        <f>IF(AX450&lt;&gt;"",AX450/VLOOKUP($V450,Setup!$C$30:$D$41,2,0),"")</f>
        <v/>
      </c>
      <c r="AZ450" s="268"/>
      <c r="BA450" s="258" t="str">
        <f t="shared" si="204"/>
        <v/>
      </c>
      <c r="BB450" s="268"/>
      <c r="BC450" s="258" t="str">
        <f t="shared" si="205"/>
        <v/>
      </c>
      <c r="BD450" s="268"/>
      <c r="BE450" s="258" t="str">
        <f t="shared" si="206"/>
        <v/>
      </c>
      <c r="BF450" s="268"/>
      <c r="BG450" s="256" t="str">
        <f t="shared" si="207"/>
        <v/>
      </c>
      <c r="BH450" s="256" t="str">
        <f t="shared" si="208"/>
        <v/>
      </c>
      <c r="BI450" s="256" t="str">
        <f t="shared" si="209"/>
        <v/>
      </c>
      <c r="BJ450" s="267"/>
      <c r="BK450" s="255"/>
      <c r="BL450" s="259" t="str">
        <f>IF(BK450&lt;&gt;"",BK450/VLOOKUP($V450,Setup!$C$30:$D$41,2,0),"")</f>
        <v/>
      </c>
      <c r="BM450" s="268"/>
      <c r="BN450" s="258" t="str">
        <f t="shared" si="210"/>
        <v/>
      </c>
      <c r="BO450" s="268"/>
      <c r="BP450" s="258" t="str">
        <f t="shared" si="211"/>
        <v/>
      </c>
      <c r="BQ450" s="268"/>
      <c r="BR450" s="258" t="str">
        <f t="shared" si="212"/>
        <v/>
      </c>
      <c r="BS450" s="268"/>
      <c r="BT450" s="256" t="str">
        <f t="shared" si="213"/>
        <v/>
      </c>
      <c r="BU450" s="256" t="str">
        <f t="shared" si="214"/>
        <v/>
      </c>
      <c r="BV450" s="256" t="str">
        <f t="shared" si="215"/>
        <v/>
      </c>
      <c r="BW450" s="267"/>
      <c r="BX450" s="256" t="str">
        <f t="shared" si="216"/>
        <v/>
      </c>
      <c r="BY450" s="256" t="str">
        <f t="shared" si="217"/>
        <v/>
      </c>
      <c r="BZ450" s="281"/>
      <c r="CA450" s="282"/>
      <c r="CC450" s="112" t="str">
        <f t="shared" ca="1" si="218"/>
        <v/>
      </c>
      <c r="CF450" s="284"/>
      <c r="CG450" s="284"/>
      <c r="CH450" s="284"/>
      <c r="CI450" s="284"/>
      <c r="CL450" s="356" t="str">
        <f>IFERROR(VLOOKUP(C450,'Data Sheet'!$A$3:$B$26,2,FALSE),"")</f>
        <v/>
      </c>
    </row>
    <row r="451" spans="1:90" s="98" customFormat="1" ht="15.75" x14ac:dyDescent="0.2">
      <c r="A451" s="97"/>
      <c r="B451" s="105" t="str">
        <f t="shared" si="221"/>
        <v>--</v>
      </c>
      <c r="C451" s="276"/>
      <c r="D451" s="101" t="str">
        <f>IFERROR(IF(VLOOKUP(C451,'Data Sheet'!$A$3:$D$26,4,FALSE)=0,"",VLOOKUP(C451,'Data Sheet'!$A$3:$D$26,4,FALSE)),"")</f>
        <v/>
      </c>
      <c r="E451" s="279"/>
      <c r="F451" s="103" t="str">
        <f>IFERROR(IF(VLOOKUP(E451,'Data Sheet'!$C$29:$E$174,3,FALSE)=0,"",VLOOKUP(E451,'Data Sheet'!$C$29:$E$174,3,FALSE)),"")</f>
        <v/>
      </c>
      <c r="G451" s="106" t="str">
        <f t="shared" si="219"/>
        <v>-</v>
      </c>
      <c r="H451" s="273"/>
      <c r="I451" s="107"/>
      <c r="J451" s="249" t="e">
        <f t="shared" si="220"/>
        <v>#VALUE!</v>
      </c>
      <c r="K451" s="101" t="str">
        <f>IFERROR(INDEX('Data Sheet'!$C$198:$C$275,MATCH(I451,'Data Sheet'!$F$198:$F$275,0)),"")</f>
        <v/>
      </c>
      <c r="L451" s="250" t="str">
        <f>IFERROR(INDEX('Data Sheet'!$G$198:$G$275,MATCH(I451,'Data Sheet'!$F$198:$F$275,0)),"")</f>
        <v/>
      </c>
      <c r="M451" s="194"/>
      <c r="N451" s="248"/>
      <c r="O451" s="248"/>
      <c r="P451" s="108" t="str">
        <f>IFERROR(INDEX(Setup!$D$44:$D$70,MATCH(M451,Setup!$K$44:$K$70,0))&amp;"","")</f>
        <v/>
      </c>
      <c r="Q451" s="108" t="str">
        <f>IFERROR(INDEX(Setup!$E$44:$E$70,MATCH(M451,Setup!$K$44:$K$70,0))&amp;"","")</f>
        <v/>
      </c>
      <c r="R451" s="108" t="str">
        <f>IFERROR(INDEX(Setup!$L$44:$L$70,MATCH(M451,Setup!$K$44:$K$70,0))&amp;"","")</f>
        <v/>
      </c>
      <c r="S451" s="108" t="str">
        <f>Setup!$C$30</f>
        <v>USD</v>
      </c>
      <c r="T451" s="109" t="str">
        <f>IFERROR(INDEX('Data Sheet'!$B$198:$B$275,MATCH(I451,'Data Sheet'!$F$198:$F$275,0)),"")</f>
        <v/>
      </c>
      <c r="U451" s="110" t="str">
        <f>IFERROR(INDEX('Data Sheet'!$D$198:$D$275,MATCH(I451,'Data Sheet'!$F$198:$F$275,0)),"")</f>
        <v/>
      </c>
      <c r="V451" s="99"/>
      <c r="W451" s="195" t="str">
        <f>IF(V451=Setup!$C$30,"Grant",IF(V451=Setup!$C$31,"Local",IF(V451=Setup!$C$32,"Other",IF(ISBLANK(V451),"","Other"))))</f>
        <v/>
      </c>
      <c r="X451" s="255"/>
      <c r="Y451" s="259" t="str">
        <f>IF(X451&lt;&gt;"",X451/VLOOKUP($V451,Setup!$C$30:$D$41,2,0),"")</f>
        <v/>
      </c>
      <c r="Z451" s="262"/>
      <c r="AA451" s="256" t="str">
        <f t="shared" si="192"/>
        <v/>
      </c>
      <c r="AB451" s="262"/>
      <c r="AC451" s="258" t="str">
        <f t="shared" si="193"/>
        <v/>
      </c>
      <c r="AD451" s="262"/>
      <c r="AE451" s="258" t="str">
        <f t="shared" si="194"/>
        <v/>
      </c>
      <c r="AF451" s="262"/>
      <c r="AG451" s="256" t="str">
        <f t="shared" si="195"/>
        <v/>
      </c>
      <c r="AH451" s="256" t="str">
        <f t="shared" si="196"/>
        <v/>
      </c>
      <c r="AI451" s="256" t="str">
        <f t="shared" si="197"/>
        <v/>
      </c>
      <c r="AJ451" s="111"/>
      <c r="AK451" s="255"/>
      <c r="AL451" s="259" t="str">
        <f>IF(AK451&lt;&gt;"",AK451/VLOOKUP($V451,Setup!$C$30:$D$41,2,0),"")</f>
        <v/>
      </c>
      <c r="AM451" s="266"/>
      <c r="AN451" s="258" t="str">
        <f t="shared" si="198"/>
        <v/>
      </c>
      <c r="AO451" s="266"/>
      <c r="AP451" s="258" t="str">
        <f t="shared" si="199"/>
        <v/>
      </c>
      <c r="AQ451" s="266"/>
      <c r="AR451" s="258" t="str">
        <f t="shared" si="200"/>
        <v/>
      </c>
      <c r="AS451" s="266"/>
      <c r="AT451" s="256" t="str">
        <f t="shared" si="201"/>
        <v/>
      </c>
      <c r="AU451" s="256" t="str">
        <f t="shared" si="202"/>
        <v/>
      </c>
      <c r="AV451" s="256" t="str">
        <f t="shared" si="203"/>
        <v/>
      </c>
      <c r="AW451" s="267"/>
      <c r="AX451" s="255"/>
      <c r="AY451" s="259" t="str">
        <f>IF(AX451&lt;&gt;"",AX451/VLOOKUP($V451,Setup!$C$30:$D$41,2,0),"")</f>
        <v/>
      </c>
      <c r="AZ451" s="268"/>
      <c r="BA451" s="258" t="str">
        <f t="shared" si="204"/>
        <v/>
      </c>
      <c r="BB451" s="268"/>
      <c r="BC451" s="258" t="str">
        <f t="shared" si="205"/>
        <v/>
      </c>
      <c r="BD451" s="268"/>
      <c r="BE451" s="258" t="str">
        <f t="shared" si="206"/>
        <v/>
      </c>
      <c r="BF451" s="268"/>
      <c r="BG451" s="256" t="str">
        <f t="shared" si="207"/>
        <v/>
      </c>
      <c r="BH451" s="256" t="str">
        <f t="shared" si="208"/>
        <v/>
      </c>
      <c r="BI451" s="256" t="str">
        <f t="shared" si="209"/>
        <v/>
      </c>
      <c r="BJ451" s="267"/>
      <c r="BK451" s="255"/>
      <c r="BL451" s="259" t="str">
        <f>IF(BK451&lt;&gt;"",BK451/VLOOKUP($V451,Setup!$C$30:$D$41,2,0),"")</f>
        <v/>
      </c>
      <c r="BM451" s="268"/>
      <c r="BN451" s="258" t="str">
        <f t="shared" si="210"/>
        <v/>
      </c>
      <c r="BO451" s="268"/>
      <c r="BP451" s="258" t="str">
        <f t="shared" si="211"/>
        <v/>
      </c>
      <c r="BQ451" s="268"/>
      <c r="BR451" s="258" t="str">
        <f t="shared" si="212"/>
        <v/>
      </c>
      <c r="BS451" s="268"/>
      <c r="BT451" s="256" t="str">
        <f t="shared" si="213"/>
        <v/>
      </c>
      <c r="BU451" s="256" t="str">
        <f t="shared" si="214"/>
        <v/>
      </c>
      <c r="BV451" s="256" t="str">
        <f t="shared" si="215"/>
        <v/>
      </c>
      <c r="BW451" s="267"/>
      <c r="BX451" s="256" t="str">
        <f t="shared" si="216"/>
        <v/>
      </c>
      <c r="BY451" s="256" t="str">
        <f t="shared" si="217"/>
        <v/>
      </c>
      <c r="BZ451" s="281"/>
      <c r="CA451" s="282"/>
      <c r="CC451" s="112" t="str">
        <f t="shared" ca="1" si="218"/>
        <v/>
      </c>
      <c r="CF451" s="284"/>
      <c r="CG451" s="284"/>
      <c r="CH451" s="284"/>
      <c r="CI451" s="284"/>
      <c r="CL451" s="356" t="str">
        <f>IFERROR(VLOOKUP(C451,'Data Sheet'!$A$3:$B$26,2,FALSE),"")</f>
        <v/>
      </c>
    </row>
    <row r="452" spans="1:90" s="98" customFormat="1" ht="15.75" x14ac:dyDescent="0.2">
      <c r="A452" s="97"/>
      <c r="B452" s="105" t="str">
        <f t="shared" si="221"/>
        <v>--</v>
      </c>
      <c r="C452" s="276"/>
      <c r="D452" s="101" t="str">
        <f>IFERROR(IF(VLOOKUP(C452,'Data Sheet'!$A$3:$D$26,4,FALSE)=0,"",VLOOKUP(C452,'Data Sheet'!$A$3:$D$26,4,FALSE)),"")</f>
        <v/>
      </c>
      <c r="E452" s="279"/>
      <c r="F452" s="103" t="str">
        <f>IFERROR(IF(VLOOKUP(E452,'Data Sheet'!$C$29:$E$174,3,FALSE)=0,"",VLOOKUP(E452,'Data Sheet'!$C$29:$E$174,3,FALSE)),"")</f>
        <v/>
      </c>
      <c r="G452" s="106" t="str">
        <f t="shared" si="219"/>
        <v>-</v>
      </c>
      <c r="H452" s="273"/>
      <c r="I452" s="107"/>
      <c r="J452" s="249" t="e">
        <f t="shared" si="220"/>
        <v>#VALUE!</v>
      </c>
      <c r="K452" s="101" t="str">
        <f>IFERROR(INDEX('Data Sheet'!$C$198:$C$275,MATCH(I452,'Data Sheet'!$F$198:$F$275,0)),"")</f>
        <v/>
      </c>
      <c r="L452" s="250" t="str">
        <f>IFERROR(INDEX('Data Sheet'!$G$198:$G$275,MATCH(I452,'Data Sheet'!$F$198:$F$275,0)),"")</f>
        <v/>
      </c>
      <c r="M452" s="194"/>
      <c r="N452" s="248"/>
      <c r="O452" s="248"/>
      <c r="P452" s="108" t="str">
        <f>IFERROR(INDEX(Setup!$D$44:$D$70,MATCH(M452,Setup!$K$44:$K$70,0))&amp;"","")</f>
        <v/>
      </c>
      <c r="Q452" s="108" t="str">
        <f>IFERROR(INDEX(Setup!$E$44:$E$70,MATCH(M452,Setup!$K$44:$K$70,0))&amp;"","")</f>
        <v/>
      </c>
      <c r="R452" s="108" t="str">
        <f>IFERROR(INDEX(Setup!$L$44:$L$70,MATCH(M452,Setup!$K$44:$K$70,0))&amp;"","")</f>
        <v/>
      </c>
      <c r="S452" s="108" t="str">
        <f>Setup!$C$30</f>
        <v>USD</v>
      </c>
      <c r="T452" s="109" t="str">
        <f>IFERROR(INDEX('Data Sheet'!$B$198:$B$275,MATCH(I452,'Data Sheet'!$F$198:$F$275,0)),"")</f>
        <v/>
      </c>
      <c r="U452" s="110" t="str">
        <f>IFERROR(INDEX('Data Sheet'!$D$198:$D$275,MATCH(I452,'Data Sheet'!$F$198:$F$275,0)),"")</f>
        <v/>
      </c>
      <c r="V452" s="99"/>
      <c r="W452" s="195" t="str">
        <f>IF(V452=Setup!$C$30,"Grant",IF(V452=Setup!$C$31,"Local",IF(V452=Setup!$C$32,"Other",IF(ISBLANK(V452),"","Other"))))</f>
        <v/>
      </c>
      <c r="X452" s="255"/>
      <c r="Y452" s="259" t="str">
        <f>IF(X452&lt;&gt;"",X452/VLOOKUP($V452,Setup!$C$30:$D$41,2,0),"")</f>
        <v/>
      </c>
      <c r="Z452" s="262"/>
      <c r="AA452" s="256" t="str">
        <f t="shared" si="192"/>
        <v/>
      </c>
      <c r="AB452" s="262"/>
      <c r="AC452" s="258" t="str">
        <f t="shared" si="193"/>
        <v/>
      </c>
      <c r="AD452" s="262"/>
      <c r="AE452" s="258" t="str">
        <f t="shared" si="194"/>
        <v/>
      </c>
      <c r="AF452" s="262"/>
      <c r="AG452" s="256" t="str">
        <f t="shared" si="195"/>
        <v/>
      </c>
      <c r="AH452" s="256" t="str">
        <f t="shared" si="196"/>
        <v/>
      </c>
      <c r="AI452" s="256" t="str">
        <f t="shared" si="197"/>
        <v/>
      </c>
      <c r="AJ452" s="111"/>
      <c r="AK452" s="255"/>
      <c r="AL452" s="259" t="str">
        <f>IF(AK452&lt;&gt;"",AK452/VLOOKUP($V452,Setup!$C$30:$D$41,2,0),"")</f>
        <v/>
      </c>
      <c r="AM452" s="266"/>
      <c r="AN452" s="258" t="str">
        <f t="shared" si="198"/>
        <v/>
      </c>
      <c r="AO452" s="266"/>
      <c r="AP452" s="258" t="str">
        <f t="shared" si="199"/>
        <v/>
      </c>
      <c r="AQ452" s="266"/>
      <c r="AR452" s="258" t="str">
        <f t="shared" si="200"/>
        <v/>
      </c>
      <c r="AS452" s="266"/>
      <c r="AT452" s="256" t="str">
        <f t="shared" si="201"/>
        <v/>
      </c>
      <c r="AU452" s="256" t="str">
        <f t="shared" si="202"/>
        <v/>
      </c>
      <c r="AV452" s="256" t="str">
        <f t="shared" si="203"/>
        <v/>
      </c>
      <c r="AW452" s="267"/>
      <c r="AX452" s="255"/>
      <c r="AY452" s="259" t="str">
        <f>IF(AX452&lt;&gt;"",AX452/VLOOKUP($V452,Setup!$C$30:$D$41,2,0),"")</f>
        <v/>
      </c>
      <c r="AZ452" s="268"/>
      <c r="BA452" s="258" t="str">
        <f t="shared" si="204"/>
        <v/>
      </c>
      <c r="BB452" s="268"/>
      <c r="BC452" s="258" t="str">
        <f t="shared" si="205"/>
        <v/>
      </c>
      <c r="BD452" s="268"/>
      <c r="BE452" s="258" t="str">
        <f t="shared" si="206"/>
        <v/>
      </c>
      <c r="BF452" s="268"/>
      <c r="BG452" s="256" t="str">
        <f t="shared" si="207"/>
        <v/>
      </c>
      <c r="BH452" s="256" t="str">
        <f t="shared" si="208"/>
        <v/>
      </c>
      <c r="BI452" s="256" t="str">
        <f t="shared" si="209"/>
        <v/>
      </c>
      <c r="BJ452" s="267"/>
      <c r="BK452" s="255"/>
      <c r="BL452" s="259" t="str">
        <f>IF(BK452&lt;&gt;"",BK452/VLOOKUP($V452,Setup!$C$30:$D$41,2,0),"")</f>
        <v/>
      </c>
      <c r="BM452" s="268"/>
      <c r="BN452" s="258" t="str">
        <f t="shared" si="210"/>
        <v/>
      </c>
      <c r="BO452" s="268"/>
      <c r="BP452" s="258" t="str">
        <f t="shared" si="211"/>
        <v/>
      </c>
      <c r="BQ452" s="268"/>
      <c r="BR452" s="258" t="str">
        <f t="shared" si="212"/>
        <v/>
      </c>
      <c r="BS452" s="268"/>
      <c r="BT452" s="256" t="str">
        <f t="shared" si="213"/>
        <v/>
      </c>
      <c r="BU452" s="256" t="str">
        <f t="shared" si="214"/>
        <v/>
      </c>
      <c r="BV452" s="256" t="str">
        <f t="shared" si="215"/>
        <v/>
      </c>
      <c r="BW452" s="267"/>
      <c r="BX452" s="256" t="str">
        <f t="shared" si="216"/>
        <v/>
      </c>
      <c r="BY452" s="256" t="str">
        <f t="shared" si="217"/>
        <v/>
      </c>
      <c r="BZ452" s="281"/>
      <c r="CA452" s="282"/>
      <c r="CC452" s="112" t="str">
        <f t="shared" ca="1" si="218"/>
        <v/>
      </c>
      <c r="CF452" s="284"/>
      <c r="CG452" s="284"/>
      <c r="CH452" s="284"/>
      <c r="CI452" s="284"/>
      <c r="CL452" s="356" t="str">
        <f>IFERROR(VLOOKUP(C452,'Data Sheet'!$A$3:$B$26,2,FALSE),"")</f>
        <v/>
      </c>
    </row>
    <row r="453" spans="1:90" s="98" customFormat="1" ht="15.75" x14ac:dyDescent="0.2">
      <c r="A453" s="97"/>
      <c r="B453" s="105" t="str">
        <f t="shared" si="221"/>
        <v>--</v>
      </c>
      <c r="C453" s="276"/>
      <c r="D453" s="101" t="str">
        <f>IFERROR(IF(VLOOKUP(C453,'Data Sheet'!$A$3:$D$26,4,FALSE)=0,"",VLOOKUP(C453,'Data Sheet'!$A$3:$D$26,4,FALSE)),"")</f>
        <v/>
      </c>
      <c r="E453" s="279"/>
      <c r="F453" s="103" t="str">
        <f>IFERROR(IF(VLOOKUP(E453,'Data Sheet'!$C$29:$E$174,3,FALSE)=0,"",VLOOKUP(E453,'Data Sheet'!$C$29:$E$174,3,FALSE)),"")</f>
        <v/>
      </c>
      <c r="G453" s="106" t="str">
        <f t="shared" si="219"/>
        <v>-</v>
      </c>
      <c r="H453" s="273"/>
      <c r="I453" s="107"/>
      <c r="J453" s="249" t="e">
        <f t="shared" si="220"/>
        <v>#VALUE!</v>
      </c>
      <c r="K453" s="101" t="str">
        <f>IFERROR(INDEX('Data Sheet'!$C$198:$C$275,MATCH(I453,'Data Sheet'!$F$198:$F$275,0)),"")</f>
        <v/>
      </c>
      <c r="L453" s="250" t="str">
        <f>IFERROR(INDEX('Data Sheet'!$G$198:$G$275,MATCH(I453,'Data Sheet'!$F$198:$F$275,0)),"")</f>
        <v/>
      </c>
      <c r="M453" s="194"/>
      <c r="N453" s="248"/>
      <c r="O453" s="248"/>
      <c r="P453" s="108" t="str">
        <f>IFERROR(INDEX(Setup!$D$44:$D$70,MATCH(M453,Setup!$K$44:$K$70,0))&amp;"","")</f>
        <v/>
      </c>
      <c r="Q453" s="108" t="str">
        <f>IFERROR(INDEX(Setup!$E$44:$E$70,MATCH(M453,Setup!$K$44:$K$70,0))&amp;"","")</f>
        <v/>
      </c>
      <c r="R453" s="108" t="str">
        <f>IFERROR(INDEX(Setup!$L$44:$L$70,MATCH(M453,Setup!$K$44:$K$70,0))&amp;"","")</f>
        <v/>
      </c>
      <c r="S453" s="108" t="str">
        <f>Setup!$C$30</f>
        <v>USD</v>
      </c>
      <c r="T453" s="109" t="str">
        <f>IFERROR(INDEX('Data Sheet'!$B$198:$B$275,MATCH(I453,'Data Sheet'!$F$198:$F$275,0)),"")</f>
        <v/>
      </c>
      <c r="U453" s="110" t="str">
        <f>IFERROR(INDEX('Data Sheet'!$D$198:$D$275,MATCH(I453,'Data Sheet'!$F$198:$F$275,0)),"")</f>
        <v/>
      </c>
      <c r="V453" s="99"/>
      <c r="W453" s="195" t="str">
        <f>IF(V453=Setup!$C$30,"Grant",IF(V453=Setup!$C$31,"Local",IF(V453=Setup!$C$32,"Other",IF(ISBLANK(V453),"","Other"))))</f>
        <v/>
      </c>
      <c r="X453" s="255"/>
      <c r="Y453" s="259" t="str">
        <f>IF(X453&lt;&gt;"",X453/VLOOKUP($V453,Setup!$C$30:$D$41,2,0),"")</f>
        <v/>
      </c>
      <c r="Z453" s="262"/>
      <c r="AA453" s="256" t="str">
        <f t="shared" ref="AA453:AA516" si="222">IFERROR(IF(AND(NOT(Z453=""),NOT(Y453="")),Z453*Y453,""),"")</f>
        <v/>
      </c>
      <c r="AB453" s="262"/>
      <c r="AC453" s="258" t="str">
        <f t="shared" ref="AC453:AC516" si="223">IFERROR(IF(AND(NOT(AB453=""),NOT(Y453="")),AB453*Y453,""),"")</f>
        <v/>
      </c>
      <c r="AD453" s="262"/>
      <c r="AE453" s="258" t="str">
        <f t="shared" ref="AE453:AE516" si="224">IFERROR(IF(AND(NOT(AD453=""),NOT(Y453="")),AD453*Y453,""),"")</f>
        <v/>
      </c>
      <c r="AF453" s="262"/>
      <c r="AG453" s="256" t="str">
        <f t="shared" ref="AG453:AG516" si="225">IFERROR(IF(AND(NOT(AF453=""),NOT(Y453="")),AF453*Y453,""),"")</f>
        <v/>
      </c>
      <c r="AH453" s="256" t="str">
        <f t="shared" ref="AH453:AH516" si="226">IFERROR(IF(OR(NOT(Z453=""),NOT(AF453=""),NOT(AB453=""),NOT(AD453="")),Z453+AF453+AB453+AD453,""),"")</f>
        <v/>
      </c>
      <c r="AI453" s="256" t="str">
        <f t="shared" ref="AI453:AI516" si="227">IF(SUM(AA453,AC453,AE453,AG453)&gt;0,SUM(AA453,AC453,AE453,AG453),"")</f>
        <v/>
      </c>
      <c r="AJ453" s="111"/>
      <c r="AK453" s="255"/>
      <c r="AL453" s="259" t="str">
        <f>IF(AK453&lt;&gt;"",AK453/VLOOKUP($V453,Setup!$C$30:$D$41,2,0),"")</f>
        <v/>
      </c>
      <c r="AM453" s="266"/>
      <c r="AN453" s="258" t="str">
        <f t="shared" ref="AN453:AN516" si="228">IFERROR(IF(AND(NOT(AM453=""),NOT(AL453="")),AM453*$AL453,""),"")</f>
        <v/>
      </c>
      <c r="AO453" s="266"/>
      <c r="AP453" s="258" t="str">
        <f t="shared" ref="AP453:AP516" si="229">IFERROR(IF(AND(NOT(AO453=""),NOT(AL453="")),AO453*$AL453,""),"")</f>
        <v/>
      </c>
      <c r="AQ453" s="266"/>
      <c r="AR453" s="258" t="str">
        <f t="shared" ref="AR453:AR516" si="230">IFERROR(IF(AND(NOT(AQ453=""),NOT(AL453="")),AQ453*$AL453,""),"")</f>
        <v/>
      </c>
      <c r="AS453" s="266"/>
      <c r="AT453" s="256" t="str">
        <f t="shared" ref="AT453:AT516" si="231">IFERROR(IF(AND(NOT(AS453=""),NOT(AL453="")),AS453*$AL453,""),"")</f>
        <v/>
      </c>
      <c r="AU453" s="256" t="str">
        <f t="shared" ref="AU453:AU516" si="232">IFERROR(IF(OR(NOT(AM453=""),NOT(AS453=""),NOT(AO453=""),NOT(AQ453="")),AM453+AS453+AO453+AQ453,""),"")</f>
        <v/>
      </c>
      <c r="AV453" s="256" t="str">
        <f t="shared" ref="AV453:AV516" si="233">IF(SUM(AN453,AT453,AP453,AR453)&gt;0,SUM(AN453,AT453,AP453,AR453),"")</f>
        <v/>
      </c>
      <c r="AW453" s="267"/>
      <c r="AX453" s="255"/>
      <c r="AY453" s="259" t="str">
        <f>IF(AX453&lt;&gt;"",AX453/VLOOKUP($V453,Setup!$C$30:$D$41,2,0),"")</f>
        <v/>
      </c>
      <c r="AZ453" s="268"/>
      <c r="BA453" s="258" t="str">
        <f t="shared" ref="BA453:BA516" si="234">IFERROR(IF(AND(NOT(AZ453=""),NOT(AY453="")),AZ453*$AY453,""),"")</f>
        <v/>
      </c>
      <c r="BB453" s="268"/>
      <c r="BC453" s="258" t="str">
        <f t="shared" ref="BC453:BC516" si="235">IFERROR(IF(AND(NOT(BB453=""),NOT(AY453="")),BB453*$AY453,""),"")</f>
        <v/>
      </c>
      <c r="BD453" s="268"/>
      <c r="BE453" s="258" t="str">
        <f t="shared" ref="BE453:BE516" si="236">IFERROR(IF(AND(NOT(BD453=""),NOT(AY453="")),BD453*$AY453,""),"")</f>
        <v/>
      </c>
      <c r="BF453" s="268"/>
      <c r="BG453" s="256" t="str">
        <f t="shared" ref="BG453:BG516" si="237">IFERROR(IF(AND(NOT(BF453=""),NOT(AY453="")),BF453*$AY453,""),"")</f>
        <v/>
      </c>
      <c r="BH453" s="256" t="str">
        <f t="shared" ref="BH453:BH516" si="238">IFERROR(IF(OR(NOT(AZ453=""),NOT(BF453=""),NOT(BB453=""),NOT(BD453="")),AZ453+BF453+BB453+BD453,""),"")</f>
        <v/>
      </c>
      <c r="BI453" s="256" t="str">
        <f t="shared" ref="BI453:BI516" si="239">IF(SUM(BA453,BG453,BC453,BE453)&gt;0,SUM(BA453,BG453,BC453,BE453),"")</f>
        <v/>
      </c>
      <c r="BJ453" s="267"/>
      <c r="BK453" s="255"/>
      <c r="BL453" s="259" t="str">
        <f>IF(BK453&lt;&gt;"",BK453/VLOOKUP($V453,Setup!$C$30:$D$41,2,0),"")</f>
        <v/>
      </c>
      <c r="BM453" s="268"/>
      <c r="BN453" s="258" t="str">
        <f t="shared" ref="BN453:BN516" si="240">IFERROR(IF(AND(NOT(BM453=""),NOT(BL453="")),BM453*$BL453,""),"")</f>
        <v/>
      </c>
      <c r="BO453" s="268"/>
      <c r="BP453" s="258" t="str">
        <f t="shared" ref="BP453:BP516" si="241">IFERROR(IF(AND(NOT(BO453=""),NOT(BL453="")),BO453*$BL453,""),"")</f>
        <v/>
      </c>
      <c r="BQ453" s="268"/>
      <c r="BR453" s="258" t="str">
        <f t="shared" ref="BR453:BR516" si="242">IFERROR(IF(AND(NOT(BQ453=""),NOT(BL453="")),BQ453*$BL453,""),"")</f>
        <v/>
      </c>
      <c r="BS453" s="268"/>
      <c r="BT453" s="256" t="str">
        <f t="shared" ref="BT453:BT516" si="243">IFERROR(IF(AND(NOT(BS453=""),NOT(BL453="")),BS453*$BL453,""),"")</f>
        <v/>
      </c>
      <c r="BU453" s="256" t="str">
        <f t="shared" ref="BU453:BU516" si="244">IFERROR(IF(OR(NOT(BM453=""),NOT(BS453=""),NOT(BO453=""),NOT(BQ453="")),BM453+BS453+BO453+BQ453,""),"")</f>
        <v/>
      </c>
      <c r="BV453" s="256" t="str">
        <f t="shared" ref="BV453:BV516" si="245">IF(SUM(BN453,BT453,BP453,BR453)&gt;0,SUM(BN453,BT453,BP453,BR453),"")</f>
        <v/>
      </c>
      <c r="BW453" s="267"/>
      <c r="BX453" s="256" t="str">
        <f t="shared" ref="BX453:BX516" si="246">IF(SUM(AH453,AU453,BH453,BU453)&gt;0,SUM(AH453,AU453,BH453,BU453),"")</f>
        <v/>
      </c>
      <c r="BY453" s="256" t="str">
        <f t="shared" ref="BY453:BY516" si="247">IF(SUM(AI453,AV453,BI453,BV453)&gt;0,SUM(AI453,AV453,BI453,BV453),"")</f>
        <v/>
      </c>
      <c r="BZ453" s="281"/>
      <c r="CA453" s="282"/>
      <c r="CC453" s="112" t="str">
        <f t="shared" ref="CC453:CC504" ca="1" si="248">IF(OR(B453="--",IFERROR(MATCH(B453,OFFSET(B$4,0,0,ROW()-1,1),0),1)&lt;&gt;1),"",1)</f>
        <v/>
      </c>
      <c r="CF453" s="284"/>
      <c r="CG453" s="284"/>
      <c r="CH453" s="284"/>
      <c r="CI453" s="284"/>
      <c r="CL453" s="356" t="str">
        <f>IFERROR(VLOOKUP(C453,'Data Sheet'!$A$3:$B$26,2,FALSE),"")</f>
        <v/>
      </c>
    </row>
    <row r="454" spans="1:90" s="98" customFormat="1" ht="15.75" x14ac:dyDescent="0.2">
      <c r="A454" s="97"/>
      <c r="B454" s="105" t="str">
        <f t="shared" si="221"/>
        <v>--</v>
      </c>
      <c r="C454" s="276"/>
      <c r="D454" s="101" t="str">
        <f>IFERROR(IF(VLOOKUP(C454,'Data Sheet'!$A$3:$D$26,4,FALSE)=0,"",VLOOKUP(C454,'Data Sheet'!$A$3:$D$26,4,FALSE)),"")</f>
        <v/>
      </c>
      <c r="E454" s="279"/>
      <c r="F454" s="103" t="str">
        <f>IFERROR(IF(VLOOKUP(E454,'Data Sheet'!$C$29:$E$174,3,FALSE)=0,"",VLOOKUP(E454,'Data Sheet'!$C$29:$E$174,3,FALSE)),"")</f>
        <v/>
      </c>
      <c r="G454" s="106" t="str">
        <f t="shared" ref="G454:G517" si="249">CONCATENATE(D454,"-",F454)</f>
        <v>-</v>
      </c>
      <c r="H454" s="273"/>
      <c r="I454" s="107"/>
      <c r="J454" s="249" t="e">
        <f t="shared" ref="J454:J517" si="250">LEFT(I454,SEARCH(".",I454,1)+1)</f>
        <v>#VALUE!</v>
      </c>
      <c r="K454" s="101" t="str">
        <f>IFERROR(INDEX('Data Sheet'!$C$198:$C$275,MATCH(I454,'Data Sheet'!$F$198:$F$275,0)),"")</f>
        <v/>
      </c>
      <c r="L454" s="250" t="str">
        <f>IFERROR(INDEX('Data Sheet'!$G$198:$G$275,MATCH(I454,'Data Sheet'!$F$198:$F$275,0)),"")</f>
        <v/>
      </c>
      <c r="M454" s="194"/>
      <c r="N454" s="248"/>
      <c r="O454" s="248"/>
      <c r="P454" s="108" t="str">
        <f>IFERROR(INDEX(Setup!$D$44:$D$70,MATCH(M454,Setup!$K$44:$K$70,0))&amp;"","")</f>
        <v/>
      </c>
      <c r="Q454" s="108" t="str">
        <f>IFERROR(INDEX(Setup!$E$44:$E$70,MATCH(M454,Setup!$K$44:$K$70,0))&amp;"","")</f>
        <v/>
      </c>
      <c r="R454" s="108" t="str">
        <f>IFERROR(INDEX(Setup!$L$44:$L$70,MATCH(M454,Setup!$K$44:$K$70,0))&amp;"","")</f>
        <v/>
      </c>
      <c r="S454" s="108" t="str">
        <f>Setup!$C$30</f>
        <v>USD</v>
      </c>
      <c r="T454" s="109" t="str">
        <f>IFERROR(INDEX('Data Sheet'!$B$198:$B$275,MATCH(I454,'Data Sheet'!$F$198:$F$275,0)),"")</f>
        <v/>
      </c>
      <c r="U454" s="110" t="str">
        <f>IFERROR(INDEX('Data Sheet'!$D$198:$D$275,MATCH(I454,'Data Sheet'!$F$198:$F$275,0)),"")</f>
        <v/>
      </c>
      <c r="V454" s="99"/>
      <c r="W454" s="195" t="str">
        <f>IF(V454=Setup!$C$30,"Grant",IF(V454=Setup!$C$31,"Local",IF(V454=Setup!$C$32,"Other",IF(ISBLANK(V454),"","Other"))))</f>
        <v/>
      </c>
      <c r="X454" s="255"/>
      <c r="Y454" s="259" t="str">
        <f>IF(X454&lt;&gt;"",X454/VLOOKUP($V454,Setup!$C$30:$D$41,2,0),"")</f>
        <v/>
      </c>
      <c r="Z454" s="262"/>
      <c r="AA454" s="256" t="str">
        <f t="shared" si="222"/>
        <v/>
      </c>
      <c r="AB454" s="262"/>
      <c r="AC454" s="258" t="str">
        <f t="shared" si="223"/>
        <v/>
      </c>
      <c r="AD454" s="262"/>
      <c r="AE454" s="258" t="str">
        <f t="shared" si="224"/>
        <v/>
      </c>
      <c r="AF454" s="262"/>
      <c r="AG454" s="256" t="str">
        <f t="shared" si="225"/>
        <v/>
      </c>
      <c r="AH454" s="256" t="str">
        <f t="shared" si="226"/>
        <v/>
      </c>
      <c r="AI454" s="256" t="str">
        <f t="shared" si="227"/>
        <v/>
      </c>
      <c r="AJ454" s="111"/>
      <c r="AK454" s="255"/>
      <c r="AL454" s="259" t="str">
        <f>IF(AK454&lt;&gt;"",AK454/VLOOKUP($V454,Setup!$C$30:$D$41,2,0),"")</f>
        <v/>
      </c>
      <c r="AM454" s="266"/>
      <c r="AN454" s="258" t="str">
        <f t="shared" si="228"/>
        <v/>
      </c>
      <c r="AO454" s="266"/>
      <c r="AP454" s="258" t="str">
        <f t="shared" si="229"/>
        <v/>
      </c>
      <c r="AQ454" s="266"/>
      <c r="AR454" s="258" t="str">
        <f t="shared" si="230"/>
        <v/>
      </c>
      <c r="AS454" s="266"/>
      <c r="AT454" s="256" t="str">
        <f t="shared" si="231"/>
        <v/>
      </c>
      <c r="AU454" s="256" t="str">
        <f t="shared" si="232"/>
        <v/>
      </c>
      <c r="AV454" s="256" t="str">
        <f t="shared" si="233"/>
        <v/>
      </c>
      <c r="AW454" s="267"/>
      <c r="AX454" s="255"/>
      <c r="AY454" s="259" t="str">
        <f>IF(AX454&lt;&gt;"",AX454/VLOOKUP($V454,Setup!$C$30:$D$41,2,0),"")</f>
        <v/>
      </c>
      <c r="AZ454" s="268"/>
      <c r="BA454" s="258" t="str">
        <f t="shared" si="234"/>
        <v/>
      </c>
      <c r="BB454" s="268"/>
      <c r="BC454" s="258" t="str">
        <f t="shared" si="235"/>
        <v/>
      </c>
      <c r="BD454" s="268"/>
      <c r="BE454" s="258" t="str">
        <f t="shared" si="236"/>
        <v/>
      </c>
      <c r="BF454" s="268"/>
      <c r="BG454" s="256" t="str">
        <f t="shared" si="237"/>
        <v/>
      </c>
      <c r="BH454" s="256" t="str">
        <f t="shared" si="238"/>
        <v/>
      </c>
      <c r="BI454" s="256" t="str">
        <f t="shared" si="239"/>
        <v/>
      </c>
      <c r="BJ454" s="267"/>
      <c r="BK454" s="255"/>
      <c r="BL454" s="259" t="str">
        <f>IF(BK454&lt;&gt;"",BK454/VLOOKUP($V454,Setup!$C$30:$D$41,2,0),"")</f>
        <v/>
      </c>
      <c r="BM454" s="268"/>
      <c r="BN454" s="258" t="str">
        <f t="shared" si="240"/>
        <v/>
      </c>
      <c r="BO454" s="268"/>
      <c r="BP454" s="258" t="str">
        <f t="shared" si="241"/>
        <v/>
      </c>
      <c r="BQ454" s="268"/>
      <c r="BR454" s="258" t="str">
        <f t="shared" si="242"/>
        <v/>
      </c>
      <c r="BS454" s="268"/>
      <c r="BT454" s="256" t="str">
        <f t="shared" si="243"/>
        <v/>
      </c>
      <c r="BU454" s="256" t="str">
        <f t="shared" si="244"/>
        <v/>
      </c>
      <c r="BV454" s="256" t="str">
        <f t="shared" si="245"/>
        <v/>
      </c>
      <c r="BW454" s="267"/>
      <c r="BX454" s="256" t="str">
        <f t="shared" si="246"/>
        <v/>
      </c>
      <c r="BY454" s="256" t="str">
        <f t="shared" si="247"/>
        <v/>
      </c>
      <c r="BZ454" s="281"/>
      <c r="CA454" s="282"/>
      <c r="CC454" s="112" t="str">
        <f t="shared" ca="1" si="248"/>
        <v/>
      </c>
      <c r="CF454" s="284"/>
      <c r="CG454" s="284"/>
      <c r="CH454" s="284"/>
      <c r="CI454" s="284"/>
      <c r="CL454" s="356" t="str">
        <f>IFERROR(VLOOKUP(C454,'Data Sheet'!$A$3:$B$26,2,FALSE),"")</f>
        <v/>
      </c>
    </row>
    <row r="455" spans="1:90" s="98" customFormat="1" ht="15.75" x14ac:dyDescent="0.2">
      <c r="A455" s="97"/>
      <c r="B455" s="105" t="str">
        <f t="shared" si="221"/>
        <v>--</v>
      </c>
      <c r="C455" s="276"/>
      <c r="D455" s="101" t="str">
        <f>IFERROR(IF(VLOOKUP(C455,'Data Sheet'!$A$3:$D$26,4,FALSE)=0,"",VLOOKUP(C455,'Data Sheet'!$A$3:$D$26,4,FALSE)),"")</f>
        <v/>
      </c>
      <c r="E455" s="279"/>
      <c r="F455" s="103" t="str">
        <f>IFERROR(IF(VLOOKUP(E455,'Data Sheet'!$C$29:$E$174,3,FALSE)=0,"",VLOOKUP(E455,'Data Sheet'!$C$29:$E$174,3,FALSE)),"")</f>
        <v/>
      </c>
      <c r="G455" s="106" t="str">
        <f t="shared" si="249"/>
        <v>-</v>
      </c>
      <c r="H455" s="273"/>
      <c r="I455" s="107"/>
      <c r="J455" s="249" t="e">
        <f t="shared" si="250"/>
        <v>#VALUE!</v>
      </c>
      <c r="K455" s="101" t="str">
        <f>IFERROR(INDEX('Data Sheet'!$C$198:$C$275,MATCH(I455,'Data Sheet'!$F$198:$F$275,0)),"")</f>
        <v/>
      </c>
      <c r="L455" s="250" t="str">
        <f>IFERROR(INDEX('Data Sheet'!$G$198:$G$275,MATCH(I455,'Data Sheet'!$F$198:$F$275,0)),"")</f>
        <v/>
      </c>
      <c r="M455" s="194"/>
      <c r="N455" s="248"/>
      <c r="O455" s="248"/>
      <c r="P455" s="108" t="str">
        <f>IFERROR(INDEX(Setup!$D$44:$D$70,MATCH(M455,Setup!$K$44:$K$70,0))&amp;"","")</f>
        <v/>
      </c>
      <c r="Q455" s="108" t="str">
        <f>IFERROR(INDEX(Setup!$E$44:$E$70,MATCH(M455,Setup!$K$44:$K$70,0))&amp;"","")</f>
        <v/>
      </c>
      <c r="R455" s="108" t="str">
        <f>IFERROR(INDEX(Setup!$L$44:$L$70,MATCH(M455,Setup!$K$44:$K$70,0))&amp;"","")</f>
        <v/>
      </c>
      <c r="S455" s="108" t="str">
        <f>Setup!$C$30</f>
        <v>USD</v>
      </c>
      <c r="T455" s="109" t="str">
        <f>IFERROR(INDEX('Data Sheet'!$B$198:$B$275,MATCH(I455,'Data Sheet'!$F$198:$F$275,0)),"")</f>
        <v/>
      </c>
      <c r="U455" s="110" t="str">
        <f>IFERROR(INDEX('Data Sheet'!$D$198:$D$275,MATCH(I455,'Data Sheet'!$F$198:$F$275,0)),"")</f>
        <v/>
      </c>
      <c r="V455" s="99"/>
      <c r="W455" s="195" t="str">
        <f>IF(V455=Setup!$C$30,"Grant",IF(V455=Setup!$C$31,"Local",IF(V455=Setup!$C$32,"Other",IF(ISBLANK(V455),"","Other"))))</f>
        <v/>
      </c>
      <c r="X455" s="255"/>
      <c r="Y455" s="259" t="str">
        <f>IF(X455&lt;&gt;"",X455/VLOOKUP($V455,Setup!$C$30:$D$41,2,0),"")</f>
        <v/>
      </c>
      <c r="Z455" s="262"/>
      <c r="AA455" s="256" t="str">
        <f t="shared" si="222"/>
        <v/>
      </c>
      <c r="AB455" s="262"/>
      <c r="AC455" s="258" t="str">
        <f t="shared" si="223"/>
        <v/>
      </c>
      <c r="AD455" s="262"/>
      <c r="AE455" s="258" t="str">
        <f t="shared" si="224"/>
        <v/>
      </c>
      <c r="AF455" s="262"/>
      <c r="AG455" s="256" t="str">
        <f t="shared" si="225"/>
        <v/>
      </c>
      <c r="AH455" s="256" t="str">
        <f t="shared" si="226"/>
        <v/>
      </c>
      <c r="AI455" s="256" t="str">
        <f t="shared" si="227"/>
        <v/>
      </c>
      <c r="AJ455" s="111"/>
      <c r="AK455" s="255"/>
      <c r="AL455" s="259" t="str">
        <f>IF(AK455&lt;&gt;"",AK455/VLOOKUP($V455,Setup!$C$30:$D$41,2,0),"")</f>
        <v/>
      </c>
      <c r="AM455" s="266"/>
      <c r="AN455" s="258" t="str">
        <f t="shared" si="228"/>
        <v/>
      </c>
      <c r="AO455" s="266"/>
      <c r="AP455" s="258" t="str">
        <f t="shared" si="229"/>
        <v/>
      </c>
      <c r="AQ455" s="266"/>
      <c r="AR455" s="258" t="str">
        <f t="shared" si="230"/>
        <v/>
      </c>
      <c r="AS455" s="266"/>
      <c r="AT455" s="256" t="str">
        <f t="shared" si="231"/>
        <v/>
      </c>
      <c r="AU455" s="256" t="str">
        <f t="shared" si="232"/>
        <v/>
      </c>
      <c r="AV455" s="256" t="str">
        <f t="shared" si="233"/>
        <v/>
      </c>
      <c r="AW455" s="267"/>
      <c r="AX455" s="255"/>
      <c r="AY455" s="259" t="str">
        <f>IF(AX455&lt;&gt;"",AX455/VLOOKUP($V455,Setup!$C$30:$D$41,2,0),"")</f>
        <v/>
      </c>
      <c r="AZ455" s="268"/>
      <c r="BA455" s="258" t="str">
        <f t="shared" si="234"/>
        <v/>
      </c>
      <c r="BB455" s="268"/>
      <c r="BC455" s="258" t="str">
        <f t="shared" si="235"/>
        <v/>
      </c>
      <c r="BD455" s="268"/>
      <c r="BE455" s="258" t="str">
        <f t="shared" si="236"/>
        <v/>
      </c>
      <c r="BF455" s="268"/>
      <c r="BG455" s="256" t="str">
        <f t="shared" si="237"/>
        <v/>
      </c>
      <c r="BH455" s="256" t="str">
        <f t="shared" si="238"/>
        <v/>
      </c>
      <c r="BI455" s="256" t="str">
        <f t="shared" si="239"/>
        <v/>
      </c>
      <c r="BJ455" s="267"/>
      <c r="BK455" s="255"/>
      <c r="BL455" s="259" t="str">
        <f>IF(BK455&lt;&gt;"",BK455/VLOOKUP($V455,Setup!$C$30:$D$41,2,0),"")</f>
        <v/>
      </c>
      <c r="BM455" s="268"/>
      <c r="BN455" s="258" t="str">
        <f t="shared" si="240"/>
        <v/>
      </c>
      <c r="BO455" s="268"/>
      <c r="BP455" s="258" t="str">
        <f t="shared" si="241"/>
        <v/>
      </c>
      <c r="BQ455" s="268"/>
      <c r="BR455" s="258" t="str">
        <f t="shared" si="242"/>
        <v/>
      </c>
      <c r="BS455" s="268"/>
      <c r="BT455" s="256" t="str">
        <f t="shared" si="243"/>
        <v/>
      </c>
      <c r="BU455" s="256" t="str">
        <f t="shared" si="244"/>
        <v/>
      </c>
      <c r="BV455" s="256" t="str">
        <f t="shared" si="245"/>
        <v/>
      </c>
      <c r="BW455" s="267"/>
      <c r="BX455" s="256" t="str">
        <f t="shared" si="246"/>
        <v/>
      </c>
      <c r="BY455" s="256" t="str">
        <f t="shared" si="247"/>
        <v/>
      </c>
      <c r="BZ455" s="281"/>
      <c r="CA455" s="282"/>
      <c r="CC455" s="112" t="str">
        <f t="shared" ca="1" si="248"/>
        <v/>
      </c>
      <c r="CF455" s="284"/>
      <c r="CG455" s="284"/>
      <c r="CH455" s="284"/>
      <c r="CI455" s="284"/>
      <c r="CL455" s="356" t="str">
        <f>IFERROR(VLOOKUP(C455,'Data Sheet'!$A$3:$B$26,2,FALSE),"")</f>
        <v/>
      </c>
    </row>
    <row r="456" spans="1:90" s="98" customFormat="1" ht="15.75" x14ac:dyDescent="0.2">
      <c r="A456" s="97"/>
      <c r="B456" s="105" t="str">
        <f t="shared" si="221"/>
        <v>--</v>
      </c>
      <c r="C456" s="276"/>
      <c r="D456" s="101" t="str">
        <f>IFERROR(IF(VLOOKUP(C456,'Data Sheet'!$A$3:$D$26,4,FALSE)=0,"",VLOOKUP(C456,'Data Sheet'!$A$3:$D$26,4,FALSE)),"")</f>
        <v/>
      </c>
      <c r="E456" s="279"/>
      <c r="F456" s="103" t="str">
        <f>IFERROR(IF(VLOOKUP(E456,'Data Sheet'!$C$29:$E$174,3,FALSE)=0,"",VLOOKUP(E456,'Data Sheet'!$C$29:$E$174,3,FALSE)),"")</f>
        <v/>
      </c>
      <c r="G456" s="106" t="str">
        <f t="shared" si="249"/>
        <v>-</v>
      </c>
      <c r="H456" s="273"/>
      <c r="I456" s="107"/>
      <c r="J456" s="249" t="e">
        <f t="shared" si="250"/>
        <v>#VALUE!</v>
      </c>
      <c r="K456" s="101" t="str">
        <f>IFERROR(INDEX('Data Sheet'!$C$198:$C$275,MATCH(I456,'Data Sheet'!$F$198:$F$275,0)),"")</f>
        <v/>
      </c>
      <c r="L456" s="250" t="str">
        <f>IFERROR(INDEX('Data Sheet'!$G$198:$G$275,MATCH(I456,'Data Sheet'!$F$198:$F$275,0)),"")</f>
        <v/>
      </c>
      <c r="M456" s="194"/>
      <c r="N456" s="248"/>
      <c r="O456" s="248"/>
      <c r="P456" s="108" t="str">
        <f>IFERROR(INDEX(Setup!$D$44:$D$70,MATCH(M456,Setup!$K$44:$K$70,0))&amp;"","")</f>
        <v/>
      </c>
      <c r="Q456" s="108" t="str">
        <f>IFERROR(INDEX(Setup!$E$44:$E$70,MATCH(M456,Setup!$K$44:$K$70,0))&amp;"","")</f>
        <v/>
      </c>
      <c r="R456" s="108" t="str">
        <f>IFERROR(INDEX(Setup!$L$44:$L$70,MATCH(M456,Setup!$K$44:$K$70,0))&amp;"","")</f>
        <v/>
      </c>
      <c r="S456" s="108" t="str">
        <f>Setup!$C$30</f>
        <v>USD</v>
      </c>
      <c r="T456" s="109" t="str">
        <f>IFERROR(INDEX('Data Sheet'!$B$198:$B$275,MATCH(I456,'Data Sheet'!$F$198:$F$275,0)),"")</f>
        <v/>
      </c>
      <c r="U456" s="110" t="str">
        <f>IFERROR(INDEX('Data Sheet'!$D$198:$D$275,MATCH(I456,'Data Sheet'!$F$198:$F$275,0)),"")</f>
        <v/>
      </c>
      <c r="V456" s="99"/>
      <c r="W456" s="195" t="str">
        <f>IF(V456=Setup!$C$30,"Grant",IF(V456=Setup!$C$31,"Local",IF(V456=Setup!$C$32,"Other",IF(ISBLANK(V456),"","Other"))))</f>
        <v/>
      </c>
      <c r="X456" s="255"/>
      <c r="Y456" s="259" t="str">
        <f>IF(X456&lt;&gt;"",X456/VLOOKUP($V456,Setup!$C$30:$D$41,2,0),"")</f>
        <v/>
      </c>
      <c r="Z456" s="262"/>
      <c r="AA456" s="256" t="str">
        <f t="shared" si="222"/>
        <v/>
      </c>
      <c r="AB456" s="262"/>
      <c r="AC456" s="258" t="str">
        <f t="shared" si="223"/>
        <v/>
      </c>
      <c r="AD456" s="262"/>
      <c r="AE456" s="258" t="str">
        <f t="shared" si="224"/>
        <v/>
      </c>
      <c r="AF456" s="262"/>
      <c r="AG456" s="256" t="str">
        <f t="shared" si="225"/>
        <v/>
      </c>
      <c r="AH456" s="256" t="str">
        <f t="shared" si="226"/>
        <v/>
      </c>
      <c r="AI456" s="256" t="str">
        <f t="shared" si="227"/>
        <v/>
      </c>
      <c r="AJ456" s="111"/>
      <c r="AK456" s="255"/>
      <c r="AL456" s="259" t="str">
        <f>IF(AK456&lt;&gt;"",AK456/VLOOKUP($V456,Setup!$C$30:$D$41,2,0),"")</f>
        <v/>
      </c>
      <c r="AM456" s="266"/>
      <c r="AN456" s="258" t="str">
        <f t="shared" si="228"/>
        <v/>
      </c>
      <c r="AO456" s="266"/>
      <c r="AP456" s="258" t="str">
        <f t="shared" si="229"/>
        <v/>
      </c>
      <c r="AQ456" s="266"/>
      <c r="AR456" s="258" t="str">
        <f t="shared" si="230"/>
        <v/>
      </c>
      <c r="AS456" s="266"/>
      <c r="AT456" s="256" t="str">
        <f t="shared" si="231"/>
        <v/>
      </c>
      <c r="AU456" s="256" t="str">
        <f t="shared" si="232"/>
        <v/>
      </c>
      <c r="AV456" s="256" t="str">
        <f t="shared" si="233"/>
        <v/>
      </c>
      <c r="AW456" s="267"/>
      <c r="AX456" s="255"/>
      <c r="AY456" s="259" t="str">
        <f>IF(AX456&lt;&gt;"",AX456/VLOOKUP($V456,Setup!$C$30:$D$41,2,0),"")</f>
        <v/>
      </c>
      <c r="AZ456" s="268"/>
      <c r="BA456" s="258" t="str">
        <f t="shared" si="234"/>
        <v/>
      </c>
      <c r="BB456" s="268"/>
      <c r="BC456" s="258" t="str">
        <f t="shared" si="235"/>
        <v/>
      </c>
      <c r="BD456" s="268"/>
      <c r="BE456" s="258" t="str">
        <f t="shared" si="236"/>
        <v/>
      </c>
      <c r="BF456" s="268"/>
      <c r="BG456" s="256" t="str">
        <f t="shared" si="237"/>
        <v/>
      </c>
      <c r="BH456" s="256" t="str">
        <f t="shared" si="238"/>
        <v/>
      </c>
      <c r="BI456" s="256" t="str">
        <f t="shared" si="239"/>
        <v/>
      </c>
      <c r="BJ456" s="267"/>
      <c r="BK456" s="255"/>
      <c r="BL456" s="259" t="str">
        <f>IF(BK456&lt;&gt;"",BK456/VLOOKUP($V456,Setup!$C$30:$D$41,2,0),"")</f>
        <v/>
      </c>
      <c r="BM456" s="268"/>
      <c r="BN456" s="258" t="str">
        <f t="shared" si="240"/>
        <v/>
      </c>
      <c r="BO456" s="268"/>
      <c r="BP456" s="258" t="str">
        <f t="shared" si="241"/>
        <v/>
      </c>
      <c r="BQ456" s="268"/>
      <c r="BR456" s="258" t="str">
        <f t="shared" si="242"/>
        <v/>
      </c>
      <c r="BS456" s="268"/>
      <c r="BT456" s="256" t="str">
        <f t="shared" si="243"/>
        <v/>
      </c>
      <c r="BU456" s="256" t="str">
        <f t="shared" si="244"/>
        <v/>
      </c>
      <c r="BV456" s="256" t="str">
        <f t="shared" si="245"/>
        <v/>
      </c>
      <c r="BW456" s="267"/>
      <c r="BX456" s="256" t="str">
        <f t="shared" si="246"/>
        <v/>
      </c>
      <c r="BY456" s="256" t="str">
        <f t="shared" si="247"/>
        <v/>
      </c>
      <c r="BZ456" s="281"/>
      <c r="CA456" s="282"/>
      <c r="CC456" s="112" t="str">
        <f t="shared" ca="1" si="248"/>
        <v/>
      </c>
      <c r="CF456" s="284"/>
      <c r="CG456" s="284"/>
      <c r="CH456" s="284"/>
      <c r="CI456" s="284"/>
      <c r="CL456" s="356" t="str">
        <f>IFERROR(VLOOKUP(C456,'Data Sheet'!$A$3:$B$26,2,FALSE),"")</f>
        <v/>
      </c>
    </row>
    <row r="457" spans="1:90" s="98" customFormat="1" ht="15.75" x14ac:dyDescent="0.2">
      <c r="A457" s="97"/>
      <c r="B457" s="105" t="str">
        <f t="shared" si="221"/>
        <v>--</v>
      </c>
      <c r="C457" s="276"/>
      <c r="D457" s="101" t="str">
        <f>IFERROR(IF(VLOOKUP(C457,'Data Sheet'!$A$3:$D$26,4,FALSE)=0,"",VLOOKUP(C457,'Data Sheet'!$A$3:$D$26,4,FALSE)),"")</f>
        <v/>
      </c>
      <c r="E457" s="279"/>
      <c r="F457" s="103" t="str">
        <f>IFERROR(IF(VLOOKUP(E457,'Data Sheet'!$C$29:$E$174,3,FALSE)=0,"",VLOOKUP(E457,'Data Sheet'!$C$29:$E$174,3,FALSE)),"")</f>
        <v/>
      </c>
      <c r="G457" s="106" t="str">
        <f t="shared" si="249"/>
        <v>-</v>
      </c>
      <c r="H457" s="273"/>
      <c r="I457" s="107"/>
      <c r="J457" s="249" t="e">
        <f t="shared" si="250"/>
        <v>#VALUE!</v>
      </c>
      <c r="K457" s="101" t="str">
        <f>IFERROR(INDEX('Data Sheet'!$C$198:$C$275,MATCH(I457,'Data Sheet'!$F$198:$F$275,0)),"")</f>
        <v/>
      </c>
      <c r="L457" s="250" t="str">
        <f>IFERROR(INDEX('Data Sheet'!$G$198:$G$275,MATCH(I457,'Data Sheet'!$F$198:$F$275,0)),"")</f>
        <v/>
      </c>
      <c r="M457" s="194"/>
      <c r="N457" s="248"/>
      <c r="O457" s="248"/>
      <c r="P457" s="108" t="str">
        <f>IFERROR(INDEX(Setup!$D$44:$D$70,MATCH(M457,Setup!$K$44:$K$70,0))&amp;"","")</f>
        <v/>
      </c>
      <c r="Q457" s="108" t="str">
        <f>IFERROR(INDEX(Setup!$E$44:$E$70,MATCH(M457,Setup!$K$44:$K$70,0))&amp;"","")</f>
        <v/>
      </c>
      <c r="R457" s="108" t="str">
        <f>IFERROR(INDEX(Setup!$L$44:$L$70,MATCH(M457,Setup!$K$44:$K$70,0))&amp;"","")</f>
        <v/>
      </c>
      <c r="S457" s="108" t="str">
        <f>Setup!$C$30</f>
        <v>USD</v>
      </c>
      <c r="T457" s="109" t="str">
        <f>IFERROR(INDEX('Data Sheet'!$B$198:$B$275,MATCH(I457,'Data Sheet'!$F$198:$F$275,0)),"")</f>
        <v/>
      </c>
      <c r="U457" s="110" t="str">
        <f>IFERROR(INDEX('Data Sheet'!$D$198:$D$275,MATCH(I457,'Data Sheet'!$F$198:$F$275,0)),"")</f>
        <v/>
      </c>
      <c r="V457" s="99"/>
      <c r="W457" s="195" t="str">
        <f>IF(V457=Setup!$C$30,"Grant",IF(V457=Setup!$C$31,"Local",IF(V457=Setup!$C$32,"Other",IF(ISBLANK(V457),"","Other"))))</f>
        <v/>
      </c>
      <c r="X457" s="255"/>
      <c r="Y457" s="259" t="str">
        <f>IF(X457&lt;&gt;"",X457/VLOOKUP($V457,Setup!$C$30:$D$41,2,0),"")</f>
        <v/>
      </c>
      <c r="Z457" s="262"/>
      <c r="AA457" s="256" t="str">
        <f t="shared" si="222"/>
        <v/>
      </c>
      <c r="AB457" s="262"/>
      <c r="AC457" s="258" t="str">
        <f t="shared" si="223"/>
        <v/>
      </c>
      <c r="AD457" s="262"/>
      <c r="AE457" s="258" t="str">
        <f t="shared" si="224"/>
        <v/>
      </c>
      <c r="AF457" s="262"/>
      <c r="AG457" s="256" t="str">
        <f t="shared" si="225"/>
        <v/>
      </c>
      <c r="AH457" s="256" t="str">
        <f t="shared" si="226"/>
        <v/>
      </c>
      <c r="AI457" s="256" t="str">
        <f t="shared" si="227"/>
        <v/>
      </c>
      <c r="AJ457" s="111"/>
      <c r="AK457" s="255"/>
      <c r="AL457" s="259" t="str">
        <f>IF(AK457&lt;&gt;"",AK457/VLOOKUP($V457,Setup!$C$30:$D$41,2,0),"")</f>
        <v/>
      </c>
      <c r="AM457" s="266"/>
      <c r="AN457" s="258" t="str">
        <f t="shared" si="228"/>
        <v/>
      </c>
      <c r="AO457" s="266"/>
      <c r="AP457" s="258" t="str">
        <f t="shared" si="229"/>
        <v/>
      </c>
      <c r="AQ457" s="266"/>
      <c r="AR457" s="258" t="str">
        <f t="shared" si="230"/>
        <v/>
      </c>
      <c r="AS457" s="266"/>
      <c r="AT457" s="256" t="str">
        <f t="shared" si="231"/>
        <v/>
      </c>
      <c r="AU457" s="256" t="str">
        <f t="shared" si="232"/>
        <v/>
      </c>
      <c r="AV457" s="256" t="str">
        <f t="shared" si="233"/>
        <v/>
      </c>
      <c r="AW457" s="267"/>
      <c r="AX457" s="255"/>
      <c r="AY457" s="259" t="str">
        <f>IF(AX457&lt;&gt;"",AX457/VLOOKUP($V457,Setup!$C$30:$D$41,2,0),"")</f>
        <v/>
      </c>
      <c r="AZ457" s="268"/>
      <c r="BA457" s="258" t="str">
        <f t="shared" si="234"/>
        <v/>
      </c>
      <c r="BB457" s="268"/>
      <c r="BC457" s="258" t="str">
        <f t="shared" si="235"/>
        <v/>
      </c>
      <c r="BD457" s="268"/>
      <c r="BE457" s="258" t="str">
        <f t="shared" si="236"/>
        <v/>
      </c>
      <c r="BF457" s="268"/>
      <c r="BG457" s="256" t="str">
        <f t="shared" si="237"/>
        <v/>
      </c>
      <c r="BH457" s="256" t="str">
        <f t="shared" si="238"/>
        <v/>
      </c>
      <c r="BI457" s="256" t="str">
        <f t="shared" si="239"/>
        <v/>
      </c>
      <c r="BJ457" s="267"/>
      <c r="BK457" s="255"/>
      <c r="BL457" s="259" t="str">
        <f>IF(BK457&lt;&gt;"",BK457/VLOOKUP($V457,Setup!$C$30:$D$41,2,0),"")</f>
        <v/>
      </c>
      <c r="BM457" s="268"/>
      <c r="BN457" s="258" t="str">
        <f t="shared" si="240"/>
        <v/>
      </c>
      <c r="BO457" s="268"/>
      <c r="BP457" s="258" t="str">
        <f t="shared" si="241"/>
        <v/>
      </c>
      <c r="BQ457" s="268"/>
      <c r="BR457" s="258" t="str">
        <f t="shared" si="242"/>
        <v/>
      </c>
      <c r="BS457" s="268"/>
      <c r="BT457" s="256" t="str">
        <f t="shared" si="243"/>
        <v/>
      </c>
      <c r="BU457" s="256" t="str">
        <f t="shared" si="244"/>
        <v/>
      </c>
      <c r="BV457" s="256" t="str">
        <f t="shared" si="245"/>
        <v/>
      </c>
      <c r="BW457" s="267"/>
      <c r="BX457" s="256" t="str">
        <f t="shared" si="246"/>
        <v/>
      </c>
      <c r="BY457" s="256" t="str">
        <f t="shared" si="247"/>
        <v/>
      </c>
      <c r="BZ457" s="281"/>
      <c r="CA457" s="282"/>
      <c r="CC457" s="112" t="str">
        <f t="shared" ca="1" si="248"/>
        <v/>
      </c>
      <c r="CF457" s="284"/>
      <c r="CG457" s="284"/>
      <c r="CH457" s="284"/>
      <c r="CI457" s="284"/>
      <c r="CL457" s="356" t="str">
        <f>IFERROR(VLOOKUP(C457,'Data Sheet'!$A$3:$B$26,2,FALSE),"")</f>
        <v/>
      </c>
    </row>
    <row r="458" spans="1:90" s="98" customFormat="1" ht="15.75" x14ac:dyDescent="0.2">
      <c r="A458" s="97"/>
      <c r="B458" s="105" t="str">
        <f t="shared" si="221"/>
        <v>--</v>
      </c>
      <c r="C458" s="276"/>
      <c r="D458" s="101" t="str">
        <f>IFERROR(IF(VLOOKUP(C458,'Data Sheet'!$A$3:$D$26,4,FALSE)=0,"",VLOOKUP(C458,'Data Sheet'!$A$3:$D$26,4,FALSE)),"")</f>
        <v/>
      </c>
      <c r="E458" s="279"/>
      <c r="F458" s="103" t="str">
        <f>IFERROR(IF(VLOOKUP(E458,'Data Sheet'!$C$29:$E$174,3,FALSE)=0,"",VLOOKUP(E458,'Data Sheet'!$C$29:$E$174,3,FALSE)),"")</f>
        <v/>
      </c>
      <c r="G458" s="106" t="str">
        <f t="shared" si="249"/>
        <v>-</v>
      </c>
      <c r="H458" s="273"/>
      <c r="I458" s="107"/>
      <c r="J458" s="249" t="e">
        <f t="shared" si="250"/>
        <v>#VALUE!</v>
      </c>
      <c r="K458" s="101" t="str">
        <f>IFERROR(INDEX('Data Sheet'!$C$198:$C$275,MATCH(I458,'Data Sheet'!$F$198:$F$275,0)),"")</f>
        <v/>
      </c>
      <c r="L458" s="250" t="str">
        <f>IFERROR(INDEX('Data Sheet'!$G$198:$G$275,MATCH(I458,'Data Sheet'!$F$198:$F$275,0)),"")</f>
        <v/>
      </c>
      <c r="M458" s="194"/>
      <c r="N458" s="248"/>
      <c r="O458" s="248"/>
      <c r="P458" s="108" t="str">
        <f>IFERROR(INDEX(Setup!$D$44:$D$70,MATCH(M458,Setup!$K$44:$K$70,0))&amp;"","")</f>
        <v/>
      </c>
      <c r="Q458" s="108" t="str">
        <f>IFERROR(INDEX(Setup!$E$44:$E$70,MATCH(M458,Setup!$K$44:$K$70,0))&amp;"","")</f>
        <v/>
      </c>
      <c r="R458" s="108" t="str">
        <f>IFERROR(INDEX(Setup!$L$44:$L$70,MATCH(M458,Setup!$K$44:$K$70,0))&amp;"","")</f>
        <v/>
      </c>
      <c r="S458" s="108" t="str">
        <f>Setup!$C$30</f>
        <v>USD</v>
      </c>
      <c r="T458" s="109" t="str">
        <f>IFERROR(INDEX('Data Sheet'!$B$198:$B$275,MATCH(I458,'Data Sheet'!$F$198:$F$275,0)),"")</f>
        <v/>
      </c>
      <c r="U458" s="110" t="str">
        <f>IFERROR(INDEX('Data Sheet'!$D$198:$D$275,MATCH(I458,'Data Sheet'!$F$198:$F$275,0)),"")</f>
        <v/>
      </c>
      <c r="V458" s="99"/>
      <c r="W458" s="195" t="str">
        <f>IF(V458=Setup!$C$30,"Grant",IF(V458=Setup!$C$31,"Local",IF(V458=Setup!$C$32,"Other",IF(ISBLANK(V458),"","Other"))))</f>
        <v/>
      </c>
      <c r="X458" s="255"/>
      <c r="Y458" s="259" t="str">
        <f>IF(X458&lt;&gt;"",X458/VLOOKUP($V458,Setup!$C$30:$D$41,2,0),"")</f>
        <v/>
      </c>
      <c r="Z458" s="262"/>
      <c r="AA458" s="256" t="str">
        <f t="shared" si="222"/>
        <v/>
      </c>
      <c r="AB458" s="262"/>
      <c r="AC458" s="258" t="str">
        <f t="shared" si="223"/>
        <v/>
      </c>
      <c r="AD458" s="262"/>
      <c r="AE458" s="258" t="str">
        <f t="shared" si="224"/>
        <v/>
      </c>
      <c r="AF458" s="262"/>
      <c r="AG458" s="256" t="str">
        <f t="shared" si="225"/>
        <v/>
      </c>
      <c r="AH458" s="256" t="str">
        <f t="shared" si="226"/>
        <v/>
      </c>
      <c r="AI458" s="256" t="str">
        <f t="shared" si="227"/>
        <v/>
      </c>
      <c r="AJ458" s="111"/>
      <c r="AK458" s="255"/>
      <c r="AL458" s="259" t="str">
        <f>IF(AK458&lt;&gt;"",AK458/VLOOKUP($V458,Setup!$C$30:$D$41,2,0),"")</f>
        <v/>
      </c>
      <c r="AM458" s="266"/>
      <c r="AN458" s="258" t="str">
        <f t="shared" si="228"/>
        <v/>
      </c>
      <c r="AO458" s="266"/>
      <c r="AP458" s="258" t="str">
        <f t="shared" si="229"/>
        <v/>
      </c>
      <c r="AQ458" s="266"/>
      <c r="AR458" s="258" t="str">
        <f t="shared" si="230"/>
        <v/>
      </c>
      <c r="AS458" s="266"/>
      <c r="AT458" s="256" t="str">
        <f t="shared" si="231"/>
        <v/>
      </c>
      <c r="AU458" s="256" t="str">
        <f t="shared" si="232"/>
        <v/>
      </c>
      <c r="AV458" s="256" t="str">
        <f t="shared" si="233"/>
        <v/>
      </c>
      <c r="AW458" s="267"/>
      <c r="AX458" s="255"/>
      <c r="AY458" s="259" t="str">
        <f>IF(AX458&lt;&gt;"",AX458/VLOOKUP($V458,Setup!$C$30:$D$41,2,0),"")</f>
        <v/>
      </c>
      <c r="AZ458" s="268"/>
      <c r="BA458" s="258" t="str">
        <f t="shared" si="234"/>
        <v/>
      </c>
      <c r="BB458" s="268"/>
      <c r="BC458" s="258" t="str">
        <f t="shared" si="235"/>
        <v/>
      </c>
      <c r="BD458" s="268"/>
      <c r="BE458" s="258" t="str">
        <f t="shared" si="236"/>
        <v/>
      </c>
      <c r="BF458" s="268"/>
      <c r="BG458" s="256" t="str">
        <f t="shared" si="237"/>
        <v/>
      </c>
      <c r="BH458" s="256" t="str">
        <f t="shared" si="238"/>
        <v/>
      </c>
      <c r="BI458" s="256" t="str">
        <f t="shared" si="239"/>
        <v/>
      </c>
      <c r="BJ458" s="267"/>
      <c r="BK458" s="255"/>
      <c r="BL458" s="259" t="str">
        <f>IF(BK458&lt;&gt;"",BK458/VLOOKUP($V458,Setup!$C$30:$D$41,2,0),"")</f>
        <v/>
      </c>
      <c r="BM458" s="268"/>
      <c r="BN458" s="258" t="str">
        <f t="shared" si="240"/>
        <v/>
      </c>
      <c r="BO458" s="268"/>
      <c r="BP458" s="258" t="str">
        <f t="shared" si="241"/>
        <v/>
      </c>
      <c r="BQ458" s="268"/>
      <c r="BR458" s="258" t="str">
        <f t="shared" si="242"/>
        <v/>
      </c>
      <c r="BS458" s="268"/>
      <c r="BT458" s="256" t="str">
        <f t="shared" si="243"/>
        <v/>
      </c>
      <c r="BU458" s="256" t="str">
        <f t="shared" si="244"/>
        <v/>
      </c>
      <c r="BV458" s="256" t="str">
        <f t="shared" si="245"/>
        <v/>
      </c>
      <c r="BW458" s="267"/>
      <c r="BX458" s="256" t="str">
        <f t="shared" si="246"/>
        <v/>
      </c>
      <c r="BY458" s="256" t="str">
        <f t="shared" si="247"/>
        <v/>
      </c>
      <c r="BZ458" s="281"/>
      <c r="CA458" s="282"/>
      <c r="CC458" s="112" t="str">
        <f t="shared" ca="1" si="248"/>
        <v/>
      </c>
      <c r="CF458" s="284"/>
      <c r="CG458" s="284"/>
      <c r="CH458" s="284"/>
      <c r="CI458" s="284"/>
      <c r="CL458" s="356" t="str">
        <f>IFERROR(VLOOKUP(C458,'Data Sheet'!$A$3:$B$26,2,FALSE),"")</f>
        <v/>
      </c>
    </row>
    <row r="459" spans="1:90" s="98" customFormat="1" ht="15.75" x14ac:dyDescent="0.2">
      <c r="A459" s="97"/>
      <c r="B459" s="105" t="str">
        <f t="shared" si="221"/>
        <v>--</v>
      </c>
      <c r="C459" s="276"/>
      <c r="D459" s="101" t="str">
        <f>IFERROR(IF(VLOOKUP(C459,'Data Sheet'!$A$3:$D$26,4,FALSE)=0,"",VLOOKUP(C459,'Data Sheet'!$A$3:$D$26,4,FALSE)),"")</f>
        <v/>
      </c>
      <c r="E459" s="279"/>
      <c r="F459" s="103" t="str">
        <f>IFERROR(IF(VLOOKUP(E459,'Data Sheet'!$C$29:$E$174,3,FALSE)=0,"",VLOOKUP(E459,'Data Sheet'!$C$29:$E$174,3,FALSE)),"")</f>
        <v/>
      </c>
      <c r="G459" s="106" t="str">
        <f t="shared" si="249"/>
        <v>-</v>
      </c>
      <c r="H459" s="273"/>
      <c r="I459" s="107"/>
      <c r="J459" s="249" t="e">
        <f t="shared" si="250"/>
        <v>#VALUE!</v>
      </c>
      <c r="K459" s="101" t="str">
        <f>IFERROR(INDEX('Data Sheet'!$C$198:$C$275,MATCH(I459,'Data Sheet'!$F$198:$F$275,0)),"")</f>
        <v/>
      </c>
      <c r="L459" s="250" t="str">
        <f>IFERROR(INDEX('Data Sheet'!$G$198:$G$275,MATCH(I459,'Data Sheet'!$F$198:$F$275,0)),"")</f>
        <v/>
      </c>
      <c r="M459" s="194"/>
      <c r="N459" s="248"/>
      <c r="O459" s="248"/>
      <c r="P459" s="108" t="str">
        <f>IFERROR(INDEX(Setup!$D$44:$D$70,MATCH(M459,Setup!$K$44:$K$70,0))&amp;"","")</f>
        <v/>
      </c>
      <c r="Q459" s="108" t="str">
        <f>IFERROR(INDEX(Setup!$E$44:$E$70,MATCH(M459,Setup!$K$44:$K$70,0))&amp;"","")</f>
        <v/>
      </c>
      <c r="R459" s="108" t="str">
        <f>IFERROR(INDEX(Setup!$L$44:$L$70,MATCH(M459,Setup!$K$44:$K$70,0))&amp;"","")</f>
        <v/>
      </c>
      <c r="S459" s="108" t="str">
        <f>Setup!$C$30</f>
        <v>USD</v>
      </c>
      <c r="T459" s="109" t="str">
        <f>IFERROR(INDEX('Data Sheet'!$B$198:$B$275,MATCH(I459,'Data Sheet'!$F$198:$F$275,0)),"")</f>
        <v/>
      </c>
      <c r="U459" s="110" t="str">
        <f>IFERROR(INDEX('Data Sheet'!$D$198:$D$275,MATCH(I459,'Data Sheet'!$F$198:$F$275,0)),"")</f>
        <v/>
      </c>
      <c r="V459" s="99"/>
      <c r="W459" s="195" t="str">
        <f>IF(V459=Setup!$C$30,"Grant",IF(V459=Setup!$C$31,"Local",IF(V459=Setup!$C$32,"Other",IF(ISBLANK(V459),"","Other"))))</f>
        <v/>
      </c>
      <c r="X459" s="255"/>
      <c r="Y459" s="259" t="str">
        <f>IF(X459&lt;&gt;"",X459/VLOOKUP($V459,Setup!$C$30:$D$41,2,0),"")</f>
        <v/>
      </c>
      <c r="Z459" s="262"/>
      <c r="AA459" s="256" t="str">
        <f t="shared" si="222"/>
        <v/>
      </c>
      <c r="AB459" s="262"/>
      <c r="AC459" s="258" t="str">
        <f t="shared" si="223"/>
        <v/>
      </c>
      <c r="AD459" s="262"/>
      <c r="AE459" s="258" t="str">
        <f t="shared" si="224"/>
        <v/>
      </c>
      <c r="AF459" s="262"/>
      <c r="AG459" s="256" t="str">
        <f t="shared" si="225"/>
        <v/>
      </c>
      <c r="AH459" s="256" t="str">
        <f t="shared" si="226"/>
        <v/>
      </c>
      <c r="AI459" s="256" t="str">
        <f t="shared" si="227"/>
        <v/>
      </c>
      <c r="AJ459" s="111"/>
      <c r="AK459" s="255"/>
      <c r="AL459" s="259" t="str">
        <f>IF(AK459&lt;&gt;"",AK459/VLOOKUP($V459,Setup!$C$30:$D$41,2,0),"")</f>
        <v/>
      </c>
      <c r="AM459" s="266"/>
      <c r="AN459" s="258" t="str">
        <f t="shared" si="228"/>
        <v/>
      </c>
      <c r="AO459" s="266"/>
      <c r="AP459" s="258" t="str">
        <f t="shared" si="229"/>
        <v/>
      </c>
      <c r="AQ459" s="266"/>
      <c r="AR459" s="258" t="str">
        <f t="shared" si="230"/>
        <v/>
      </c>
      <c r="AS459" s="266"/>
      <c r="AT459" s="256" t="str">
        <f t="shared" si="231"/>
        <v/>
      </c>
      <c r="AU459" s="256" t="str">
        <f t="shared" si="232"/>
        <v/>
      </c>
      <c r="AV459" s="256" t="str">
        <f t="shared" si="233"/>
        <v/>
      </c>
      <c r="AW459" s="267"/>
      <c r="AX459" s="255"/>
      <c r="AY459" s="259" t="str">
        <f>IF(AX459&lt;&gt;"",AX459/VLOOKUP($V459,Setup!$C$30:$D$41,2,0),"")</f>
        <v/>
      </c>
      <c r="AZ459" s="268"/>
      <c r="BA459" s="258" t="str">
        <f t="shared" si="234"/>
        <v/>
      </c>
      <c r="BB459" s="268"/>
      <c r="BC459" s="258" t="str">
        <f t="shared" si="235"/>
        <v/>
      </c>
      <c r="BD459" s="268"/>
      <c r="BE459" s="258" t="str">
        <f t="shared" si="236"/>
        <v/>
      </c>
      <c r="BF459" s="268"/>
      <c r="BG459" s="256" t="str">
        <f t="shared" si="237"/>
        <v/>
      </c>
      <c r="BH459" s="256" t="str">
        <f t="shared" si="238"/>
        <v/>
      </c>
      <c r="BI459" s="256" t="str">
        <f t="shared" si="239"/>
        <v/>
      </c>
      <c r="BJ459" s="267"/>
      <c r="BK459" s="255"/>
      <c r="BL459" s="259" t="str">
        <f>IF(BK459&lt;&gt;"",BK459/VLOOKUP($V459,Setup!$C$30:$D$41,2,0),"")</f>
        <v/>
      </c>
      <c r="BM459" s="268"/>
      <c r="BN459" s="258" t="str">
        <f t="shared" si="240"/>
        <v/>
      </c>
      <c r="BO459" s="268"/>
      <c r="BP459" s="258" t="str">
        <f t="shared" si="241"/>
        <v/>
      </c>
      <c r="BQ459" s="268"/>
      <c r="BR459" s="258" t="str">
        <f t="shared" si="242"/>
        <v/>
      </c>
      <c r="BS459" s="268"/>
      <c r="BT459" s="256" t="str">
        <f t="shared" si="243"/>
        <v/>
      </c>
      <c r="BU459" s="256" t="str">
        <f t="shared" si="244"/>
        <v/>
      </c>
      <c r="BV459" s="256" t="str">
        <f t="shared" si="245"/>
        <v/>
      </c>
      <c r="BW459" s="267"/>
      <c r="BX459" s="256" t="str">
        <f t="shared" si="246"/>
        <v/>
      </c>
      <c r="BY459" s="256" t="str">
        <f t="shared" si="247"/>
        <v/>
      </c>
      <c r="BZ459" s="281"/>
      <c r="CA459" s="282"/>
      <c r="CC459" s="112" t="str">
        <f t="shared" ca="1" si="248"/>
        <v/>
      </c>
      <c r="CF459" s="284"/>
      <c r="CG459" s="284"/>
      <c r="CH459" s="284"/>
      <c r="CI459" s="284"/>
      <c r="CL459" s="356" t="str">
        <f>IFERROR(VLOOKUP(C459,'Data Sheet'!$A$3:$B$26,2,FALSE),"")</f>
        <v/>
      </c>
    </row>
    <row r="460" spans="1:90" s="98" customFormat="1" ht="15.75" x14ac:dyDescent="0.2">
      <c r="A460" s="97"/>
      <c r="B460" s="105" t="str">
        <f t="shared" si="221"/>
        <v>--</v>
      </c>
      <c r="C460" s="276"/>
      <c r="D460" s="101" t="str">
        <f>IFERROR(IF(VLOOKUP(C460,'Data Sheet'!$A$3:$D$26,4,FALSE)=0,"",VLOOKUP(C460,'Data Sheet'!$A$3:$D$26,4,FALSE)),"")</f>
        <v/>
      </c>
      <c r="E460" s="279"/>
      <c r="F460" s="103" t="str">
        <f>IFERROR(IF(VLOOKUP(E460,'Data Sheet'!$C$29:$E$174,3,FALSE)=0,"",VLOOKUP(E460,'Data Sheet'!$C$29:$E$174,3,FALSE)),"")</f>
        <v/>
      </c>
      <c r="G460" s="106" t="str">
        <f t="shared" si="249"/>
        <v>-</v>
      </c>
      <c r="H460" s="273"/>
      <c r="I460" s="107"/>
      <c r="J460" s="249" t="e">
        <f t="shared" si="250"/>
        <v>#VALUE!</v>
      </c>
      <c r="K460" s="101" t="str">
        <f>IFERROR(INDEX('Data Sheet'!$C$198:$C$275,MATCH(I460,'Data Sheet'!$F$198:$F$275,0)),"")</f>
        <v/>
      </c>
      <c r="L460" s="250" t="str">
        <f>IFERROR(INDEX('Data Sheet'!$G$198:$G$275,MATCH(I460,'Data Sheet'!$F$198:$F$275,0)),"")</f>
        <v/>
      </c>
      <c r="M460" s="194"/>
      <c r="N460" s="248"/>
      <c r="O460" s="248"/>
      <c r="P460" s="108" t="str">
        <f>IFERROR(INDEX(Setup!$D$44:$D$70,MATCH(M460,Setup!$K$44:$K$70,0))&amp;"","")</f>
        <v/>
      </c>
      <c r="Q460" s="108" t="str">
        <f>IFERROR(INDEX(Setup!$E$44:$E$70,MATCH(M460,Setup!$K$44:$K$70,0))&amp;"","")</f>
        <v/>
      </c>
      <c r="R460" s="108" t="str">
        <f>IFERROR(INDEX(Setup!$L$44:$L$70,MATCH(M460,Setup!$K$44:$K$70,0))&amp;"","")</f>
        <v/>
      </c>
      <c r="S460" s="108" t="str">
        <f>Setup!$C$30</f>
        <v>USD</v>
      </c>
      <c r="T460" s="109" t="str">
        <f>IFERROR(INDEX('Data Sheet'!$B$198:$B$275,MATCH(I460,'Data Sheet'!$F$198:$F$275,0)),"")</f>
        <v/>
      </c>
      <c r="U460" s="110" t="str">
        <f>IFERROR(INDEX('Data Sheet'!$D$198:$D$275,MATCH(I460,'Data Sheet'!$F$198:$F$275,0)),"")</f>
        <v/>
      </c>
      <c r="V460" s="99"/>
      <c r="W460" s="195" t="str">
        <f>IF(V460=Setup!$C$30,"Grant",IF(V460=Setup!$C$31,"Local",IF(V460=Setup!$C$32,"Other",IF(ISBLANK(V460),"","Other"))))</f>
        <v/>
      </c>
      <c r="X460" s="255"/>
      <c r="Y460" s="259" t="str">
        <f>IF(X460&lt;&gt;"",X460/VLOOKUP($V460,Setup!$C$30:$D$41,2,0),"")</f>
        <v/>
      </c>
      <c r="Z460" s="262"/>
      <c r="AA460" s="256" t="str">
        <f t="shared" si="222"/>
        <v/>
      </c>
      <c r="AB460" s="262"/>
      <c r="AC460" s="258" t="str">
        <f t="shared" si="223"/>
        <v/>
      </c>
      <c r="AD460" s="262"/>
      <c r="AE460" s="258" t="str">
        <f t="shared" si="224"/>
        <v/>
      </c>
      <c r="AF460" s="262"/>
      <c r="AG460" s="256" t="str">
        <f t="shared" si="225"/>
        <v/>
      </c>
      <c r="AH460" s="256" t="str">
        <f t="shared" si="226"/>
        <v/>
      </c>
      <c r="AI460" s="256" t="str">
        <f t="shared" si="227"/>
        <v/>
      </c>
      <c r="AJ460" s="111"/>
      <c r="AK460" s="255"/>
      <c r="AL460" s="259" t="str">
        <f>IF(AK460&lt;&gt;"",AK460/VLOOKUP($V460,Setup!$C$30:$D$41,2,0),"")</f>
        <v/>
      </c>
      <c r="AM460" s="266"/>
      <c r="AN460" s="258" t="str">
        <f t="shared" si="228"/>
        <v/>
      </c>
      <c r="AO460" s="266"/>
      <c r="AP460" s="258" t="str">
        <f t="shared" si="229"/>
        <v/>
      </c>
      <c r="AQ460" s="266"/>
      <c r="AR460" s="258" t="str">
        <f t="shared" si="230"/>
        <v/>
      </c>
      <c r="AS460" s="266"/>
      <c r="AT460" s="256" t="str">
        <f t="shared" si="231"/>
        <v/>
      </c>
      <c r="AU460" s="256" t="str">
        <f t="shared" si="232"/>
        <v/>
      </c>
      <c r="AV460" s="256" t="str">
        <f t="shared" si="233"/>
        <v/>
      </c>
      <c r="AW460" s="267"/>
      <c r="AX460" s="255"/>
      <c r="AY460" s="259" t="str">
        <f>IF(AX460&lt;&gt;"",AX460/VLOOKUP($V460,Setup!$C$30:$D$41,2,0),"")</f>
        <v/>
      </c>
      <c r="AZ460" s="268"/>
      <c r="BA460" s="258" t="str">
        <f t="shared" si="234"/>
        <v/>
      </c>
      <c r="BB460" s="268"/>
      <c r="BC460" s="258" t="str">
        <f t="shared" si="235"/>
        <v/>
      </c>
      <c r="BD460" s="268"/>
      <c r="BE460" s="258" t="str">
        <f t="shared" si="236"/>
        <v/>
      </c>
      <c r="BF460" s="268"/>
      <c r="BG460" s="256" t="str">
        <f t="shared" si="237"/>
        <v/>
      </c>
      <c r="BH460" s="256" t="str">
        <f t="shared" si="238"/>
        <v/>
      </c>
      <c r="BI460" s="256" t="str">
        <f t="shared" si="239"/>
        <v/>
      </c>
      <c r="BJ460" s="267"/>
      <c r="BK460" s="255"/>
      <c r="BL460" s="259" t="str">
        <f>IF(BK460&lt;&gt;"",BK460/VLOOKUP($V460,Setup!$C$30:$D$41,2,0),"")</f>
        <v/>
      </c>
      <c r="BM460" s="268"/>
      <c r="BN460" s="258" t="str">
        <f t="shared" si="240"/>
        <v/>
      </c>
      <c r="BO460" s="268"/>
      <c r="BP460" s="258" t="str">
        <f t="shared" si="241"/>
        <v/>
      </c>
      <c r="BQ460" s="268"/>
      <c r="BR460" s="258" t="str">
        <f t="shared" si="242"/>
        <v/>
      </c>
      <c r="BS460" s="268"/>
      <c r="BT460" s="256" t="str">
        <f t="shared" si="243"/>
        <v/>
      </c>
      <c r="BU460" s="256" t="str">
        <f t="shared" si="244"/>
        <v/>
      </c>
      <c r="BV460" s="256" t="str">
        <f t="shared" si="245"/>
        <v/>
      </c>
      <c r="BW460" s="267"/>
      <c r="BX460" s="256" t="str">
        <f t="shared" si="246"/>
        <v/>
      </c>
      <c r="BY460" s="256" t="str">
        <f t="shared" si="247"/>
        <v/>
      </c>
      <c r="BZ460" s="281"/>
      <c r="CA460" s="282"/>
      <c r="CC460" s="112" t="str">
        <f t="shared" ca="1" si="248"/>
        <v/>
      </c>
      <c r="CF460" s="284"/>
      <c r="CG460" s="284"/>
      <c r="CH460" s="284"/>
      <c r="CI460" s="284"/>
      <c r="CL460" s="356" t="str">
        <f>IFERROR(VLOOKUP(C460,'Data Sheet'!$A$3:$B$26,2,FALSE),"")</f>
        <v/>
      </c>
    </row>
    <row r="461" spans="1:90" s="98" customFormat="1" ht="15.75" x14ac:dyDescent="0.2">
      <c r="A461" s="97"/>
      <c r="B461" s="105" t="str">
        <f t="shared" si="221"/>
        <v>--</v>
      </c>
      <c r="C461" s="276"/>
      <c r="D461" s="101" t="str">
        <f>IFERROR(IF(VLOOKUP(C461,'Data Sheet'!$A$3:$D$26,4,FALSE)=0,"",VLOOKUP(C461,'Data Sheet'!$A$3:$D$26,4,FALSE)),"")</f>
        <v/>
      </c>
      <c r="E461" s="279"/>
      <c r="F461" s="103" t="str">
        <f>IFERROR(IF(VLOOKUP(E461,'Data Sheet'!$C$29:$E$174,3,FALSE)=0,"",VLOOKUP(E461,'Data Sheet'!$C$29:$E$174,3,FALSE)),"")</f>
        <v/>
      </c>
      <c r="G461" s="106" t="str">
        <f t="shared" si="249"/>
        <v>-</v>
      </c>
      <c r="H461" s="273"/>
      <c r="I461" s="107"/>
      <c r="J461" s="249" t="e">
        <f t="shared" si="250"/>
        <v>#VALUE!</v>
      </c>
      <c r="K461" s="101" t="str">
        <f>IFERROR(INDEX('Data Sheet'!$C$198:$C$275,MATCH(I461,'Data Sheet'!$F$198:$F$275,0)),"")</f>
        <v/>
      </c>
      <c r="L461" s="250" t="str">
        <f>IFERROR(INDEX('Data Sheet'!$G$198:$G$275,MATCH(I461,'Data Sheet'!$F$198:$F$275,0)),"")</f>
        <v/>
      </c>
      <c r="M461" s="194"/>
      <c r="N461" s="248"/>
      <c r="O461" s="248"/>
      <c r="P461" s="108" t="str">
        <f>IFERROR(INDEX(Setup!$D$44:$D$70,MATCH(M461,Setup!$K$44:$K$70,0))&amp;"","")</f>
        <v/>
      </c>
      <c r="Q461" s="108" t="str">
        <f>IFERROR(INDEX(Setup!$E$44:$E$70,MATCH(M461,Setup!$K$44:$K$70,0))&amp;"","")</f>
        <v/>
      </c>
      <c r="R461" s="108" t="str">
        <f>IFERROR(INDEX(Setup!$L$44:$L$70,MATCH(M461,Setup!$K$44:$K$70,0))&amp;"","")</f>
        <v/>
      </c>
      <c r="S461" s="108" t="str">
        <f>Setup!$C$30</f>
        <v>USD</v>
      </c>
      <c r="T461" s="109" t="str">
        <f>IFERROR(INDEX('Data Sheet'!$B$198:$B$275,MATCH(I461,'Data Sheet'!$F$198:$F$275,0)),"")</f>
        <v/>
      </c>
      <c r="U461" s="110" t="str">
        <f>IFERROR(INDEX('Data Sheet'!$D$198:$D$275,MATCH(I461,'Data Sheet'!$F$198:$F$275,0)),"")</f>
        <v/>
      </c>
      <c r="V461" s="99"/>
      <c r="W461" s="195" t="str">
        <f>IF(V461=Setup!$C$30,"Grant",IF(V461=Setup!$C$31,"Local",IF(V461=Setup!$C$32,"Other",IF(ISBLANK(V461),"","Other"))))</f>
        <v/>
      </c>
      <c r="X461" s="255"/>
      <c r="Y461" s="259" t="str">
        <f>IF(X461&lt;&gt;"",X461/VLOOKUP($V461,Setup!$C$30:$D$41,2,0),"")</f>
        <v/>
      </c>
      <c r="Z461" s="262"/>
      <c r="AA461" s="256" t="str">
        <f t="shared" si="222"/>
        <v/>
      </c>
      <c r="AB461" s="262"/>
      <c r="AC461" s="258" t="str">
        <f t="shared" si="223"/>
        <v/>
      </c>
      <c r="AD461" s="262"/>
      <c r="AE461" s="258" t="str">
        <f t="shared" si="224"/>
        <v/>
      </c>
      <c r="AF461" s="262"/>
      <c r="AG461" s="256" t="str">
        <f t="shared" si="225"/>
        <v/>
      </c>
      <c r="AH461" s="256" t="str">
        <f t="shared" si="226"/>
        <v/>
      </c>
      <c r="AI461" s="256" t="str">
        <f t="shared" si="227"/>
        <v/>
      </c>
      <c r="AJ461" s="111"/>
      <c r="AK461" s="255"/>
      <c r="AL461" s="259" t="str">
        <f>IF(AK461&lt;&gt;"",AK461/VLOOKUP($V461,Setup!$C$30:$D$41,2,0),"")</f>
        <v/>
      </c>
      <c r="AM461" s="266"/>
      <c r="AN461" s="258" t="str">
        <f t="shared" si="228"/>
        <v/>
      </c>
      <c r="AO461" s="266"/>
      <c r="AP461" s="258" t="str">
        <f t="shared" si="229"/>
        <v/>
      </c>
      <c r="AQ461" s="266"/>
      <c r="AR461" s="258" t="str">
        <f t="shared" si="230"/>
        <v/>
      </c>
      <c r="AS461" s="266"/>
      <c r="AT461" s="256" t="str">
        <f t="shared" si="231"/>
        <v/>
      </c>
      <c r="AU461" s="256" t="str">
        <f t="shared" si="232"/>
        <v/>
      </c>
      <c r="AV461" s="256" t="str">
        <f t="shared" si="233"/>
        <v/>
      </c>
      <c r="AW461" s="267"/>
      <c r="AX461" s="255"/>
      <c r="AY461" s="259" t="str">
        <f>IF(AX461&lt;&gt;"",AX461/VLOOKUP($V461,Setup!$C$30:$D$41,2,0),"")</f>
        <v/>
      </c>
      <c r="AZ461" s="268"/>
      <c r="BA461" s="258" t="str">
        <f t="shared" si="234"/>
        <v/>
      </c>
      <c r="BB461" s="268"/>
      <c r="BC461" s="258" t="str">
        <f t="shared" si="235"/>
        <v/>
      </c>
      <c r="BD461" s="268"/>
      <c r="BE461" s="258" t="str">
        <f t="shared" si="236"/>
        <v/>
      </c>
      <c r="BF461" s="268"/>
      <c r="BG461" s="256" t="str">
        <f t="shared" si="237"/>
        <v/>
      </c>
      <c r="BH461" s="256" t="str">
        <f t="shared" si="238"/>
        <v/>
      </c>
      <c r="BI461" s="256" t="str">
        <f t="shared" si="239"/>
        <v/>
      </c>
      <c r="BJ461" s="267"/>
      <c r="BK461" s="255"/>
      <c r="BL461" s="259" t="str">
        <f>IF(BK461&lt;&gt;"",BK461/VLOOKUP($V461,Setup!$C$30:$D$41,2,0),"")</f>
        <v/>
      </c>
      <c r="BM461" s="268"/>
      <c r="BN461" s="258" t="str">
        <f t="shared" si="240"/>
        <v/>
      </c>
      <c r="BO461" s="268"/>
      <c r="BP461" s="258" t="str">
        <f t="shared" si="241"/>
        <v/>
      </c>
      <c r="BQ461" s="268"/>
      <c r="BR461" s="258" t="str">
        <f t="shared" si="242"/>
        <v/>
      </c>
      <c r="BS461" s="268"/>
      <c r="BT461" s="256" t="str">
        <f t="shared" si="243"/>
        <v/>
      </c>
      <c r="BU461" s="256" t="str">
        <f t="shared" si="244"/>
        <v/>
      </c>
      <c r="BV461" s="256" t="str">
        <f t="shared" si="245"/>
        <v/>
      </c>
      <c r="BW461" s="267"/>
      <c r="BX461" s="256" t="str">
        <f t="shared" si="246"/>
        <v/>
      </c>
      <c r="BY461" s="256" t="str">
        <f t="shared" si="247"/>
        <v/>
      </c>
      <c r="BZ461" s="281"/>
      <c r="CA461" s="282"/>
      <c r="CC461" s="112" t="str">
        <f t="shared" ca="1" si="248"/>
        <v/>
      </c>
      <c r="CF461" s="284"/>
      <c r="CG461" s="284"/>
      <c r="CH461" s="284"/>
      <c r="CI461" s="284"/>
      <c r="CL461" s="356" t="str">
        <f>IFERROR(VLOOKUP(C461,'Data Sheet'!$A$3:$B$26,2,FALSE),"")</f>
        <v/>
      </c>
    </row>
    <row r="462" spans="1:90" s="98" customFormat="1" ht="15.75" x14ac:dyDescent="0.2">
      <c r="A462" s="97"/>
      <c r="B462" s="105" t="str">
        <f t="shared" ref="B462:B525" si="251">CONCATENATE(D462,"-",F462,"-",N462)</f>
        <v>--</v>
      </c>
      <c r="C462" s="276"/>
      <c r="D462" s="101" t="str">
        <f>IFERROR(IF(VLOOKUP(C462,'Data Sheet'!$A$3:$D$26,4,FALSE)=0,"",VLOOKUP(C462,'Data Sheet'!$A$3:$D$26,4,FALSE)),"")</f>
        <v/>
      </c>
      <c r="E462" s="279"/>
      <c r="F462" s="103" t="str">
        <f>IFERROR(IF(VLOOKUP(E462,'Data Sheet'!$C$29:$E$174,3,FALSE)=0,"",VLOOKUP(E462,'Data Sheet'!$C$29:$E$174,3,FALSE)),"")</f>
        <v/>
      </c>
      <c r="G462" s="106" t="str">
        <f t="shared" si="249"/>
        <v>-</v>
      </c>
      <c r="H462" s="273"/>
      <c r="I462" s="107"/>
      <c r="J462" s="249" t="e">
        <f t="shared" si="250"/>
        <v>#VALUE!</v>
      </c>
      <c r="K462" s="101" t="str">
        <f>IFERROR(INDEX('Data Sheet'!$C$198:$C$275,MATCH(I462,'Data Sheet'!$F$198:$F$275,0)),"")</f>
        <v/>
      </c>
      <c r="L462" s="250" t="str">
        <f>IFERROR(INDEX('Data Sheet'!$G$198:$G$275,MATCH(I462,'Data Sheet'!$F$198:$F$275,0)),"")</f>
        <v/>
      </c>
      <c r="M462" s="194"/>
      <c r="N462" s="248"/>
      <c r="O462" s="248"/>
      <c r="P462" s="108" t="str">
        <f>IFERROR(INDEX(Setup!$D$44:$D$70,MATCH(M462,Setup!$K$44:$K$70,0))&amp;"","")</f>
        <v/>
      </c>
      <c r="Q462" s="108" t="str">
        <f>IFERROR(INDEX(Setup!$E$44:$E$70,MATCH(M462,Setup!$K$44:$K$70,0))&amp;"","")</f>
        <v/>
      </c>
      <c r="R462" s="108" t="str">
        <f>IFERROR(INDEX(Setup!$L$44:$L$70,MATCH(M462,Setup!$K$44:$K$70,0))&amp;"","")</f>
        <v/>
      </c>
      <c r="S462" s="108" t="str">
        <f>Setup!$C$30</f>
        <v>USD</v>
      </c>
      <c r="T462" s="109" t="str">
        <f>IFERROR(INDEX('Data Sheet'!$B$198:$B$275,MATCH(I462,'Data Sheet'!$F$198:$F$275,0)),"")</f>
        <v/>
      </c>
      <c r="U462" s="110" t="str">
        <f>IFERROR(INDEX('Data Sheet'!$D$198:$D$275,MATCH(I462,'Data Sheet'!$F$198:$F$275,0)),"")</f>
        <v/>
      </c>
      <c r="V462" s="99"/>
      <c r="W462" s="195" t="str">
        <f>IF(V462=Setup!$C$30,"Grant",IF(V462=Setup!$C$31,"Local",IF(V462=Setup!$C$32,"Other",IF(ISBLANK(V462),"","Other"))))</f>
        <v/>
      </c>
      <c r="X462" s="255"/>
      <c r="Y462" s="259" t="str">
        <f>IF(X462&lt;&gt;"",X462/VLOOKUP($V462,Setup!$C$30:$D$41,2,0),"")</f>
        <v/>
      </c>
      <c r="Z462" s="262"/>
      <c r="AA462" s="256" t="str">
        <f t="shared" si="222"/>
        <v/>
      </c>
      <c r="AB462" s="262"/>
      <c r="AC462" s="258" t="str">
        <f t="shared" si="223"/>
        <v/>
      </c>
      <c r="AD462" s="262"/>
      <c r="AE462" s="258" t="str">
        <f t="shared" si="224"/>
        <v/>
      </c>
      <c r="AF462" s="262"/>
      <c r="AG462" s="256" t="str">
        <f t="shared" si="225"/>
        <v/>
      </c>
      <c r="AH462" s="256" t="str">
        <f t="shared" si="226"/>
        <v/>
      </c>
      <c r="AI462" s="256" t="str">
        <f t="shared" si="227"/>
        <v/>
      </c>
      <c r="AJ462" s="111"/>
      <c r="AK462" s="255"/>
      <c r="AL462" s="259" t="str">
        <f>IF(AK462&lt;&gt;"",AK462/VLOOKUP($V462,Setup!$C$30:$D$41,2,0),"")</f>
        <v/>
      </c>
      <c r="AM462" s="266"/>
      <c r="AN462" s="258" t="str">
        <f t="shared" si="228"/>
        <v/>
      </c>
      <c r="AO462" s="266"/>
      <c r="AP462" s="258" t="str">
        <f t="shared" si="229"/>
        <v/>
      </c>
      <c r="AQ462" s="266"/>
      <c r="AR462" s="258" t="str">
        <f t="shared" si="230"/>
        <v/>
      </c>
      <c r="AS462" s="266"/>
      <c r="AT462" s="256" t="str">
        <f t="shared" si="231"/>
        <v/>
      </c>
      <c r="AU462" s="256" t="str">
        <f t="shared" si="232"/>
        <v/>
      </c>
      <c r="AV462" s="256" t="str">
        <f t="shared" si="233"/>
        <v/>
      </c>
      <c r="AW462" s="267"/>
      <c r="AX462" s="255"/>
      <c r="AY462" s="259" t="str">
        <f>IF(AX462&lt;&gt;"",AX462/VLOOKUP($V462,Setup!$C$30:$D$41,2,0),"")</f>
        <v/>
      </c>
      <c r="AZ462" s="268"/>
      <c r="BA462" s="258" t="str">
        <f t="shared" si="234"/>
        <v/>
      </c>
      <c r="BB462" s="268"/>
      <c r="BC462" s="258" t="str">
        <f t="shared" si="235"/>
        <v/>
      </c>
      <c r="BD462" s="268"/>
      <c r="BE462" s="258" t="str">
        <f t="shared" si="236"/>
        <v/>
      </c>
      <c r="BF462" s="268"/>
      <c r="BG462" s="256" t="str">
        <f t="shared" si="237"/>
        <v/>
      </c>
      <c r="BH462" s="256" t="str">
        <f t="shared" si="238"/>
        <v/>
      </c>
      <c r="BI462" s="256" t="str">
        <f t="shared" si="239"/>
        <v/>
      </c>
      <c r="BJ462" s="267"/>
      <c r="BK462" s="255"/>
      <c r="BL462" s="259" t="str">
        <f>IF(BK462&lt;&gt;"",BK462/VLOOKUP($V462,Setup!$C$30:$D$41,2,0),"")</f>
        <v/>
      </c>
      <c r="BM462" s="268"/>
      <c r="BN462" s="258" t="str">
        <f t="shared" si="240"/>
        <v/>
      </c>
      <c r="BO462" s="268"/>
      <c r="BP462" s="258" t="str">
        <f t="shared" si="241"/>
        <v/>
      </c>
      <c r="BQ462" s="268"/>
      <c r="BR462" s="258" t="str">
        <f t="shared" si="242"/>
        <v/>
      </c>
      <c r="BS462" s="268"/>
      <c r="BT462" s="256" t="str">
        <f t="shared" si="243"/>
        <v/>
      </c>
      <c r="BU462" s="256" t="str">
        <f t="shared" si="244"/>
        <v/>
      </c>
      <c r="BV462" s="256" t="str">
        <f t="shared" si="245"/>
        <v/>
      </c>
      <c r="BW462" s="267"/>
      <c r="BX462" s="256" t="str">
        <f t="shared" si="246"/>
        <v/>
      </c>
      <c r="BY462" s="256" t="str">
        <f t="shared" si="247"/>
        <v/>
      </c>
      <c r="BZ462" s="281"/>
      <c r="CA462" s="282"/>
      <c r="CC462" s="112" t="str">
        <f t="shared" ca="1" si="248"/>
        <v/>
      </c>
      <c r="CF462" s="284"/>
      <c r="CG462" s="284"/>
      <c r="CH462" s="284"/>
      <c r="CI462" s="284"/>
      <c r="CL462" s="356" t="str">
        <f>IFERROR(VLOOKUP(C462,'Data Sheet'!$A$3:$B$26,2,FALSE),"")</f>
        <v/>
      </c>
    </row>
    <row r="463" spans="1:90" s="98" customFormat="1" ht="15.75" x14ac:dyDescent="0.2">
      <c r="A463" s="97"/>
      <c r="B463" s="105" t="str">
        <f t="shared" si="251"/>
        <v>--</v>
      </c>
      <c r="C463" s="276"/>
      <c r="D463" s="101" t="str">
        <f>IFERROR(IF(VLOOKUP(C463,'Data Sheet'!$A$3:$D$26,4,FALSE)=0,"",VLOOKUP(C463,'Data Sheet'!$A$3:$D$26,4,FALSE)),"")</f>
        <v/>
      </c>
      <c r="E463" s="279"/>
      <c r="F463" s="103" t="str">
        <f>IFERROR(IF(VLOOKUP(E463,'Data Sheet'!$C$29:$E$174,3,FALSE)=0,"",VLOOKUP(E463,'Data Sheet'!$C$29:$E$174,3,FALSE)),"")</f>
        <v/>
      </c>
      <c r="G463" s="106" t="str">
        <f t="shared" si="249"/>
        <v>-</v>
      </c>
      <c r="H463" s="273"/>
      <c r="I463" s="107"/>
      <c r="J463" s="249" t="e">
        <f t="shared" si="250"/>
        <v>#VALUE!</v>
      </c>
      <c r="K463" s="101" t="str">
        <f>IFERROR(INDEX('Data Sheet'!$C$198:$C$275,MATCH(I463,'Data Sheet'!$F$198:$F$275,0)),"")</f>
        <v/>
      </c>
      <c r="L463" s="250" t="str">
        <f>IFERROR(INDEX('Data Sheet'!$G$198:$G$275,MATCH(I463,'Data Sheet'!$F$198:$F$275,0)),"")</f>
        <v/>
      </c>
      <c r="M463" s="194"/>
      <c r="N463" s="248"/>
      <c r="O463" s="248"/>
      <c r="P463" s="108" t="str">
        <f>IFERROR(INDEX(Setup!$D$44:$D$70,MATCH(M463,Setup!$K$44:$K$70,0))&amp;"","")</f>
        <v/>
      </c>
      <c r="Q463" s="108" t="str">
        <f>IFERROR(INDEX(Setup!$E$44:$E$70,MATCH(M463,Setup!$K$44:$K$70,0))&amp;"","")</f>
        <v/>
      </c>
      <c r="R463" s="108" t="str">
        <f>IFERROR(INDEX(Setup!$L$44:$L$70,MATCH(M463,Setup!$K$44:$K$70,0))&amp;"","")</f>
        <v/>
      </c>
      <c r="S463" s="108" t="str">
        <f>Setup!$C$30</f>
        <v>USD</v>
      </c>
      <c r="T463" s="109" t="str">
        <f>IFERROR(INDEX('Data Sheet'!$B$198:$B$275,MATCH(I463,'Data Sheet'!$F$198:$F$275,0)),"")</f>
        <v/>
      </c>
      <c r="U463" s="110" t="str">
        <f>IFERROR(INDEX('Data Sheet'!$D$198:$D$275,MATCH(I463,'Data Sheet'!$F$198:$F$275,0)),"")</f>
        <v/>
      </c>
      <c r="V463" s="99"/>
      <c r="W463" s="195" t="str">
        <f>IF(V463=Setup!$C$30,"Grant",IF(V463=Setup!$C$31,"Local",IF(V463=Setup!$C$32,"Other",IF(ISBLANK(V463),"","Other"))))</f>
        <v/>
      </c>
      <c r="X463" s="255"/>
      <c r="Y463" s="259" t="str">
        <f>IF(X463&lt;&gt;"",X463/VLOOKUP($V463,Setup!$C$30:$D$41,2,0),"")</f>
        <v/>
      </c>
      <c r="Z463" s="262"/>
      <c r="AA463" s="256" t="str">
        <f t="shared" si="222"/>
        <v/>
      </c>
      <c r="AB463" s="262"/>
      <c r="AC463" s="258" t="str">
        <f t="shared" si="223"/>
        <v/>
      </c>
      <c r="AD463" s="262"/>
      <c r="AE463" s="258" t="str">
        <f t="shared" si="224"/>
        <v/>
      </c>
      <c r="AF463" s="262"/>
      <c r="AG463" s="256" t="str">
        <f t="shared" si="225"/>
        <v/>
      </c>
      <c r="AH463" s="256" t="str">
        <f t="shared" si="226"/>
        <v/>
      </c>
      <c r="AI463" s="256" t="str">
        <f t="shared" si="227"/>
        <v/>
      </c>
      <c r="AJ463" s="111"/>
      <c r="AK463" s="255"/>
      <c r="AL463" s="259" t="str">
        <f>IF(AK463&lt;&gt;"",AK463/VLOOKUP($V463,Setup!$C$30:$D$41,2,0),"")</f>
        <v/>
      </c>
      <c r="AM463" s="266"/>
      <c r="AN463" s="258" t="str">
        <f t="shared" si="228"/>
        <v/>
      </c>
      <c r="AO463" s="266"/>
      <c r="AP463" s="258" t="str">
        <f t="shared" si="229"/>
        <v/>
      </c>
      <c r="AQ463" s="266"/>
      <c r="AR463" s="258" t="str">
        <f t="shared" si="230"/>
        <v/>
      </c>
      <c r="AS463" s="266"/>
      <c r="AT463" s="256" t="str">
        <f t="shared" si="231"/>
        <v/>
      </c>
      <c r="AU463" s="256" t="str">
        <f t="shared" si="232"/>
        <v/>
      </c>
      <c r="AV463" s="256" t="str">
        <f t="shared" si="233"/>
        <v/>
      </c>
      <c r="AW463" s="267"/>
      <c r="AX463" s="255"/>
      <c r="AY463" s="259" t="str">
        <f>IF(AX463&lt;&gt;"",AX463/VLOOKUP($V463,Setup!$C$30:$D$41,2,0),"")</f>
        <v/>
      </c>
      <c r="AZ463" s="268"/>
      <c r="BA463" s="258" t="str">
        <f t="shared" si="234"/>
        <v/>
      </c>
      <c r="BB463" s="268"/>
      <c r="BC463" s="258" t="str">
        <f t="shared" si="235"/>
        <v/>
      </c>
      <c r="BD463" s="268"/>
      <c r="BE463" s="258" t="str">
        <f t="shared" si="236"/>
        <v/>
      </c>
      <c r="BF463" s="268"/>
      <c r="BG463" s="256" t="str">
        <f t="shared" si="237"/>
        <v/>
      </c>
      <c r="BH463" s="256" t="str">
        <f t="shared" si="238"/>
        <v/>
      </c>
      <c r="BI463" s="256" t="str">
        <f t="shared" si="239"/>
        <v/>
      </c>
      <c r="BJ463" s="267"/>
      <c r="BK463" s="255"/>
      <c r="BL463" s="259" t="str">
        <f>IF(BK463&lt;&gt;"",BK463/VLOOKUP($V463,Setup!$C$30:$D$41,2,0),"")</f>
        <v/>
      </c>
      <c r="BM463" s="268"/>
      <c r="BN463" s="258" t="str">
        <f t="shared" si="240"/>
        <v/>
      </c>
      <c r="BO463" s="268"/>
      <c r="BP463" s="258" t="str">
        <f t="shared" si="241"/>
        <v/>
      </c>
      <c r="BQ463" s="268"/>
      <c r="BR463" s="258" t="str">
        <f t="shared" si="242"/>
        <v/>
      </c>
      <c r="BS463" s="268"/>
      <c r="BT463" s="256" t="str">
        <f t="shared" si="243"/>
        <v/>
      </c>
      <c r="BU463" s="256" t="str">
        <f t="shared" si="244"/>
        <v/>
      </c>
      <c r="BV463" s="256" t="str">
        <f t="shared" si="245"/>
        <v/>
      </c>
      <c r="BW463" s="267"/>
      <c r="BX463" s="256" t="str">
        <f t="shared" si="246"/>
        <v/>
      </c>
      <c r="BY463" s="256" t="str">
        <f t="shared" si="247"/>
        <v/>
      </c>
      <c r="BZ463" s="281"/>
      <c r="CA463" s="282"/>
      <c r="CC463" s="112" t="str">
        <f t="shared" ca="1" si="248"/>
        <v/>
      </c>
      <c r="CF463" s="284"/>
      <c r="CG463" s="284"/>
      <c r="CH463" s="284"/>
      <c r="CI463" s="284"/>
      <c r="CL463" s="356" t="str">
        <f>IFERROR(VLOOKUP(C463,'Data Sheet'!$A$3:$B$26,2,FALSE),"")</f>
        <v/>
      </c>
    </row>
    <row r="464" spans="1:90" s="98" customFormat="1" ht="15.75" x14ac:dyDescent="0.2">
      <c r="A464" s="97"/>
      <c r="B464" s="105" t="str">
        <f t="shared" si="251"/>
        <v>--</v>
      </c>
      <c r="C464" s="276"/>
      <c r="D464" s="101" t="str">
        <f>IFERROR(IF(VLOOKUP(C464,'Data Sheet'!$A$3:$D$26,4,FALSE)=0,"",VLOOKUP(C464,'Data Sheet'!$A$3:$D$26,4,FALSE)),"")</f>
        <v/>
      </c>
      <c r="E464" s="279"/>
      <c r="F464" s="103" t="str">
        <f>IFERROR(IF(VLOOKUP(E464,'Data Sheet'!$C$29:$E$174,3,FALSE)=0,"",VLOOKUP(E464,'Data Sheet'!$C$29:$E$174,3,FALSE)),"")</f>
        <v/>
      </c>
      <c r="G464" s="106" t="str">
        <f t="shared" si="249"/>
        <v>-</v>
      </c>
      <c r="H464" s="273"/>
      <c r="I464" s="107"/>
      <c r="J464" s="249" t="e">
        <f t="shared" si="250"/>
        <v>#VALUE!</v>
      </c>
      <c r="K464" s="101" t="str">
        <f>IFERROR(INDEX('Data Sheet'!$C$198:$C$275,MATCH(I464,'Data Sheet'!$F$198:$F$275,0)),"")</f>
        <v/>
      </c>
      <c r="L464" s="250" t="str">
        <f>IFERROR(INDEX('Data Sheet'!$G$198:$G$275,MATCH(I464,'Data Sheet'!$F$198:$F$275,0)),"")</f>
        <v/>
      </c>
      <c r="M464" s="194"/>
      <c r="N464" s="248"/>
      <c r="O464" s="248"/>
      <c r="P464" s="108" t="str">
        <f>IFERROR(INDEX(Setup!$D$44:$D$70,MATCH(M464,Setup!$K$44:$K$70,0))&amp;"","")</f>
        <v/>
      </c>
      <c r="Q464" s="108" t="str">
        <f>IFERROR(INDEX(Setup!$E$44:$E$70,MATCH(M464,Setup!$K$44:$K$70,0))&amp;"","")</f>
        <v/>
      </c>
      <c r="R464" s="108" t="str">
        <f>IFERROR(INDEX(Setup!$L$44:$L$70,MATCH(M464,Setup!$K$44:$K$70,0))&amp;"","")</f>
        <v/>
      </c>
      <c r="S464" s="108" t="str">
        <f>Setup!$C$30</f>
        <v>USD</v>
      </c>
      <c r="T464" s="109" t="str">
        <f>IFERROR(INDEX('Data Sheet'!$B$198:$B$275,MATCH(I464,'Data Sheet'!$F$198:$F$275,0)),"")</f>
        <v/>
      </c>
      <c r="U464" s="110" t="str">
        <f>IFERROR(INDEX('Data Sheet'!$D$198:$D$275,MATCH(I464,'Data Sheet'!$F$198:$F$275,0)),"")</f>
        <v/>
      </c>
      <c r="V464" s="99"/>
      <c r="W464" s="195" t="str">
        <f>IF(V464=Setup!$C$30,"Grant",IF(V464=Setup!$C$31,"Local",IF(V464=Setup!$C$32,"Other",IF(ISBLANK(V464),"","Other"))))</f>
        <v/>
      </c>
      <c r="X464" s="255"/>
      <c r="Y464" s="259" t="str">
        <f>IF(X464&lt;&gt;"",X464/VLOOKUP($V464,Setup!$C$30:$D$41,2,0),"")</f>
        <v/>
      </c>
      <c r="Z464" s="262"/>
      <c r="AA464" s="256" t="str">
        <f t="shared" si="222"/>
        <v/>
      </c>
      <c r="AB464" s="262"/>
      <c r="AC464" s="258" t="str">
        <f t="shared" si="223"/>
        <v/>
      </c>
      <c r="AD464" s="262"/>
      <c r="AE464" s="258" t="str">
        <f t="shared" si="224"/>
        <v/>
      </c>
      <c r="AF464" s="262"/>
      <c r="AG464" s="256" t="str">
        <f t="shared" si="225"/>
        <v/>
      </c>
      <c r="AH464" s="256" t="str">
        <f t="shared" si="226"/>
        <v/>
      </c>
      <c r="AI464" s="256" t="str">
        <f t="shared" si="227"/>
        <v/>
      </c>
      <c r="AJ464" s="111"/>
      <c r="AK464" s="255"/>
      <c r="AL464" s="259" t="str">
        <f>IF(AK464&lt;&gt;"",AK464/VLOOKUP($V464,Setup!$C$30:$D$41,2,0),"")</f>
        <v/>
      </c>
      <c r="AM464" s="266"/>
      <c r="AN464" s="258" t="str">
        <f t="shared" si="228"/>
        <v/>
      </c>
      <c r="AO464" s="266"/>
      <c r="AP464" s="258" t="str">
        <f t="shared" si="229"/>
        <v/>
      </c>
      <c r="AQ464" s="266"/>
      <c r="AR464" s="258" t="str">
        <f t="shared" si="230"/>
        <v/>
      </c>
      <c r="AS464" s="266"/>
      <c r="AT464" s="256" t="str">
        <f t="shared" si="231"/>
        <v/>
      </c>
      <c r="AU464" s="256" t="str">
        <f t="shared" si="232"/>
        <v/>
      </c>
      <c r="AV464" s="256" t="str">
        <f t="shared" si="233"/>
        <v/>
      </c>
      <c r="AW464" s="267"/>
      <c r="AX464" s="255"/>
      <c r="AY464" s="259" t="str">
        <f>IF(AX464&lt;&gt;"",AX464/VLOOKUP($V464,Setup!$C$30:$D$41,2,0),"")</f>
        <v/>
      </c>
      <c r="AZ464" s="268"/>
      <c r="BA464" s="258" t="str">
        <f t="shared" si="234"/>
        <v/>
      </c>
      <c r="BB464" s="268"/>
      <c r="BC464" s="258" t="str">
        <f t="shared" si="235"/>
        <v/>
      </c>
      <c r="BD464" s="268"/>
      <c r="BE464" s="258" t="str">
        <f t="shared" si="236"/>
        <v/>
      </c>
      <c r="BF464" s="268"/>
      <c r="BG464" s="256" t="str">
        <f t="shared" si="237"/>
        <v/>
      </c>
      <c r="BH464" s="256" t="str">
        <f t="shared" si="238"/>
        <v/>
      </c>
      <c r="BI464" s="256" t="str">
        <f t="shared" si="239"/>
        <v/>
      </c>
      <c r="BJ464" s="267"/>
      <c r="BK464" s="255"/>
      <c r="BL464" s="259" t="str">
        <f>IF(BK464&lt;&gt;"",BK464/VLOOKUP($V464,Setup!$C$30:$D$41,2,0),"")</f>
        <v/>
      </c>
      <c r="BM464" s="268"/>
      <c r="BN464" s="258" t="str">
        <f t="shared" si="240"/>
        <v/>
      </c>
      <c r="BO464" s="268"/>
      <c r="BP464" s="258" t="str">
        <f t="shared" si="241"/>
        <v/>
      </c>
      <c r="BQ464" s="268"/>
      <c r="BR464" s="258" t="str">
        <f t="shared" si="242"/>
        <v/>
      </c>
      <c r="BS464" s="268"/>
      <c r="BT464" s="256" t="str">
        <f t="shared" si="243"/>
        <v/>
      </c>
      <c r="BU464" s="256" t="str">
        <f t="shared" si="244"/>
        <v/>
      </c>
      <c r="BV464" s="256" t="str">
        <f t="shared" si="245"/>
        <v/>
      </c>
      <c r="BW464" s="267"/>
      <c r="BX464" s="256" t="str">
        <f t="shared" si="246"/>
        <v/>
      </c>
      <c r="BY464" s="256" t="str">
        <f t="shared" si="247"/>
        <v/>
      </c>
      <c r="BZ464" s="281"/>
      <c r="CA464" s="282"/>
      <c r="CC464" s="112" t="str">
        <f t="shared" ca="1" si="248"/>
        <v/>
      </c>
      <c r="CF464" s="284"/>
      <c r="CG464" s="284"/>
      <c r="CH464" s="284"/>
      <c r="CI464" s="284"/>
      <c r="CL464" s="356" t="str">
        <f>IFERROR(VLOOKUP(C464,'Data Sheet'!$A$3:$B$26,2,FALSE),"")</f>
        <v/>
      </c>
    </row>
    <row r="465" spans="1:90" s="98" customFormat="1" ht="15.75" x14ac:dyDescent="0.2">
      <c r="A465" s="97"/>
      <c r="B465" s="105" t="str">
        <f t="shared" si="251"/>
        <v>--</v>
      </c>
      <c r="C465" s="276"/>
      <c r="D465" s="101" t="str">
        <f>IFERROR(IF(VLOOKUP(C465,'Data Sheet'!$A$3:$D$26,4,FALSE)=0,"",VLOOKUP(C465,'Data Sheet'!$A$3:$D$26,4,FALSE)),"")</f>
        <v/>
      </c>
      <c r="E465" s="279"/>
      <c r="F465" s="103" t="str">
        <f>IFERROR(IF(VLOOKUP(E465,'Data Sheet'!$C$29:$E$174,3,FALSE)=0,"",VLOOKUP(E465,'Data Sheet'!$C$29:$E$174,3,FALSE)),"")</f>
        <v/>
      </c>
      <c r="G465" s="106" t="str">
        <f t="shared" si="249"/>
        <v>-</v>
      </c>
      <c r="H465" s="273"/>
      <c r="I465" s="107"/>
      <c r="J465" s="249" t="e">
        <f t="shared" si="250"/>
        <v>#VALUE!</v>
      </c>
      <c r="K465" s="101" t="str">
        <f>IFERROR(INDEX('Data Sheet'!$C$198:$C$275,MATCH(I465,'Data Sheet'!$F$198:$F$275,0)),"")</f>
        <v/>
      </c>
      <c r="L465" s="250" t="str">
        <f>IFERROR(INDEX('Data Sheet'!$G$198:$G$275,MATCH(I465,'Data Sheet'!$F$198:$F$275,0)),"")</f>
        <v/>
      </c>
      <c r="M465" s="194"/>
      <c r="N465" s="248"/>
      <c r="O465" s="248"/>
      <c r="P465" s="108" t="str">
        <f>IFERROR(INDEX(Setup!$D$44:$D$70,MATCH(M465,Setup!$K$44:$K$70,0))&amp;"","")</f>
        <v/>
      </c>
      <c r="Q465" s="108" t="str">
        <f>IFERROR(INDEX(Setup!$E$44:$E$70,MATCH(M465,Setup!$K$44:$K$70,0))&amp;"","")</f>
        <v/>
      </c>
      <c r="R465" s="108" t="str">
        <f>IFERROR(INDEX(Setup!$L$44:$L$70,MATCH(M465,Setup!$K$44:$K$70,0))&amp;"","")</f>
        <v/>
      </c>
      <c r="S465" s="108" t="str">
        <f>Setup!$C$30</f>
        <v>USD</v>
      </c>
      <c r="T465" s="109" t="str">
        <f>IFERROR(INDEX('Data Sheet'!$B$198:$B$275,MATCH(I465,'Data Sheet'!$F$198:$F$275,0)),"")</f>
        <v/>
      </c>
      <c r="U465" s="110" t="str">
        <f>IFERROR(INDEX('Data Sheet'!$D$198:$D$275,MATCH(I465,'Data Sheet'!$F$198:$F$275,0)),"")</f>
        <v/>
      </c>
      <c r="V465" s="99"/>
      <c r="W465" s="195" t="str">
        <f>IF(V465=Setup!$C$30,"Grant",IF(V465=Setup!$C$31,"Local",IF(V465=Setup!$C$32,"Other",IF(ISBLANK(V465),"","Other"))))</f>
        <v/>
      </c>
      <c r="X465" s="255"/>
      <c r="Y465" s="259" t="str">
        <f>IF(X465&lt;&gt;"",X465/VLOOKUP($V465,Setup!$C$30:$D$41,2,0),"")</f>
        <v/>
      </c>
      <c r="Z465" s="262"/>
      <c r="AA465" s="256" t="str">
        <f t="shared" si="222"/>
        <v/>
      </c>
      <c r="AB465" s="262"/>
      <c r="AC465" s="258" t="str">
        <f t="shared" si="223"/>
        <v/>
      </c>
      <c r="AD465" s="262"/>
      <c r="AE465" s="258" t="str">
        <f t="shared" si="224"/>
        <v/>
      </c>
      <c r="AF465" s="262"/>
      <c r="AG465" s="256" t="str">
        <f t="shared" si="225"/>
        <v/>
      </c>
      <c r="AH465" s="256" t="str">
        <f t="shared" si="226"/>
        <v/>
      </c>
      <c r="AI465" s="256" t="str">
        <f t="shared" si="227"/>
        <v/>
      </c>
      <c r="AJ465" s="111"/>
      <c r="AK465" s="255"/>
      <c r="AL465" s="259" t="str">
        <f>IF(AK465&lt;&gt;"",AK465/VLOOKUP($V465,Setup!$C$30:$D$41,2,0),"")</f>
        <v/>
      </c>
      <c r="AM465" s="266"/>
      <c r="AN465" s="258" t="str">
        <f t="shared" si="228"/>
        <v/>
      </c>
      <c r="AO465" s="266"/>
      <c r="AP465" s="258" t="str">
        <f t="shared" si="229"/>
        <v/>
      </c>
      <c r="AQ465" s="266"/>
      <c r="AR465" s="258" t="str">
        <f t="shared" si="230"/>
        <v/>
      </c>
      <c r="AS465" s="266"/>
      <c r="AT465" s="256" t="str">
        <f t="shared" si="231"/>
        <v/>
      </c>
      <c r="AU465" s="256" t="str">
        <f t="shared" si="232"/>
        <v/>
      </c>
      <c r="AV465" s="256" t="str">
        <f t="shared" si="233"/>
        <v/>
      </c>
      <c r="AW465" s="267"/>
      <c r="AX465" s="255"/>
      <c r="AY465" s="259" t="str">
        <f>IF(AX465&lt;&gt;"",AX465/VLOOKUP($V465,Setup!$C$30:$D$41,2,0),"")</f>
        <v/>
      </c>
      <c r="AZ465" s="268"/>
      <c r="BA465" s="258" t="str">
        <f t="shared" si="234"/>
        <v/>
      </c>
      <c r="BB465" s="268"/>
      <c r="BC465" s="258" t="str">
        <f t="shared" si="235"/>
        <v/>
      </c>
      <c r="BD465" s="268"/>
      <c r="BE465" s="258" t="str">
        <f t="shared" si="236"/>
        <v/>
      </c>
      <c r="BF465" s="268"/>
      <c r="BG465" s="256" t="str">
        <f t="shared" si="237"/>
        <v/>
      </c>
      <c r="BH465" s="256" t="str">
        <f t="shared" si="238"/>
        <v/>
      </c>
      <c r="BI465" s="256" t="str">
        <f t="shared" si="239"/>
        <v/>
      </c>
      <c r="BJ465" s="267"/>
      <c r="BK465" s="255"/>
      <c r="BL465" s="259" t="str">
        <f>IF(BK465&lt;&gt;"",BK465/VLOOKUP($V465,Setup!$C$30:$D$41,2,0),"")</f>
        <v/>
      </c>
      <c r="BM465" s="268"/>
      <c r="BN465" s="258" t="str">
        <f t="shared" si="240"/>
        <v/>
      </c>
      <c r="BO465" s="268"/>
      <c r="BP465" s="258" t="str">
        <f t="shared" si="241"/>
        <v/>
      </c>
      <c r="BQ465" s="268"/>
      <c r="BR465" s="258" t="str">
        <f t="shared" si="242"/>
        <v/>
      </c>
      <c r="BS465" s="268"/>
      <c r="BT465" s="256" t="str">
        <f t="shared" si="243"/>
        <v/>
      </c>
      <c r="BU465" s="256" t="str">
        <f t="shared" si="244"/>
        <v/>
      </c>
      <c r="BV465" s="256" t="str">
        <f t="shared" si="245"/>
        <v/>
      </c>
      <c r="BW465" s="267"/>
      <c r="BX465" s="256" t="str">
        <f t="shared" si="246"/>
        <v/>
      </c>
      <c r="BY465" s="256" t="str">
        <f t="shared" si="247"/>
        <v/>
      </c>
      <c r="BZ465" s="281"/>
      <c r="CA465" s="282"/>
      <c r="CC465" s="112" t="str">
        <f t="shared" ca="1" si="248"/>
        <v/>
      </c>
      <c r="CF465" s="284"/>
      <c r="CG465" s="284"/>
      <c r="CH465" s="284"/>
      <c r="CI465" s="284"/>
      <c r="CL465" s="356" t="str">
        <f>IFERROR(VLOOKUP(C465,'Data Sheet'!$A$3:$B$26,2,FALSE),"")</f>
        <v/>
      </c>
    </row>
    <row r="466" spans="1:90" s="98" customFormat="1" ht="15.75" x14ac:dyDescent="0.2">
      <c r="A466" s="97"/>
      <c r="B466" s="105" t="str">
        <f t="shared" si="251"/>
        <v>--</v>
      </c>
      <c r="C466" s="276"/>
      <c r="D466" s="101" t="str">
        <f>IFERROR(IF(VLOOKUP(C466,'Data Sheet'!$A$3:$D$26,4,FALSE)=0,"",VLOOKUP(C466,'Data Sheet'!$A$3:$D$26,4,FALSE)),"")</f>
        <v/>
      </c>
      <c r="E466" s="279"/>
      <c r="F466" s="103" t="str">
        <f>IFERROR(IF(VLOOKUP(E466,'Data Sheet'!$C$29:$E$174,3,FALSE)=0,"",VLOOKUP(E466,'Data Sheet'!$C$29:$E$174,3,FALSE)),"")</f>
        <v/>
      </c>
      <c r="G466" s="106" t="str">
        <f t="shared" si="249"/>
        <v>-</v>
      </c>
      <c r="H466" s="273"/>
      <c r="I466" s="107"/>
      <c r="J466" s="249" t="e">
        <f t="shared" si="250"/>
        <v>#VALUE!</v>
      </c>
      <c r="K466" s="101" t="str">
        <f>IFERROR(INDEX('Data Sheet'!$C$198:$C$275,MATCH(I466,'Data Sheet'!$F$198:$F$275,0)),"")</f>
        <v/>
      </c>
      <c r="L466" s="250" t="str">
        <f>IFERROR(INDEX('Data Sheet'!$G$198:$G$275,MATCH(I466,'Data Sheet'!$F$198:$F$275,0)),"")</f>
        <v/>
      </c>
      <c r="M466" s="194"/>
      <c r="N466" s="248"/>
      <c r="O466" s="248"/>
      <c r="P466" s="108" t="str">
        <f>IFERROR(INDEX(Setup!$D$44:$D$70,MATCH(M466,Setup!$K$44:$K$70,0))&amp;"","")</f>
        <v/>
      </c>
      <c r="Q466" s="108" t="str">
        <f>IFERROR(INDEX(Setup!$E$44:$E$70,MATCH(M466,Setup!$K$44:$K$70,0))&amp;"","")</f>
        <v/>
      </c>
      <c r="R466" s="108" t="str">
        <f>IFERROR(INDEX(Setup!$L$44:$L$70,MATCH(M466,Setup!$K$44:$K$70,0))&amp;"","")</f>
        <v/>
      </c>
      <c r="S466" s="108" t="str">
        <f>Setup!$C$30</f>
        <v>USD</v>
      </c>
      <c r="T466" s="109" t="str">
        <f>IFERROR(INDEX('Data Sheet'!$B$198:$B$275,MATCH(I466,'Data Sheet'!$F$198:$F$275,0)),"")</f>
        <v/>
      </c>
      <c r="U466" s="110" t="str">
        <f>IFERROR(INDEX('Data Sheet'!$D$198:$D$275,MATCH(I466,'Data Sheet'!$F$198:$F$275,0)),"")</f>
        <v/>
      </c>
      <c r="V466" s="99"/>
      <c r="W466" s="195" t="str">
        <f>IF(V466=Setup!$C$30,"Grant",IF(V466=Setup!$C$31,"Local",IF(V466=Setup!$C$32,"Other",IF(ISBLANK(V466),"","Other"))))</f>
        <v/>
      </c>
      <c r="X466" s="255"/>
      <c r="Y466" s="259" t="str">
        <f>IF(X466&lt;&gt;"",X466/VLOOKUP($V466,Setup!$C$30:$D$41,2,0),"")</f>
        <v/>
      </c>
      <c r="Z466" s="262"/>
      <c r="AA466" s="256" t="str">
        <f t="shared" si="222"/>
        <v/>
      </c>
      <c r="AB466" s="262"/>
      <c r="AC466" s="258" t="str">
        <f t="shared" si="223"/>
        <v/>
      </c>
      <c r="AD466" s="262"/>
      <c r="AE466" s="258" t="str">
        <f t="shared" si="224"/>
        <v/>
      </c>
      <c r="AF466" s="262"/>
      <c r="AG466" s="256" t="str">
        <f t="shared" si="225"/>
        <v/>
      </c>
      <c r="AH466" s="256" t="str">
        <f t="shared" si="226"/>
        <v/>
      </c>
      <c r="AI466" s="256" t="str">
        <f t="shared" si="227"/>
        <v/>
      </c>
      <c r="AJ466" s="111"/>
      <c r="AK466" s="255"/>
      <c r="AL466" s="259" t="str">
        <f>IF(AK466&lt;&gt;"",AK466/VLOOKUP($V466,Setup!$C$30:$D$41,2,0),"")</f>
        <v/>
      </c>
      <c r="AM466" s="266"/>
      <c r="AN466" s="258" t="str">
        <f t="shared" si="228"/>
        <v/>
      </c>
      <c r="AO466" s="266"/>
      <c r="AP466" s="258" t="str">
        <f t="shared" si="229"/>
        <v/>
      </c>
      <c r="AQ466" s="266"/>
      <c r="AR466" s="258" t="str">
        <f t="shared" si="230"/>
        <v/>
      </c>
      <c r="AS466" s="266"/>
      <c r="AT466" s="256" t="str">
        <f t="shared" si="231"/>
        <v/>
      </c>
      <c r="AU466" s="256" t="str">
        <f t="shared" si="232"/>
        <v/>
      </c>
      <c r="AV466" s="256" t="str">
        <f t="shared" si="233"/>
        <v/>
      </c>
      <c r="AW466" s="267"/>
      <c r="AX466" s="255"/>
      <c r="AY466" s="259" t="str">
        <f>IF(AX466&lt;&gt;"",AX466/VLOOKUP($V466,Setup!$C$30:$D$41,2,0),"")</f>
        <v/>
      </c>
      <c r="AZ466" s="268"/>
      <c r="BA466" s="258" t="str">
        <f t="shared" si="234"/>
        <v/>
      </c>
      <c r="BB466" s="268"/>
      <c r="BC466" s="258" t="str">
        <f t="shared" si="235"/>
        <v/>
      </c>
      <c r="BD466" s="268"/>
      <c r="BE466" s="258" t="str">
        <f t="shared" si="236"/>
        <v/>
      </c>
      <c r="BF466" s="268"/>
      <c r="BG466" s="256" t="str">
        <f t="shared" si="237"/>
        <v/>
      </c>
      <c r="BH466" s="256" t="str">
        <f t="shared" si="238"/>
        <v/>
      </c>
      <c r="BI466" s="256" t="str">
        <f t="shared" si="239"/>
        <v/>
      </c>
      <c r="BJ466" s="267"/>
      <c r="BK466" s="255"/>
      <c r="BL466" s="259" t="str">
        <f>IF(BK466&lt;&gt;"",BK466/VLOOKUP($V466,Setup!$C$30:$D$41,2,0),"")</f>
        <v/>
      </c>
      <c r="BM466" s="268"/>
      <c r="BN466" s="258" t="str">
        <f t="shared" si="240"/>
        <v/>
      </c>
      <c r="BO466" s="268"/>
      <c r="BP466" s="258" t="str">
        <f t="shared" si="241"/>
        <v/>
      </c>
      <c r="BQ466" s="268"/>
      <c r="BR466" s="258" t="str">
        <f t="shared" si="242"/>
        <v/>
      </c>
      <c r="BS466" s="268"/>
      <c r="BT466" s="256" t="str">
        <f t="shared" si="243"/>
        <v/>
      </c>
      <c r="BU466" s="256" t="str">
        <f t="shared" si="244"/>
        <v/>
      </c>
      <c r="BV466" s="256" t="str">
        <f t="shared" si="245"/>
        <v/>
      </c>
      <c r="BW466" s="267"/>
      <c r="BX466" s="256" t="str">
        <f t="shared" si="246"/>
        <v/>
      </c>
      <c r="BY466" s="256" t="str">
        <f t="shared" si="247"/>
        <v/>
      </c>
      <c r="BZ466" s="281"/>
      <c r="CA466" s="282"/>
      <c r="CC466" s="112" t="str">
        <f t="shared" ca="1" si="248"/>
        <v/>
      </c>
      <c r="CF466" s="284"/>
      <c r="CG466" s="284"/>
      <c r="CH466" s="284"/>
      <c r="CI466" s="284"/>
      <c r="CL466" s="356" t="str">
        <f>IFERROR(VLOOKUP(C466,'Data Sheet'!$A$3:$B$26,2,FALSE),"")</f>
        <v/>
      </c>
    </row>
    <row r="467" spans="1:90" s="98" customFormat="1" ht="15.75" x14ac:dyDescent="0.2">
      <c r="A467" s="97"/>
      <c r="B467" s="105" t="str">
        <f t="shared" si="251"/>
        <v>--</v>
      </c>
      <c r="C467" s="276"/>
      <c r="D467" s="101" t="str">
        <f>IFERROR(IF(VLOOKUP(C467,'Data Sheet'!$A$3:$D$26,4,FALSE)=0,"",VLOOKUP(C467,'Data Sheet'!$A$3:$D$26,4,FALSE)),"")</f>
        <v/>
      </c>
      <c r="E467" s="279"/>
      <c r="F467" s="103" t="str">
        <f>IFERROR(IF(VLOOKUP(E467,'Data Sheet'!$C$29:$E$174,3,FALSE)=0,"",VLOOKUP(E467,'Data Sheet'!$C$29:$E$174,3,FALSE)),"")</f>
        <v/>
      </c>
      <c r="G467" s="106" t="str">
        <f t="shared" si="249"/>
        <v>-</v>
      </c>
      <c r="H467" s="273"/>
      <c r="I467" s="107"/>
      <c r="J467" s="249" t="e">
        <f t="shared" si="250"/>
        <v>#VALUE!</v>
      </c>
      <c r="K467" s="101" t="str">
        <f>IFERROR(INDEX('Data Sheet'!$C$198:$C$275,MATCH(I467,'Data Sheet'!$F$198:$F$275,0)),"")</f>
        <v/>
      </c>
      <c r="L467" s="250" t="str">
        <f>IFERROR(INDEX('Data Sheet'!$G$198:$G$275,MATCH(I467,'Data Sheet'!$F$198:$F$275,0)),"")</f>
        <v/>
      </c>
      <c r="M467" s="194"/>
      <c r="N467" s="248"/>
      <c r="O467" s="248"/>
      <c r="P467" s="108" t="str">
        <f>IFERROR(INDEX(Setup!$D$44:$D$70,MATCH(M467,Setup!$K$44:$K$70,0))&amp;"","")</f>
        <v/>
      </c>
      <c r="Q467" s="108" t="str">
        <f>IFERROR(INDEX(Setup!$E$44:$E$70,MATCH(M467,Setup!$K$44:$K$70,0))&amp;"","")</f>
        <v/>
      </c>
      <c r="R467" s="108" t="str">
        <f>IFERROR(INDEX(Setup!$L$44:$L$70,MATCH(M467,Setup!$K$44:$K$70,0))&amp;"","")</f>
        <v/>
      </c>
      <c r="S467" s="108" t="str">
        <f>Setup!$C$30</f>
        <v>USD</v>
      </c>
      <c r="T467" s="109" t="str">
        <f>IFERROR(INDEX('Data Sheet'!$B$198:$B$275,MATCH(I467,'Data Sheet'!$F$198:$F$275,0)),"")</f>
        <v/>
      </c>
      <c r="U467" s="110" t="str">
        <f>IFERROR(INDEX('Data Sheet'!$D$198:$D$275,MATCH(I467,'Data Sheet'!$F$198:$F$275,0)),"")</f>
        <v/>
      </c>
      <c r="V467" s="99"/>
      <c r="W467" s="195" t="str">
        <f>IF(V467=Setup!$C$30,"Grant",IF(V467=Setup!$C$31,"Local",IF(V467=Setup!$C$32,"Other",IF(ISBLANK(V467),"","Other"))))</f>
        <v/>
      </c>
      <c r="X467" s="255"/>
      <c r="Y467" s="259" t="str">
        <f>IF(X467&lt;&gt;"",X467/VLOOKUP($V467,Setup!$C$30:$D$41,2,0),"")</f>
        <v/>
      </c>
      <c r="Z467" s="262"/>
      <c r="AA467" s="256" t="str">
        <f t="shared" si="222"/>
        <v/>
      </c>
      <c r="AB467" s="262"/>
      <c r="AC467" s="258" t="str">
        <f t="shared" si="223"/>
        <v/>
      </c>
      <c r="AD467" s="262"/>
      <c r="AE467" s="258" t="str">
        <f t="shared" si="224"/>
        <v/>
      </c>
      <c r="AF467" s="262"/>
      <c r="AG467" s="256" t="str">
        <f t="shared" si="225"/>
        <v/>
      </c>
      <c r="AH467" s="256" t="str">
        <f t="shared" si="226"/>
        <v/>
      </c>
      <c r="AI467" s="256" t="str">
        <f t="shared" si="227"/>
        <v/>
      </c>
      <c r="AJ467" s="111"/>
      <c r="AK467" s="255"/>
      <c r="AL467" s="259" t="str">
        <f>IF(AK467&lt;&gt;"",AK467/VLOOKUP($V467,Setup!$C$30:$D$41,2,0),"")</f>
        <v/>
      </c>
      <c r="AM467" s="266"/>
      <c r="AN467" s="258" t="str">
        <f t="shared" si="228"/>
        <v/>
      </c>
      <c r="AO467" s="266"/>
      <c r="AP467" s="258" t="str">
        <f t="shared" si="229"/>
        <v/>
      </c>
      <c r="AQ467" s="266"/>
      <c r="AR467" s="258" t="str">
        <f t="shared" si="230"/>
        <v/>
      </c>
      <c r="AS467" s="266"/>
      <c r="AT467" s="256" t="str">
        <f t="shared" si="231"/>
        <v/>
      </c>
      <c r="AU467" s="256" t="str">
        <f t="shared" si="232"/>
        <v/>
      </c>
      <c r="AV467" s="256" t="str">
        <f t="shared" si="233"/>
        <v/>
      </c>
      <c r="AW467" s="267"/>
      <c r="AX467" s="255"/>
      <c r="AY467" s="259" t="str">
        <f>IF(AX467&lt;&gt;"",AX467/VLOOKUP($V467,Setup!$C$30:$D$41,2,0),"")</f>
        <v/>
      </c>
      <c r="AZ467" s="268"/>
      <c r="BA467" s="258" t="str">
        <f t="shared" si="234"/>
        <v/>
      </c>
      <c r="BB467" s="268"/>
      <c r="BC467" s="258" t="str">
        <f t="shared" si="235"/>
        <v/>
      </c>
      <c r="BD467" s="268"/>
      <c r="BE467" s="258" t="str">
        <f t="shared" si="236"/>
        <v/>
      </c>
      <c r="BF467" s="268"/>
      <c r="BG467" s="256" t="str">
        <f t="shared" si="237"/>
        <v/>
      </c>
      <c r="BH467" s="256" t="str">
        <f t="shared" si="238"/>
        <v/>
      </c>
      <c r="BI467" s="256" t="str">
        <f t="shared" si="239"/>
        <v/>
      </c>
      <c r="BJ467" s="267"/>
      <c r="BK467" s="255"/>
      <c r="BL467" s="259" t="str">
        <f>IF(BK467&lt;&gt;"",BK467/VLOOKUP($V467,Setup!$C$30:$D$41,2,0),"")</f>
        <v/>
      </c>
      <c r="BM467" s="268"/>
      <c r="BN467" s="258" t="str">
        <f t="shared" si="240"/>
        <v/>
      </c>
      <c r="BO467" s="268"/>
      <c r="BP467" s="258" t="str">
        <f t="shared" si="241"/>
        <v/>
      </c>
      <c r="BQ467" s="268"/>
      <c r="BR467" s="258" t="str">
        <f t="shared" si="242"/>
        <v/>
      </c>
      <c r="BS467" s="268"/>
      <c r="BT467" s="256" t="str">
        <f t="shared" si="243"/>
        <v/>
      </c>
      <c r="BU467" s="256" t="str">
        <f t="shared" si="244"/>
        <v/>
      </c>
      <c r="BV467" s="256" t="str">
        <f t="shared" si="245"/>
        <v/>
      </c>
      <c r="BW467" s="267"/>
      <c r="BX467" s="256" t="str">
        <f t="shared" si="246"/>
        <v/>
      </c>
      <c r="BY467" s="256" t="str">
        <f t="shared" si="247"/>
        <v/>
      </c>
      <c r="BZ467" s="281"/>
      <c r="CA467" s="282"/>
      <c r="CC467" s="112" t="str">
        <f t="shared" ca="1" si="248"/>
        <v/>
      </c>
      <c r="CF467" s="284"/>
      <c r="CG467" s="284"/>
      <c r="CH467" s="284"/>
      <c r="CI467" s="284"/>
      <c r="CL467" s="356" t="str">
        <f>IFERROR(VLOOKUP(C467,'Data Sheet'!$A$3:$B$26,2,FALSE),"")</f>
        <v/>
      </c>
    </row>
    <row r="468" spans="1:90" s="98" customFormat="1" ht="15.75" x14ac:dyDescent="0.2">
      <c r="A468" s="97"/>
      <c r="B468" s="105" t="str">
        <f t="shared" si="251"/>
        <v>--</v>
      </c>
      <c r="C468" s="276"/>
      <c r="D468" s="101" t="str">
        <f>IFERROR(IF(VLOOKUP(C468,'Data Sheet'!$A$3:$D$26,4,FALSE)=0,"",VLOOKUP(C468,'Data Sheet'!$A$3:$D$26,4,FALSE)),"")</f>
        <v/>
      </c>
      <c r="E468" s="279"/>
      <c r="F468" s="103" t="str">
        <f>IFERROR(IF(VLOOKUP(E468,'Data Sheet'!$C$29:$E$174,3,FALSE)=0,"",VLOOKUP(E468,'Data Sheet'!$C$29:$E$174,3,FALSE)),"")</f>
        <v/>
      </c>
      <c r="G468" s="106" t="str">
        <f t="shared" si="249"/>
        <v>-</v>
      </c>
      <c r="H468" s="273"/>
      <c r="I468" s="107"/>
      <c r="J468" s="249" t="e">
        <f t="shared" si="250"/>
        <v>#VALUE!</v>
      </c>
      <c r="K468" s="101" t="str">
        <f>IFERROR(INDEX('Data Sheet'!$C$198:$C$275,MATCH(I468,'Data Sheet'!$F$198:$F$275,0)),"")</f>
        <v/>
      </c>
      <c r="L468" s="250" t="str">
        <f>IFERROR(INDEX('Data Sheet'!$G$198:$G$275,MATCH(I468,'Data Sheet'!$F$198:$F$275,0)),"")</f>
        <v/>
      </c>
      <c r="M468" s="194"/>
      <c r="N468" s="248"/>
      <c r="O468" s="248"/>
      <c r="P468" s="108" t="str">
        <f>IFERROR(INDEX(Setup!$D$44:$D$70,MATCH(M468,Setup!$K$44:$K$70,0))&amp;"","")</f>
        <v/>
      </c>
      <c r="Q468" s="108" t="str">
        <f>IFERROR(INDEX(Setup!$E$44:$E$70,MATCH(M468,Setup!$K$44:$K$70,0))&amp;"","")</f>
        <v/>
      </c>
      <c r="R468" s="108" t="str">
        <f>IFERROR(INDEX(Setup!$L$44:$L$70,MATCH(M468,Setup!$K$44:$K$70,0))&amp;"","")</f>
        <v/>
      </c>
      <c r="S468" s="108" t="str">
        <f>Setup!$C$30</f>
        <v>USD</v>
      </c>
      <c r="T468" s="109" t="str">
        <f>IFERROR(INDEX('Data Sheet'!$B$198:$B$275,MATCH(I468,'Data Sheet'!$F$198:$F$275,0)),"")</f>
        <v/>
      </c>
      <c r="U468" s="110" t="str">
        <f>IFERROR(INDEX('Data Sheet'!$D$198:$D$275,MATCH(I468,'Data Sheet'!$F$198:$F$275,0)),"")</f>
        <v/>
      </c>
      <c r="V468" s="99"/>
      <c r="W468" s="195" t="str">
        <f>IF(V468=Setup!$C$30,"Grant",IF(V468=Setup!$C$31,"Local",IF(V468=Setup!$C$32,"Other",IF(ISBLANK(V468),"","Other"))))</f>
        <v/>
      </c>
      <c r="X468" s="255"/>
      <c r="Y468" s="259" t="str">
        <f>IF(X468&lt;&gt;"",X468/VLOOKUP($V468,Setup!$C$30:$D$41,2,0),"")</f>
        <v/>
      </c>
      <c r="Z468" s="262"/>
      <c r="AA468" s="256" t="str">
        <f t="shared" si="222"/>
        <v/>
      </c>
      <c r="AB468" s="262"/>
      <c r="AC468" s="258" t="str">
        <f t="shared" si="223"/>
        <v/>
      </c>
      <c r="AD468" s="262"/>
      <c r="AE468" s="258" t="str">
        <f t="shared" si="224"/>
        <v/>
      </c>
      <c r="AF468" s="262"/>
      <c r="AG468" s="256" t="str">
        <f t="shared" si="225"/>
        <v/>
      </c>
      <c r="AH468" s="256" t="str">
        <f t="shared" si="226"/>
        <v/>
      </c>
      <c r="AI468" s="256" t="str">
        <f t="shared" si="227"/>
        <v/>
      </c>
      <c r="AJ468" s="111"/>
      <c r="AK468" s="255"/>
      <c r="AL468" s="259" t="str">
        <f>IF(AK468&lt;&gt;"",AK468/VLOOKUP($V468,Setup!$C$30:$D$41,2,0),"")</f>
        <v/>
      </c>
      <c r="AM468" s="266"/>
      <c r="AN468" s="258" t="str">
        <f t="shared" si="228"/>
        <v/>
      </c>
      <c r="AO468" s="266"/>
      <c r="AP468" s="258" t="str">
        <f t="shared" si="229"/>
        <v/>
      </c>
      <c r="AQ468" s="266"/>
      <c r="AR468" s="258" t="str">
        <f t="shared" si="230"/>
        <v/>
      </c>
      <c r="AS468" s="266"/>
      <c r="AT468" s="256" t="str">
        <f t="shared" si="231"/>
        <v/>
      </c>
      <c r="AU468" s="256" t="str">
        <f t="shared" si="232"/>
        <v/>
      </c>
      <c r="AV468" s="256" t="str">
        <f t="shared" si="233"/>
        <v/>
      </c>
      <c r="AW468" s="267"/>
      <c r="AX468" s="255"/>
      <c r="AY468" s="259" t="str">
        <f>IF(AX468&lt;&gt;"",AX468/VLOOKUP($V468,Setup!$C$30:$D$41,2,0),"")</f>
        <v/>
      </c>
      <c r="AZ468" s="268"/>
      <c r="BA468" s="258" t="str">
        <f t="shared" si="234"/>
        <v/>
      </c>
      <c r="BB468" s="268"/>
      <c r="BC468" s="258" t="str">
        <f t="shared" si="235"/>
        <v/>
      </c>
      <c r="BD468" s="268"/>
      <c r="BE468" s="258" t="str">
        <f t="shared" si="236"/>
        <v/>
      </c>
      <c r="BF468" s="268"/>
      <c r="BG468" s="256" t="str">
        <f t="shared" si="237"/>
        <v/>
      </c>
      <c r="BH468" s="256" t="str">
        <f t="shared" si="238"/>
        <v/>
      </c>
      <c r="BI468" s="256" t="str">
        <f t="shared" si="239"/>
        <v/>
      </c>
      <c r="BJ468" s="267"/>
      <c r="BK468" s="255"/>
      <c r="BL468" s="259" t="str">
        <f>IF(BK468&lt;&gt;"",BK468/VLOOKUP($V468,Setup!$C$30:$D$41,2,0),"")</f>
        <v/>
      </c>
      <c r="BM468" s="268"/>
      <c r="BN468" s="258" t="str">
        <f t="shared" si="240"/>
        <v/>
      </c>
      <c r="BO468" s="268"/>
      <c r="BP468" s="258" t="str">
        <f t="shared" si="241"/>
        <v/>
      </c>
      <c r="BQ468" s="268"/>
      <c r="BR468" s="258" t="str">
        <f t="shared" si="242"/>
        <v/>
      </c>
      <c r="BS468" s="268"/>
      <c r="BT468" s="256" t="str">
        <f t="shared" si="243"/>
        <v/>
      </c>
      <c r="BU468" s="256" t="str">
        <f t="shared" si="244"/>
        <v/>
      </c>
      <c r="BV468" s="256" t="str">
        <f t="shared" si="245"/>
        <v/>
      </c>
      <c r="BW468" s="267"/>
      <c r="BX468" s="256" t="str">
        <f t="shared" si="246"/>
        <v/>
      </c>
      <c r="BY468" s="256" t="str">
        <f t="shared" si="247"/>
        <v/>
      </c>
      <c r="BZ468" s="281"/>
      <c r="CA468" s="282"/>
      <c r="CC468" s="112" t="str">
        <f t="shared" ca="1" si="248"/>
        <v/>
      </c>
      <c r="CF468" s="284"/>
      <c r="CG468" s="284"/>
      <c r="CH468" s="284"/>
      <c r="CI468" s="284"/>
      <c r="CL468" s="356" t="str">
        <f>IFERROR(VLOOKUP(C468,'Data Sheet'!$A$3:$B$26,2,FALSE),"")</f>
        <v/>
      </c>
    </row>
    <row r="469" spans="1:90" s="98" customFormat="1" ht="15.75" x14ac:dyDescent="0.2">
      <c r="A469" s="97"/>
      <c r="B469" s="105" t="str">
        <f t="shared" si="251"/>
        <v>--</v>
      </c>
      <c r="C469" s="276"/>
      <c r="D469" s="101" t="str">
        <f>IFERROR(IF(VLOOKUP(C469,'Data Sheet'!$A$3:$D$26,4,FALSE)=0,"",VLOOKUP(C469,'Data Sheet'!$A$3:$D$26,4,FALSE)),"")</f>
        <v/>
      </c>
      <c r="E469" s="279"/>
      <c r="F469" s="103" t="str">
        <f>IFERROR(IF(VLOOKUP(E469,'Data Sheet'!$C$29:$E$174,3,FALSE)=0,"",VLOOKUP(E469,'Data Sheet'!$C$29:$E$174,3,FALSE)),"")</f>
        <v/>
      </c>
      <c r="G469" s="106" t="str">
        <f t="shared" si="249"/>
        <v>-</v>
      </c>
      <c r="H469" s="273"/>
      <c r="I469" s="107"/>
      <c r="J469" s="249" t="e">
        <f t="shared" si="250"/>
        <v>#VALUE!</v>
      </c>
      <c r="K469" s="101" t="str">
        <f>IFERROR(INDEX('Data Sheet'!$C$198:$C$275,MATCH(I469,'Data Sheet'!$F$198:$F$275,0)),"")</f>
        <v/>
      </c>
      <c r="L469" s="250" t="str">
        <f>IFERROR(INDEX('Data Sheet'!$G$198:$G$275,MATCH(I469,'Data Sheet'!$F$198:$F$275,0)),"")</f>
        <v/>
      </c>
      <c r="M469" s="194"/>
      <c r="N469" s="248"/>
      <c r="O469" s="248"/>
      <c r="P469" s="108" t="str">
        <f>IFERROR(INDEX(Setup!$D$44:$D$70,MATCH(M469,Setup!$K$44:$K$70,0))&amp;"","")</f>
        <v/>
      </c>
      <c r="Q469" s="108" t="str">
        <f>IFERROR(INDEX(Setup!$E$44:$E$70,MATCH(M469,Setup!$K$44:$K$70,0))&amp;"","")</f>
        <v/>
      </c>
      <c r="R469" s="108" t="str">
        <f>IFERROR(INDEX(Setup!$L$44:$L$70,MATCH(M469,Setup!$K$44:$K$70,0))&amp;"","")</f>
        <v/>
      </c>
      <c r="S469" s="108" t="str">
        <f>Setup!$C$30</f>
        <v>USD</v>
      </c>
      <c r="T469" s="109" t="str">
        <f>IFERROR(INDEX('Data Sheet'!$B$198:$B$275,MATCH(I469,'Data Sheet'!$F$198:$F$275,0)),"")</f>
        <v/>
      </c>
      <c r="U469" s="110" t="str">
        <f>IFERROR(INDEX('Data Sheet'!$D$198:$D$275,MATCH(I469,'Data Sheet'!$F$198:$F$275,0)),"")</f>
        <v/>
      </c>
      <c r="V469" s="99"/>
      <c r="W469" s="195" t="str">
        <f>IF(V469=Setup!$C$30,"Grant",IF(V469=Setup!$C$31,"Local",IF(V469=Setup!$C$32,"Other",IF(ISBLANK(V469),"","Other"))))</f>
        <v/>
      </c>
      <c r="X469" s="255"/>
      <c r="Y469" s="259" t="str">
        <f>IF(X469&lt;&gt;"",X469/VLOOKUP($V469,Setup!$C$30:$D$41,2,0),"")</f>
        <v/>
      </c>
      <c r="Z469" s="262"/>
      <c r="AA469" s="256" t="str">
        <f t="shared" si="222"/>
        <v/>
      </c>
      <c r="AB469" s="262"/>
      <c r="AC469" s="258" t="str">
        <f t="shared" si="223"/>
        <v/>
      </c>
      <c r="AD469" s="262"/>
      <c r="AE469" s="258" t="str">
        <f t="shared" si="224"/>
        <v/>
      </c>
      <c r="AF469" s="262"/>
      <c r="AG469" s="256" t="str">
        <f t="shared" si="225"/>
        <v/>
      </c>
      <c r="AH469" s="256" t="str">
        <f t="shared" si="226"/>
        <v/>
      </c>
      <c r="AI469" s="256" t="str">
        <f t="shared" si="227"/>
        <v/>
      </c>
      <c r="AJ469" s="111"/>
      <c r="AK469" s="255"/>
      <c r="AL469" s="259" t="str">
        <f>IF(AK469&lt;&gt;"",AK469/VLOOKUP($V469,Setup!$C$30:$D$41,2,0),"")</f>
        <v/>
      </c>
      <c r="AM469" s="266"/>
      <c r="AN469" s="258" t="str">
        <f t="shared" si="228"/>
        <v/>
      </c>
      <c r="AO469" s="266"/>
      <c r="AP469" s="258" t="str">
        <f t="shared" si="229"/>
        <v/>
      </c>
      <c r="AQ469" s="266"/>
      <c r="AR469" s="258" t="str">
        <f t="shared" si="230"/>
        <v/>
      </c>
      <c r="AS469" s="266"/>
      <c r="AT469" s="256" t="str">
        <f t="shared" si="231"/>
        <v/>
      </c>
      <c r="AU469" s="256" t="str">
        <f t="shared" si="232"/>
        <v/>
      </c>
      <c r="AV469" s="256" t="str">
        <f t="shared" si="233"/>
        <v/>
      </c>
      <c r="AW469" s="267"/>
      <c r="AX469" s="255"/>
      <c r="AY469" s="259" t="str">
        <f>IF(AX469&lt;&gt;"",AX469/VLOOKUP($V469,Setup!$C$30:$D$41,2,0),"")</f>
        <v/>
      </c>
      <c r="AZ469" s="268"/>
      <c r="BA469" s="258" t="str">
        <f t="shared" si="234"/>
        <v/>
      </c>
      <c r="BB469" s="268"/>
      <c r="BC469" s="258" t="str">
        <f t="shared" si="235"/>
        <v/>
      </c>
      <c r="BD469" s="268"/>
      <c r="BE469" s="258" t="str">
        <f t="shared" si="236"/>
        <v/>
      </c>
      <c r="BF469" s="268"/>
      <c r="BG469" s="256" t="str">
        <f t="shared" si="237"/>
        <v/>
      </c>
      <c r="BH469" s="256" t="str">
        <f t="shared" si="238"/>
        <v/>
      </c>
      <c r="BI469" s="256" t="str">
        <f t="shared" si="239"/>
        <v/>
      </c>
      <c r="BJ469" s="267"/>
      <c r="BK469" s="255"/>
      <c r="BL469" s="259" t="str">
        <f>IF(BK469&lt;&gt;"",BK469/VLOOKUP($V469,Setup!$C$30:$D$41,2,0),"")</f>
        <v/>
      </c>
      <c r="BM469" s="268"/>
      <c r="BN469" s="258" t="str">
        <f t="shared" si="240"/>
        <v/>
      </c>
      <c r="BO469" s="268"/>
      <c r="BP469" s="258" t="str">
        <f t="shared" si="241"/>
        <v/>
      </c>
      <c r="BQ469" s="268"/>
      <c r="BR469" s="258" t="str">
        <f t="shared" si="242"/>
        <v/>
      </c>
      <c r="BS469" s="268"/>
      <c r="BT469" s="256" t="str">
        <f t="shared" si="243"/>
        <v/>
      </c>
      <c r="BU469" s="256" t="str">
        <f t="shared" si="244"/>
        <v/>
      </c>
      <c r="BV469" s="256" t="str">
        <f t="shared" si="245"/>
        <v/>
      </c>
      <c r="BW469" s="267"/>
      <c r="BX469" s="256" t="str">
        <f t="shared" si="246"/>
        <v/>
      </c>
      <c r="BY469" s="256" t="str">
        <f t="shared" si="247"/>
        <v/>
      </c>
      <c r="BZ469" s="281"/>
      <c r="CA469" s="282"/>
      <c r="CC469" s="112" t="str">
        <f t="shared" ca="1" si="248"/>
        <v/>
      </c>
      <c r="CF469" s="284"/>
      <c r="CG469" s="284"/>
      <c r="CH469" s="284"/>
      <c r="CI469" s="284"/>
      <c r="CL469" s="356" t="str">
        <f>IFERROR(VLOOKUP(C469,'Data Sheet'!$A$3:$B$26,2,FALSE),"")</f>
        <v/>
      </c>
    </row>
    <row r="470" spans="1:90" s="98" customFormat="1" ht="15.75" x14ac:dyDescent="0.2">
      <c r="A470" s="97"/>
      <c r="B470" s="105" t="str">
        <f t="shared" si="251"/>
        <v>--</v>
      </c>
      <c r="C470" s="276"/>
      <c r="D470" s="101" t="str">
        <f>IFERROR(IF(VLOOKUP(C470,'Data Sheet'!$A$3:$D$26,4,FALSE)=0,"",VLOOKUP(C470,'Data Sheet'!$A$3:$D$26,4,FALSE)),"")</f>
        <v/>
      </c>
      <c r="E470" s="279"/>
      <c r="F470" s="103" t="str">
        <f>IFERROR(IF(VLOOKUP(E470,'Data Sheet'!$C$29:$E$174,3,FALSE)=0,"",VLOOKUP(E470,'Data Sheet'!$C$29:$E$174,3,FALSE)),"")</f>
        <v/>
      </c>
      <c r="G470" s="106" t="str">
        <f t="shared" si="249"/>
        <v>-</v>
      </c>
      <c r="H470" s="273"/>
      <c r="I470" s="107"/>
      <c r="J470" s="249" t="e">
        <f t="shared" si="250"/>
        <v>#VALUE!</v>
      </c>
      <c r="K470" s="101" t="str">
        <f>IFERROR(INDEX('Data Sheet'!$C$198:$C$275,MATCH(I470,'Data Sheet'!$F$198:$F$275,0)),"")</f>
        <v/>
      </c>
      <c r="L470" s="250" t="str">
        <f>IFERROR(INDEX('Data Sheet'!$G$198:$G$275,MATCH(I470,'Data Sheet'!$F$198:$F$275,0)),"")</f>
        <v/>
      </c>
      <c r="M470" s="194"/>
      <c r="N470" s="248"/>
      <c r="O470" s="248"/>
      <c r="P470" s="108" t="str">
        <f>IFERROR(INDEX(Setup!$D$44:$D$70,MATCH(M470,Setup!$K$44:$K$70,0))&amp;"","")</f>
        <v/>
      </c>
      <c r="Q470" s="108" t="str">
        <f>IFERROR(INDEX(Setup!$E$44:$E$70,MATCH(M470,Setup!$K$44:$K$70,0))&amp;"","")</f>
        <v/>
      </c>
      <c r="R470" s="108" t="str">
        <f>IFERROR(INDEX(Setup!$L$44:$L$70,MATCH(M470,Setup!$K$44:$K$70,0))&amp;"","")</f>
        <v/>
      </c>
      <c r="S470" s="108" t="str">
        <f>Setup!$C$30</f>
        <v>USD</v>
      </c>
      <c r="T470" s="109" t="str">
        <f>IFERROR(INDEX('Data Sheet'!$B$198:$B$275,MATCH(I470,'Data Sheet'!$F$198:$F$275,0)),"")</f>
        <v/>
      </c>
      <c r="U470" s="110" t="str">
        <f>IFERROR(INDEX('Data Sheet'!$D$198:$D$275,MATCH(I470,'Data Sheet'!$F$198:$F$275,0)),"")</f>
        <v/>
      </c>
      <c r="V470" s="99"/>
      <c r="W470" s="195" t="str">
        <f>IF(V470=Setup!$C$30,"Grant",IF(V470=Setup!$C$31,"Local",IF(V470=Setup!$C$32,"Other",IF(ISBLANK(V470),"","Other"))))</f>
        <v/>
      </c>
      <c r="X470" s="255"/>
      <c r="Y470" s="259" t="str">
        <f>IF(X470&lt;&gt;"",X470/VLOOKUP($V470,Setup!$C$30:$D$41,2,0),"")</f>
        <v/>
      </c>
      <c r="Z470" s="262"/>
      <c r="AA470" s="256" t="str">
        <f t="shared" si="222"/>
        <v/>
      </c>
      <c r="AB470" s="262"/>
      <c r="AC470" s="258" t="str">
        <f t="shared" si="223"/>
        <v/>
      </c>
      <c r="AD470" s="262"/>
      <c r="AE470" s="258" t="str">
        <f t="shared" si="224"/>
        <v/>
      </c>
      <c r="AF470" s="262"/>
      <c r="AG470" s="256" t="str">
        <f t="shared" si="225"/>
        <v/>
      </c>
      <c r="AH470" s="256" t="str">
        <f t="shared" si="226"/>
        <v/>
      </c>
      <c r="AI470" s="256" t="str">
        <f t="shared" si="227"/>
        <v/>
      </c>
      <c r="AJ470" s="111"/>
      <c r="AK470" s="255"/>
      <c r="AL470" s="259" t="str">
        <f>IF(AK470&lt;&gt;"",AK470/VLOOKUP($V470,Setup!$C$30:$D$41,2,0),"")</f>
        <v/>
      </c>
      <c r="AM470" s="266"/>
      <c r="AN470" s="258" t="str">
        <f t="shared" si="228"/>
        <v/>
      </c>
      <c r="AO470" s="266"/>
      <c r="AP470" s="258" t="str">
        <f t="shared" si="229"/>
        <v/>
      </c>
      <c r="AQ470" s="266"/>
      <c r="AR470" s="258" t="str">
        <f t="shared" si="230"/>
        <v/>
      </c>
      <c r="AS470" s="266"/>
      <c r="AT470" s="256" t="str">
        <f t="shared" si="231"/>
        <v/>
      </c>
      <c r="AU470" s="256" t="str">
        <f t="shared" si="232"/>
        <v/>
      </c>
      <c r="AV470" s="256" t="str">
        <f t="shared" si="233"/>
        <v/>
      </c>
      <c r="AW470" s="267"/>
      <c r="AX470" s="255"/>
      <c r="AY470" s="259" t="str">
        <f>IF(AX470&lt;&gt;"",AX470/VLOOKUP($V470,Setup!$C$30:$D$41,2,0),"")</f>
        <v/>
      </c>
      <c r="AZ470" s="268"/>
      <c r="BA470" s="258" t="str">
        <f t="shared" si="234"/>
        <v/>
      </c>
      <c r="BB470" s="268"/>
      <c r="BC470" s="258" t="str">
        <f t="shared" si="235"/>
        <v/>
      </c>
      <c r="BD470" s="268"/>
      <c r="BE470" s="258" t="str">
        <f t="shared" si="236"/>
        <v/>
      </c>
      <c r="BF470" s="268"/>
      <c r="BG470" s="256" t="str">
        <f t="shared" si="237"/>
        <v/>
      </c>
      <c r="BH470" s="256" t="str">
        <f t="shared" si="238"/>
        <v/>
      </c>
      <c r="BI470" s="256" t="str">
        <f t="shared" si="239"/>
        <v/>
      </c>
      <c r="BJ470" s="267"/>
      <c r="BK470" s="255"/>
      <c r="BL470" s="259" t="str">
        <f>IF(BK470&lt;&gt;"",BK470/VLOOKUP($V470,Setup!$C$30:$D$41,2,0),"")</f>
        <v/>
      </c>
      <c r="BM470" s="268"/>
      <c r="BN470" s="258" t="str">
        <f t="shared" si="240"/>
        <v/>
      </c>
      <c r="BO470" s="268"/>
      <c r="BP470" s="258" t="str">
        <f t="shared" si="241"/>
        <v/>
      </c>
      <c r="BQ470" s="268"/>
      <c r="BR470" s="258" t="str">
        <f t="shared" si="242"/>
        <v/>
      </c>
      <c r="BS470" s="268"/>
      <c r="BT470" s="256" t="str">
        <f t="shared" si="243"/>
        <v/>
      </c>
      <c r="BU470" s="256" t="str">
        <f t="shared" si="244"/>
        <v/>
      </c>
      <c r="BV470" s="256" t="str">
        <f t="shared" si="245"/>
        <v/>
      </c>
      <c r="BW470" s="267"/>
      <c r="BX470" s="256" t="str">
        <f t="shared" si="246"/>
        <v/>
      </c>
      <c r="BY470" s="256" t="str">
        <f t="shared" si="247"/>
        <v/>
      </c>
      <c r="BZ470" s="281"/>
      <c r="CA470" s="282"/>
      <c r="CC470" s="112" t="str">
        <f t="shared" ca="1" si="248"/>
        <v/>
      </c>
      <c r="CF470" s="284"/>
      <c r="CG470" s="284"/>
      <c r="CH470" s="284"/>
      <c r="CI470" s="284"/>
      <c r="CL470" s="356" t="str">
        <f>IFERROR(VLOOKUP(C470,'Data Sheet'!$A$3:$B$26,2,FALSE),"")</f>
        <v/>
      </c>
    </row>
    <row r="471" spans="1:90" s="98" customFormat="1" ht="15.75" x14ac:dyDescent="0.2">
      <c r="A471" s="97"/>
      <c r="B471" s="105" t="str">
        <f t="shared" si="251"/>
        <v>--</v>
      </c>
      <c r="C471" s="276"/>
      <c r="D471" s="101" t="str">
        <f>IFERROR(IF(VLOOKUP(C471,'Data Sheet'!$A$3:$D$26,4,FALSE)=0,"",VLOOKUP(C471,'Data Sheet'!$A$3:$D$26,4,FALSE)),"")</f>
        <v/>
      </c>
      <c r="E471" s="279"/>
      <c r="F471" s="103" t="str">
        <f>IFERROR(IF(VLOOKUP(E471,'Data Sheet'!$C$29:$E$174,3,FALSE)=0,"",VLOOKUP(E471,'Data Sheet'!$C$29:$E$174,3,FALSE)),"")</f>
        <v/>
      </c>
      <c r="G471" s="106" t="str">
        <f t="shared" si="249"/>
        <v>-</v>
      </c>
      <c r="H471" s="273"/>
      <c r="I471" s="107"/>
      <c r="J471" s="249" t="e">
        <f t="shared" si="250"/>
        <v>#VALUE!</v>
      </c>
      <c r="K471" s="101" t="str">
        <f>IFERROR(INDEX('Data Sheet'!$C$198:$C$275,MATCH(I471,'Data Sheet'!$F$198:$F$275,0)),"")</f>
        <v/>
      </c>
      <c r="L471" s="250" t="str">
        <f>IFERROR(INDEX('Data Sheet'!$G$198:$G$275,MATCH(I471,'Data Sheet'!$F$198:$F$275,0)),"")</f>
        <v/>
      </c>
      <c r="M471" s="194"/>
      <c r="N471" s="248"/>
      <c r="O471" s="248"/>
      <c r="P471" s="108" t="str">
        <f>IFERROR(INDEX(Setup!$D$44:$D$70,MATCH(M471,Setup!$K$44:$K$70,0))&amp;"","")</f>
        <v/>
      </c>
      <c r="Q471" s="108" t="str">
        <f>IFERROR(INDEX(Setup!$E$44:$E$70,MATCH(M471,Setup!$K$44:$K$70,0))&amp;"","")</f>
        <v/>
      </c>
      <c r="R471" s="108" t="str">
        <f>IFERROR(INDEX(Setup!$L$44:$L$70,MATCH(M471,Setup!$K$44:$K$70,0))&amp;"","")</f>
        <v/>
      </c>
      <c r="S471" s="108" t="str">
        <f>Setup!$C$30</f>
        <v>USD</v>
      </c>
      <c r="T471" s="109" t="str">
        <f>IFERROR(INDEX('Data Sheet'!$B$198:$B$275,MATCH(I471,'Data Sheet'!$F$198:$F$275,0)),"")</f>
        <v/>
      </c>
      <c r="U471" s="110" t="str">
        <f>IFERROR(INDEX('Data Sheet'!$D$198:$D$275,MATCH(I471,'Data Sheet'!$F$198:$F$275,0)),"")</f>
        <v/>
      </c>
      <c r="V471" s="99"/>
      <c r="W471" s="195" t="str">
        <f>IF(V471=Setup!$C$30,"Grant",IF(V471=Setup!$C$31,"Local",IF(V471=Setup!$C$32,"Other",IF(ISBLANK(V471),"","Other"))))</f>
        <v/>
      </c>
      <c r="X471" s="255"/>
      <c r="Y471" s="259" t="str">
        <f>IF(X471&lt;&gt;"",X471/VLOOKUP($V471,Setup!$C$30:$D$41,2,0),"")</f>
        <v/>
      </c>
      <c r="Z471" s="262"/>
      <c r="AA471" s="256" t="str">
        <f t="shared" si="222"/>
        <v/>
      </c>
      <c r="AB471" s="262"/>
      <c r="AC471" s="258" t="str">
        <f t="shared" si="223"/>
        <v/>
      </c>
      <c r="AD471" s="262"/>
      <c r="AE471" s="258" t="str">
        <f t="shared" si="224"/>
        <v/>
      </c>
      <c r="AF471" s="262"/>
      <c r="AG471" s="256" t="str">
        <f t="shared" si="225"/>
        <v/>
      </c>
      <c r="AH471" s="256" t="str">
        <f t="shared" si="226"/>
        <v/>
      </c>
      <c r="AI471" s="256" t="str">
        <f t="shared" si="227"/>
        <v/>
      </c>
      <c r="AJ471" s="111"/>
      <c r="AK471" s="255"/>
      <c r="AL471" s="259" t="str">
        <f>IF(AK471&lt;&gt;"",AK471/VLOOKUP($V471,Setup!$C$30:$D$41,2,0),"")</f>
        <v/>
      </c>
      <c r="AM471" s="266"/>
      <c r="AN471" s="258" t="str">
        <f t="shared" si="228"/>
        <v/>
      </c>
      <c r="AO471" s="266"/>
      <c r="AP471" s="258" t="str">
        <f t="shared" si="229"/>
        <v/>
      </c>
      <c r="AQ471" s="266"/>
      <c r="AR471" s="258" t="str">
        <f t="shared" si="230"/>
        <v/>
      </c>
      <c r="AS471" s="266"/>
      <c r="AT471" s="256" t="str">
        <f t="shared" si="231"/>
        <v/>
      </c>
      <c r="AU471" s="256" t="str">
        <f t="shared" si="232"/>
        <v/>
      </c>
      <c r="AV471" s="256" t="str">
        <f t="shared" si="233"/>
        <v/>
      </c>
      <c r="AW471" s="267"/>
      <c r="AX471" s="255"/>
      <c r="AY471" s="259" t="str">
        <f>IF(AX471&lt;&gt;"",AX471/VLOOKUP($V471,Setup!$C$30:$D$41,2,0),"")</f>
        <v/>
      </c>
      <c r="AZ471" s="268"/>
      <c r="BA471" s="258" t="str">
        <f t="shared" si="234"/>
        <v/>
      </c>
      <c r="BB471" s="268"/>
      <c r="BC471" s="258" t="str">
        <f t="shared" si="235"/>
        <v/>
      </c>
      <c r="BD471" s="268"/>
      <c r="BE471" s="258" t="str">
        <f t="shared" si="236"/>
        <v/>
      </c>
      <c r="BF471" s="268"/>
      <c r="BG471" s="256" t="str">
        <f t="shared" si="237"/>
        <v/>
      </c>
      <c r="BH471" s="256" t="str">
        <f t="shared" si="238"/>
        <v/>
      </c>
      <c r="BI471" s="256" t="str">
        <f t="shared" si="239"/>
        <v/>
      </c>
      <c r="BJ471" s="267"/>
      <c r="BK471" s="255"/>
      <c r="BL471" s="259" t="str">
        <f>IF(BK471&lt;&gt;"",BK471/VLOOKUP($V471,Setup!$C$30:$D$41,2,0),"")</f>
        <v/>
      </c>
      <c r="BM471" s="268"/>
      <c r="BN471" s="258" t="str">
        <f t="shared" si="240"/>
        <v/>
      </c>
      <c r="BO471" s="268"/>
      <c r="BP471" s="258" t="str">
        <f t="shared" si="241"/>
        <v/>
      </c>
      <c r="BQ471" s="268"/>
      <c r="BR471" s="258" t="str">
        <f t="shared" si="242"/>
        <v/>
      </c>
      <c r="BS471" s="268"/>
      <c r="BT471" s="256" t="str">
        <f t="shared" si="243"/>
        <v/>
      </c>
      <c r="BU471" s="256" t="str">
        <f t="shared" si="244"/>
        <v/>
      </c>
      <c r="BV471" s="256" t="str">
        <f t="shared" si="245"/>
        <v/>
      </c>
      <c r="BW471" s="267"/>
      <c r="BX471" s="256" t="str">
        <f t="shared" si="246"/>
        <v/>
      </c>
      <c r="BY471" s="256" t="str">
        <f t="shared" si="247"/>
        <v/>
      </c>
      <c r="BZ471" s="281"/>
      <c r="CA471" s="282"/>
      <c r="CC471" s="112" t="str">
        <f t="shared" ca="1" si="248"/>
        <v/>
      </c>
      <c r="CF471" s="284"/>
      <c r="CG471" s="284"/>
      <c r="CH471" s="284"/>
      <c r="CI471" s="284"/>
      <c r="CL471" s="356" t="str">
        <f>IFERROR(VLOOKUP(C471,'Data Sheet'!$A$3:$B$26,2,FALSE),"")</f>
        <v/>
      </c>
    </row>
    <row r="472" spans="1:90" s="98" customFormat="1" ht="15.75" x14ac:dyDescent="0.2">
      <c r="A472" s="97"/>
      <c r="B472" s="105" t="str">
        <f t="shared" si="251"/>
        <v>--</v>
      </c>
      <c r="C472" s="276"/>
      <c r="D472" s="101" t="str">
        <f>IFERROR(IF(VLOOKUP(C472,'Data Sheet'!$A$3:$D$26,4,FALSE)=0,"",VLOOKUP(C472,'Data Sheet'!$A$3:$D$26,4,FALSE)),"")</f>
        <v/>
      </c>
      <c r="E472" s="279"/>
      <c r="F472" s="103" t="str">
        <f>IFERROR(IF(VLOOKUP(E472,'Data Sheet'!$C$29:$E$174,3,FALSE)=0,"",VLOOKUP(E472,'Data Sheet'!$C$29:$E$174,3,FALSE)),"")</f>
        <v/>
      </c>
      <c r="G472" s="106" t="str">
        <f t="shared" si="249"/>
        <v>-</v>
      </c>
      <c r="H472" s="273"/>
      <c r="I472" s="107"/>
      <c r="J472" s="249" t="e">
        <f t="shared" si="250"/>
        <v>#VALUE!</v>
      </c>
      <c r="K472" s="101" t="str">
        <f>IFERROR(INDEX('Data Sheet'!$C$198:$C$275,MATCH(I472,'Data Sheet'!$F$198:$F$275,0)),"")</f>
        <v/>
      </c>
      <c r="L472" s="250" t="str">
        <f>IFERROR(INDEX('Data Sheet'!$G$198:$G$275,MATCH(I472,'Data Sheet'!$F$198:$F$275,0)),"")</f>
        <v/>
      </c>
      <c r="M472" s="194"/>
      <c r="N472" s="248"/>
      <c r="O472" s="248"/>
      <c r="P472" s="108" t="str">
        <f>IFERROR(INDEX(Setup!$D$44:$D$70,MATCH(M472,Setup!$K$44:$K$70,0))&amp;"","")</f>
        <v/>
      </c>
      <c r="Q472" s="108" t="str">
        <f>IFERROR(INDEX(Setup!$E$44:$E$70,MATCH(M472,Setup!$K$44:$K$70,0))&amp;"","")</f>
        <v/>
      </c>
      <c r="R472" s="108" t="str">
        <f>IFERROR(INDEX(Setup!$L$44:$L$70,MATCH(M472,Setup!$K$44:$K$70,0))&amp;"","")</f>
        <v/>
      </c>
      <c r="S472" s="108" t="str">
        <f>Setup!$C$30</f>
        <v>USD</v>
      </c>
      <c r="T472" s="109" t="str">
        <f>IFERROR(INDEX('Data Sheet'!$B$198:$B$275,MATCH(I472,'Data Sheet'!$F$198:$F$275,0)),"")</f>
        <v/>
      </c>
      <c r="U472" s="110" t="str">
        <f>IFERROR(INDEX('Data Sheet'!$D$198:$D$275,MATCH(I472,'Data Sheet'!$F$198:$F$275,0)),"")</f>
        <v/>
      </c>
      <c r="V472" s="99"/>
      <c r="W472" s="195" t="str">
        <f>IF(V472=Setup!$C$30,"Grant",IF(V472=Setup!$C$31,"Local",IF(V472=Setup!$C$32,"Other",IF(ISBLANK(V472),"","Other"))))</f>
        <v/>
      </c>
      <c r="X472" s="255"/>
      <c r="Y472" s="259" t="str">
        <f>IF(X472&lt;&gt;"",X472/VLOOKUP($V472,Setup!$C$30:$D$41,2,0),"")</f>
        <v/>
      </c>
      <c r="Z472" s="262"/>
      <c r="AA472" s="256" t="str">
        <f t="shared" si="222"/>
        <v/>
      </c>
      <c r="AB472" s="262"/>
      <c r="AC472" s="258" t="str">
        <f t="shared" si="223"/>
        <v/>
      </c>
      <c r="AD472" s="262"/>
      <c r="AE472" s="258" t="str">
        <f t="shared" si="224"/>
        <v/>
      </c>
      <c r="AF472" s="262"/>
      <c r="AG472" s="256" t="str">
        <f t="shared" si="225"/>
        <v/>
      </c>
      <c r="AH472" s="256" t="str">
        <f t="shared" si="226"/>
        <v/>
      </c>
      <c r="AI472" s="256" t="str">
        <f t="shared" si="227"/>
        <v/>
      </c>
      <c r="AJ472" s="111"/>
      <c r="AK472" s="255"/>
      <c r="AL472" s="259" t="str">
        <f>IF(AK472&lt;&gt;"",AK472/VLOOKUP($V472,Setup!$C$30:$D$41,2,0),"")</f>
        <v/>
      </c>
      <c r="AM472" s="266"/>
      <c r="AN472" s="258" t="str">
        <f t="shared" si="228"/>
        <v/>
      </c>
      <c r="AO472" s="266"/>
      <c r="AP472" s="258" t="str">
        <f t="shared" si="229"/>
        <v/>
      </c>
      <c r="AQ472" s="266"/>
      <c r="AR472" s="258" t="str">
        <f t="shared" si="230"/>
        <v/>
      </c>
      <c r="AS472" s="266"/>
      <c r="AT472" s="256" t="str">
        <f t="shared" si="231"/>
        <v/>
      </c>
      <c r="AU472" s="256" t="str">
        <f t="shared" si="232"/>
        <v/>
      </c>
      <c r="AV472" s="256" t="str">
        <f t="shared" si="233"/>
        <v/>
      </c>
      <c r="AW472" s="267"/>
      <c r="AX472" s="255"/>
      <c r="AY472" s="259" t="str">
        <f>IF(AX472&lt;&gt;"",AX472/VLOOKUP($V472,Setup!$C$30:$D$41,2,0),"")</f>
        <v/>
      </c>
      <c r="AZ472" s="268"/>
      <c r="BA472" s="258" t="str">
        <f t="shared" si="234"/>
        <v/>
      </c>
      <c r="BB472" s="268"/>
      <c r="BC472" s="258" t="str">
        <f t="shared" si="235"/>
        <v/>
      </c>
      <c r="BD472" s="268"/>
      <c r="BE472" s="258" t="str">
        <f t="shared" si="236"/>
        <v/>
      </c>
      <c r="BF472" s="268"/>
      <c r="BG472" s="256" t="str">
        <f t="shared" si="237"/>
        <v/>
      </c>
      <c r="BH472" s="256" t="str">
        <f t="shared" si="238"/>
        <v/>
      </c>
      <c r="BI472" s="256" t="str">
        <f t="shared" si="239"/>
        <v/>
      </c>
      <c r="BJ472" s="267"/>
      <c r="BK472" s="255"/>
      <c r="BL472" s="259" t="str">
        <f>IF(BK472&lt;&gt;"",BK472/VLOOKUP($V472,Setup!$C$30:$D$41,2,0),"")</f>
        <v/>
      </c>
      <c r="BM472" s="268"/>
      <c r="BN472" s="258" t="str">
        <f t="shared" si="240"/>
        <v/>
      </c>
      <c r="BO472" s="268"/>
      <c r="BP472" s="258" t="str">
        <f t="shared" si="241"/>
        <v/>
      </c>
      <c r="BQ472" s="268"/>
      <c r="BR472" s="258" t="str">
        <f t="shared" si="242"/>
        <v/>
      </c>
      <c r="BS472" s="268"/>
      <c r="BT472" s="256" t="str">
        <f t="shared" si="243"/>
        <v/>
      </c>
      <c r="BU472" s="256" t="str">
        <f t="shared" si="244"/>
        <v/>
      </c>
      <c r="BV472" s="256" t="str">
        <f t="shared" si="245"/>
        <v/>
      </c>
      <c r="BW472" s="267"/>
      <c r="BX472" s="256" t="str">
        <f t="shared" si="246"/>
        <v/>
      </c>
      <c r="BY472" s="256" t="str">
        <f t="shared" si="247"/>
        <v/>
      </c>
      <c r="BZ472" s="281"/>
      <c r="CA472" s="282"/>
      <c r="CC472" s="112" t="str">
        <f t="shared" ca="1" si="248"/>
        <v/>
      </c>
      <c r="CF472" s="284"/>
      <c r="CG472" s="284"/>
      <c r="CH472" s="284"/>
      <c r="CI472" s="284"/>
      <c r="CL472" s="356" t="str">
        <f>IFERROR(VLOOKUP(C472,'Data Sheet'!$A$3:$B$26,2,FALSE),"")</f>
        <v/>
      </c>
    </row>
    <row r="473" spans="1:90" s="98" customFormat="1" ht="15.75" x14ac:dyDescent="0.2">
      <c r="A473" s="97"/>
      <c r="B473" s="105" t="str">
        <f t="shared" si="251"/>
        <v>--</v>
      </c>
      <c r="C473" s="276"/>
      <c r="D473" s="101" t="str">
        <f>IFERROR(IF(VLOOKUP(C473,'Data Sheet'!$A$3:$D$26,4,FALSE)=0,"",VLOOKUP(C473,'Data Sheet'!$A$3:$D$26,4,FALSE)),"")</f>
        <v/>
      </c>
      <c r="E473" s="279"/>
      <c r="F473" s="103" t="str">
        <f>IFERROR(IF(VLOOKUP(E473,'Data Sheet'!$C$29:$E$174,3,FALSE)=0,"",VLOOKUP(E473,'Data Sheet'!$C$29:$E$174,3,FALSE)),"")</f>
        <v/>
      </c>
      <c r="G473" s="106" t="str">
        <f t="shared" si="249"/>
        <v>-</v>
      </c>
      <c r="H473" s="273"/>
      <c r="I473" s="107"/>
      <c r="J473" s="249" t="e">
        <f t="shared" si="250"/>
        <v>#VALUE!</v>
      </c>
      <c r="K473" s="101" t="str">
        <f>IFERROR(INDEX('Data Sheet'!$C$198:$C$275,MATCH(I473,'Data Sheet'!$F$198:$F$275,0)),"")</f>
        <v/>
      </c>
      <c r="L473" s="250" t="str">
        <f>IFERROR(INDEX('Data Sheet'!$G$198:$G$275,MATCH(I473,'Data Sheet'!$F$198:$F$275,0)),"")</f>
        <v/>
      </c>
      <c r="M473" s="194"/>
      <c r="N473" s="248"/>
      <c r="O473" s="248"/>
      <c r="P473" s="108" t="str">
        <f>IFERROR(INDEX(Setup!$D$44:$D$70,MATCH(M473,Setup!$K$44:$K$70,0))&amp;"","")</f>
        <v/>
      </c>
      <c r="Q473" s="108" t="str">
        <f>IFERROR(INDEX(Setup!$E$44:$E$70,MATCH(M473,Setup!$K$44:$K$70,0))&amp;"","")</f>
        <v/>
      </c>
      <c r="R473" s="108" t="str">
        <f>IFERROR(INDEX(Setup!$L$44:$L$70,MATCH(M473,Setup!$K$44:$K$70,0))&amp;"","")</f>
        <v/>
      </c>
      <c r="S473" s="108" t="str">
        <f>Setup!$C$30</f>
        <v>USD</v>
      </c>
      <c r="T473" s="109" t="str">
        <f>IFERROR(INDEX('Data Sheet'!$B$198:$B$275,MATCH(I473,'Data Sheet'!$F$198:$F$275,0)),"")</f>
        <v/>
      </c>
      <c r="U473" s="110" t="str">
        <f>IFERROR(INDEX('Data Sheet'!$D$198:$D$275,MATCH(I473,'Data Sheet'!$F$198:$F$275,0)),"")</f>
        <v/>
      </c>
      <c r="V473" s="99"/>
      <c r="W473" s="195" t="str">
        <f>IF(V473=Setup!$C$30,"Grant",IF(V473=Setup!$C$31,"Local",IF(V473=Setup!$C$32,"Other",IF(ISBLANK(V473),"","Other"))))</f>
        <v/>
      </c>
      <c r="X473" s="255"/>
      <c r="Y473" s="259" t="str">
        <f>IF(X473&lt;&gt;"",X473/VLOOKUP($V473,Setup!$C$30:$D$41,2,0),"")</f>
        <v/>
      </c>
      <c r="Z473" s="262"/>
      <c r="AA473" s="256" t="str">
        <f t="shared" si="222"/>
        <v/>
      </c>
      <c r="AB473" s="262"/>
      <c r="AC473" s="258" t="str">
        <f t="shared" si="223"/>
        <v/>
      </c>
      <c r="AD473" s="262"/>
      <c r="AE473" s="258" t="str">
        <f t="shared" si="224"/>
        <v/>
      </c>
      <c r="AF473" s="262"/>
      <c r="AG473" s="256" t="str">
        <f t="shared" si="225"/>
        <v/>
      </c>
      <c r="AH473" s="256" t="str">
        <f t="shared" si="226"/>
        <v/>
      </c>
      <c r="AI473" s="256" t="str">
        <f t="shared" si="227"/>
        <v/>
      </c>
      <c r="AJ473" s="111"/>
      <c r="AK473" s="255"/>
      <c r="AL473" s="259" t="str">
        <f>IF(AK473&lt;&gt;"",AK473/VLOOKUP($V473,Setup!$C$30:$D$41,2,0),"")</f>
        <v/>
      </c>
      <c r="AM473" s="266"/>
      <c r="AN473" s="258" t="str">
        <f t="shared" si="228"/>
        <v/>
      </c>
      <c r="AO473" s="266"/>
      <c r="AP473" s="258" t="str">
        <f t="shared" si="229"/>
        <v/>
      </c>
      <c r="AQ473" s="266"/>
      <c r="AR473" s="258" t="str">
        <f t="shared" si="230"/>
        <v/>
      </c>
      <c r="AS473" s="266"/>
      <c r="AT473" s="256" t="str">
        <f t="shared" si="231"/>
        <v/>
      </c>
      <c r="AU473" s="256" t="str">
        <f t="shared" si="232"/>
        <v/>
      </c>
      <c r="AV473" s="256" t="str">
        <f t="shared" si="233"/>
        <v/>
      </c>
      <c r="AW473" s="267"/>
      <c r="AX473" s="255"/>
      <c r="AY473" s="259" t="str">
        <f>IF(AX473&lt;&gt;"",AX473/VLOOKUP($V473,Setup!$C$30:$D$41,2,0),"")</f>
        <v/>
      </c>
      <c r="AZ473" s="268"/>
      <c r="BA473" s="258" t="str">
        <f t="shared" si="234"/>
        <v/>
      </c>
      <c r="BB473" s="268"/>
      <c r="BC473" s="258" t="str">
        <f t="shared" si="235"/>
        <v/>
      </c>
      <c r="BD473" s="268"/>
      <c r="BE473" s="258" t="str">
        <f t="shared" si="236"/>
        <v/>
      </c>
      <c r="BF473" s="268"/>
      <c r="BG473" s="256" t="str">
        <f t="shared" si="237"/>
        <v/>
      </c>
      <c r="BH473" s="256" t="str">
        <f t="shared" si="238"/>
        <v/>
      </c>
      <c r="BI473" s="256" t="str">
        <f t="shared" si="239"/>
        <v/>
      </c>
      <c r="BJ473" s="267"/>
      <c r="BK473" s="255"/>
      <c r="BL473" s="259" t="str">
        <f>IF(BK473&lt;&gt;"",BK473/VLOOKUP($V473,Setup!$C$30:$D$41,2,0),"")</f>
        <v/>
      </c>
      <c r="BM473" s="268"/>
      <c r="BN473" s="258" t="str">
        <f t="shared" si="240"/>
        <v/>
      </c>
      <c r="BO473" s="268"/>
      <c r="BP473" s="258" t="str">
        <f t="shared" si="241"/>
        <v/>
      </c>
      <c r="BQ473" s="268"/>
      <c r="BR473" s="258" t="str">
        <f t="shared" si="242"/>
        <v/>
      </c>
      <c r="BS473" s="268"/>
      <c r="BT473" s="256" t="str">
        <f t="shared" si="243"/>
        <v/>
      </c>
      <c r="BU473" s="256" t="str">
        <f t="shared" si="244"/>
        <v/>
      </c>
      <c r="BV473" s="256" t="str">
        <f t="shared" si="245"/>
        <v/>
      </c>
      <c r="BW473" s="267"/>
      <c r="BX473" s="256" t="str">
        <f t="shared" si="246"/>
        <v/>
      </c>
      <c r="BY473" s="256" t="str">
        <f t="shared" si="247"/>
        <v/>
      </c>
      <c r="BZ473" s="281"/>
      <c r="CA473" s="282"/>
      <c r="CC473" s="112" t="str">
        <f t="shared" ca="1" si="248"/>
        <v/>
      </c>
      <c r="CF473" s="284"/>
      <c r="CG473" s="284"/>
      <c r="CH473" s="284"/>
      <c r="CI473" s="284"/>
      <c r="CL473" s="356" t="str">
        <f>IFERROR(VLOOKUP(C473,'Data Sheet'!$A$3:$B$26,2,FALSE),"")</f>
        <v/>
      </c>
    </row>
    <row r="474" spans="1:90" s="98" customFormat="1" ht="15.75" x14ac:dyDescent="0.2">
      <c r="A474" s="97"/>
      <c r="B474" s="105" t="str">
        <f t="shared" si="251"/>
        <v>--</v>
      </c>
      <c r="C474" s="276"/>
      <c r="D474" s="101" t="str">
        <f>IFERROR(IF(VLOOKUP(C474,'Data Sheet'!$A$3:$D$26,4,FALSE)=0,"",VLOOKUP(C474,'Data Sheet'!$A$3:$D$26,4,FALSE)),"")</f>
        <v/>
      </c>
      <c r="E474" s="279"/>
      <c r="F474" s="103" t="str">
        <f>IFERROR(IF(VLOOKUP(E474,'Data Sheet'!$C$29:$E$174,3,FALSE)=0,"",VLOOKUP(E474,'Data Sheet'!$C$29:$E$174,3,FALSE)),"")</f>
        <v/>
      </c>
      <c r="G474" s="106" t="str">
        <f t="shared" si="249"/>
        <v>-</v>
      </c>
      <c r="H474" s="273"/>
      <c r="I474" s="107"/>
      <c r="J474" s="249" t="e">
        <f t="shared" si="250"/>
        <v>#VALUE!</v>
      </c>
      <c r="K474" s="101" t="str">
        <f>IFERROR(INDEX('Data Sheet'!$C$198:$C$275,MATCH(I474,'Data Sheet'!$F$198:$F$275,0)),"")</f>
        <v/>
      </c>
      <c r="L474" s="250" t="str">
        <f>IFERROR(INDEX('Data Sheet'!$G$198:$G$275,MATCH(I474,'Data Sheet'!$F$198:$F$275,0)),"")</f>
        <v/>
      </c>
      <c r="M474" s="194"/>
      <c r="N474" s="248"/>
      <c r="O474" s="248"/>
      <c r="P474" s="108" t="str">
        <f>IFERROR(INDEX(Setup!$D$44:$D$70,MATCH(M474,Setup!$K$44:$K$70,0))&amp;"","")</f>
        <v/>
      </c>
      <c r="Q474" s="108" t="str">
        <f>IFERROR(INDEX(Setup!$E$44:$E$70,MATCH(M474,Setup!$K$44:$K$70,0))&amp;"","")</f>
        <v/>
      </c>
      <c r="R474" s="108" t="str">
        <f>IFERROR(INDEX(Setup!$L$44:$L$70,MATCH(M474,Setup!$K$44:$K$70,0))&amp;"","")</f>
        <v/>
      </c>
      <c r="S474" s="108" t="str">
        <f>Setup!$C$30</f>
        <v>USD</v>
      </c>
      <c r="T474" s="109" t="str">
        <f>IFERROR(INDEX('Data Sheet'!$B$198:$B$275,MATCH(I474,'Data Sheet'!$F$198:$F$275,0)),"")</f>
        <v/>
      </c>
      <c r="U474" s="110" t="str">
        <f>IFERROR(INDEX('Data Sheet'!$D$198:$D$275,MATCH(I474,'Data Sheet'!$F$198:$F$275,0)),"")</f>
        <v/>
      </c>
      <c r="V474" s="99"/>
      <c r="W474" s="195" t="str">
        <f>IF(V474=Setup!$C$30,"Grant",IF(V474=Setup!$C$31,"Local",IF(V474=Setup!$C$32,"Other",IF(ISBLANK(V474),"","Other"))))</f>
        <v/>
      </c>
      <c r="X474" s="255"/>
      <c r="Y474" s="259" t="str">
        <f>IF(X474&lt;&gt;"",X474/VLOOKUP($V474,Setup!$C$30:$D$41,2,0),"")</f>
        <v/>
      </c>
      <c r="Z474" s="262"/>
      <c r="AA474" s="256" t="str">
        <f t="shared" si="222"/>
        <v/>
      </c>
      <c r="AB474" s="262"/>
      <c r="AC474" s="258" t="str">
        <f t="shared" si="223"/>
        <v/>
      </c>
      <c r="AD474" s="262"/>
      <c r="AE474" s="258" t="str">
        <f t="shared" si="224"/>
        <v/>
      </c>
      <c r="AF474" s="262"/>
      <c r="AG474" s="256" t="str">
        <f t="shared" si="225"/>
        <v/>
      </c>
      <c r="AH474" s="256" t="str">
        <f t="shared" si="226"/>
        <v/>
      </c>
      <c r="AI474" s="256" t="str">
        <f t="shared" si="227"/>
        <v/>
      </c>
      <c r="AJ474" s="111"/>
      <c r="AK474" s="255"/>
      <c r="AL474" s="259" t="str">
        <f>IF(AK474&lt;&gt;"",AK474/VLOOKUP($V474,Setup!$C$30:$D$41,2,0),"")</f>
        <v/>
      </c>
      <c r="AM474" s="266"/>
      <c r="AN474" s="258" t="str">
        <f t="shared" si="228"/>
        <v/>
      </c>
      <c r="AO474" s="266"/>
      <c r="AP474" s="258" t="str">
        <f t="shared" si="229"/>
        <v/>
      </c>
      <c r="AQ474" s="266"/>
      <c r="AR474" s="258" t="str">
        <f t="shared" si="230"/>
        <v/>
      </c>
      <c r="AS474" s="266"/>
      <c r="AT474" s="256" t="str">
        <f t="shared" si="231"/>
        <v/>
      </c>
      <c r="AU474" s="256" t="str">
        <f t="shared" si="232"/>
        <v/>
      </c>
      <c r="AV474" s="256" t="str">
        <f t="shared" si="233"/>
        <v/>
      </c>
      <c r="AW474" s="267"/>
      <c r="AX474" s="255"/>
      <c r="AY474" s="259" t="str">
        <f>IF(AX474&lt;&gt;"",AX474/VLOOKUP($V474,Setup!$C$30:$D$41,2,0),"")</f>
        <v/>
      </c>
      <c r="AZ474" s="268"/>
      <c r="BA474" s="258" t="str">
        <f t="shared" si="234"/>
        <v/>
      </c>
      <c r="BB474" s="268"/>
      <c r="BC474" s="258" t="str">
        <f t="shared" si="235"/>
        <v/>
      </c>
      <c r="BD474" s="268"/>
      <c r="BE474" s="258" t="str">
        <f t="shared" si="236"/>
        <v/>
      </c>
      <c r="BF474" s="268"/>
      <c r="BG474" s="256" t="str">
        <f t="shared" si="237"/>
        <v/>
      </c>
      <c r="BH474" s="256" t="str">
        <f t="shared" si="238"/>
        <v/>
      </c>
      <c r="BI474" s="256" t="str">
        <f t="shared" si="239"/>
        <v/>
      </c>
      <c r="BJ474" s="267"/>
      <c r="BK474" s="255"/>
      <c r="BL474" s="259" t="str">
        <f>IF(BK474&lt;&gt;"",BK474/VLOOKUP($V474,Setup!$C$30:$D$41,2,0),"")</f>
        <v/>
      </c>
      <c r="BM474" s="268"/>
      <c r="BN474" s="258" t="str">
        <f t="shared" si="240"/>
        <v/>
      </c>
      <c r="BO474" s="268"/>
      <c r="BP474" s="258" t="str">
        <f t="shared" si="241"/>
        <v/>
      </c>
      <c r="BQ474" s="268"/>
      <c r="BR474" s="258" t="str">
        <f t="shared" si="242"/>
        <v/>
      </c>
      <c r="BS474" s="268"/>
      <c r="BT474" s="256" t="str">
        <f t="shared" si="243"/>
        <v/>
      </c>
      <c r="BU474" s="256" t="str">
        <f t="shared" si="244"/>
        <v/>
      </c>
      <c r="BV474" s="256" t="str">
        <f t="shared" si="245"/>
        <v/>
      </c>
      <c r="BW474" s="267"/>
      <c r="BX474" s="256" t="str">
        <f t="shared" si="246"/>
        <v/>
      </c>
      <c r="BY474" s="256" t="str">
        <f t="shared" si="247"/>
        <v/>
      </c>
      <c r="BZ474" s="281"/>
      <c r="CA474" s="282"/>
      <c r="CC474" s="112" t="str">
        <f t="shared" ca="1" si="248"/>
        <v/>
      </c>
      <c r="CF474" s="284"/>
      <c r="CG474" s="284"/>
      <c r="CH474" s="284"/>
      <c r="CI474" s="284"/>
      <c r="CL474" s="356" t="str">
        <f>IFERROR(VLOOKUP(C474,'Data Sheet'!$A$3:$B$26,2,FALSE),"")</f>
        <v/>
      </c>
    </row>
    <row r="475" spans="1:90" s="98" customFormat="1" ht="15.75" x14ac:dyDescent="0.2">
      <c r="A475" s="97"/>
      <c r="B475" s="105" t="str">
        <f t="shared" si="251"/>
        <v>--</v>
      </c>
      <c r="C475" s="276"/>
      <c r="D475" s="101" t="str">
        <f>IFERROR(IF(VLOOKUP(C475,'Data Sheet'!$A$3:$D$26,4,FALSE)=0,"",VLOOKUP(C475,'Data Sheet'!$A$3:$D$26,4,FALSE)),"")</f>
        <v/>
      </c>
      <c r="E475" s="279"/>
      <c r="F475" s="103" t="str">
        <f>IFERROR(IF(VLOOKUP(E475,'Data Sheet'!$C$29:$E$174,3,FALSE)=0,"",VLOOKUP(E475,'Data Sheet'!$C$29:$E$174,3,FALSE)),"")</f>
        <v/>
      </c>
      <c r="G475" s="106" t="str">
        <f t="shared" si="249"/>
        <v>-</v>
      </c>
      <c r="H475" s="273"/>
      <c r="I475" s="107"/>
      <c r="J475" s="249" t="e">
        <f t="shared" si="250"/>
        <v>#VALUE!</v>
      </c>
      <c r="K475" s="101" t="str">
        <f>IFERROR(INDEX('Data Sheet'!$C$198:$C$275,MATCH(I475,'Data Sheet'!$F$198:$F$275,0)),"")</f>
        <v/>
      </c>
      <c r="L475" s="250" t="str">
        <f>IFERROR(INDEX('Data Sheet'!$G$198:$G$275,MATCH(I475,'Data Sheet'!$F$198:$F$275,0)),"")</f>
        <v/>
      </c>
      <c r="M475" s="194"/>
      <c r="N475" s="248"/>
      <c r="O475" s="248"/>
      <c r="P475" s="108" t="str">
        <f>IFERROR(INDEX(Setup!$D$44:$D$70,MATCH(M475,Setup!$K$44:$K$70,0))&amp;"","")</f>
        <v/>
      </c>
      <c r="Q475" s="108" t="str">
        <f>IFERROR(INDEX(Setup!$E$44:$E$70,MATCH(M475,Setup!$K$44:$K$70,0))&amp;"","")</f>
        <v/>
      </c>
      <c r="R475" s="108" t="str">
        <f>IFERROR(INDEX(Setup!$L$44:$L$70,MATCH(M475,Setup!$K$44:$K$70,0))&amp;"","")</f>
        <v/>
      </c>
      <c r="S475" s="108" t="str">
        <f>Setup!$C$30</f>
        <v>USD</v>
      </c>
      <c r="T475" s="109" t="str">
        <f>IFERROR(INDEX('Data Sheet'!$B$198:$B$275,MATCH(I475,'Data Sheet'!$F$198:$F$275,0)),"")</f>
        <v/>
      </c>
      <c r="U475" s="110" t="str">
        <f>IFERROR(INDEX('Data Sheet'!$D$198:$D$275,MATCH(I475,'Data Sheet'!$F$198:$F$275,0)),"")</f>
        <v/>
      </c>
      <c r="V475" s="99"/>
      <c r="W475" s="195" t="str">
        <f>IF(V475=Setup!$C$30,"Grant",IF(V475=Setup!$C$31,"Local",IF(V475=Setup!$C$32,"Other",IF(ISBLANK(V475),"","Other"))))</f>
        <v/>
      </c>
      <c r="X475" s="255"/>
      <c r="Y475" s="259" t="str">
        <f>IF(X475&lt;&gt;"",X475/VLOOKUP($V475,Setup!$C$30:$D$41,2,0),"")</f>
        <v/>
      </c>
      <c r="Z475" s="262"/>
      <c r="AA475" s="256" t="str">
        <f t="shared" si="222"/>
        <v/>
      </c>
      <c r="AB475" s="262"/>
      <c r="AC475" s="258" t="str">
        <f t="shared" si="223"/>
        <v/>
      </c>
      <c r="AD475" s="262"/>
      <c r="AE475" s="258" t="str">
        <f t="shared" si="224"/>
        <v/>
      </c>
      <c r="AF475" s="262"/>
      <c r="AG475" s="256" t="str">
        <f t="shared" si="225"/>
        <v/>
      </c>
      <c r="AH475" s="256" t="str">
        <f t="shared" si="226"/>
        <v/>
      </c>
      <c r="AI475" s="256" t="str">
        <f t="shared" si="227"/>
        <v/>
      </c>
      <c r="AJ475" s="111"/>
      <c r="AK475" s="255"/>
      <c r="AL475" s="259" t="str">
        <f>IF(AK475&lt;&gt;"",AK475/VLOOKUP($V475,Setup!$C$30:$D$41,2,0),"")</f>
        <v/>
      </c>
      <c r="AM475" s="266"/>
      <c r="AN475" s="258" t="str">
        <f t="shared" si="228"/>
        <v/>
      </c>
      <c r="AO475" s="266"/>
      <c r="AP475" s="258" t="str">
        <f t="shared" si="229"/>
        <v/>
      </c>
      <c r="AQ475" s="266"/>
      <c r="AR475" s="258" t="str">
        <f t="shared" si="230"/>
        <v/>
      </c>
      <c r="AS475" s="266"/>
      <c r="AT475" s="256" t="str">
        <f t="shared" si="231"/>
        <v/>
      </c>
      <c r="AU475" s="256" t="str">
        <f t="shared" si="232"/>
        <v/>
      </c>
      <c r="AV475" s="256" t="str">
        <f t="shared" si="233"/>
        <v/>
      </c>
      <c r="AW475" s="267"/>
      <c r="AX475" s="255"/>
      <c r="AY475" s="259" t="str">
        <f>IF(AX475&lt;&gt;"",AX475/VLOOKUP($V475,Setup!$C$30:$D$41,2,0),"")</f>
        <v/>
      </c>
      <c r="AZ475" s="268"/>
      <c r="BA475" s="258" t="str">
        <f t="shared" si="234"/>
        <v/>
      </c>
      <c r="BB475" s="268"/>
      <c r="BC475" s="258" t="str">
        <f t="shared" si="235"/>
        <v/>
      </c>
      <c r="BD475" s="268"/>
      <c r="BE475" s="258" t="str">
        <f t="shared" si="236"/>
        <v/>
      </c>
      <c r="BF475" s="268"/>
      <c r="BG475" s="256" t="str">
        <f t="shared" si="237"/>
        <v/>
      </c>
      <c r="BH475" s="256" t="str">
        <f t="shared" si="238"/>
        <v/>
      </c>
      <c r="BI475" s="256" t="str">
        <f t="shared" si="239"/>
        <v/>
      </c>
      <c r="BJ475" s="267"/>
      <c r="BK475" s="255"/>
      <c r="BL475" s="259" t="str">
        <f>IF(BK475&lt;&gt;"",BK475/VLOOKUP($V475,Setup!$C$30:$D$41,2,0),"")</f>
        <v/>
      </c>
      <c r="BM475" s="268"/>
      <c r="BN475" s="258" t="str">
        <f t="shared" si="240"/>
        <v/>
      </c>
      <c r="BO475" s="268"/>
      <c r="BP475" s="258" t="str">
        <f t="shared" si="241"/>
        <v/>
      </c>
      <c r="BQ475" s="268"/>
      <c r="BR475" s="258" t="str">
        <f t="shared" si="242"/>
        <v/>
      </c>
      <c r="BS475" s="268"/>
      <c r="BT475" s="256" t="str">
        <f t="shared" si="243"/>
        <v/>
      </c>
      <c r="BU475" s="256" t="str">
        <f t="shared" si="244"/>
        <v/>
      </c>
      <c r="BV475" s="256" t="str">
        <f t="shared" si="245"/>
        <v/>
      </c>
      <c r="BW475" s="267"/>
      <c r="BX475" s="256" t="str">
        <f t="shared" si="246"/>
        <v/>
      </c>
      <c r="BY475" s="256" t="str">
        <f t="shared" si="247"/>
        <v/>
      </c>
      <c r="BZ475" s="281"/>
      <c r="CA475" s="282"/>
      <c r="CC475" s="112" t="str">
        <f t="shared" ca="1" si="248"/>
        <v/>
      </c>
      <c r="CF475" s="284"/>
      <c r="CG475" s="284"/>
      <c r="CH475" s="284"/>
      <c r="CI475" s="284"/>
      <c r="CL475" s="356" t="str">
        <f>IFERROR(VLOOKUP(C475,'Data Sheet'!$A$3:$B$26,2,FALSE),"")</f>
        <v/>
      </c>
    </row>
    <row r="476" spans="1:90" s="98" customFormat="1" ht="15.75" x14ac:dyDescent="0.2">
      <c r="A476" s="97"/>
      <c r="B476" s="105" t="str">
        <f t="shared" si="251"/>
        <v>--</v>
      </c>
      <c r="C476" s="276"/>
      <c r="D476" s="101" t="str">
        <f>IFERROR(IF(VLOOKUP(C476,'Data Sheet'!$A$3:$D$26,4,FALSE)=0,"",VLOOKUP(C476,'Data Sheet'!$A$3:$D$26,4,FALSE)),"")</f>
        <v/>
      </c>
      <c r="E476" s="279"/>
      <c r="F476" s="103" t="str">
        <f>IFERROR(IF(VLOOKUP(E476,'Data Sheet'!$C$29:$E$174,3,FALSE)=0,"",VLOOKUP(E476,'Data Sheet'!$C$29:$E$174,3,FALSE)),"")</f>
        <v/>
      </c>
      <c r="G476" s="106" t="str">
        <f t="shared" si="249"/>
        <v>-</v>
      </c>
      <c r="H476" s="273"/>
      <c r="I476" s="107"/>
      <c r="J476" s="249" t="e">
        <f t="shared" si="250"/>
        <v>#VALUE!</v>
      </c>
      <c r="K476" s="101" t="str">
        <f>IFERROR(INDEX('Data Sheet'!$C$198:$C$275,MATCH(I476,'Data Sheet'!$F$198:$F$275,0)),"")</f>
        <v/>
      </c>
      <c r="L476" s="250" t="str">
        <f>IFERROR(INDEX('Data Sheet'!$G$198:$G$275,MATCH(I476,'Data Sheet'!$F$198:$F$275,0)),"")</f>
        <v/>
      </c>
      <c r="M476" s="194"/>
      <c r="N476" s="248"/>
      <c r="O476" s="248"/>
      <c r="P476" s="108" t="str">
        <f>IFERROR(INDEX(Setup!$D$44:$D$70,MATCH(M476,Setup!$K$44:$K$70,0))&amp;"","")</f>
        <v/>
      </c>
      <c r="Q476" s="108" t="str">
        <f>IFERROR(INDEX(Setup!$E$44:$E$70,MATCH(M476,Setup!$K$44:$K$70,0))&amp;"","")</f>
        <v/>
      </c>
      <c r="R476" s="108" t="str">
        <f>IFERROR(INDEX(Setup!$L$44:$L$70,MATCH(M476,Setup!$K$44:$K$70,0))&amp;"","")</f>
        <v/>
      </c>
      <c r="S476" s="108" t="str">
        <f>Setup!$C$30</f>
        <v>USD</v>
      </c>
      <c r="T476" s="109" t="str">
        <f>IFERROR(INDEX('Data Sheet'!$B$198:$B$275,MATCH(I476,'Data Sheet'!$F$198:$F$275,0)),"")</f>
        <v/>
      </c>
      <c r="U476" s="110" t="str">
        <f>IFERROR(INDEX('Data Sheet'!$D$198:$D$275,MATCH(I476,'Data Sheet'!$F$198:$F$275,0)),"")</f>
        <v/>
      </c>
      <c r="V476" s="99"/>
      <c r="W476" s="195" t="str">
        <f>IF(V476=Setup!$C$30,"Grant",IF(V476=Setup!$C$31,"Local",IF(V476=Setup!$C$32,"Other",IF(ISBLANK(V476),"","Other"))))</f>
        <v/>
      </c>
      <c r="X476" s="255"/>
      <c r="Y476" s="259" t="str">
        <f>IF(X476&lt;&gt;"",X476/VLOOKUP($V476,Setup!$C$30:$D$41,2,0),"")</f>
        <v/>
      </c>
      <c r="Z476" s="262"/>
      <c r="AA476" s="256" t="str">
        <f t="shared" si="222"/>
        <v/>
      </c>
      <c r="AB476" s="262"/>
      <c r="AC476" s="258" t="str">
        <f t="shared" si="223"/>
        <v/>
      </c>
      <c r="AD476" s="262"/>
      <c r="AE476" s="258" t="str">
        <f t="shared" si="224"/>
        <v/>
      </c>
      <c r="AF476" s="262"/>
      <c r="AG476" s="256" t="str">
        <f t="shared" si="225"/>
        <v/>
      </c>
      <c r="AH476" s="256" t="str">
        <f t="shared" si="226"/>
        <v/>
      </c>
      <c r="AI476" s="256" t="str">
        <f t="shared" si="227"/>
        <v/>
      </c>
      <c r="AJ476" s="111"/>
      <c r="AK476" s="255"/>
      <c r="AL476" s="259" t="str">
        <f>IF(AK476&lt;&gt;"",AK476/VLOOKUP($V476,Setup!$C$30:$D$41,2,0),"")</f>
        <v/>
      </c>
      <c r="AM476" s="266"/>
      <c r="AN476" s="258" t="str">
        <f t="shared" si="228"/>
        <v/>
      </c>
      <c r="AO476" s="266"/>
      <c r="AP476" s="258" t="str">
        <f t="shared" si="229"/>
        <v/>
      </c>
      <c r="AQ476" s="266"/>
      <c r="AR476" s="258" t="str">
        <f t="shared" si="230"/>
        <v/>
      </c>
      <c r="AS476" s="266"/>
      <c r="AT476" s="256" t="str">
        <f t="shared" si="231"/>
        <v/>
      </c>
      <c r="AU476" s="256" t="str">
        <f t="shared" si="232"/>
        <v/>
      </c>
      <c r="AV476" s="256" t="str">
        <f t="shared" si="233"/>
        <v/>
      </c>
      <c r="AW476" s="267"/>
      <c r="AX476" s="255"/>
      <c r="AY476" s="259" t="str">
        <f>IF(AX476&lt;&gt;"",AX476/VLOOKUP($V476,Setup!$C$30:$D$41,2,0),"")</f>
        <v/>
      </c>
      <c r="AZ476" s="268"/>
      <c r="BA476" s="258" t="str">
        <f t="shared" si="234"/>
        <v/>
      </c>
      <c r="BB476" s="268"/>
      <c r="BC476" s="258" t="str">
        <f t="shared" si="235"/>
        <v/>
      </c>
      <c r="BD476" s="268"/>
      <c r="BE476" s="258" t="str">
        <f t="shared" si="236"/>
        <v/>
      </c>
      <c r="BF476" s="268"/>
      <c r="BG476" s="256" t="str">
        <f t="shared" si="237"/>
        <v/>
      </c>
      <c r="BH476" s="256" t="str">
        <f t="shared" si="238"/>
        <v/>
      </c>
      <c r="BI476" s="256" t="str">
        <f t="shared" si="239"/>
        <v/>
      </c>
      <c r="BJ476" s="267"/>
      <c r="BK476" s="255"/>
      <c r="BL476" s="259" t="str">
        <f>IF(BK476&lt;&gt;"",BK476/VLOOKUP($V476,Setup!$C$30:$D$41,2,0),"")</f>
        <v/>
      </c>
      <c r="BM476" s="268"/>
      <c r="BN476" s="258" t="str">
        <f t="shared" si="240"/>
        <v/>
      </c>
      <c r="BO476" s="268"/>
      <c r="BP476" s="258" t="str">
        <f t="shared" si="241"/>
        <v/>
      </c>
      <c r="BQ476" s="268"/>
      <c r="BR476" s="258" t="str">
        <f t="shared" si="242"/>
        <v/>
      </c>
      <c r="BS476" s="268"/>
      <c r="BT476" s="256" t="str">
        <f t="shared" si="243"/>
        <v/>
      </c>
      <c r="BU476" s="256" t="str">
        <f t="shared" si="244"/>
        <v/>
      </c>
      <c r="BV476" s="256" t="str">
        <f t="shared" si="245"/>
        <v/>
      </c>
      <c r="BW476" s="267"/>
      <c r="BX476" s="256" t="str">
        <f t="shared" si="246"/>
        <v/>
      </c>
      <c r="BY476" s="256" t="str">
        <f t="shared" si="247"/>
        <v/>
      </c>
      <c r="BZ476" s="281"/>
      <c r="CA476" s="282"/>
      <c r="CC476" s="112" t="str">
        <f t="shared" ca="1" si="248"/>
        <v/>
      </c>
      <c r="CF476" s="284"/>
      <c r="CG476" s="284"/>
      <c r="CH476" s="284"/>
      <c r="CI476" s="284"/>
      <c r="CL476" s="356" t="str">
        <f>IFERROR(VLOOKUP(C476,'Data Sheet'!$A$3:$B$26,2,FALSE),"")</f>
        <v/>
      </c>
    </row>
    <row r="477" spans="1:90" s="98" customFormat="1" ht="15.75" x14ac:dyDescent="0.2">
      <c r="A477" s="97"/>
      <c r="B477" s="105" t="str">
        <f t="shared" si="251"/>
        <v>--</v>
      </c>
      <c r="C477" s="276"/>
      <c r="D477" s="101" t="str">
        <f>IFERROR(IF(VLOOKUP(C477,'Data Sheet'!$A$3:$D$26,4,FALSE)=0,"",VLOOKUP(C477,'Data Sheet'!$A$3:$D$26,4,FALSE)),"")</f>
        <v/>
      </c>
      <c r="E477" s="279"/>
      <c r="F477" s="103" t="str">
        <f>IFERROR(IF(VLOOKUP(E477,'Data Sheet'!$C$29:$E$174,3,FALSE)=0,"",VLOOKUP(E477,'Data Sheet'!$C$29:$E$174,3,FALSE)),"")</f>
        <v/>
      </c>
      <c r="G477" s="106" t="str">
        <f t="shared" si="249"/>
        <v>-</v>
      </c>
      <c r="H477" s="273"/>
      <c r="I477" s="107"/>
      <c r="J477" s="249" t="e">
        <f t="shared" si="250"/>
        <v>#VALUE!</v>
      </c>
      <c r="K477" s="101" t="str">
        <f>IFERROR(INDEX('Data Sheet'!$C$198:$C$275,MATCH(I477,'Data Sheet'!$F$198:$F$275,0)),"")</f>
        <v/>
      </c>
      <c r="L477" s="250" t="str">
        <f>IFERROR(INDEX('Data Sheet'!$G$198:$G$275,MATCH(I477,'Data Sheet'!$F$198:$F$275,0)),"")</f>
        <v/>
      </c>
      <c r="M477" s="194"/>
      <c r="N477" s="248"/>
      <c r="O477" s="248"/>
      <c r="P477" s="108" t="str">
        <f>IFERROR(INDEX(Setup!$D$44:$D$70,MATCH(M477,Setup!$K$44:$K$70,0))&amp;"","")</f>
        <v/>
      </c>
      <c r="Q477" s="108" t="str">
        <f>IFERROR(INDEX(Setup!$E$44:$E$70,MATCH(M477,Setup!$K$44:$K$70,0))&amp;"","")</f>
        <v/>
      </c>
      <c r="R477" s="108" t="str">
        <f>IFERROR(INDEX(Setup!$L$44:$L$70,MATCH(M477,Setup!$K$44:$K$70,0))&amp;"","")</f>
        <v/>
      </c>
      <c r="S477" s="108" t="str">
        <f>Setup!$C$30</f>
        <v>USD</v>
      </c>
      <c r="T477" s="109" t="str">
        <f>IFERROR(INDEX('Data Sheet'!$B$198:$B$275,MATCH(I477,'Data Sheet'!$F$198:$F$275,0)),"")</f>
        <v/>
      </c>
      <c r="U477" s="110" t="str">
        <f>IFERROR(INDEX('Data Sheet'!$D$198:$D$275,MATCH(I477,'Data Sheet'!$F$198:$F$275,0)),"")</f>
        <v/>
      </c>
      <c r="V477" s="99"/>
      <c r="W477" s="195" t="str">
        <f>IF(V477=Setup!$C$30,"Grant",IF(V477=Setup!$C$31,"Local",IF(V477=Setup!$C$32,"Other",IF(ISBLANK(V477),"","Other"))))</f>
        <v/>
      </c>
      <c r="X477" s="255"/>
      <c r="Y477" s="259" t="str">
        <f>IF(X477&lt;&gt;"",X477/VLOOKUP($V477,Setup!$C$30:$D$41,2,0),"")</f>
        <v/>
      </c>
      <c r="Z477" s="262"/>
      <c r="AA477" s="256" t="str">
        <f t="shared" si="222"/>
        <v/>
      </c>
      <c r="AB477" s="262"/>
      <c r="AC477" s="258" t="str">
        <f t="shared" si="223"/>
        <v/>
      </c>
      <c r="AD477" s="262"/>
      <c r="AE477" s="258" t="str">
        <f t="shared" si="224"/>
        <v/>
      </c>
      <c r="AF477" s="262"/>
      <c r="AG477" s="256" t="str">
        <f t="shared" si="225"/>
        <v/>
      </c>
      <c r="AH477" s="256" t="str">
        <f t="shared" si="226"/>
        <v/>
      </c>
      <c r="AI477" s="256" t="str">
        <f t="shared" si="227"/>
        <v/>
      </c>
      <c r="AJ477" s="111"/>
      <c r="AK477" s="255"/>
      <c r="AL477" s="259" t="str">
        <f>IF(AK477&lt;&gt;"",AK477/VLOOKUP($V477,Setup!$C$30:$D$41,2,0),"")</f>
        <v/>
      </c>
      <c r="AM477" s="266"/>
      <c r="AN477" s="258" t="str">
        <f t="shared" si="228"/>
        <v/>
      </c>
      <c r="AO477" s="266"/>
      <c r="AP477" s="258" t="str">
        <f t="shared" si="229"/>
        <v/>
      </c>
      <c r="AQ477" s="266"/>
      <c r="AR477" s="258" t="str">
        <f t="shared" si="230"/>
        <v/>
      </c>
      <c r="AS477" s="266"/>
      <c r="AT477" s="256" t="str">
        <f t="shared" si="231"/>
        <v/>
      </c>
      <c r="AU477" s="256" t="str">
        <f t="shared" si="232"/>
        <v/>
      </c>
      <c r="AV477" s="256" t="str">
        <f t="shared" si="233"/>
        <v/>
      </c>
      <c r="AW477" s="267"/>
      <c r="AX477" s="255"/>
      <c r="AY477" s="259" t="str">
        <f>IF(AX477&lt;&gt;"",AX477/VLOOKUP($V477,Setup!$C$30:$D$41,2,0),"")</f>
        <v/>
      </c>
      <c r="AZ477" s="268"/>
      <c r="BA477" s="258" t="str">
        <f t="shared" si="234"/>
        <v/>
      </c>
      <c r="BB477" s="268"/>
      <c r="BC477" s="258" t="str">
        <f t="shared" si="235"/>
        <v/>
      </c>
      <c r="BD477" s="268"/>
      <c r="BE477" s="258" t="str">
        <f t="shared" si="236"/>
        <v/>
      </c>
      <c r="BF477" s="268"/>
      <c r="BG477" s="256" t="str">
        <f t="shared" si="237"/>
        <v/>
      </c>
      <c r="BH477" s="256" t="str">
        <f t="shared" si="238"/>
        <v/>
      </c>
      <c r="BI477" s="256" t="str">
        <f t="shared" si="239"/>
        <v/>
      </c>
      <c r="BJ477" s="267"/>
      <c r="BK477" s="255"/>
      <c r="BL477" s="259" t="str">
        <f>IF(BK477&lt;&gt;"",BK477/VLOOKUP($V477,Setup!$C$30:$D$41,2,0),"")</f>
        <v/>
      </c>
      <c r="BM477" s="268"/>
      <c r="BN477" s="258" t="str">
        <f t="shared" si="240"/>
        <v/>
      </c>
      <c r="BO477" s="268"/>
      <c r="BP477" s="258" t="str">
        <f t="shared" si="241"/>
        <v/>
      </c>
      <c r="BQ477" s="268"/>
      <c r="BR477" s="258" t="str">
        <f t="shared" si="242"/>
        <v/>
      </c>
      <c r="BS477" s="268"/>
      <c r="BT477" s="256" t="str">
        <f t="shared" si="243"/>
        <v/>
      </c>
      <c r="BU477" s="256" t="str">
        <f t="shared" si="244"/>
        <v/>
      </c>
      <c r="BV477" s="256" t="str">
        <f t="shared" si="245"/>
        <v/>
      </c>
      <c r="BW477" s="267"/>
      <c r="BX477" s="256" t="str">
        <f t="shared" si="246"/>
        <v/>
      </c>
      <c r="BY477" s="256" t="str">
        <f t="shared" si="247"/>
        <v/>
      </c>
      <c r="BZ477" s="281"/>
      <c r="CA477" s="282"/>
      <c r="CC477" s="112" t="str">
        <f t="shared" ca="1" si="248"/>
        <v/>
      </c>
      <c r="CF477" s="284"/>
      <c r="CG477" s="284"/>
      <c r="CH477" s="284"/>
      <c r="CI477" s="284"/>
      <c r="CL477" s="356" t="str">
        <f>IFERROR(VLOOKUP(C477,'Data Sheet'!$A$3:$B$26,2,FALSE),"")</f>
        <v/>
      </c>
    </row>
    <row r="478" spans="1:90" s="98" customFormat="1" ht="15.75" x14ac:dyDescent="0.2">
      <c r="A478" s="97"/>
      <c r="B478" s="105" t="str">
        <f t="shared" si="251"/>
        <v>--</v>
      </c>
      <c r="C478" s="276"/>
      <c r="D478" s="101" t="str">
        <f>IFERROR(IF(VLOOKUP(C478,'Data Sheet'!$A$3:$D$26,4,FALSE)=0,"",VLOOKUP(C478,'Data Sheet'!$A$3:$D$26,4,FALSE)),"")</f>
        <v/>
      </c>
      <c r="E478" s="279"/>
      <c r="F478" s="103" t="str">
        <f>IFERROR(IF(VLOOKUP(E478,'Data Sheet'!$C$29:$E$174,3,FALSE)=0,"",VLOOKUP(E478,'Data Sheet'!$C$29:$E$174,3,FALSE)),"")</f>
        <v/>
      </c>
      <c r="G478" s="106" t="str">
        <f t="shared" si="249"/>
        <v>-</v>
      </c>
      <c r="H478" s="273"/>
      <c r="I478" s="107"/>
      <c r="J478" s="249" t="e">
        <f t="shared" si="250"/>
        <v>#VALUE!</v>
      </c>
      <c r="K478" s="101" t="str">
        <f>IFERROR(INDEX('Data Sheet'!$C$198:$C$275,MATCH(I478,'Data Sheet'!$F$198:$F$275,0)),"")</f>
        <v/>
      </c>
      <c r="L478" s="250" t="str">
        <f>IFERROR(INDEX('Data Sheet'!$G$198:$G$275,MATCH(I478,'Data Sheet'!$F$198:$F$275,0)),"")</f>
        <v/>
      </c>
      <c r="M478" s="194"/>
      <c r="N478" s="248"/>
      <c r="O478" s="248"/>
      <c r="P478" s="108" t="str">
        <f>IFERROR(INDEX(Setup!$D$44:$D$70,MATCH(M478,Setup!$K$44:$K$70,0))&amp;"","")</f>
        <v/>
      </c>
      <c r="Q478" s="108" t="str">
        <f>IFERROR(INDEX(Setup!$E$44:$E$70,MATCH(M478,Setup!$K$44:$K$70,0))&amp;"","")</f>
        <v/>
      </c>
      <c r="R478" s="108" t="str">
        <f>IFERROR(INDEX(Setup!$L$44:$L$70,MATCH(M478,Setup!$K$44:$K$70,0))&amp;"","")</f>
        <v/>
      </c>
      <c r="S478" s="108" t="str">
        <f>Setup!$C$30</f>
        <v>USD</v>
      </c>
      <c r="T478" s="109" t="str">
        <f>IFERROR(INDEX('Data Sheet'!$B$198:$B$275,MATCH(I478,'Data Sheet'!$F$198:$F$275,0)),"")</f>
        <v/>
      </c>
      <c r="U478" s="110" t="str">
        <f>IFERROR(INDEX('Data Sheet'!$D$198:$D$275,MATCH(I478,'Data Sheet'!$F$198:$F$275,0)),"")</f>
        <v/>
      </c>
      <c r="V478" s="99"/>
      <c r="W478" s="195" t="str">
        <f>IF(V478=Setup!$C$30,"Grant",IF(V478=Setup!$C$31,"Local",IF(V478=Setup!$C$32,"Other",IF(ISBLANK(V478),"","Other"))))</f>
        <v/>
      </c>
      <c r="X478" s="255"/>
      <c r="Y478" s="259" t="str">
        <f>IF(X478&lt;&gt;"",X478/VLOOKUP($V478,Setup!$C$30:$D$41,2,0),"")</f>
        <v/>
      </c>
      <c r="Z478" s="262"/>
      <c r="AA478" s="256" t="str">
        <f t="shared" si="222"/>
        <v/>
      </c>
      <c r="AB478" s="262"/>
      <c r="AC478" s="258" t="str">
        <f t="shared" si="223"/>
        <v/>
      </c>
      <c r="AD478" s="262"/>
      <c r="AE478" s="258" t="str">
        <f t="shared" si="224"/>
        <v/>
      </c>
      <c r="AF478" s="262"/>
      <c r="AG478" s="256" t="str">
        <f t="shared" si="225"/>
        <v/>
      </c>
      <c r="AH478" s="256" t="str">
        <f t="shared" si="226"/>
        <v/>
      </c>
      <c r="AI478" s="256" t="str">
        <f t="shared" si="227"/>
        <v/>
      </c>
      <c r="AJ478" s="111"/>
      <c r="AK478" s="255"/>
      <c r="AL478" s="259" t="str">
        <f>IF(AK478&lt;&gt;"",AK478/VLOOKUP($V478,Setup!$C$30:$D$41,2,0),"")</f>
        <v/>
      </c>
      <c r="AM478" s="266"/>
      <c r="AN478" s="258" t="str">
        <f t="shared" si="228"/>
        <v/>
      </c>
      <c r="AO478" s="266"/>
      <c r="AP478" s="258" t="str">
        <f t="shared" si="229"/>
        <v/>
      </c>
      <c r="AQ478" s="266"/>
      <c r="AR478" s="258" t="str">
        <f t="shared" si="230"/>
        <v/>
      </c>
      <c r="AS478" s="266"/>
      <c r="AT478" s="256" t="str">
        <f t="shared" si="231"/>
        <v/>
      </c>
      <c r="AU478" s="256" t="str">
        <f t="shared" si="232"/>
        <v/>
      </c>
      <c r="AV478" s="256" t="str">
        <f t="shared" si="233"/>
        <v/>
      </c>
      <c r="AW478" s="267"/>
      <c r="AX478" s="255"/>
      <c r="AY478" s="259" t="str">
        <f>IF(AX478&lt;&gt;"",AX478/VLOOKUP($V478,Setup!$C$30:$D$41,2,0),"")</f>
        <v/>
      </c>
      <c r="AZ478" s="268"/>
      <c r="BA478" s="258" t="str">
        <f t="shared" si="234"/>
        <v/>
      </c>
      <c r="BB478" s="268"/>
      <c r="BC478" s="258" t="str">
        <f t="shared" si="235"/>
        <v/>
      </c>
      <c r="BD478" s="268"/>
      <c r="BE478" s="258" t="str">
        <f t="shared" si="236"/>
        <v/>
      </c>
      <c r="BF478" s="268"/>
      <c r="BG478" s="256" t="str">
        <f t="shared" si="237"/>
        <v/>
      </c>
      <c r="BH478" s="256" t="str">
        <f t="shared" si="238"/>
        <v/>
      </c>
      <c r="BI478" s="256" t="str">
        <f t="shared" si="239"/>
        <v/>
      </c>
      <c r="BJ478" s="267"/>
      <c r="BK478" s="255"/>
      <c r="BL478" s="259" t="str">
        <f>IF(BK478&lt;&gt;"",BK478/VLOOKUP($V478,Setup!$C$30:$D$41,2,0),"")</f>
        <v/>
      </c>
      <c r="BM478" s="268"/>
      <c r="BN478" s="258" t="str">
        <f t="shared" si="240"/>
        <v/>
      </c>
      <c r="BO478" s="268"/>
      <c r="BP478" s="258" t="str">
        <f t="shared" si="241"/>
        <v/>
      </c>
      <c r="BQ478" s="268"/>
      <c r="BR478" s="258" t="str">
        <f t="shared" si="242"/>
        <v/>
      </c>
      <c r="BS478" s="268"/>
      <c r="BT478" s="256" t="str">
        <f t="shared" si="243"/>
        <v/>
      </c>
      <c r="BU478" s="256" t="str">
        <f t="shared" si="244"/>
        <v/>
      </c>
      <c r="BV478" s="256" t="str">
        <f t="shared" si="245"/>
        <v/>
      </c>
      <c r="BW478" s="267"/>
      <c r="BX478" s="256" t="str">
        <f t="shared" si="246"/>
        <v/>
      </c>
      <c r="BY478" s="256" t="str">
        <f t="shared" si="247"/>
        <v/>
      </c>
      <c r="BZ478" s="281"/>
      <c r="CA478" s="282"/>
      <c r="CC478" s="112" t="str">
        <f t="shared" ca="1" si="248"/>
        <v/>
      </c>
      <c r="CF478" s="284"/>
      <c r="CG478" s="284"/>
      <c r="CH478" s="284"/>
      <c r="CI478" s="284"/>
      <c r="CL478" s="356" t="str">
        <f>IFERROR(VLOOKUP(C478,'Data Sheet'!$A$3:$B$26,2,FALSE),"")</f>
        <v/>
      </c>
    </row>
    <row r="479" spans="1:90" s="98" customFormat="1" ht="15.75" x14ac:dyDescent="0.2">
      <c r="A479" s="97"/>
      <c r="B479" s="105" t="str">
        <f t="shared" si="251"/>
        <v>--</v>
      </c>
      <c r="C479" s="276"/>
      <c r="D479" s="101" t="str">
        <f>IFERROR(IF(VLOOKUP(C479,'Data Sheet'!$A$3:$D$26,4,FALSE)=0,"",VLOOKUP(C479,'Data Sheet'!$A$3:$D$26,4,FALSE)),"")</f>
        <v/>
      </c>
      <c r="E479" s="279"/>
      <c r="F479" s="103" t="str">
        <f>IFERROR(IF(VLOOKUP(E479,'Data Sheet'!$C$29:$E$174,3,FALSE)=0,"",VLOOKUP(E479,'Data Sheet'!$C$29:$E$174,3,FALSE)),"")</f>
        <v/>
      </c>
      <c r="G479" s="106" t="str">
        <f t="shared" si="249"/>
        <v>-</v>
      </c>
      <c r="H479" s="273"/>
      <c r="I479" s="107"/>
      <c r="J479" s="249" t="e">
        <f t="shared" si="250"/>
        <v>#VALUE!</v>
      </c>
      <c r="K479" s="101" t="str">
        <f>IFERROR(INDEX('Data Sheet'!$C$198:$C$275,MATCH(I479,'Data Sheet'!$F$198:$F$275,0)),"")</f>
        <v/>
      </c>
      <c r="L479" s="250" t="str">
        <f>IFERROR(INDEX('Data Sheet'!$G$198:$G$275,MATCH(I479,'Data Sheet'!$F$198:$F$275,0)),"")</f>
        <v/>
      </c>
      <c r="M479" s="194"/>
      <c r="N479" s="248"/>
      <c r="O479" s="248"/>
      <c r="P479" s="108" t="str">
        <f>IFERROR(INDEX(Setup!$D$44:$D$70,MATCH(M479,Setup!$K$44:$K$70,0))&amp;"","")</f>
        <v/>
      </c>
      <c r="Q479" s="108" t="str">
        <f>IFERROR(INDEX(Setup!$E$44:$E$70,MATCH(M479,Setup!$K$44:$K$70,0))&amp;"","")</f>
        <v/>
      </c>
      <c r="R479" s="108" t="str">
        <f>IFERROR(INDEX(Setup!$L$44:$L$70,MATCH(M479,Setup!$K$44:$K$70,0))&amp;"","")</f>
        <v/>
      </c>
      <c r="S479" s="108" t="str">
        <f>Setup!$C$30</f>
        <v>USD</v>
      </c>
      <c r="T479" s="109" t="str">
        <f>IFERROR(INDEX('Data Sheet'!$B$198:$B$275,MATCH(I479,'Data Sheet'!$F$198:$F$275,0)),"")</f>
        <v/>
      </c>
      <c r="U479" s="110" t="str">
        <f>IFERROR(INDEX('Data Sheet'!$D$198:$D$275,MATCH(I479,'Data Sheet'!$F$198:$F$275,0)),"")</f>
        <v/>
      </c>
      <c r="V479" s="99"/>
      <c r="W479" s="195" t="str">
        <f>IF(V479=Setup!$C$30,"Grant",IF(V479=Setup!$C$31,"Local",IF(V479=Setup!$C$32,"Other",IF(ISBLANK(V479),"","Other"))))</f>
        <v/>
      </c>
      <c r="X479" s="255"/>
      <c r="Y479" s="259" t="str">
        <f>IF(X479&lt;&gt;"",X479/VLOOKUP($V479,Setup!$C$30:$D$41,2,0),"")</f>
        <v/>
      </c>
      <c r="Z479" s="262"/>
      <c r="AA479" s="256" t="str">
        <f t="shared" si="222"/>
        <v/>
      </c>
      <c r="AB479" s="262"/>
      <c r="AC479" s="258" t="str">
        <f t="shared" si="223"/>
        <v/>
      </c>
      <c r="AD479" s="262"/>
      <c r="AE479" s="258" t="str">
        <f t="shared" si="224"/>
        <v/>
      </c>
      <c r="AF479" s="262"/>
      <c r="AG479" s="256" t="str">
        <f t="shared" si="225"/>
        <v/>
      </c>
      <c r="AH479" s="256" t="str">
        <f t="shared" si="226"/>
        <v/>
      </c>
      <c r="AI479" s="256" t="str">
        <f t="shared" si="227"/>
        <v/>
      </c>
      <c r="AJ479" s="111"/>
      <c r="AK479" s="255"/>
      <c r="AL479" s="259" t="str">
        <f>IF(AK479&lt;&gt;"",AK479/VLOOKUP($V479,Setup!$C$30:$D$41,2,0),"")</f>
        <v/>
      </c>
      <c r="AM479" s="266"/>
      <c r="AN479" s="258" t="str">
        <f t="shared" si="228"/>
        <v/>
      </c>
      <c r="AO479" s="266"/>
      <c r="AP479" s="258" t="str">
        <f t="shared" si="229"/>
        <v/>
      </c>
      <c r="AQ479" s="266"/>
      <c r="AR479" s="258" t="str">
        <f t="shared" si="230"/>
        <v/>
      </c>
      <c r="AS479" s="266"/>
      <c r="AT479" s="256" t="str">
        <f t="shared" si="231"/>
        <v/>
      </c>
      <c r="AU479" s="256" t="str">
        <f t="shared" si="232"/>
        <v/>
      </c>
      <c r="AV479" s="256" t="str">
        <f t="shared" si="233"/>
        <v/>
      </c>
      <c r="AW479" s="267"/>
      <c r="AX479" s="255"/>
      <c r="AY479" s="259" t="str">
        <f>IF(AX479&lt;&gt;"",AX479/VLOOKUP($V479,Setup!$C$30:$D$41,2,0),"")</f>
        <v/>
      </c>
      <c r="AZ479" s="268"/>
      <c r="BA479" s="258" t="str">
        <f t="shared" si="234"/>
        <v/>
      </c>
      <c r="BB479" s="268"/>
      <c r="BC479" s="258" t="str">
        <f t="shared" si="235"/>
        <v/>
      </c>
      <c r="BD479" s="268"/>
      <c r="BE479" s="258" t="str">
        <f t="shared" si="236"/>
        <v/>
      </c>
      <c r="BF479" s="268"/>
      <c r="BG479" s="256" t="str">
        <f t="shared" si="237"/>
        <v/>
      </c>
      <c r="BH479" s="256" t="str">
        <f t="shared" si="238"/>
        <v/>
      </c>
      <c r="BI479" s="256" t="str">
        <f t="shared" si="239"/>
        <v/>
      </c>
      <c r="BJ479" s="267"/>
      <c r="BK479" s="255"/>
      <c r="BL479" s="259" t="str">
        <f>IF(BK479&lt;&gt;"",BK479/VLOOKUP($V479,Setup!$C$30:$D$41,2,0),"")</f>
        <v/>
      </c>
      <c r="BM479" s="268"/>
      <c r="BN479" s="258" t="str">
        <f t="shared" si="240"/>
        <v/>
      </c>
      <c r="BO479" s="268"/>
      <c r="BP479" s="258" t="str">
        <f t="shared" si="241"/>
        <v/>
      </c>
      <c r="BQ479" s="268"/>
      <c r="BR479" s="258" t="str">
        <f t="shared" si="242"/>
        <v/>
      </c>
      <c r="BS479" s="268"/>
      <c r="BT479" s="256" t="str">
        <f t="shared" si="243"/>
        <v/>
      </c>
      <c r="BU479" s="256" t="str">
        <f t="shared" si="244"/>
        <v/>
      </c>
      <c r="BV479" s="256" t="str">
        <f t="shared" si="245"/>
        <v/>
      </c>
      <c r="BW479" s="267"/>
      <c r="BX479" s="256" t="str">
        <f t="shared" si="246"/>
        <v/>
      </c>
      <c r="BY479" s="256" t="str">
        <f t="shared" si="247"/>
        <v/>
      </c>
      <c r="BZ479" s="281"/>
      <c r="CA479" s="282"/>
      <c r="CC479" s="112" t="str">
        <f t="shared" ca="1" si="248"/>
        <v/>
      </c>
      <c r="CF479" s="284"/>
      <c r="CG479" s="284"/>
      <c r="CH479" s="284"/>
      <c r="CI479" s="284"/>
      <c r="CL479" s="356" t="str">
        <f>IFERROR(VLOOKUP(C479,'Data Sheet'!$A$3:$B$26,2,FALSE),"")</f>
        <v/>
      </c>
    </row>
    <row r="480" spans="1:90" s="98" customFormat="1" ht="15.75" x14ac:dyDescent="0.2">
      <c r="A480" s="97"/>
      <c r="B480" s="105" t="str">
        <f t="shared" si="251"/>
        <v>--</v>
      </c>
      <c r="C480" s="276"/>
      <c r="D480" s="101" t="str">
        <f>IFERROR(IF(VLOOKUP(C480,'Data Sheet'!$A$3:$D$26,4,FALSE)=0,"",VLOOKUP(C480,'Data Sheet'!$A$3:$D$26,4,FALSE)),"")</f>
        <v/>
      </c>
      <c r="E480" s="279"/>
      <c r="F480" s="103" t="str">
        <f>IFERROR(IF(VLOOKUP(E480,'Data Sheet'!$C$29:$E$174,3,FALSE)=0,"",VLOOKUP(E480,'Data Sheet'!$C$29:$E$174,3,FALSE)),"")</f>
        <v/>
      </c>
      <c r="G480" s="106" t="str">
        <f t="shared" si="249"/>
        <v>-</v>
      </c>
      <c r="H480" s="273"/>
      <c r="I480" s="107"/>
      <c r="J480" s="249" t="e">
        <f t="shared" si="250"/>
        <v>#VALUE!</v>
      </c>
      <c r="K480" s="101" t="str">
        <f>IFERROR(INDEX('Data Sheet'!$C$198:$C$275,MATCH(I480,'Data Sheet'!$F$198:$F$275,0)),"")</f>
        <v/>
      </c>
      <c r="L480" s="250" t="str">
        <f>IFERROR(INDEX('Data Sheet'!$G$198:$G$275,MATCH(I480,'Data Sheet'!$F$198:$F$275,0)),"")</f>
        <v/>
      </c>
      <c r="M480" s="194"/>
      <c r="N480" s="248"/>
      <c r="O480" s="248"/>
      <c r="P480" s="108" t="str">
        <f>IFERROR(INDEX(Setup!$D$44:$D$70,MATCH(M480,Setup!$K$44:$K$70,0))&amp;"","")</f>
        <v/>
      </c>
      <c r="Q480" s="108" t="str">
        <f>IFERROR(INDEX(Setup!$E$44:$E$70,MATCH(M480,Setup!$K$44:$K$70,0))&amp;"","")</f>
        <v/>
      </c>
      <c r="R480" s="108" t="str">
        <f>IFERROR(INDEX(Setup!$L$44:$L$70,MATCH(M480,Setup!$K$44:$K$70,0))&amp;"","")</f>
        <v/>
      </c>
      <c r="S480" s="108" t="str">
        <f>Setup!$C$30</f>
        <v>USD</v>
      </c>
      <c r="T480" s="109" t="str">
        <f>IFERROR(INDEX('Data Sheet'!$B$198:$B$275,MATCH(I480,'Data Sheet'!$F$198:$F$275,0)),"")</f>
        <v/>
      </c>
      <c r="U480" s="110" t="str">
        <f>IFERROR(INDEX('Data Sheet'!$D$198:$D$275,MATCH(I480,'Data Sheet'!$F$198:$F$275,0)),"")</f>
        <v/>
      </c>
      <c r="V480" s="99"/>
      <c r="W480" s="195" t="str">
        <f>IF(V480=Setup!$C$30,"Grant",IF(V480=Setup!$C$31,"Local",IF(V480=Setup!$C$32,"Other",IF(ISBLANK(V480),"","Other"))))</f>
        <v/>
      </c>
      <c r="X480" s="255"/>
      <c r="Y480" s="259" t="str">
        <f>IF(X480&lt;&gt;"",X480/VLOOKUP($V480,Setup!$C$30:$D$41,2,0),"")</f>
        <v/>
      </c>
      <c r="Z480" s="262"/>
      <c r="AA480" s="256" t="str">
        <f t="shared" si="222"/>
        <v/>
      </c>
      <c r="AB480" s="262"/>
      <c r="AC480" s="258" t="str">
        <f t="shared" si="223"/>
        <v/>
      </c>
      <c r="AD480" s="262"/>
      <c r="AE480" s="258" t="str">
        <f t="shared" si="224"/>
        <v/>
      </c>
      <c r="AF480" s="262"/>
      <c r="AG480" s="256" t="str">
        <f t="shared" si="225"/>
        <v/>
      </c>
      <c r="AH480" s="256" t="str">
        <f t="shared" si="226"/>
        <v/>
      </c>
      <c r="AI480" s="256" t="str">
        <f t="shared" si="227"/>
        <v/>
      </c>
      <c r="AJ480" s="111"/>
      <c r="AK480" s="255"/>
      <c r="AL480" s="259" t="str">
        <f>IF(AK480&lt;&gt;"",AK480/VLOOKUP($V480,Setup!$C$30:$D$41,2,0),"")</f>
        <v/>
      </c>
      <c r="AM480" s="266"/>
      <c r="AN480" s="258" t="str">
        <f t="shared" si="228"/>
        <v/>
      </c>
      <c r="AO480" s="266"/>
      <c r="AP480" s="258" t="str">
        <f t="shared" si="229"/>
        <v/>
      </c>
      <c r="AQ480" s="266"/>
      <c r="AR480" s="258" t="str">
        <f t="shared" si="230"/>
        <v/>
      </c>
      <c r="AS480" s="266"/>
      <c r="AT480" s="256" t="str">
        <f t="shared" si="231"/>
        <v/>
      </c>
      <c r="AU480" s="256" t="str">
        <f t="shared" si="232"/>
        <v/>
      </c>
      <c r="AV480" s="256" t="str">
        <f t="shared" si="233"/>
        <v/>
      </c>
      <c r="AW480" s="267"/>
      <c r="AX480" s="255"/>
      <c r="AY480" s="259" t="str">
        <f>IF(AX480&lt;&gt;"",AX480/VLOOKUP($V480,Setup!$C$30:$D$41,2,0),"")</f>
        <v/>
      </c>
      <c r="AZ480" s="268"/>
      <c r="BA480" s="258" t="str">
        <f t="shared" si="234"/>
        <v/>
      </c>
      <c r="BB480" s="268"/>
      <c r="BC480" s="258" t="str">
        <f t="shared" si="235"/>
        <v/>
      </c>
      <c r="BD480" s="268"/>
      <c r="BE480" s="258" t="str">
        <f t="shared" si="236"/>
        <v/>
      </c>
      <c r="BF480" s="268"/>
      <c r="BG480" s="256" t="str">
        <f t="shared" si="237"/>
        <v/>
      </c>
      <c r="BH480" s="256" t="str">
        <f t="shared" si="238"/>
        <v/>
      </c>
      <c r="BI480" s="256" t="str">
        <f t="shared" si="239"/>
        <v/>
      </c>
      <c r="BJ480" s="267"/>
      <c r="BK480" s="255"/>
      <c r="BL480" s="259" t="str">
        <f>IF(BK480&lt;&gt;"",BK480/VLOOKUP($V480,Setup!$C$30:$D$41,2,0),"")</f>
        <v/>
      </c>
      <c r="BM480" s="268"/>
      <c r="BN480" s="258" t="str">
        <f t="shared" si="240"/>
        <v/>
      </c>
      <c r="BO480" s="268"/>
      <c r="BP480" s="258" t="str">
        <f t="shared" si="241"/>
        <v/>
      </c>
      <c r="BQ480" s="268"/>
      <c r="BR480" s="258" t="str">
        <f t="shared" si="242"/>
        <v/>
      </c>
      <c r="BS480" s="268"/>
      <c r="BT480" s="256" t="str">
        <f t="shared" si="243"/>
        <v/>
      </c>
      <c r="BU480" s="256" t="str">
        <f t="shared" si="244"/>
        <v/>
      </c>
      <c r="BV480" s="256" t="str">
        <f t="shared" si="245"/>
        <v/>
      </c>
      <c r="BW480" s="267"/>
      <c r="BX480" s="256" t="str">
        <f t="shared" si="246"/>
        <v/>
      </c>
      <c r="BY480" s="256" t="str">
        <f t="shared" si="247"/>
        <v/>
      </c>
      <c r="BZ480" s="281"/>
      <c r="CA480" s="282"/>
      <c r="CC480" s="112" t="str">
        <f t="shared" ca="1" si="248"/>
        <v/>
      </c>
      <c r="CF480" s="284"/>
      <c r="CG480" s="284"/>
      <c r="CH480" s="284"/>
      <c r="CI480" s="284"/>
      <c r="CL480" s="356" t="str">
        <f>IFERROR(VLOOKUP(C480,'Data Sheet'!$A$3:$B$26,2,FALSE),"")</f>
        <v/>
      </c>
    </row>
    <row r="481" spans="1:90" s="98" customFormat="1" ht="15.75" x14ac:dyDescent="0.2">
      <c r="A481" s="97"/>
      <c r="B481" s="105" t="str">
        <f t="shared" si="251"/>
        <v>--</v>
      </c>
      <c r="C481" s="276"/>
      <c r="D481" s="101" t="str">
        <f>IFERROR(IF(VLOOKUP(C481,'Data Sheet'!$A$3:$D$26,4,FALSE)=0,"",VLOOKUP(C481,'Data Sheet'!$A$3:$D$26,4,FALSE)),"")</f>
        <v/>
      </c>
      <c r="E481" s="279"/>
      <c r="F481" s="103" t="str">
        <f>IFERROR(IF(VLOOKUP(E481,'Data Sheet'!$C$29:$E$174,3,FALSE)=0,"",VLOOKUP(E481,'Data Sheet'!$C$29:$E$174,3,FALSE)),"")</f>
        <v/>
      </c>
      <c r="G481" s="106" t="str">
        <f t="shared" si="249"/>
        <v>-</v>
      </c>
      <c r="H481" s="273"/>
      <c r="I481" s="107"/>
      <c r="J481" s="249" t="e">
        <f t="shared" si="250"/>
        <v>#VALUE!</v>
      </c>
      <c r="K481" s="101" t="str">
        <f>IFERROR(INDEX('Data Sheet'!$C$198:$C$275,MATCH(I481,'Data Sheet'!$F$198:$F$275,0)),"")</f>
        <v/>
      </c>
      <c r="L481" s="250" t="str">
        <f>IFERROR(INDEX('Data Sheet'!$G$198:$G$275,MATCH(I481,'Data Sheet'!$F$198:$F$275,0)),"")</f>
        <v/>
      </c>
      <c r="M481" s="194"/>
      <c r="N481" s="248"/>
      <c r="O481" s="248"/>
      <c r="P481" s="108" t="str">
        <f>IFERROR(INDEX(Setup!$D$44:$D$70,MATCH(M481,Setup!$K$44:$K$70,0))&amp;"","")</f>
        <v/>
      </c>
      <c r="Q481" s="108" t="str">
        <f>IFERROR(INDEX(Setup!$E$44:$E$70,MATCH(M481,Setup!$K$44:$K$70,0))&amp;"","")</f>
        <v/>
      </c>
      <c r="R481" s="108" t="str">
        <f>IFERROR(INDEX(Setup!$L$44:$L$70,MATCH(M481,Setup!$K$44:$K$70,0))&amp;"","")</f>
        <v/>
      </c>
      <c r="S481" s="108" t="str">
        <f>Setup!$C$30</f>
        <v>USD</v>
      </c>
      <c r="T481" s="109" t="str">
        <f>IFERROR(INDEX('Data Sheet'!$B$198:$B$275,MATCH(I481,'Data Sheet'!$F$198:$F$275,0)),"")</f>
        <v/>
      </c>
      <c r="U481" s="110" t="str">
        <f>IFERROR(INDEX('Data Sheet'!$D$198:$D$275,MATCH(I481,'Data Sheet'!$F$198:$F$275,0)),"")</f>
        <v/>
      </c>
      <c r="V481" s="99"/>
      <c r="W481" s="195" t="str">
        <f>IF(V481=Setup!$C$30,"Grant",IF(V481=Setup!$C$31,"Local",IF(V481=Setup!$C$32,"Other",IF(ISBLANK(V481),"","Other"))))</f>
        <v/>
      </c>
      <c r="X481" s="255"/>
      <c r="Y481" s="259" t="str">
        <f>IF(X481&lt;&gt;"",X481/VLOOKUP($V481,Setup!$C$30:$D$41,2,0),"")</f>
        <v/>
      </c>
      <c r="Z481" s="262"/>
      <c r="AA481" s="256" t="str">
        <f t="shared" si="222"/>
        <v/>
      </c>
      <c r="AB481" s="262"/>
      <c r="AC481" s="258" t="str">
        <f t="shared" si="223"/>
        <v/>
      </c>
      <c r="AD481" s="262"/>
      <c r="AE481" s="258" t="str">
        <f t="shared" si="224"/>
        <v/>
      </c>
      <c r="AF481" s="262"/>
      <c r="AG481" s="256" t="str">
        <f t="shared" si="225"/>
        <v/>
      </c>
      <c r="AH481" s="256" t="str">
        <f t="shared" si="226"/>
        <v/>
      </c>
      <c r="AI481" s="256" t="str">
        <f t="shared" si="227"/>
        <v/>
      </c>
      <c r="AJ481" s="111"/>
      <c r="AK481" s="255"/>
      <c r="AL481" s="259" t="str">
        <f>IF(AK481&lt;&gt;"",AK481/VLOOKUP($V481,Setup!$C$30:$D$41,2,0),"")</f>
        <v/>
      </c>
      <c r="AM481" s="266"/>
      <c r="AN481" s="258" t="str">
        <f t="shared" si="228"/>
        <v/>
      </c>
      <c r="AO481" s="266"/>
      <c r="AP481" s="258" t="str">
        <f t="shared" si="229"/>
        <v/>
      </c>
      <c r="AQ481" s="266"/>
      <c r="AR481" s="258" t="str">
        <f t="shared" si="230"/>
        <v/>
      </c>
      <c r="AS481" s="266"/>
      <c r="AT481" s="256" t="str">
        <f t="shared" si="231"/>
        <v/>
      </c>
      <c r="AU481" s="256" t="str">
        <f t="shared" si="232"/>
        <v/>
      </c>
      <c r="AV481" s="256" t="str">
        <f t="shared" si="233"/>
        <v/>
      </c>
      <c r="AW481" s="267"/>
      <c r="AX481" s="255"/>
      <c r="AY481" s="259" t="str">
        <f>IF(AX481&lt;&gt;"",AX481/VLOOKUP($V481,Setup!$C$30:$D$41,2,0),"")</f>
        <v/>
      </c>
      <c r="AZ481" s="268"/>
      <c r="BA481" s="258" t="str">
        <f t="shared" si="234"/>
        <v/>
      </c>
      <c r="BB481" s="268"/>
      <c r="BC481" s="258" t="str">
        <f t="shared" si="235"/>
        <v/>
      </c>
      <c r="BD481" s="268"/>
      <c r="BE481" s="258" t="str">
        <f t="shared" si="236"/>
        <v/>
      </c>
      <c r="BF481" s="268"/>
      <c r="BG481" s="256" t="str">
        <f t="shared" si="237"/>
        <v/>
      </c>
      <c r="BH481" s="256" t="str">
        <f t="shared" si="238"/>
        <v/>
      </c>
      <c r="BI481" s="256" t="str">
        <f t="shared" si="239"/>
        <v/>
      </c>
      <c r="BJ481" s="267"/>
      <c r="BK481" s="255"/>
      <c r="BL481" s="259" t="str">
        <f>IF(BK481&lt;&gt;"",BK481/VLOOKUP($V481,Setup!$C$30:$D$41,2,0),"")</f>
        <v/>
      </c>
      <c r="BM481" s="268"/>
      <c r="BN481" s="258" t="str">
        <f t="shared" si="240"/>
        <v/>
      </c>
      <c r="BO481" s="268"/>
      <c r="BP481" s="258" t="str">
        <f t="shared" si="241"/>
        <v/>
      </c>
      <c r="BQ481" s="268"/>
      <c r="BR481" s="258" t="str">
        <f t="shared" si="242"/>
        <v/>
      </c>
      <c r="BS481" s="268"/>
      <c r="BT481" s="256" t="str">
        <f t="shared" si="243"/>
        <v/>
      </c>
      <c r="BU481" s="256" t="str">
        <f t="shared" si="244"/>
        <v/>
      </c>
      <c r="BV481" s="256" t="str">
        <f t="shared" si="245"/>
        <v/>
      </c>
      <c r="BW481" s="267"/>
      <c r="BX481" s="256" t="str">
        <f t="shared" si="246"/>
        <v/>
      </c>
      <c r="BY481" s="256" t="str">
        <f t="shared" si="247"/>
        <v/>
      </c>
      <c r="BZ481" s="281"/>
      <c r="CA481" s="282"/>
      <c r="CC481" s="112" t="str">
        <f t="shared" ca="1" si="248"/>
        <v/>
      </c>
      <c r="CF481" s="284"/>
      <c r="CG481" s="284"/>
      <c r="CH481" s="284"/>
      <c r="CI481" s="284"/>
      <c r="CL481" s="356" t="str">
        <f>IFERROR(VLOOKUP(C481,'Data Sheet'!$A$3:$B$26,2,FALSE),"")</f>
        <v/>
      </c>
    </row>
    <row r="482" spans="1:90" s="98" customFormat="1" ht="15.75" x14ac:dyDescent="0.2">
      <c r="A482" s="97"/>
      <c r="B482" s="105" t="str">
        <f t="shared" si="251"/>
        <v>--</v>
      </c>
      <c r="C482" s="276"/>
      <c r="D482" s="101" t="str">
        <f>IFERROR(IF(VLOOKUP(C482,'Data Sheet'!$A$3:$D$26,4,FALSE)=0,"",VLOOKUP(C482,'Data Sheet'!$A$3:$D$26,4,FALSE)),"")</f>
        <v/>
      </c>
      <c r="E482" s="279"/>
      <c r="F482" s="103" t="str">
        <f>IFERROR(IF(VLOOKUP(E482,'Data Sheet'!$C$29:$E$174,3,FALSE)=0,"",VLOOKUP(E482,'Data Sheet'!$C$29:$E$174,3,FALSE)),"")</f>
        <v/>
      </c>
      <c r="G482" s="106" t="str">
        <f t="shared" si="249"/>
        <v>-</v>
      </c>
      <c r="H482" s="273"/>
      <c r="I482" s="107"/>
      <c r="J482" s="249" t="e">
        <f t="shared" si="250"/>
        <v>#VALUE!</v>
      </c>
      <c r="K482" s="101" t="str">
        <f>IFERROR(INDEX('Data Sheet'!$C$198:$C$275,MATCH(I482,'Data Sheet'!$F$198:$F$275,0)),"")</f>
        <v/>
      </c>
      <c r="L482" s="250" t="str">
        <f>IFERROR(INDEX('Data Sheet'!$G$198:$G$275,MATCH(I482,'Data Sheet'!$F$198:$F$275,0)),"")</f>
        <v/>
      </c>
      <c r="M482" s="194"/>
      <c r="N482" s="248"/>
      <c r="O482" s="248"/>
      <c r="P482" s="108" t="str">
        <f>IFERROR(INDEX(Setup!$D$44:$D$70,MATCH(M482,Setup!$K$44:$K$70,0))&amp;"","")</f>
        <v/>
      </c>
      <c r="Q482" s="108" t="str">
        <f>IFERROR(INDEX(Setup!$E$44:$E$70,MATCH(M482,Setup!$K$44:$K$70,0))&amp;"","")</f>
        <v/>
      </c>
      <c r="R482" s="108" t="str">
        <f>IFERROR(INDEX(Setup!$L$44:$L$70,MATCH(M482,Setup!$K$44:$K$70,0))&amp;"","")</f>
        <v/>
      </c>
      <c r="S482" s="108" t="str">
        <f>Setup!$C$30</f>
        <v>USD</v>
      </c>
      <c r="T482" s="109" t="str">
        <f>IFERROR(INDEX('Data Sheet'!$B$198:$B$275,MATCH(I482,'Data Sheet'!$F$198:$F$275,0)),"")</f>
        <v/>
      </c>
      <c r="U482" s="110" t="str">
        <f>IFERROR(INDEX('Data Sheet'!$D$198:$D$275,MATCH(I482,'Data Sheet'!$F$198:$F$275,0)),"")</f>
        <v/>
      </c>
      <c r="V482" s="99"/>
      <c r="W482" s="195" t="str">
        <f>IF(V482=Setup!$C$30,"Grant",IF(V482=Setup!$C$31,"Local",IF(V482=Setup!$C$32,"Other",IF(ISBLANK(V482),"","Other"))))</f>
        <v/>
      </c>
      <c r="X482" s="255"/>
      <c r="Y482" s="259" t="str">
        <f>IF(X482&lt;&gt;"",X482/VLOOKUP($V482,Setup!$C$30:$D$41,2,0),"")</f>
        <v/>
      </c>
      <c r="Z482" s="262"/>
      <c r="AA482" s="256" t="str">
        <f t="shared" si="222"/>
        <v/>
      </c>
      <c r="AB482" s="262"/>
      <c r="AC482" s="258" t="str">
        <f t="shared" si="223"/>
        <v/>
      </c>
      <c r="AD482" s="262"/>
      <c r="AE482" s="258" t="str">
        <f t="shared" si="224"/>
        <v/>
      </c>
      <c r="AF482" s="262"/>
      <c r="AG482" s="256" t="str">
        <f t="shared" si="225"/>
        <v/>
      </c>
      <c r="AH482" s="256" t="str">
        <f t="shared" si="226"/>
        <v/>
      </c>
      <c r="AI482" s="256" t="str">
        <f t="shared" si="227"/>
        <v/>
      </c>
      <c r="AJ482" s="111"/>
      <c r="AK482" s="255"/>
      <c r="AL482" s="259" t="str">
        <f>IF(AK482&lt;&gt;"",AK482/VLOOKUP($V482,Setup!$C$30:$D$41,2,0),"")</f>
        <v/>
      </c>
      <c r="AM482" s="266"/>
      <c r="AN482" s="258" t="str">
        <f t="shared" si="228"/>
        <v/>
      </c>
      <c r="AO482" s="266"/>
      <c r="AP482" s="258" t="str">
        <f t="shared" si="229"/>
        <v/>
      </c>
      <c r="AQ482" s="266"/>
      <c r="AR482" s="258" t="str">
        <f t="shared" si="230"/>
        <v/>
      </c>
      <c r="AS482" s="266"/>
      <c r="AT482" s="256" t="str">
        <f t="shared" si="231"/>
        <v/>
      </c>
      <c r="AU482" s="256" t="str">
        <f t="shared" si="232"/>
        <v/>
      </c>
      <c r="AV482" s="256" t="str">
        <f t="shared" si="233"/>
        <v/>
      </c>
      <c r="AW482" s="267"/>
      <c r="AX482" s="255"/>
      <c r="AY482" s="259" t="str">
        <f>IF(AX482&lt;&gt;"",AX482/VLOOKUP($V482,Setup!$C$30:$D$41,2,0),"")</f>
        <v/>
      </c>
      <c r="AZ482" s="268"/>
      <c r="BA482" s="258" t="str">
        <f t="shared" si="234"/>
        <v/>
      </c>
      <c r="BB482" s="268"/>
      <c r="BC482" s="258" t="str">
        <f t="shared" si="235"/>
        <v/>
      </c>
      <c r="BD482" s="268"/>
      <c r="BE482" s="258" t="str">
        <f t="shared" si="236"/>
        <v/>
      </c>
      <c r="BF482" s="268"/>
      <c r="BG482" s="256" t="str">
        <f t="shared" si="237"/>
        <v/>
      </c>
      <c r="BH482" s="256" t="str">
        <f t="shared" si="238"/>
        <v/>
      </c>
      <c r="BI482" s="256" t="str">
        <f t="shared" si="239"/>
        <v/>
      </c>
      <c r="BJ482" s="267"/>
      <c r="BK482" s="255"/>
      <c r="BL482" s="259" t="str">
        <f>IF(BK482&lt;&gt;"",BK482/VLOOKUP($V482,Setup!$C$30:$D$41,2,0),"")</f>
        <v/>
      </c>
      <c r="BM482" s="268"/>
      <c r="BN482" s="258" t="str">
        <f t="shared" si="240"/>
        <v/>
      </c>
      <c r="BO482" s="268"/>
      <c r="BP482" s="258" t="str">
        <f t="shared" si="241"/>
        <v/>
      </c>
      <c r="BQ482" s="268"/>
      <c r="BR482" s="258" t="str">
        <f t="shared" si="242"/>
        <v/>
      </c>
      <c r="BS482" s="268"/>
      <c r="BT482" s="256" t="str">
        <f t="shared" si="243"/>
        <v/>
      </c>
      <c r="BU482" s="256" t="str">
        <f t="shared" si="244"/>
        <v/>
      </c>
      <c r="BV482" s="256" t="str">
        <f t="shared" si="245"/>
        <v/>
      </c>
      <c r="BW482" s="267"/>
      <c r="BX482" s="256" t="str">
        <f t="shared" si="246"/>
        <v/>
      </c>
      <c r="BY482" s="256" t="str">
        <f t="shared" si="247"/>
        <v/>
      </c>
      <c r="BZ482" s="281"/>
      <c r="CA482" s="282"/>
      <c r="CC482" s="112" t="str">
        <f t="shared" ca="1" si="248"/>
        <v/>
      </c>
      <c r="CF482" s="284"/>
      <c r="CG482" s="284"/>
      <c r="CH482" s="284"/>
      <c r="CI482" s="284"/>
      <c r="CL482" s="356" t="str">
        <f>IFERROR(VLOOKUP(C482,'Data Sheet'!$A$3:$B$26,2,FALSE),"")</f>
        <v/>
      </c>
    </row>
    <row r="483" spans="1:90" s="98" customFormat="1" ht="15.75" x14ac:dyDescent="0.2">
      <c r="A483" s="97"/>
      <c r="B483" s="105" t="str">
        <f t="shared" si="251"/>
        <v>--</v>
      </c>
      <c r="C483" s="276"/>
      <c r="D483" s="101" t="str">
        <f>IFERROR(IF(VLOOKUP(C483,'Data Sheet'!$A$3:$D$26,4,FALSE)=0,"",VLOOKUP(C483,'Data Sheet'!$A$3:$D$26,4,FALSE)),"")</f>
        <v/>
      </c>
      <c r="E483" s="279"/>
      <c r="F483" s="103" t="str">
        <f>IFERROR(IF(VLOOKUP(E483,'Data Sheet'!$C$29:$E$174,3,FALSE)=0,"",VLOOKUP(E483,'Data Sheet'!$C$29:$E$174,3,FALSE)),"")</f>
        <v/>
      </c>
      <c r="G483" s="106" t="str">
        <f t="shared" si="249"/>
        <v>-</v>
      </c>
      <c r="H483" s="273"/>
      <c r="I483" s="107"/>
      <c r="J483" s="249" t="e">
        <f t="shared" si="250"/>
        <v>#VALUE!</v>
      </c>
      <c r="K483" s="101" t="str">
        <f>IFERROR(INDEX('Data Sheet'!$C$198:$C$275,MATCH(I483,'Data Sheet'!$F$198:$F$275,0)),"")</f>
        <v/>
      </c>
      <c r="L483" s="250" t="str">
        <f>IFERROR(INDEX('Data Sheet'!$G$198:$G$275,MATCH(I483,'Data Sheet'!$F$198:$F$275,0)),"")</f>
        <v/>
      </c>
      <c r="M483" s="194"/>
      <c r="N483" s="248"/>
      <c r="O483" s="248"/>
      <c r="P483" s="108" t="str">
        <f>IFERROR(INDEX(Setup!$D$44:$D$70,MATCH(M483,Setup!$K$44:$K$70,0))&amp;"","")</f>
        <v/>
      </c>
      <c r="Q483" s="108" t="str">
        <f>IFERROR(INDEX(Setup!$E$44:$E$70,MATCH(M483,Setup!$K$44:$K$70,0))&amp;"","")</f>
        <v/>
      </c>
      <c r="R483" s="108" t="str">
        <f>IFERROR(INDEX(Setup!$L$44:$L$70,MATCH(M483,Setup!$K$44:$K$70,0))&amp;"","")</f>
        <v/>
      </c>
      <c r="S483" s="108" t="str">
        <f>Setup!$C$30</f>
        <v>USD</v>
      </c>
      <c r="T483" s="109" t="str">
        <f>IFERROR(INDEX('Data Sheet'!$B$198:$B$275,MATCH(I483,'Data Sheet'!$F$198:$F$275,0)),"")</f>
        <v/>
      </c>
      <c r="U483" s="110" t="str">
        <f>IFERROR(INDEX('Data Sheet'!$D$198:$D$275,MATCH(I483,'Data Sheet'!$F$198:$F$275,0)),"")</f>
        <v/>
      </c>
      <c r="V483" s="99"/>
      <c r="W483" s="195" t="str">
        <f>IF(V483=Setup!$C$30,"Grant",IF(V483=Setup!$C$31,"Local",IF(V483=Setup!$C$32,"Other",IF(ISBLANK(V483),"","Other"))))</f>
        <v/>
      </c>
      <c r="X483" s="255"/>
      <c r="Y483" s="259" t="str">
        <f>IF(X483&lt;&gt;"",X483/VLOOKUP($V483,Setup!$C$30:$D$41,2,0),"")</f>
        <v/>
      </c>
      <c r="Z483" s="262"/>
      <c r="AA483" s="256" t="str">
        <f t="shared" si="222"/>
        <v/>
      </c>
      <c r="AB483" s="262"/>
      <c r="AC483" s="258" t="str">
        <f t="shared" si="223"/>
        <v/>
      </c>
      <c r="AD483" s="262"/>
      <c r="AE483" s="258" t="str">
        <f t="shared" si="224"/>
        <v/>
      </c>
      <c r="AF483" s="262"/>
      <c r="AG483" s="256" t="str">
        <f t="shared" si="225"/>
        <v/>
      </c>
      <c r="AH483" s="256" t="str">
        <f t="shared" si="226"/>
        <v/>
      </c>
      <c r="AI483" s="256" t="str">
        <f t="shared" si="227"/>
        <v/>
      </c>
      <c r="AJ483" s="111"/>
      <c r="AK483" s="255"/>
      <c r="AL483" s="259" t="str">
        <f>IF(AK483&lt;&gt;"",AK483/VLOOKUP($V483,Setup!$C$30:$D$41,2,0),"")</f>
        <v/>
      </c>
      <c r="AM483" s="266"/>
      <c r="AN483" s="258" t="str">
        <f t="shared" si="228"/>
        <v/>
      </c>
      <c r="AO483" s="266"/>
      <c r="AP483" s="258" t="str">
        <f t="shared" si="229"/>
        <v/>
      </c>
      <c r="AQ483" s="266"/>
      <c r="AR483" s="258" t="str">
        <f t="shared" si="230"/>
        <v/>
      </c>
      <c r="AS483" s="266"/>
      <c r="AT483" s="256" t="str">
        <f t="shared" si="231"/>
        <v/>
      </c>
      <c r="AU483" s="256" t="str">
        <f t="shared" si="232"/>
        <v/>
      </c>
      <c r="AV483" s="256" t="str">
        <f t="shared" si="233"/>
        <v/>
      </c>
      <c r="AW483" s="267"/>
      <c r="AX483" s="255"/>
      <c r="AY483" s="259" t="str">
        <f>IF(AX483&lt;&gt;"",AX483/VLOOKUP($V483,Setup!$C$30:$D$41,2,0),"")</f>
        <v/>
      </c>
      <c r="AZ483" s="268"/>
      <c r="BA483" s="258" t="str">
        <f t="shared" si="234"/>
        <v/>
      </c>
      <c r="BB483" s="268"/>
      <c r="BC483" s="258" t="str">
        <f t="shared" si="235"/>
        <v/>
      </c>
      <c r="BD483" s="268"/>
      <c r="BE483" s="258" t="str">
        <f t="shared" si="236"/>
        <v/>
      </c>
      <c r="BF483" s="268"/>
      <c r="BG483" s="256" t="str">
        <f t="shared" si="237"/>
        <v/>
      </c>
      <c r="BH483" s="256" t="str">
        <f t="shared" si="238"/>
        <v/>
      </c>
      <c r="BI483" s="256" t="str">
        <f t="shared" si="239"/>
        <v/>
      </c>
      <c r="BJ483" s="267"/>
      <c r="BK483" s="255"/>
      <c r="BL483" s="259" t="str">
        <f>IF(BK483&lt;&gt;"",BK483/VLOOKUP($V483,Setup!$C$30:$D$41,2,0),"")</f>
        <v/>
      </c>
      <c r="BM483" s="268"/>
      <c r="BN483" s="258" t="str">
        <f t="shared" si="240"/>
        <v/>
      </c>
      <c r="BO483" s="268"/>
      <c r="BP483" s="258" t="str">
        <f t="shared" si="241"/>
        <v/>
      </c>
      <c r="BQ483" s="268"/>
      <c r="BR483" s="258" t="str">
        <f t="shared" si="242"/>
        <v/>
      </c>
      <c r="BS483" s="268"/>
      <c r="BT483" s="256" t="str">
        <f t="shared" si="243"/>
        <v/>
      </c>
      <c r="BU483" s="256" t="str">
        <f t="shared" si="244"/>
        <v/>
      </c>
      <c r="BV483" s="256" t="str">
        <f t="shared" si="245"/>
        <v/>
      </c>
      <c r="BW483" s="267"/>
      <c r="BX483" s="256" t="str">
        <f t="shared" si="246"/>
        <v/>
      </c>
      <c r="BY483" s="256" t="str">
        <f t="shared" si="247"/>
        <v/>
      </c>
      <c r="BZ483" s="281"/>
      <c r="CA483" s="282"/>
      <c r="CC483" s="112" t="str">
        <f t="shared" ca="1" si="248"/>
        <v/>
      </c>
      <c r="CF483" s="284"/>
      <c r="CG483" s="284"/>
      <c r="CH483" s="284"/>
      <c r="CI483" s="284"/>
      <c r="CL483" s="356" t="str">
        <f>IFERROR(VLOOKUP(C483,'Data Sheet'!$A$3:$B$26,2,FALSE),"")</f>
        <v/>
      </c>
    </row>
    <row r="484" spans="1:90" s="98" customFormat="1" ht="15.75" x14ac:dyDescent="0.2">
      <c r="A484" s="97"/>
      <c r="B484" s="105" t="str">
        <f t="shared" si="251"/>
        <v>--</v>
      </c>
      <c r="C484" s="276"/>
      <c r="D484" s="101" t="str">
        <f>IFERROR(IF(VLOOKUP(C484,'Data Sheet'!$A$3:$D$26,4,FALSE)=0,"",VLOOKUP(C484,'Data Sheet'!$A$3:$D$26,4,FALSE)),"")</f>
        <v/>
      </c>
      <c r="E484" s="279"/>
      <c r="F484" s="103" t="str">
        <f>IFERROR(IF(VLOOKUP(E484,'Data Sheet'!$C$29:$E$174,3,FALSE)=0,"",VLOOKUP(E484,'Data Sheet'!$C$29:$E$174,3,FALSE)),"")</f>
        <v/>
      </c>
      <c r="G484" s="106" t="str">
        <f t="shared" si="249"/>
        <v>-</v>
      </c>
      <c r="H484" s="273"/>
      <c r="I484" s="107"/>
      <c r="J484" s="249" t="e">
        <f t="shared" si="250"/>
        <v>#VALUE!</v>
      </c>
      <c r="K484" s="101" t="str">
        <f>IFERROR(INDEX('Data Sheet'!$C$198:$C$275,MATCH(I484,'Data Sheet'!$F$198:$F$275,0)),"")</f>
        <v/>
      </c>
      <c r="L484" s="250" t="str">
        <f>IFERROR(INDEX('Data Sheet'!$G$198:$G$275,MATCH(I484,'Data Sheet'!$F$198:$F$275,0)),"")</f>
        <v/>
      </c>
      <c r="M484" s="194"/>
      <c r="N484" s="248"/>
      <c r="O484" s="248"/>
      <c r="P484" s="108" t="str">
        <f>IFERROR(INDEX(Setup!$D$44:$D$70,MATCH(M484,Setup!$K$44:$K$70,0))&amp;"","")</f>
        <v/>
      </c>
      <c r="Q484" s="108" t="str">
        <f>IFERROR(INDEX(Setup!$E$44:$E$70,MATCH(M484,Setup!$K$44:$K$70,0))&amp;"","")</f>
        <v/>
      </c>
      <c r="R484" s="108" t="str">
        <f>IFERROR(INDEX(Setup!$L$44:$L$70,MATCH(M484,Setup!$K$44:$K$70,0))&amp;"","")</f>
        <v/>
      </c>
      <c r="S484" s="108" t="str">
        <f>Setup!$C$30</f>
        <v>USD</v>
      </c>
      <c r="T484" s="109" t="str">
        <f>IFERROR(INDEX('Data Sheet'!$B$198:$B$275,MATCH(I484,'Data Sheet'!$F$198:$F$275,0)),"")</f>
        <v/>
      </c>
      <c r="U484" s="110" t="str">
        <f>IFERROR(INDEX('Data Sheet'!$D$198:$D$275,MATCH(I484,'Data Sheet'!$F$198:$F$275,0)),"")</f>
        <v/>
      </c>
      <c r="V484" s="99"/>
      <c r="W484" s="195" t="str">
        <f>IF(V484=Setup!$C$30,"Grant",IF(V484=Setup!$C$31,"Local",IF(V484=Setup!$C$32,"Other",IF(ISBLANK(V484),"","Other"))))</f>
        <v/>
      </c>
      <c r="X484" s="255"/>
      <c r="Y484" s="259" t="str">
        <f>IF(X484&lt;&gt;"",X484/VLOOKUP($V484,Setup!$C$30:$D$41,2,0),"")</f>
        <v/>
      </c>
      <c r="Z484" s="262"/>
      <c r="AA484" s="256" t="str">
        <f t="shared" si="222"/>
        <v/>
      </c>
      <c r="AB484" s="262"/>
      <c r="AC484" s="258" t="str">
        <f t="shared" si="223"/>
        <v/>
      </c>
      <c r="AD484" s="262"/>
      <c r="AE484" s="258" t="str">
        <f t="shared" si="224"/>
        <v/>
      </c>
      <c r="AF484" s="262"/>
      <c r="AG484" s="256" t="str">
        <f t="shared" si="225"/>
        <v/>
      </c>
      <c r="AH484" s="256" t="str">
        <f t="shared" si="226"/>
        <v/>
      </c>
      <c r="AI484" s="256" t="str">
        <f t="shared" si="227"/>
        <v/>
      </c>
      <c r="AJ484" s="111"/>
      <c r="AK484" s="255"/>
      <c r="AL484" s="259" t="str">
        <f>IF(AK484&lt;&gt;"",AK484/VLOOKUP($V484,Setup!$C$30:$D$41,2,0),"")</f>
        <v/>
      </c>
      <c r="AM484" s="266"/>
      <c r="AN484" s="258" t="str">
        <f t="shared" si="228"/>
        <v/>
      </c>
      <c r="AO484" s="266"/>
      <c r="AP484" s="258" t="str">
        <f t="shared" si="229"/>
        <v/>
      </c>
      <c r="AQ484" s="266"/>
      <c r="AR484" s="258" t="str">
        <f t="shared" si="230"/>
        <v/>
      </c>
      <c r="AS484" s="266"/>
      <c r="AT484" s="256" t="str">
        <f t="shared" si="231"/>
        <v/>
      </c>
      <c r="AU484" s="256" t="str">
        <f t="shared" si="232"/>
        <v/>
      </c>
      <c r="AV484" s="256" t="str">
        <f t="shared" si="233"/>
        <v/>
      </c>
      <c r="AW484" s="267"/>
      <c r="AX484" s="255"/>
      <c r="AY484" s="259" t="str">
        <f>IF(AX484&lt;&gt;"",AX484/VLOOKUP($V484,Setup!$C$30:$D$41,2,0),"")</f>
        <v/>
      </c>
      <c r="AZ484" s="268"/>
      <c r="BA484" s="258" t="str">
        <f t="shared" si="234"/>
        <v/>
      </c>
      <c r="BB484" s="268"/>
      <c r="BC484" s="258" t="str">
        <f t="shared" si="235"/>
        <v/>
      </c>
      <c r="BD484" s="268"/>
      <c r="BE484" s="258" t="str">
        <f t="shared" si="236"/>
        <v/>
      </c>
      <c r="BF484" s="268"/>
      <c r="BG484" s="256" t="str">
        <f t="shared" si="237"/>
        <v/>
      </c>
      <c r="BH484" s="256" t="str">
        <f t="shared" si="238"/>
        <v/>
      </c>
      <c r="BI484" s="256" t="str">
        <f t="shared" si="239"/>
        <v/>
      </c>
      <c r="BJ484" s="267"/>
      <c r="BK484" s="255"/>
      <c r="BL484" s="259" t="str">
        <f>IF(BK484&lt;&gt;"",BK484/VLOOKUP($V484,Setup!$C$30:$D$41,2,0),"")</f>
        <v/>
      </c>
      <c r="BM484" s="268"/>
      <c r="BN484" s="258" t="str">
        <f t="shared" si="240"/>
        <v/>
      </c>
      <c r="BO484" s="268"/>
      <c r="BP484" s="258" t="str">
        <f t="shared" si="241"/>
        <v/>
      </c>
      <c r="BQ484" s="268"/>
      <c r="BR484" s="258" t="str">
        <f t="shared" si="242"/>
        <v/>
      </c>
      <c r="BS484" s="268"/>
      <c r="BT484" s="256" t="str">
        <f t="shared" si="243"/>
        <v/>
      </c>
      <c r="BU484" s="256" t="str">
        <f t="shared" si="244"/>
        <v/>
      </c>
      <c r="BV484" s="256" t="str">
        <f t="shared" si="245"/>
        <v/>
      </c>
      <c r="BW484" s="267"/>
      <c r="BX484" s="256" t="str">
        <f t="shared" si="246"/>
        <v/>
      </c>
      <c r="BY484" s="256" t="str">
        <f t="shared" si="247"/>
        <v/>
      </c>
      <c r="BZ484" s="281"/>
      <c r="CA484" s="282"/>
      <c r="CC484" s="112" t="str">
        <f t="shared" ca="1" si="248"/>
        <v/>
      </c>
      <c r="CF484" s="284"/>
      <c r="CG484" s="284"/>
      <c r="CH484" s="284"/>
      <c r="CI484" s="284"/>
      <c r="CL484" s="356" t="str">
        <f>IFERROR(VLOOKUP(C484,'Data Sheet'!$A$3:$B$26,2,FALSE),"")</f>
        <v/>
      </c>
    </row>
    <row r="485" spans="1:90" s="98" customFormat="1" ht="15.75" x14ac:dyDescent="0.2">
      <c r="A485" s="97"/>
      <c r="B485" s="105" t="str">
        <f t="shared" si="251"/>
        <v>--</v>
      </c>
      <c r="C485" s="276"/>
      <c r="D485" s="101" t="str">
        <f>IFERROR(IF(VLOOKUP(C485,'Data Sheet'!$A$3:$D$26,4,FALSE)=0,"",VLOOKUP(C485,'Data Sheet'!$A$3:$D$26,4,FALSE)),"")</f>
        <v/>
      </c>
      <c r="E485" s="279"/>
      <c r="F485" s="103" t="str">
        <f>IFERROR(IF(VLOOKUP(E485,'Data Sheet'!$C$29:$E$174,3,FALSE)=0,"",VLOOKUP(E485,'Data Sheet'!$C$29:$E$174,3,FALSE)),"")</f>
        <v/>
      </c>
      <c r="G485" s="106" t="str">
        <f t="shared" si="249"/>
        <v>-</v>
      </c>
      <c r="H485" s="273"/>
      <c r="I485" s="107"/>
      <c r="J485" s="249" t="e">
        <f t="shared" si="250"/>
        <v>#VALUE!</v>
      </c>
      <c r="K485" s="101" t="str">
        <f>IFERROR(INDEX('Data Sheet'!$C$198:$C$275,MATCH(I485,'Data Sheet'!$F$198:$F$275,0)),"")</f>
        <v/>
      </c>
      <c r="L485" s="250" t="str">
        <f>IFERROR(INDEX('Data Sheet'!$G$198:$G$275,MATCH(I485,'Data Sheet'!$F$198:$F$275,0)),"")</f>
        <v/>
      </c>
      <c r="M485" s="194"/>
      <c r="N485" s="248"/>
      <c r="O485" s="248"/>
      <c r="P485" s="108" t="str">
        <f>IFERROR(INDEX(Setup!$D$44:$D$70,MATCH(M485,Setup!$K$44:$K$70,0))&amp;"","")</f>
        <v/>
      </c>
      <c r="Q485" s="108" t="str">
        <f>IFERROR(INDEX(Setup!$E$44:$E$70,MATCH(M485,Setup!$K$44:$K$70,0))&amp;"","")</f>
        <v/>
      </c>
      <c r="R485" s="108" t="str">
        <f>IFERROR(INDEX(Setup!$L$44:$L$70,MATCH(M485,Setup!$K$44:$K$70,0))&amp;"","")</f>
        <v/>
      </c>
      <c r="S485" s="108" t="str">
        <f>Setup!$C$30</f>
        <v>USD</v>
      </c>
      <c r="T485" s="109" t="str">
        <f>IFERROR(INDEX('Data Sheet'!$B$198:$B$275,MATCH(I485,'Data Sheet'!$F$198:$F$275,0)),"")</f>
        <v/>
      </c>
      <c r="U485" s="110" t="str">
        <f>IFERROR(INDEX('Data Sheet'!$D$198:$D$275,MATCH(I485,'Data Sheet'!$F$198:$F$275,0)),"")</f>
        <v/>
      </c>
      <c r="V485" s="99"/>
      <c r="W485" s="195" t="str">
        <f>IF(V485=Setup!$C$30,"Grant",IF(V485=Setup!$C$31,"Local",IF(V485=Setup!$C$32,"Other",IF(ISBLANK(V485),"","Other"))))</f>
        <v/>
      </c>
      <c r="X485" s="255"/>
      <c r="Y485" s="259" t="str">
        <f>IF(X485&lt;&gt;"",X485/VLOOKUP($V485,Setup!$C$30:$D$41,2,0),"")</f>
        <v/>
      </c>
      <c r="Z485" s="262"/>
      <c r="AA485" s="256" t="str">
        <f t="shared" si="222"/>
        <v/>
      </c>
      <c r="AB485" s="262"/>
      <c r="AC485" s="258" t="str">
        <f t="shared" si="223"/>
        <v/>
      </c>
      <c r="AD485" s="262"/>
      <c r="AE485" s="258" t="str">
        <f t="shared" si="224"/>
        <v/>
      </c>
      <c r="AF485" s="262"/>
      <c r="AG485" s="256" t="str">
        <f t="shared" si="225"/>
        <v/>
      </c>
      <c r="AH485" s="256" t="str">
        <f t="shared" si="226"/>
        <v/>
      </c>
      <c r="AI485" s="256" t="str">
        <f t="shared" si="227"/>
        <v/>
      </c>
      <c r="AJ485" s="111"/>
      <c r="AK485" s="255"/>
      <c r="AL485" s="259" t="str">
        <f>IF(AK485&lt;&gt;"",AK485/VLOOKUP($V485,Setup!$C$30:$D$41,2,0),"")</f>
        <v/>
      </c>
      <c r="AM485" s="266"/>
      <c r="AN485" s="258" t="str">
        <f t="shared" si="228"/>
        <v/>
      </c>
      <c r="AO485" s="266"/>
      <c r="AP485" s="258" t="str">
        <f t="shared" si="229"/>
        <v/>
      </c>
      <c r="AQ485" s="266"/>
      <c r="AR485" s="258" t="str">
        <f t="shared" si="230"/>
        <v/>
      </c>
      <c r="AS485" s="266"/>
      <c r="AT485" s="256" t="str">
        <f t="shared" si="231"/>
        <v/>
      </c>
      <c r="AU485" s="256" t="str">
        <f t="shared" si="232"/>
        <v/>
      </c>
      <c r="AV485" s="256" t="str">
        <f t="shared" si="233"/>
        <v/>
      </c>
      <c r="AW485" s="267"/>
      <c r="AX485" s="255"/>
      <c r="AY485" s="259" t="str">
        <f>IF(AX485&lt;&gt;"",AX485/VLOOKUP($V485,Setup!$C$30:$D$41,2,0),"")</f>
        <v/>
      </c>
      <c r="AZ485" s="268"/>
      <c r="BA485" s="258" t="str">
        <f t="shared" si="234"/>
        <v/>
      </c>
      <c r="BB485" s="268"/>
      <c r="BC485" s="258" t="str">
        <f t="shared" si="235"/>
        <v/>
      </c>
      <c r="BD485" s="268"/>
      <c r="BE485" s="258" t="str">
        <f t="shared" si="236"/>
        <v/>
      </c>
      <c r="BF485" s="268"/>
      <c r="BG485" s="256" t="str">
        <f t="shared" si="237"/>
        <v/>
      </c>
      <c r="BH485" s="256" t="str">
        <f t="shared" si="238"/>
        <v/>
      </c>
      <c r="BI485" s="256" t="str">
        <f t="shared" si="239"/>
        <v/>
      </c>
      <c r="BJ485" s="267"/>
      <c r="BK485" s="255"/>
      <c r="BL485" s="259" t="str">
        <f>IF(BK485&lt;&gt;"",BK485/VLOOKUP($V485,Setup!$C$30:$D$41,2,0),"")</f>
        <v/>
      </c>
      <c r="BM485" s="268"/>
      <c r="BN485" s="258" t="str">
        <f t="shared" si="240"/>
        <v/>
      </c>
      <c r="BO485" s="268"/>
      <c r="BP485" s="258" t="str">
        <f t="shared" si="241"/>
        <v/>
      </c>
      <c r="BQ485" s="268"/>
      <c r="BR485" s="258" t="str">
        <f t="shared" si="242"/>
        <v/>
      </c>
      <c r="BS485" s="268"/>
      <c r="BT485" s="256" t="str">
        <f t="shared" si="243"/>
        <v/>
      </c>
      <c r="BU485" s="256" t="str">
        <f t="shared" si="244"/>
        <v/>
      </c>
      <c r="BV485" s="256" t="str">
        <f t="shared" si="245"/>
        <v/>
      </c>
      <c r="BW485" s="267"/>
      <c r="BX485" s="256" t="str">
        <f t="shared" si="246"/>
        <v/>
      </c>
      <c r="BY485" s="256" t="str">
        <f t="shared" si="247"/>
        <v/>
      </c>
      <c r="BZ485" s="281"/>
      <c r="CA485" s="282"/>
      <c r="CC485" s="112" t="str">
        <f t="shared" ca="1" si="248"/>
        <v/>
      </c>
      <c r="CF485" s="284"/>
      <c r="CG485" s="284"/>
      <c r="CH485" s="284"/>
      <c r="CI485" s="284"/>
      <c r="CL485" s="356" t="str">
        <f>IFERROR(VLOOKUP(C485,'Data Sheet'!$A$3:$B$26,2,FALSE),"")</f>
        <v/>
      </c>
    </row>
    <row r="486" spans="1:90" s="98" customFormat="1" ht="15.75" x14ac:dyDescent="0.2">
      <c r="A486" s="97"/>
      <c r="B486" s="105" t="str">
        <f t="shared" si="251"/>
        <v>--</v>
      </c>
      <c r="C486" s="276"/>
      <c r="D486" s="101" t="str">
        <f>IFERROR(IF(VLOOKUP(C486,'Data Sheet'!$A$3:$D$26,4,FALSE)=0,"",VLOOKUP(C486,'Data Sheet'!$A$3:$D$26,4,FALSE)),"")</f>
        <v/>
      </c>
      <c r="E486" s="279"/>
      <c r="F486" s="103" t="str">
        <f>IFERROR(IF(VLOOKUP(E486,'Data Sheet'!$C$29:$E$174,3,FALSE)=0,"",VLOOKUP(E486,'Data Sheet'!$C$29:$E$174,3,FALSE)),"")</f>
        <v/>
      </c>
      <c r="G486" s="106" t="str">
        <f t="shared" si="249"/>
        <v>-</v>
      </c>
      <c r="H486" s="273"/>
      <c r="I486" s="107"/>
      <c r="J486" s="249" t="e">
        <f t="shared" si="250"/>
        <v>#VALUE!</v>
      </c>
      <c r="K486" s="101" t="str">
        <f>IFERROR(INDEX('Data Sheet'!$C$198:$C$275,MATCH(I486,'Data Sheet'!$F$198:$F$275,0)),"")</f>
        <v/>
      </c>
      <c r="L486" s="250" t="str">
        <f>IFERROR(INDEX('Data Sheet'!$G$198:$G$275,MATCH(I486,'Data Sheet'!$F$198:$F$275,0)),"")</f>
        <v/>
      </c>
      <c r="M486" s="194"/>
      <c r="N486" s="248"/>
      <c r="O486" s="248"/>
      <c r="P486" s="108" t="str">
        <f>IFERROR(INDEX(Setup!$D$44:$D$70,MATCH(M486,Setup!$K$44:$K$70,0))&amp;"","")</f>
        <v/>
      </c>
      <c r="Q486" s="108" t="str">
        <f>IFERROR(INDEX(Setup!$E$44:$E$70,MATCH(M486,Setup!$K$44:$K$70,0))&amp;"","")</f>
        <v/>
      </c>
      <c r="R486" s="108" t="str">
        <f>IFERROR(INDEX(Setup!$L$44:$L$70,MATCH(M486,Setup!$K$44:$K$70,0))&amp;"","")</f>
        <v/>
      </c>
      <c r="S486" s="108" t="str">
        <f>Setup!$C$30</f>
        <v>USD</v>
      </c>
      <c r="T486" s="109" t="str">
        <f>IFERROR(INDEX('Data Sheet'!$B$198:$B$275,MATCH(I486,'Data Sheet'!$F$198:$F$275,0)),"")</f>
        <v/>
      </c>
      <c r="U486" s="110" t="str">
        <f>IFERROR(INDEX('Data Sheet'!$D$198:$D$275,MATCH(I486,'Data Sheet'!$F$198:$F$275,0)),"")</f>
        <v/>
      </c>
      <c r="V486" s="99"/>
      <c r="W486" s="195" t="str">
        <f>IF(V486=Setup!$C$30,"Grant",IF(V486=Setup!$C$31,"Local",IF(V486=Setup!$C$32,"Other",IF(ISBLANK(V486),"","Other"))))</f>
        <v/>
      </c>
      <c r="X486" s="255"/>
      <c r="Y486" s="259" t="str">
        <f>IF(X486&lt;&gt;"",X486/VLOOKUP($V486,Setup!$C$30:$D$41,2,0),"")</f>
        <v/>
      </c>
      <c r="Z486" s="262"/>
      <c r="AA486" s="256" t="str">
        <f t="shared" si="222"/>
        <v/>
      </c>
      <c r="AB486" s="262"/>
      <c r="AC486" s="258" t="str">
        <f t="shared" si="223"/>
        <v/>
      </c>
      <c r="AD486" s="262"/>
      <c r="AE486" s="258" t="str">
        <f t="shared" si="224"/>
        <v/>
      </c>
      <c r="AF486" s="262"/>
      <c r="AG486" s="256" t="str">
        <f t="shared" si="225"/>
        <v/>
      </c>
      <c r="AH486" s="256" t="str">
        <f t="shared" si="226"/>
        <v/>
      </c>
      <c r="AI486" s="256" t="str">
        <f t="shared" si="227"/>
        <v/>
      </c>
      <c r="AJ486" s="111"/>
      <c r="AK486" s="255"/>
      <c r="AL486" s="259" t="str">
        <f>IF(AK486&lt;&gt;"",AK486/VLOOKUP($V486,Setup!$C$30:$D$41,2,0),"")</f>
        <v/>
      </c>
      <c r="AM486" s="266"/>
      <c r="AN486" s="258" t="str">
        <f t="shared" si="228"/>
        <v/>
      </c>
      <c r="AO486" s="266"/>
      <c r="AP486" s="258" t="str">
        <f t="shared" si="229"/>
        <v/>
      </c>
      <c r="AQ486" s="266"/>
      <c r="AR486" s="258" t="str">
        <f t="shared" si="230"/>
        <v/>
      </c>
      <c r="AS486" s="266"/>
      <c r="AT486" s="256" t="str">
        <f t="shared" si="231"/>
        <v/>
      </c>
      <c r="AU486" s="256" t="str">
        <f t="shared" si="232"/>
        <v/>
      </c>
      <c r="AV486" s="256" t="str">
        <f t="shared" si="233"/>
        <v/>
      </c>
      <c r="AW486" s="267"/>
      <c r="AX486" s="255"/>
      <c r="AY486" s="259" t="str">
        <f>IF(AX486&lt;&gt;"",AX486/VLOOKUP($V486,Setup!$C$30:$D$41,2,0),"")</f>
        <v/>
      </c>
      <c r="AZ486" s="268"/>
      <c r="BA486" s="258" t="str">
        <f t="shared" si="234"/>
        <v/>
      </c>
      <c r="BB486" s="268"/>
      <c r="BC486" s="258" t="str">
        <f t="shared" si="235"/>
        <v/>
      </c>
      <c r="BD486" s="268"/>
      <c r="BE486" s="258" t="str">
        <f t="shared" si="236"/>
        <v/>
      </c>
      <c r="BF486" s="268"/>
      <c r="BG486" s="256" t="str">
        <f t="shared" si="237"/>
        <v/>
      </c>
      <c r="BH486" s="256" t="str">
        <f t="shared" si="238"/>
        <v/>
      </c>
      <c r="BI486" s="256" t="str">
        <f t="shared" si="239"/>
        <v/>
      </c>
      <c r="BJ486" s="267"/>
      <c r="BK486" s="255"/>
      <c r="BL486" s="259" t="str">
        <f>IF(BK486&lt;&gt;"",BK486/VLOOKUP($V486,Setup!$C$30:$D$41,2,0),"")</f>
        <v/>
      </c>
      <c r="BM486" s="268"/>
      <c r="BN486" s="258" t="str">
        <f t="shared" si="240"/>
        <v/>
      </c>
      <c r="BO486" s="268"/>
      <c r="BP486" s="258" t="str">
        <f t="shared" si="241"/>
        <v/>
      </c>
      <c r="BQ486" s="268"/>
      <c r="BR486" s="258" t="str">
        <f t="shared" si="242"/>
        <v/>
      </c>
      <c r="BS486" s="268"/>
      <c r="BT486" s="256" t="str">
        <f t="shared" si="243"/>
        <v/>
      </c>
      <c r="BU486" s="256" t="str">
        <f t="shared" si="244"/>
        <v/>
      </c>
      <c r="BV486" s="256" t="str">
        <f t="shared" si="245"/>
        <v/>
      </c>
      <c r="BW486" s="267"/>
      <c r="BX486" s="256" t="str">
        <f t="shared" si="246"/>
        <v/>
      </c>
      <c r="BY486" s="256" t="str">
        <f t="shared" si="247"/>
        <v/>
      </c>
      <c r="BZ486" s="281"/>
      <c r="CA486" s="282"/>
      <c r="CC486" s="112" t="str">
        <f t="shared" ca="1" si="248"/>
        <v/>
      </c>
      <c r="CF486" s="284"/>
      <c r="CG486" s="284"/>
      <c r="CH486" s="284"/>
      <c r="CI486" s="284"/>
      <c r="CL486" s="356" t="str">
        <f>IFERROR(VLOOKUP(C486,'Data Sheet'!$A$3:$B$26,2,FALSE),"")</f>
        <v/>
      </c>
    </row>
    <row r="487" spans="1:90" s="98" customFormat="1" ht="15.75" x14ac:dyDescent="0.2">
      <c r="A487" s="97"/>
      <c r="B487" s="105" t="str">
        <f t="shared" si="251"/>
        <v>--</v>
      </c>
      <c r="C487" s="276"/>
      <c r="D487" s="101" t="str">
        <f>IFERROR(IF(VLOOKUP(C487,'Data Sheet'!$A$3:$D$26,4,FALSE)=0,"",VLOOKUP(C487,'Data Sheet'!$A$3:$D$26,4,FALSE)),"")</f>
        <v/>
      </c>
      <c r="E487" s="279"/>
      <c r="F487" s="103" t="str">
        <f>IFERROR(IF(VLOOKUP(E487,'Data Sheet'!$C$29:$E$174,3,FALSE)=0,"",VLOOKUP(E487,'Data Sheet'!$C$29:$E$174,3,FALSE)),"")</f>
        <v/>
      </c>
      <c r="G487" s="106" t="str">
        <f t="shared" si="249"/>
        <v>-</v>
      </c>
      <c r="H487" s="273"/>
      <c r="I487" s="107"/>
      <c r="J487" s="249" t="e">
        <f t="shared" si="250"/>
        <v>#VALUE!</v>
      </c>
      <c r="K487" s="101" t="str">
        <f>IFERROR(INDEX('Data Sheet'!$C$198:$C$275,MATCH(I487,'Data Sheet'!$F$198:$F$275,0)),"")</f>
        <v/>
      </c>
      <c r="L487" s="250" t="str">
        <f>IFERROR(INDEX('Data Sheet'!$G$198:$G$275,MATCH(I487,'Data Sheet'!$F$198:$F$275,0)),"")</f>
        <v/>
      </c>
      <c r="M487" s="194"/>
      <c r="N487" s="248"/>
      <c r="O487" s="248"/>
      <c r="P487" s="108" t="str">
        <f>IFERROR(INDEX(Setup!$D$44:$D$70,MATCH(M487,Setup!$K$44:$K$70,0))&amp;"","")</f>
        <v/>
      </c>
      <c r="Q487" s="108" t="str">
        <f>IFERROR(INDEX(Setup!$E$44:$E$70,MATCH(M487,Setup!$K$44:$K$70,0))&amp;"","")</f>
        <v/>
      </c>
      <c r="R487" s="108" t="str">
        <f>IFERROR(INDEX(Setup!$L$44:$L$70,MATCH(M487,Setup!$K$44:$K$70,0))&amp;"","")</f>
        <v/>
      </c>
      <c r="S487" s="108" t="str">
        <f>Setup!$C$30</f>
        <v>USD</v>
      </c>
      <c r="T487" s="109" t="str">
        <f>IFERROR(INDEX('Data Sheet'!$B$198:$B$275,MATCH(I487,'Data Sheet'!$F$198:$F$275,0)),"")</f>
        <v/>
      </c>
      <c r="U487" s="110" t="str">
        <f>IFERROR(INDEX('Data Sheet'!$D$198:$D$275,MATCH(I487,'Data Sheet'!$F$198:$F$275,0)),"")</f>
        <v/>
      </c>
      <c r="V487" s="99"/>
      <c r="W487" s="195" t="str">
        <f>IF(V487=Setup!$C$30,"Grant",IF(V487=Setup!$C$31,"Local",IF(V487=Setup!$C$32,"Other",IF(ISBLANK(V487),"","Other"))))</f>
        <v/>
      </c>
      <c r="X487" s="255"/>
      <c r="Y487" s="259" t="str">
        <f>IF(X487&lt;&gt;"",X487/VLOOKUP($V487,Setup!$C$30:$D$41,2,0),"")</f>
        <v/>
      </c>
      <c r="Z487" s="262"/>
      <c r="AA487" s="256" t="str">
        <f t="shared" si="222"/>
        <v/>
      </c>
      <c r="AB487" s="262"/>
      <c r="AC487" s="258" t="str">
        <f t="shared" si="223"/>
        <v/>
      </c>
      <c r="AD487" s="262"/>
      <c r="AE487" s="258" t="str">
        <f t="shared" si="224"/>
        <v/>
      </c>
      <c r="AF487" s="262"/>
      <c r="AG487" s="256" t="str">
        <f t="shared" si="225"/>
        <v/>
      </c>
      <c r="AH487" s="256" t="str">
        <f t="shared" si="226"/>
        <v/>
      </c>
      <c r="AI487" s="256" t="str">
        <f t="shared" si="227"/>
        <v/>
      </c>
      <c r="AJ487" s="111"/>
      <c r="AK487" s="255"/>
      <c r="AL487" s="259" t="str">
        <f>IF(AK487&lt;&gt;"",AK487/VLOOKUP($V487,Setup!$C$30:$D$41,2,0),"")</f>
        <v/>
      </c>
      <c r="AM487" s="266"/>
      <c r="AN487" s="258" t="str">
        <f t="shared" si="228"/>
        <v/>
      </c>
      <c r="AO487" s="266"/>
      <c r="AP487" s="258" t="str">
        <f t="shared" si="229"/>
        <v/>
      </c>
      <c r="AQ487" s="266"/>
      <c r="AR487" s="258" t="str">
        <f t="shared" si="230"/>
        <v/>
      </c>
      <c r="AS487" s="266"/>
      <c r="AT487" s="256" t="str">
        <f t="shared" si="231"/>
        <v/>
      </c>
      <c r="AU487" s="256" t="str">
        <f t="shared" si="232"/>
        <v/>
      </c>
      <c r="AV487" s="256" t="str">
        <f t="shared" si="233"/>
        <v/>
      </c>
      <c r="AW487" s="267"/>
      <c r="AX487" s="255"/>
      <c r="AY487" s="259" t="str">
        <f>IF(AX487&lt;&gt;"",AX487/VLOOKUP($V487,Setup!$C$30:$D$41,2,0),"")</f>
        <v/>
      </c>
      <c r="AZ487" s="268"/>
      <c r="BA487" s="258" t="str">
        <f t="shared" si="234"/>
        <v/>
      </c>
      <c r="BB487" s="268"/>
      <c r="BC487" s="258" t="str">
        <f t="shared" si="235"/>
        <v/>
      </c>
      <c r="BD487" s="268"/>
      <c r="BE487" s="258" t="str">
        <f t="shared" si="236"/>
        <v/>
      </c>
      <c r="BF487" s="268"/>
      <c r="BG487" s="256" t="str">
        <f t="shared" si="237"/>
        <v/>
      </c>
      <c r="BH487" s="256" t="str">
        <f t="shared" si="238"/>
        <v/>
      </c>
      <c r="BI487" s="256" t="str">
        <f t="shared" si="239"/>
        <v/>
      </c>
      <c r="BJ487" s="267"/>
      <c r="BK487" s="255"/>
      <c r="BL487" s="259" t="str">
        <f>IF(BK487&lt;&gt;"",BK487/VLOOKUP($V487,Setup!$C$30:$D$41,2,0),"")</f>
        <v/>
      </c>
      <c r="BM487" s="268"/>
      <c r="BN487" s="258" t="str">
        <f t="shared" si="240"/>
        <v/>
      </c>
      <c r="BO487" s="268"/>
      <c r="BP487" s="258" t="str">
        <f t="shared" si="241"/>
        <v/>
      </c>
      <c r="BQ487" s="268"/>
      <c r="BR487" s="258" t="str">
        <f t="shared" si="242"/>
        <v/>
      </c>
      <c r="BS487" s="268"/>
      <c r="BT487" s="256" t="str">
        <f t="shared" si="243"/>
        <v/>
      </c>
      <c r="BU487" s="256" t="str">
        <f t="shared" si="244"/>
        <v/>
      </c>
      <c r="BV487" s="256" t="str">
        <f t="shared" si="245"/>
        <v/>
      </c>
      <c r="BW487" s="267"/>
      <c r="BX487" s="256" t="str">
        <f t="shared" si="246"/>
        <v/>
      </c>
      <c r="BY487" s="256" t="str">
        <f t="shared" si="247"/>
        <v/>
      </c>
      <c r="BZ487" s="281"/>
      <c r="CA487" s="282"/>
      <c r="CC487" s="112" t="str">
        <f t="shared" ca="1" si="248"/>
        <v/>
      </c>
      <c r="CF487" s="284"/>
      <c r="CG487" s="284"/>
      <c r="CH487" s="284"/>
      <c r="CI487" s="284"/>
      <c r="CL487" s="356" t="str">
        <f>IFERROR(VLOOKUP(C487,'Data Sheet'!$A$3:$B$26,2,FALSE),"")</f>
        <v/>
      </c>
    </row>
    <row r="488" spans="1:90" s="98" customFormat="1" ht="15.75" x14ac:dyDescent="0.2">
      <c r="A488" s="97"/>
      <c r="B488" s="105" t="str">
        <f t="shared" si="251"/>
        <v>--</v>
      </c>
      <c r="C488" s="276"/>
      <c r="D488" s="101" t="str">
        <f>IFERROR(IF(VLOOKUP(C488,'Data Sheet'!$A$3:$D$26,4,FALSE)=0,"",VLOOKUP(C488,'Data Sheet'!$A$3:$D$26,4,FALSE)),"")</f>
        <v/>
      </c>
      <c r="E488" s="279"/>
      <c r="F488" s="103" t="str">
        <f>IFERROR(IF(VLOOKUP(E488,'Data Sheet'!$C$29:$E$174,3,FALSE)=0,"",VLOOKUP(E488,'Data Sheet'!$C$29:$E$174,3,FALSE)),"")</f>
        <v/>
      </c>
      <c r="G488" s="106" t="str">
        <f t="shared" si="249"/>
        <v>-</v>
      </c>
      <c r="H488" s="273"/>
      <c r="I488" s="107"/>
      <c r="J488" s="249" t="e">
        <f t="shared" si="250"/>
        <v>#VALUE!</v>
      </c>
      <c r="K488" s="101" t="str">
        <f>IFERROR(INDEX('Data Sheet'!$C$198:$C$275,MATCH(I488,'Data Sheet'!$F$198:$F$275,0)),"")</f>
        <v/>
      </c>
      <c r="L488" s="250" t="str">
        <f>IFERROR(INDEX('Data Sheet'!$G$198:$G$275,MATCH(I488,'Data Sheet'!$F$198:$F$275,0)),"")</f>
        <v/>
      </c>
      <c r="M488" s="194"/>
      <c r="N488" s="248"/>
      <c r="O488" s="248"/>
      <c r="P488" s="108" t="str">
        <f>IFERROR(INDEX(Setup!$D$44:$D$70,MATCH(M488,Setup!$K$44:$K$70,0))&amp;"","")</f>
        <v/>
      </c>
      <c r="Q488" s="108" t="str">
        <f>IFERROR(INDEX(Setup!$E$44:$E$70,MATCH(M488,Setup!$K$44:$K$70,0))&amp;"","")</f>
        <v/>
      </c>
      <c r="R488" s="108" t="str">
        <f>IFERROR(INDEX(Setup!$L$44:$L$70,MATCH(M488,Setup!$K$44:$K$70,0))&amp;"","")</f>
        <v/>
      </c>
      <c r="S488" s="108" t="str">
        <f>Setup!$C$30</f>
        <v>USD</v>
      </c>
      <c r="T488" s="109" t="str">
        <f>IFERROR(INDEX('Data Sheet'!$B$198:$B$275,MATCH(I488,'Data Sheet'!$F$198:$F$275,0)),"")</f>
        <v/>
      </c>
      <c r="U488" s="110" t="str">
        <f>IFERROR(INDEX('Data Sheet'!$D$198:$D$275,MATCH(I488,'Data Sheet'!$F$198:$F$275,0)),"")</f>
        <v/>
      </c>
      <c r="V488" s="99"/>
      <c r="W488" s="195" t="str">
        <f>IF(V488=Setup!$C$30,"Grant",IF(V488=Setup!$C$31,"Local",IF(V488=Setup!$C$32,"Other",IF(ISBLANK(V488),"","Other"))))</f>
        <v/>
      </c>
      <c r="X488" s="255"/>
      <c r="Y488" s="259" t="str">
        <f>IF(X488&lt;&gt;"",X488/VLOOKUP($V488,Setup!$C$30:$D$41,2,0),"")</f>
        <v/>
      </c>
      <c r="Z488" s="262"/>
      <c r="AA488" s="256" t="str">
        <f t="shared" si="222"/>
        <v/>
      </c>
      <c r="AB488" s="262"/>
      <c r="AC488" s="258" t="str">
        <f t="shared" si="223"/>
        <v/>
      </c>
      <c r="AD488" s="262"/>
      <c r="AE488" s="258" t="str">
        <f t="shared" si="224"/>
        <v/>
      </c>
      <c r="AF488" s="262"/>
      <c r="AG488" s="256" t="str">
        <f t="shared" si="225"/>
        <v/>
      </c>
      <c r="AH488" s="256" t="str">
        <f t="shared" si="226"/>
        <v/>
      </c>
      <c r="AI488" s="256" t="str">
        <f t="shared" si="227"/>
        <v/>
      </c>
      <c r="AJ488" s="111"/>
      <c r="AK488" s="255"/>
      <c r="AL488" s="259" t="str">
        <f>IF(AK488&lt;&gt;"",AK488/VLOOKUP($V488,Setup!$C$30:$D$41,2,0),"")</f>
        <v/>
      </c>
      <c r="AM488" s="266"/>
      <c r="AN488" s="258" t="str">
        <f t="shared" si="228"/>
        <v/>
      </c>
      <c r="AO488" s="266"/>
      <c r="AP488" s="258" t="str">
        <f t="shared" si="229"/>
        <v/>
      </c>
      <c r="AQ488" s="266"/>
      <c r="AR488" s="258" t="str">
        <f t="shared" si="230"/>
        <v/>
      </c>
      <c r="AS488" s="266"/>
      <c r="AT488" s="256" t="str">
        <f t="shared" si="231"/>
        <v/>
      </c>
      <c r="AU488" s="256" t="str">
        <f t="shared" si="232"/>
        <v/>
      </c>
      <c r="AV488" s="256" t="str">
        <f t="shared" si="233"/>
        <v/>
      </c>
      <c r="AW488" s="267"/>
      <c r="AX488" s="255"/>
      <c r="AY488" s="259" t="str">
        <f>IF(AX488&lt;&gt;"",AX488/VLOOKUP($V488,Setup!$C$30:$D$41,2,0),"")</f>
        <v/>
      </c>
      <c r="AZ488" s="268"/>
      <c r="BA488" s="258" t="str">
        <f t="shared" si="234"/>
        <v/>
      </c>
      <c r="BB488" s="268"/>
      <c r="BC488" s="258" t="str">
        <f t="shared" si="235"/>
        <v/>
      </c>
      <c r="BD488" s="268"/>
      <c r="BE488" s="258" t="str">
        <f t="shared" si="236"/>
        <v/>
      </c>
      <c r="BF488" s="268"/>
      <c r="BG488" s="256" t="str">
        <f t="shared" si="237"/>
        <v/>
      </c>
      <c r="BH488" s="256" t="str">
        <f t="shared" si="238"/>
        <v/>
      </c>
      <c r="BI488" s="256" t="str">
        <f t="shared" si="239"/>
        <v/>
      </c>
      <c r="BJ488" s="267"/>
      <c r="BK488" s="255"/>
      <c r="BL488" s="259" t="str">
        <f>IF(BK488&lt;&gt;"",BK488/VLOOKUP($V488,Setup!$C$30:$D$41,2,0),"")</f>
        <v/>
      </c>
      <c r="BM488" s="268"/>
      <c r="BN488" s="258" t="str">
        <f t="shared" si="240"/>
        <v/>
      </c>
      <c r="BO488" s="268"/>
      <c r="BP488" s="258" t="str">
        <f t="shared" si="241"/>
        <v/>
      </c>
      <c r="BQ488" s="268"/>
      <c r="BR488" s="258" t="str">
        <f t="shared" si="242"/>
        <v/>
      </c>
      <c r="BS488" s="268"/>
      <c r="BT488" s="256" t="str">
        <f t="shared" si="243"/>
        <v/>
      </c>
      <c r="BU488" s="256" t="str">
        <f t="shared" si="244"/>
        <v/>
      </c>
      <c r="BV488" s="256" t="str">
        <f t="shared" si="245"/>
        <v/>
      </c>
      <c r="BW488" s="267"/>
      <c r="BX488" s="256" t="str">
        <f t="shared" si="246"/>
        <v/>
      </c>
      <c r="BY488" s="256" t="str">
        <f t="shared" si="247"/>
        <v/>
      </c>
      <c r="BZ488" s="281"/>
      <c r="CA488" s="282"/>
      <c r="CC488" s="112" t="str">
        <f t="shared" ca="1" si="248"/>
        <v/>
      </c>
      <c r="CF488" s="284"/>
      <c r="CG488" s="284"/>
      <c r="CH488" s="284"/>
      <c r="CI488" s="284"/>
      <c r="CL488" s="356" t="str">
        <f>IFERROR(VLOOKUP(C488,'Data Sheet'!$A$3:$B$26,2,FALSE),"")</f>
        <v/>
      </c>
    </row>
    <row r="489" spans="1:90" s="98" customFormat="1" ht="15.75" x14ac:dyDescent="0.2">
      <c r="A489" s="97"/>
      <c r="B489" s="105" t="str">
        <f t="shared" si="251"/>
        <v>--</v>
      </c>
      <c r="C489" s="276"/>
      <c r="D489" s="101" t="str">
        <f>IFERROR(IF(VLOOKUP(C489,'Data Sheet'!$A$3:$D$26,4,FALSE)=0,"",VLOOKUP(C489,'Data Sheet'!$A$3:$D$26,4,FALSE)),"")</f>
        <v/>
      </c>
      <c r="E489" s="279"/>
      <c r="F489" s="103" t="str">
        <f>IFERROR(IF(VLOOKUP(E489,'Data Sheet'!$C$29:$E$174,3,FALSE)=0,"",VLOOKUP(E489,'Data Sheet'!$C$29:$E$174,3,FALSE)),"")</f>
        <v/>
      </c>
      <c r="G489" s="106" t="str">
        <f t="shared" si="249"/>
        <v>-</v>
      </c>
      <c r="H489" s="273"/>
      <c r="I489" s="107"/>
      <c r="J489" s="249" t="e">
        <f t="shared" si="250"/>
        <v>#VALUE!</v>
      </c>
      <c r="K489" s="101" t="str">
        <f>IFERROR(INDEX('Data Sheet'!$C$198:$C$275,MATCH(I489,'Data Sheet'!$F$198:$F$275,0)),"")</f>
        <v/>
      </c>
      <c r="L489" s="250" t="str">
        <f>IFERROR(INDEX('Data Sheet'!$G$198:$G$275,MATCH(I489,'Data Sheet'!$F$198:$F$275,0)),"")</f>
        <v/>
      </c>
      <c r="M489" s="194"/>
      <c r="N489" s="248"/>
      <c r="O489" s="248"/>
      <c r="P489" s="108" t="str">
        <f>IFERROR(INDEX(Setup!$D$44:$D$70,MATCH(M489,Setup!$K$44:$K$70,0))&amp;"","")</f>
        <v/>
      </c>
      <c r="Q489" s="108" t="str">
        <f>IFERROR(INDEX(Setup!$E$44:$E$70,MATCH(M489,Setup!$K$44:$K$70,0))&amp;"","")</f>
        <v/>
      </c>
      <c r="R489" s="108" t="str">
        <f>IFERROR(INDEX(Setup!$L$44:$L$70,MATCH(M489,Setup!$K$44:$K$70,0))&amp;"","")</f>
        <v/>
      </c>
      <c r="S489" s="108" t="str">
        <f>Setup!$C$30</f>
        <v>USD</v>
      </c>
      <c r="T489" s="109" t="str">
        <f>IFERROR(INDEX('Data Sheet'!$B$198:$B$275,MATCH(I489,'Data Sheet'!$F$198:$F$275,0)),"")</f>
        <v/>
      </c>
      <c r="U489" s="110" t="str">
        <f>IFERROR(INDEX('Data Sheet'!$D$198:$D$275,MATCH(I489,'Data Sheet'!$F$198:$F$275,0)),"")</f>
        <v/>
      </c>
      <c r="V489" s="99"/>
      <c r="W489" s="195" t="str">
        <f>IF(V489=Setup!$C$30,"Grant",IF(V489=Setup!$C$31,"Local",IF(V489=Setup!$C$32,"Other",IF(ISBLANK(V489),"","Other"))))</f>
        <v/>
      </c>
      <c r="X489" s="255"/>
      <c r="Y489" s="259" t="str">
        <f>IF(X489&lt;&gt;"",X489/VLOOKUP($V489,Setup!$C$30:$D$41,2,0),"")</f>
        <v/>
      </c>
      <c r="Z489" s="262"/>
      <c r="AA489" s="256" t="str">
        <f t="shared" si="222"/>
        <v/>
      </c>
      <c r="AB489" s="262"/>
      <c r="AC489" s="258" t="str">
        <f t="shared" si="223"/>
        <v/>
      </c>
      <c r="AD489" s="262"/>
      <c r="AE489" s="258" t="str">
        <f t="shared" si="224"/>
        <v/>
      </c>
      <c r="AF489" s="262"/>
      <c r="AG489" s="256" t="str">
        <f t="shared" si="225"/>
        <v/>
      </c>
      <c r="AH489" s="256" t="str">
        <f t="shared" si="226"/>
        <v/>
      </c>
      <c r="AI489" s="256" t="str">
        <f t="shared" si="227"/>
        <v/>
      </c>
      <c r="AJ489" s="111"/>
      <c r="AK489" s="255"/>
      <c r="AL489" s="259" t="str">
        <f>IF(AK489&lt;&gt;"",AK489/VLOOKUP($V489,Setup!$C$30:$D$41,2,0),"")</f>
        <v/>
      </c>
      <c r="AM489" s="266"/>
      <c r="AN489" s="258" t="str">
        <f t="shared" si="228"/>
        <v/>
      </c>
      <c r="AO489" s="266"/>
      <c r="AP489" s="258" t="str">
        <f t="shared" si="229"/>
        <v/>
      </c>
      <c r="AQ489" s="266"/>
      <c r="AR489" s="258" t="str">
        <f t="shared" si="230"/>
        <v/>
      </c>
      <c r="AS489" s="266"/>
      <c r="AT489" s="256" t="str">
        <f t="shared" si="231"/>
        <v/>
      </c>
      <c r="AU489" s="256" t="str">
        <f t="shared" si="232"/>
        <v/>
      </c>
      <c r="AV489" s="256" t="str">
        <f t="shared" si="233"/>
        <v/>
      </c>
      <c r="AW489" s="267"/>
      <c r="AX489" s="255"/>
      <c r="AY489" s="259" t="str">
        <f>IF(AX489&lt;&gt;"",AX489/VLOOKUP($V489,Setup!$C$30:$D$41,2,0),"")</f>
        <v/>
      </c>
      <c r="AZ489" s="268"/>
      <c r="BA489" s="258" t="str">
        <f t="shared" si="234"/>
        <v/>
      </c>
      <c r="BB489" s="268"/>
      <c r="BC489" s="258" t="str">
        <f t="shared" si="235"/>
        <v/>
      </c>
      <c r="BD489" s="268"/>
      <c r="BE489" s="258" t="str">
        <f t="shared" si="236"/>
        <v/>
      </c>
      <c r="BF489" s="268"/>
      <c r="BG489" s="256" t="str">
        <f t="shared" si="237"/>
        <v/>
      </c>
      <c r="BH489" s="256" t="str">
        <f t="shared" si="238"/>
        <v/>
      </c>
      <c r="BI489" s="256" t="str">
        <f t="shared" si="239"/>
        <v/>
      </c>
      <c r="BJ489" s="267"/>
      <c r="BK489" s="255"/>
      <c r="BL489" s="259" t="str">
        <f>IF(BK489&lt;&gt;"",BK489/VLOOKUP($V489,Setup!$C$30:$D$41,2,0),"")</f>
        <v/>
      </c>
      <c r="BM489" s="268"/>
      <c r="BN489" s="258" t="str">
        <f t="shared" si="240"/>
        <v/>
      </c>
      <c r="BO489" s="268"/>
      <c r="BP489" s="258" t="str">
        <f t="shared" si="241"/>
        <v/>
      </c>
      <c r="BQ489" s="268"/>
      <c r="BR489" s="258" t="str">
        <f t="shared" si="242"/>
        <v/>
      </c>
      <c r="BS489" s="268"/>
      <c r="BT489" s="256" t="str">
        <f t="shared" si="243"/>
        <v/>
      </c>
      <c r="BU489" s="256" t="str">
        <f t="shared" si="244"/>
        <v/>
      </c>
      <c r="BV489" s="256" t="str">
        <f t="shared" si="245"/>
        <v/>
      </c>
      <c r="BW489" s="267"/>
      <c r="BX489" s="256" t="str">
        <f t="shared" si="246"/>
        <v/>
      </c>
      <c r="BY489" s="256" t="str">
        <f t="shared" si="247"/>
        <v/>
      </c>
      <c r="BZ489" s="281"/>
      <c r="CA489" s="282"/>
      <c r="CC489" s="112" t="str">
        <f t="shared" ca="1" si="248"/>
        <v/>
      </c>
      <c r="CF489" s="284"/>
      <c r="CG489" s="284"/>
      <c r="CH489" s="284"/>
      <c r="CI489" s="284"/>
      <c r="CL489" s="356" t="str">
        <f>IFERROR(VLOOKUP(C489,'Data Sheet'!$A$3:$B$26,2,FALSE),"")</f>
        <v/>
      </c>
    </row>
    <row r="490" spans="1:90" s="98" customFormat="1" ht="15.75" x14ac:dyDescent="0.2">
      <c r="A490" s="97"/>
      <c r="B490" s="105" t="str">
        <f t="shared" si="251"/>
        <v>--</v>
      </c>
      <c r="C490" s="276"/>
      <c r="D490" s="101" t="str">
        <f>IFERROR(IF(VLOOKUP(C490,'Data Sheet'!$A$3:$D$26,4,FALSE)=0,"",VLOOKUP(C490,'Data Sheet'!$A$3:$D$26,4,FALSE)),"")</f>
        <v/>
      </c>
      <c r="E490" s="279"/>
      <c r="F490" s="103" t="str">
        <f>IFERROR(IF(VLOOKUP(E490,'Data Sheet'!$C$29:$E$174,3,FALSE)=0,"",VLOOKUP(E490,'Data Sheet'!$C$29:$E$174,3,FALSE)),"")</f>
        <v/>
      </c>
      <c r="G490" s="106" t="str">
        <f t="shared" si="249"/>
        <v>-</v>
      </c>
      <c r="H490" s="273"/>
      <c r="I490" s="107"/>
      <c r="J490" s="249" t="e">
        <f t="shared" si="250"/>
        <v>#VALUE!</v>
      </c>
      <c r="K490" s="101" t="str">
        <f>IFERROR(INDEX('Data Sheet'!$C$198:$C$275,MATCH(I490,'Data Sheet'!$F$198:$F$275,0)),"")</f>
        <v/>
      </c>
      <c r="L490" s="250" t="str">
        <f>IFERROR(INDEX('Data Sheet'!$G$198:$G$275,MATCH(I490,'Data Sheet'!$F$198:$F$275,0)),"")</f>
        <v/>
      </c>
      <c r="M490" s="194"/>
      <c r="N490" s="248"/>
      <c r="O490" s="248"/>
      <c r="P490" s="108" t="str">
        <f>IFERROR(INDEX(Setup!$D$44:$D$70,MATCH(M490,Setup!$K$44:$K$70,0))&amp;"","")</f>
        <v/>
      </c>
      <c r="Q490" s="108" t="str">
        <f>IFERROR(INDEX(Setup!$E$44:$E$70,MATCH(M490,Setup!$K$44:$K$70,0))&amp;"","")</f>
        <v/>
      </c>
      <c r="R490" s="108" t="str">
        <f>IFERROR(INDEX(Setup!$L$44:$L$70,MATCH(M490,Setup!$K$44:$K$70,0))&amp;"","")</f>
        <v/>
      </c>
      <c r="S490" s="108" t="str">
        <f>Setup!$C$30</f>
        <v>USD</v>
      </c>
      <c r="T490" s="109" t="str">
        <f>IFERROR(INDEX('Data Sheet'!$B$198:$B$275,MATCH(I490,'Data Sheet'!$F$198:$F$275,0)),"")</f>
        <v/>
      </c>
      <c r="U490" s="110" t="str">
        <f>IFERROR(INDEX('Data Sheet'!$D$198:$D$275,MATCH(I490,'Data Sheet'!$F$198:$F$275,0)),"")</f>
        <v/>
      </c>
      <c r="V490" s="99"/>
      <c r="W490" s="195" t="str">
        <f>IF(V490=Setup!$C$30,"Grant",IF(V490=Setup!$C$31,"Local",IF(V490=Setup!$C$32,"Other",IF(ISBLANK(V490),"","Other"))))</f>
        <v/>
      </c>
      <c r="X490" s="255"/>
      <c r="Y490" s="259" t="str">
        <f>IF(X490&lt;&gt;"",X490/VLOOKUP($V490,Setup!$C$30:$D$41,2,0),"")</f>
        <v/>
      </c>
      <c r="Z490" s="262"/>
      <c r="AA490" s="256" t="str">
        <f t="shared" si="222"/>
        <v/>
      </c>
      <c r="AB490" s="262"/>
      <c r="AC490" s="258" t="str">
        <f t="shared" si="223"/>
        <v/>
      </c>
      <c r="AD490" s="262"/>
      <c r="AE490" s="258" t="str">
        <f t="shared" si="224"/>
        <v/>
      </c>
      <c r="AF490" s="262"/>
      <c r="AG490" s="256" t="str">
        <f t="shared" si="225"/>
        <v/>
      </c>
      <c r="AH490" s="256" t="str">
        <f t="shared" si="226"/>
        <v/>
      </c>
      <c r="AI490" s="256" t="str">
        <f t="shared" si="227"/>
        <v/>
      </c>
      <c r="AJ490" s="111"/>
      <c r="AK490" s="255"/>
      <c r="AL490" s="259" t="str">
        <f>IF(AK490&lt;&gt;"",AK490/VLOOKUP($V490,Setup!$C$30:$D$41,2,0),"")</f>
        <v/>
      </c>
      <c r="AM490" s="266"/>
      <c r="AN490" s="258" t="str">
        <f t="shared" si="228"/>
        <v/>
      </c>
      <c r="AO490" s="266"/>
      <c r="AP490" s="258" t="str">
        <f t="shared" si="229"/>
        <v/>
      </c>
      <c r="AQ490" s="266"/>
      <c r="AR490" s="258" t="str">
        <f t="shared" si="230"/>
        <v/>
      </c>
      <c r="AS490" s="266"/>
      <c r="AT490" s="256" t="str">
        <f t="shared" si="231"/>
        <v/>
      </c>
      <c r="AU490" s="256" t="str">
        <f t="shared" si="232"/>
        <v/>
      </c>
      <c r="AV490" s="256" t="str">
        <f t="shared" si="233"/>
        <v/>
      </c>
      <c r="AW490" s="267"/>
      <c r="AX490" s="255"/>
      <c r="AY490" s="259" t="str">
        <f>IF(AX490&lt;&gt;"",AX490/VLOOKUP($V490,Setup!$C$30:$D$41,2,0),"")</f>
        <v/>
      </c>
      <c r="AZ490" s="268"/>
      <c r="BA490" s="258" t="str">
        <f t="shared" si="234"/>
        <v/>
      </c>
      <c r="BB490" s="268"/>
      <c r="BC490" s="258" t="str">
        <f t="shared" si="235"/>
        <v/>
      </c>
      <c r="BD490" s="268"/>
      <c r="BE490" s="258" t="str">
        <f t="shared" si="236"/>
        <v/>
      </c>
      <c r="BF490" s="268"/>
      <c r="BG490" s="256" t="str">
        <f t="shared" si="237"/>
        <v/>
      </c>
      <c r="BH490" s="256" t="str">
        <f t="shared" si="238"/>
        <v/>
      </c>
      <c r="BI490" s="256" t="str">
        <f t="shared" si="239"/>
        <v/>
      </c>
      <c r="BJ490" s="267"/>
      <c r="BK490" s="255"/>
      <c r="BL490" s="259" t="str">
        <f>IF(BK490&lt;&gt;"",BK490/VLOOKUP($V490,Setup!$C$30:$D$41,2,0),"")</f>
        <v/>
      </c>
      <c r="BM490" s="268"/>
      <c r="BN490" s="258" t="str">
        <f t="shared" si="240"/>
        <v/>
      </c>
      <c r="BO490" s="268"/>
      <c r="BP490" s="258" t="str">
        <f t="shared" si="241"/>
        <v/>
      </c>
      <c r="BQ490" s="268"/>
      <c r="BR490" s="258" t="str">
        <f t="shared" si="242"/>
        <v/>
      </c>
      <c r="BS490" s="268"/>
      <c r="BT490" s="256" t="str">
        <f t="shared" si="243"/>
        <v/>
      </c>
      <c r="BU490" s="256" t="str">
        <f t="shared" si="244"/>
        <v/>
      </c>
      <c r="BV490" s="256" t="str">
        <f t="shared" si="245"/>
        <v/>
      </c>
      <c r="BW490" s="267"/>
      <c r="BX490" s="256" t="str">
        <f t="shared" si="246"/>
        <v/>
      </c>
      <c r="BY490" s="256" t="str">
        <f t="shared" si="247"/>
        <v/>
      </c>
      <c r="BZ490" s="281"/>
      <c r="CA490" s="282"/>
      <c r="CC490" s="112" t="str">
        <f t="shared" ca="1" si="248"/>
        <v/>
      </c>
      <c r="CF490" s="284"/>
      <c r="CG490" s="284"/>
      <c r="CH490" s="284"/>
      <c r="CI490" s="284"/>
      <c r="CL490" s="356" t="str">
        <f>IFERROR(VLOOKUP(C490,'Data Sheet'!$A$3:$B$26,2,FALSE),"")</f>
        <v/>
      </c>
    </row>
    <row r="491" spans="1:90" s="98" customFormat="1" ht="15.75" x14ac:dyDescent="0.2">
      <c r="A491" s="97"/>
      <c r="B491" s="105" t="str">
        <f t="shared" si="251"/>
        <v>--</v>
      </c>
      <c r="C491" s="276"/>
      <c r="D491" s="101" t="str">
        <f>IFERROR(IF(VLOOKUP(C491,'Data Sheet'!$A$3:$D$26,4,FALSE)=0,"",VLOOKUP(C491,'Data Sheet'!$A$3:$D$26,4,FALSE)),"")</f>
        <v/>
      </c>
      <c r="E491" s="279"/>
      <c r="F491" s="103" t="str">
        <f>IFERROR(IF(VLOOKUP(E491,'Data Sheet'!$C$29:$E$174,3,FALSE)=0,"",VLOOKUP(E491,'Data Sheet'!$C$29:$E$174,3,FALSE)),"")</f>
        <v/>
      </c>
      <c r="G491" s="106" t="str">
        <f t="shared" si="249"/>
        <v>-</v>
      </c>
      <c r="H491" s="273"/>
      <c r="I491" s="107"/>
      <c r="J491" s="249" t="e">
        <f t="shared" si="250"/>
        <v>#VALUE!</v>
      </c>
      <c r="K491" s="101" t="str">
        <f>IFERROR(INDEX('Data Sheet'!$C$198:$C$275,MATCH(I491,'Data Sheet'!$F$198:$F$275,0)),"")</f>
        <v/>
      </c>
      <c r="L491" s="250" t="str">
        <f>IFERROR(INDEX('Data Sheet'!$G$198:$G$275,MATCH(I491,'Data Sheet'!$F$198:$F$275,0)),"")</f>
        <v/>
      </c>
      <c r="M491" s="194"/>
      <c r="N491" s="248"/>
      <c r="O491" s="248"/>
      <c r="P491" s="108" t="str">
        <f>IFERROR(INDEX(Setup!$D$44:$D$70,MATCH(M491,Setup!$K$44:$K$70,0))&amp;"","")</f>
        <v/>
      </c>
      <c r="Q491" s="108" t="str">
        <f>IFERROR(INDEX(Setup!$E$44:$E$70,MATCH(M491,Setup!$K$44:$K$70,0))&amp;"","")</f>
        <v/>
      </c>
      <c r="R491" s="108" t="str">
        <f>IFERROR(INDEX(Setup!$L$44:$L$70,MATCH(M491,Setup!$K$44:$K$70,0))&amp;"","")</f>
        <v/>
      </c>
      <c r="S491" s="108" t="str">
        <f>Setup!$C$30</f>
        <v>USD</v>
      </c>
      <c r="T491" s="109" t="str">
        <f>IFERROR(INDEX('Data Sheet'!$B$198:$B$275,MATCH(I491,'Data Sheet'!$F$198:$F$275,0)),"")</f>
        <v/>
      </c>
      <c r="U491" s="110" t="str">
        <f>IFERROR(INDEX('Data Sheet'!$D$198:$D$275,MATCH(I491,'Data Sheet'!$F$198:$F$275,0)),"")</f>
        <v/>
      </c>
      <c r="V491" s="99"/>
      <c r="W491" s="195" t="str">
        <f>IF(V491=Setup!$C$30,"Grant",IF(V491=Setup!$C$31,"Local",IF(V491=Setup!$C$32,"Other",IF(ISBLANK(V491),"","Other"))))</f>
        <v/>
      </c>
      <c r="X491" s="255"/>
      <c r="Y491" s="259" t="str">
        <f>IF(X491&lt;&gt;"",X491/VLOOKUP($V491,Setup!$C$30:$D$41,2,0),"")</f>
        <v/>
      </c>
      <c r="Z491" s="262"/>
      <c r="AA491" s="256" t="str">
        <f t="shared" si="222"/>
        <v/>
      </c>
      <c r="AB491" s="262"/>
      <c r="AC491" s="258" t="str">
        <f t="shared" si="223"/>
        <v/>
      </c>
      <c r="AD491" s="262"/>
      <c r="AE491" s="258" t="str">
        <f t="shared" si="224"/>
        <v/>
      </c>
      <c r="AF491" s="262"/>
      <c r="AG491" s="256" t="str">
        <f t="shared" si="225"/>
        <v/>
      </c>
      <c r="AH491" s="256" t="str">
        <f t="shared" si="226"/>
        <v/>
      </c>
      <c r="AI491" s="256" t="str">
        <f t="shared" si="227"/>
        <v/>
      </c>
      <c r="AJ491" s="111"/>
      <c r="AK491" s="255"/>
      <c r="AL491" s="259" t="str">
        <f>IF(AK491&lt;&gt;"",AK491/VLOOKUP($V491,Setup!$C$30:$D$41,2,0),"")</f>
        <v/>
      </c>
      <c r="AM491" s="266"/>
      <c r="AN491" s="258" t="str">
        <f t="shared" si="228"/>
        <v/>
      </c>
      <c r="AO491" s="266"/>
      <c r="AP491" s="258" t="str">
        <f t="shared" si="229"/>
        <v/>
      </c>
      <c r="AQ491" s="266"/>
      <c r="AR491" s="258" t="str">
        <f t="shared" si="230"/>
        <v/>
      </c>
      <c r="AS491" s="266"/>
      <c r="AT491" s="256" t="str">
        <f t="shared" si="231"/>
        <v/>
      </c>
      <c r="AU491" s="256" t="str">
        <f t="shared" si="232"/>
        <v/>
      </c>
      <c r="AV491" s="256" t="str">
        <f t="shared" si="233"/>
        <v/>
      </c>
      <c r="AW491" s="267"/>
      <c r="AX491" s="255"/>
      <c r="AY491" s="259" t="str">
        <f>IF(AX491&lt;&gt;"",AX491/VLOOKUP($V491,Setup!$C$30:$D$41,2,0),"")</f>
        <v/>
      </c>
      <c r="AZ491" s="268"/>
      <c r="BA491" s="258" t="str">
        <f t="shared" si="234"/>
        <v/>
      </c>
      <c r="BB491" s="268"/>
      <c r="BC491" s="258" t="str">
        <f t="shared" si="235"/>
        <v/>
      </c>
      <c r="BD491" s="268"/>
      <c r="BE491" s="258" t="str">
        <f t="shared" si="236"/>
        <v/>
      </c>
      <c r="BF491" s="268"/>
      <c r="BG491" s="256" t="str">
        <f t="shared" si="237"/>
        <v/>
      </c>
      <c r="BH491" s="256" t="str">
        <f t="shared" si="238"/>
        <v/>
      </c>
      <c r="BI491" s="256" t="str">
        <f t="shared" si="239"/>
        <v/>
      </c>
      <c r="BJ491" s="267"/>
      <c r="BK491" s="255"/>
      <c r="BL491" s="259" t="str">
        <f>IF(BK491&lt;&gt;"",BK491/VLOOKUP($V491,Setup!$C$30:$D$41,2,0),"")</f>
        <v/>
      </c>
      <c r="BM491" s="268"/>
      <c r="BN491" s="258" t="str">
        <f t="shared" si="240"/>
        <v/>
      </c>
      <c r="BO491" s="268"/>
      <c r="BP491" s="258" t="str">
        <f t="shared" si="241"/>
        <v/>
      </c>
      <c r="BQ491" s="268"/>
      <c r="BR491" s="258" t="str">
        <f t="shared" si="242"/>
        <v/>
      </c>
      <c r="BS491" s="268"/>
      <c r="BT491" s="256" t="str">
        <f t="shared" si="243"/>
        <v/>
      </c>
      <c r="BU491" s="256" t="str">
        <f t="shared" si="244"/>
        <v/>
      </c>
      <c r="BV491" s="256" t="str">
        <f t="shared" si="245"/>
        <v/>
      </c>
      <c r="BW491" s="267"/>
      <c r="BX491" s="256" t="str">
        <f t="shared" si="246"/>
        <v/>
      </c>
      <c r="BY491" s="256" t="str">
        <f t="shared" si="247"/>
        <v/>
      </c>
      <c r="BZ491" s="281"/>
      <c r="CA491" s="282"/>
      <c r="CC491" s="112" t="str">
        <f t="shared" ca="1" si="248"/>
        <v/>
      </c>
      <c r="CF491" s="284"/>
      <c r="CG491" s="284"/>
      <c r="CH491" s="284"/>
      <c r="CI491" s="284"/>
      <c r="CL491" s="356" t="str">
        <f>IFERROR(VLOOKUP(C491,'Data Sheet'!$A$3:$B$26,2,FALSE),"")</f>
        <v/>
      </c>
    </row>
    <row r="492" spans="1:90" s="98" customFormat="1" ht="15.75" x14ac:dyDescent="0.2">
      <c r="A492" s="97"/>
      <c r="B492" s="105" t="str">
        <f t="shared" si="251"/>
        <v>--</v>
      </c>
      <c r="C492" s="276"/>
      <c r="D492" s="101" t="str">
        <f>IFERROR(IF(VLOOKUP(C492,'Data Sheet'!$A$3:$D$26,4,FALSE)=0,"",VLOOKUP(C492,'Data Sheet'!$A$3:$D$26,4,FALSE)),"")</f>
        <v/>
      </c>
      <c r="E492" s="279"/>
      <c r="F492" s="103" t="str">
        <f>IFERROR(IF(VLOOKUP(E492,'Data Sheet'!$C$29:$E$174,3,FALSE)=0,"",VLOOKUP(E492,'Data Sheet'!$C$29:$E$174,3,FALSE)),"")</f>
        <v/>
      </c>
      <c r="G492" s="106" t="str">
        <f t="shared" si="249"/>
        <v>-</v>
      </c>
      <c r="H492" s="273"/>
      <c r="I492" s="107"/>
      <c r="J492" s="249" t="e">
        <f t="shared" si="250"/>
        <v>#VALUE!</v>
      </c>
      <c r="K492" s="101" t="str">
        <f>IFERROR(INDEX('Data Sheet'!$C$198:$C$275,MATCH(I492,'Data Sheet'!$F$198:$F$275,0)),"")</f>
        <v/>
      </c>
      <c r="L492" s="250" t="str">
        <f>IFERROR(INDEX('Data Sheet'!$G$198:$G$275,MATCH(I492,'Data Sheet'!$F$198:$F$275,0)),"")</f>
        <v/>
      </c>
      <c r="M492" s="194"/>
      <c r="N492" s="248"/>
      <c r="O492" s="248"/>
      <c r="P492" s="108" t="str">
        <f>IFERROR(INDEX(Setup!$D$44:$D$70,MATCH(M492,Setup!$K$44:$K$70,0))&amp;"","")</f>
        <v/>
      </c>
      <c r="Q492" s="108" t="str">
        <f>IFERROR(INDEX(Setup!$E$44:$E$70,MATCH(M492,Setup!$K$44:$K$70,0))&amp;"","")</f>
        <v/>
      </c>
      <c r="R492" s="108" t="str">
        <f>IFERROR(INDEX(Setup!$L$44:$L$70,MATCH(M492,Setup!$K$44:$K$70,0))&amp;"","")</f>
        <v/>
      </c>
      <c r="S492" s="108" t="str">
        <f>Setup!$C$30</f>
        <v>USD</v>
      </c>
      <c r="T492" s="109" t="str">
        <f>IFERROR(INDEX('Data Sheet'!$B$198:$B$275,MATCH(I492,'Data Sheet'!$F$198:$F$275,0)),"")</f>
        <v/>
      </c>
      <c r="U492" s="110" t="str">
        <f>IFERROR(INDEX('Data Sheet'!$D$198:$D$275,MATCH(I492,'Data Sheet'!$F$198:$F$275,0)),"")</f>
        <v/>
      </c>
      <c r="V492" s="99"/>
      <c r="W492" s="195" t="str">
        <f>IF(V492=Setup!$C$30,"Grant",IF(V492=Setup!$C$31,"Local",IF(V492=Setup!$C$32,"Other",IF(ISBLANK(V492),"","Other"))))</f>
        <v/>
      </c>
      <c r="X492" s="255"/>
      <c r="Y492" s="259" t="str">
        <f>IF(X492&lt;&gt;"",X492/VLOOKUP($V492,Setup!$C$30:$D$41,2,0),"")</f>
        <v/>
      </c>
      <c r="Z492" s="262"/>
      <c r="AA492" s="256" t="str">
        <f t="shared" si="222"/>
        <v/>
      </c>
      <c r="AB492" s="262"/>
      <c r="AC492" s="258" t="str">
        <f t="shared" si="223"/>
        <v/>
      </c>
      <c r="AD492" s="262"/>
      <c r="AE492" s="258" t="str">
        <f t="shared" si="224"/>
        <v/>
      </c>
      <c r="AF492" s="262"/>
      <c r="AG492" s="256" t="str">
        <f t="shared" si="225"/>
        <v/>
      </c>
      <c r="AH492" s="256" t="str">
        <f t="shared" si="226"/>
        <v/>
      </c>
      <c r="AI492" s="256" t="str">
        <f t="shared" si="227"/>
        <v/>
      </c>
      <c r="AJ492" s="111"/>
      <c r="AK492" s="255"/>
      <c r="AL492" s="259" t="str">
        <f>IF(AK492&lt;&gt;"",AK492/VLOOKUP($V492,Setup!$C$30:$D$41,2,0),"")</f>
        <v/>
      </c>
      <c r="AM492" s="266"/>
      <c r="AN492" s="258" t="str">
        <f t="shared" si="228"/>
        <v/>
      </c>
      <c r="AO492" s="266"/>
      <c r="AP492" s="258" t="str">
        <f t="shared" si="229"/>
        <v/>
      </c>
      <c r="AQ492" s="266"/>
      <c r="AR492" s="258" t="str">
        <f t="shared" si="230"/>
        <v/>
      </c>
      <c r="AS492" s="266"/>
      <c r="AT492" s="256" t="str">
        <f t="shared" si="231"/>
        <v/>
      </c>
      <c r="AU492" s="256" t="str">
        <f t="shared" si="232"/>
        <v/>
      </c>
      <c r="AV492" s="256" t="str">
        <f t="shared" si="233"/>
        <v/>
      </c>
      <c r="AW492" s="267"/>
      <c r="AX492" s="255"/>
      <c r="AY492" s="259" t="str">
        <f>IF(AX492&lt;&gt;"",AX492/VLOOKUP($V492,Setup!$C$30:$D$41,2,0),"")</f>
        <v/>
      </c>
      <c r="AZ492" s="268"/>
      <c r="BA492" s="258" t="str">
        <f t="shared" si="234"/>
        <v/>
      </c>
      <c r="BB492" s="268"/>
      <c r="BC492" s="258" t="str">
        <f t="shared" si="235"/>
        <v/>
      </c>
      <c r="BD492" s="268"/>
      <c r="BE492" s="258" t="str">
        <f t="shared" si="236"/>
        <v/>
      </c>
      <c r="BF492" s="268"/>
      <c r="BG492" s="256" t="str">
        <f t="shared" si="237"/>
        <v/>
      </c>
      <c r="BH492" s="256" t="str">
        <f t="shared" si="238"/>
        <v/>
      </c>
      <c r="BI492" s="256" t="str">
        <f t="shared" si="239"/>
        <v/>
      </c>
      <c r="BJ492" s="267"/>
      <c r="BK492" s="255"/>
      <c r="BL492" s="259" t="str">
        <f>IF(BK492&lt;&gt;"",BK492/VLOOKUP($V492,Setup!$C$30:$D$41,2,0),"")</f>
        <v/>
      </c>
      <c r="BM492" s="268"/>
      <c r="BN492" s="258" t="str">
        <f t="shared" si="240"/>
        <v/>
      </c>
      <c r="BO492" s="268"/>
      <c r="BP492" s="258" t="str">
        <f t="shared" si="241"/>
        <v/>
      </c>
      <c r="BQ492" s="268"/>
      <c r="BR492" s="258" t="str">
        <f t="shared" si="242"/>
        <v/>
      </c>
      <c r="BS492" s="268"/>
      <c r="BT492" s="256" t="str">
        <f t="shared" si="243"/>
        <v/>
      </c>
      <c r="BU492" s="256" t="str">
        <f t="shared" si="244"/>
        <v/>
      </c>
      <c r="BV492" s="256" t="str">
        <f t="shared" si="245"/>
        <v/>
      </c>
      <c r="BW492" s="267"/>
      <c r="BX492" s="256" t="str">
        <f t="shared" si="246"/>
        <v/>
      </c>
      <c r="BY492" s="256" t="str">
        <f t="shared" si="247"/>
        <v/>
      </c>
      <c r="BZ492" s="281"/>
      <c r="CA492" s="282"/>
      <c r="CC492" s="112" t="str">
        <f t="shared" ca="1" si="248"/>
        <v/>
      </c>
      <c r="CF492" s="284"/>
      <c r="CG492" s="284"/>
      <c r="CH492" s="284"/>
      <c r="CI492" s="284"/>
      <c r="CL492" s="356" t="str">
        <f>IFERROR(VLOOKUP(C492,'Data Sheet'!$A$3:$B$26,2,FALSE),"")</f>
        <v/>
      </c>
    </row>
    <row r="493" spans="1:90" s="98" customFormat="1" ht="15.75" x14ac:dyDescent="0.2">
      <c r="A493" s="97"/>
      <c r="B493" s="105" t="str">
        <f t="shared" si="251"/>
        <v>--</v>
      </c>
      <c r="C493" s="276"/>
      <c r="D493" s="101" t="str">
        <f>IFERROR(IF(VLOOKUP(C493,'Data Sheet'!$A$3:$D$26,4,FALSE)=0,"",VLOOKUP(C493,'Data Sheet'!$A$3:$D$26,4,FALSE)),"")</f>
        <v/>
      </c>
      <c r="E493" s="279"/>
      <c r="F493" s="103" t="str">
        <f>IFERROR(IF(VLOOKUP(E493,'Data Sheet'!$C$29:$E$174,3,FALSE)=0,"",VLOOKUP(E493,'Data Sheet'!$C$29:$E$174,3,FALSE)),"")</f>
        <v/>
      </c>
      <c r="G493" s="106" t="str">
        <f t="shared" si="249"/>
        <v>-</v>
      </c>
      <c r="H493" s="273"/>
      <c r="I493" s="107"/>
      <c r="J493" s="249" t="e">
        <f t="shared" si="250"/>
        <v>#VALUE!</v>
      </c>
      <c r="K493" s="101" t="str">
        <f>IFERROR(INDEX('Data Sheet'!$C$198:$C$275,MATCH(I493,'Data Sheet'!$F$198:$F$275,0)),"")</f>
        <v/>
      </c>
      <c r="L493" s="250" t="str">
        <f>IFERROR(INDEX('Data Sheet'!$G$198:$G$275,MATCH(I493,'Data Sheet'!$F$198:$F$275,0)),"")</f>
        <v/>
      </c>
      <c r="M493" s="194"/>
      <c r="N493" s="248"/>
      <c r="O493" s="248"/>
      <c r="P493" s="108" t="str">
        <f>IFERROR(INDEX(Setup!$D$44:$D$70,MATCH(M493,Setup!$K$44:$K$70,0))&amp;"","")</f>
        <v/>
      </c>
      <c r="Q493" s="108" t="str">
        <f>IFERROR(INDEX(Setup!$E$44:$E$70,MATCH(M493,Setup!$K$44:$K$70,0))&amp;"","")</f>
        <v/>
      </c>
      <c r="R493" s="108" t="str">
        <f>IFERROR(INDEX(Setup!$L$44:$L$70,MATCH(M493,Setup!$K$44:$K$70,0))&amp;"","")</f>
        <v/>
      </c>
      <c r="S493" s="108" t="str">
        <f>Setup!$C$30</f>
        <v>USD</v>
      </c>
      <c r="T493" s="109" t="str">
        <f>IFERROR(INDEX('Data Sheet'!$B$198:$B$275,MATCH(I493,'Data Sheet'!$F$198:$F$275,0)),"")</f>
        <v/>
      </c>
      <c r="U493" s="110" t="str">
        <f>IFERROR(INDEX('Data Sheet'!$D$198:$D$275,MATCH(I493,'Data Sheet'!$F$198:$F$275,0)),"")</f>
        <v/>
      </c>
      <c r="V493" s="99"/>
      <c r="W493" s="195" t="str">
        <f>IF(V493=Setup!$C$30,"Grant",IF(V493=Setup!$C$31,"Local",IF(V493=Setup!$C$32,"Other",IF(ISBLANK(V493),"","Other"))))</f>
        <v/>
      </c>
      <c r="X493" s="255"/>
      <c r="Y493" s="259" t="str">
        <f>IF(X493&lt;&gt;"",X493/VLOOKUP($V493,Setup!$C$30:$D$41,2,0),"")</f>
        <v/>
      </c>
      <c r="Z493" s="262"/>
      <c r="AA493" s="256" t="str">
        <f t="shared" si="222"/>
        <v/>
      </c>
      <c r="AB493" s="262"/>
      <c r="AC493" s="258" t="str">
        <f t="shared" si="223"/>
        <v/>
      </c>
      <c r="AD493" s="262"/>
      <c r="AE493" s="258" t="str">
        <f t="shared" si="224"/>
        <v/>
      </c>
      <c r="AF493" s="262"/>
      <c r="AG493" s="256" t="str">
        <f t="shared" si="225"/>
        <v/>
      </c>
      <c r="AH493" s="256" t="str">
        <f t="shared" si="226"/>
        <v/>
      </c>
      <c r="AI493" s="256" t="str">
        <f t="shared" si="227"/>
        <v/>
      </c>
      <c r="AJ493" s="111"/>
      <c r="AK493" s="255"/>
      <c r="AL493" s="259" t="str">
        <f>IF(AK493&lt;&gt;"",AK493/VLOOKUP($V493,Setup!$C$30:$D$41,2,0),"")</f>
        <v/>
      </c>
      <c r="AM493" s="266"/>
      <c r="AN493" s="258" t="str">
        <f t="shared" si="228"/>
        <v/>
      </c>
      <c r="AO493" s="266"/>
      <c r="AP493" s="258" t="str">
        <f t="shared" si="229"/>
        <v/>
      </c>
      <c r="AQ493" s="266"/>
      <c r="AR493" s="258" t="str">
        <f t="shared" si="230"/>
        <v/>
      </c>
      <c r="AS493" s="266"/>
      <c r="AT493" s="256" t="str">
        <f t="shared" si="231"/>
        <v/>
      </c>
      <c r="AU493" s="256" t="str">
        <f t="shared" si="232"/>
        <v/>
      </c>
      <c r="AV493" s="256" t="str">
        <f t="shared" si="233"/>
        <v/>
      </c>
      <c r="AW493" s="267"/>
      <c r="AX493" s="255"/>
      <c r="AY493" s="259" t="str">
        <f>IF(AX493&lt;&gt;"",AX493/VLOOKUP($V493,Setup!$C$30:$D$41,2,0),"")</f>
        <v/>
      </c>
      <c r="AZ493" s="268"/>
      <c r="BA493" s="258" t="str">
        <f t="shared" si="234"/>
        <v/>
      </c>
      <c r="BB493" s="268"/>
      <c r="BC493" s="258" t="str">
        <f t="shared" si="235"/>
        <v/>
      </c>
      <c r="BD493" s="268"/>
      <c r="BE493" s="258" t="str">
        <f t="shared" si="236"/>
        <v/>
      </c>
      <c r="BF493" s="268"/>
      <c r="BG493" s="256" t="str">
        <f t="shared" si="237"/>
        <v/>
      </c>
      <c r="BH493" s="256" t="str">
        <f t="shared" si="238"/>
        <v/>
      </c>
      <c r="BI493" s="256" t="str">
        <f t="shared" si="239"/>
        <v/>
      </c>
      <c r="BJ493" s="267"/>
      <c r="BK493" s="255"/>
      <c r="BL493" s="259" t="str">
        <f>IF(BK493&lt;&gt;"",BK493/VLOOKUP($V493,Setup!$C$30:$D$41,2,0),"")</f>
        <v/>
      </c>
      <c r="BM493" s="268"/>
      <c r="BN493" s="258" t="str">
        <f t="shared" si="240"/>
        <v/>
      </c>
      <c r="BO493" s="268"/>
      <c r="BP493" s="258" t="str">
        <f t="shared" si="241"/>
        <v/>
      </c>
      <c r="BQ493" s="268"/>
      <c r="BR493" s="258" t="str">
        <f t="shared" si="242"/>
        <v/>
      </c>
      <c r="BS493" s="268"/>
      <c r="BT493" s="256" t="str">
        <f t="shared" si="243"/>
        <v/>
      </c>
      <c r="BU493" s="256" t="str">
        <f t="shared" si="244"/>
        <v/>
      </c>
      <c r="BV493" s="256" t="str">
        <f t="shared" si="245"/>
        <v/>
      </c>
      <c r="BW493" s="267"/>
      <c r="BX493" s="256" t="str">
        <f t="shared" si="246"/>
        <v/>
      </c>
      <c r="BY493" s="256" t="str">
        <f t="shared" si="247"/>
        <v/>
      </c>
      <c r="BZ493" s="281"/>
      <c r="CA493" s="282"/>
      <c r="CC493" s="112" t="str">
        <f t="shared" ca="1" si="248"/>
        <v/>
      </c>
      <c r="CF493" s="284"/>
      <c r="CG493" s="284"/>
      <c r="CH493" s="284"/>
      <c r="CI493" s="284"/>
      <c r="CL493" s="356" t="str">
        <f>IFERROR(VLOOKUP(C493,'Data Sheet'!$A$3:$B$26,2,FALSE),"")</f>
        <v/>
      </c>
    </row>
    <row r="494" spans="1:90" s="98" customFormat="1" ht="15.75" x14ac:dyDescent="0.2">
      <c r="A494" s="97"/>
      <c r="B494" s="105" t="str">
        <f t="shared" si="251"/>
        <v>--</v>
      </c>
      <c r="C494" s="276"/>
      <c r="D494" s="101" t="str">
        <f>IFERROR(IF(VLOOKUP(C494,'Data Sheet'!$A$3:$D$26,4,FALSE)=0,"",VLOOKUP(C494,'Data Sheet'!$A$3:$D$26,4,FALSE)),"")</f>
        <v/>
      </c>
      <c r="E494" s="279"/>
      <c r="F494" s="103" t="str">
        <f>IFERROR(IF(VLOOKUP(E494,'Data Sheet'!$C$29:$E$174,3,FALSE)=0,"",VLOOKUP(E494,'Data Sheet'!$C$29:$E$174,3,FALSE)),"")</f>
        <v/>
      </c>
      <c r="G494" s="106" t="str">
        <f t="shared" si="249"/>
        <v>-</v>
      </c>
      <c r="H494" s="273"/>
      <c r="I494" s="107"/>
      <c r="J494" s="249" t="e">
        <f t="shared" si="250"/>
        <v>#VALUE!</v>
      </c>
      <c r="K494" s="101" t="str">
        <f>IFERROR(INDEX('Data Sheet'!$C$198:$C$275,MATCH(I494,'Data Sheet'!$F$198:$F$275,0)),"")</f>
        <v/>
      </c>
      <c r="L494" s="250" t="str">
        <f>IFERROR(INDEX('Data Sheet'!$G$198:$G$275,MATCH(I494,'Data Sheet'!$F$198:$F$275,0)),"")</f>
        <v/>
      </c>
      <c r="M494" s="194"/>
      <c r="N494" s="248"/>
      <c r="O494" s="248"/>
      <c r="P494" s="108" t="str">
        <f>IFERROR(INDEX(Setup!$D$44:$D$70,MATCH(M494,Setup!$K$44:$K$70,0))&amp;"","")</f>
        <v/>
      </c>
      <c r="Q494" s="108" t="str">
        <f>IFERROR(INDEX(Setup!$E$44:$E$70,MATCH(M494,Setup!$K$44:$K$70,0))&amp;"","")</f>
        <v/>
      </c>
      <c r="R494" s="108" t="str">
        <f>IFERROR(INDEX(Setup!$L$44:$L$70,MATCH(M494,Setup!$K$44:$K$70,0))&amp;"","")</f>
        <v/>
      </c>
      <c r="S494" s="108" t="str">
        <f>Setup!$C$30</f>
        <v>USD</v>
      </c>
      <c r="T494" s="109" t="str">
        <f>IFERROR(INDEX('Data Sheet'!$B$198:$B$275,MATCH(I494,'Data Sheet'!$F$198:$F$275,0)),"")</f>
        <v/>
      </c>
      <c r="U494" s="110" t="str">
        <f>IFERROR(INDEX('Data Sheet'!$D$198:$D$275,MATCH(I494,'Data Sheet'!$F$198:$F$275,0)),"")</f>
        <v/>
      </c>
      <c r="V494" s="99"/>
      <c r="W494" s="195" t="str">
        <f>IF(V494=Setup!$C$30,"Grant",IF(V494=Setup!$C$31,"Local",IF(V494=Setup!$C$32,"Other",IF(ISBLANK(V494),"","Other"))))</f>
        <v/>
      </c>
      <c r="X494" s="255"/>
      <c r="Y494" s="259" t="str">
        <f>IF(X494&lt;&gt;"",X494/VLOOKUP($V494,Setup!$C$30:$D$41,2,0),"")</f>
        <v/>
      </c>
      <c r="Z494" s="262"/>
      <c r="AA494" s="256" t="str">
        <f t="shared" si="222"/>
        <v/>
      </c>
      <c r="AB494" s="262"/>
      <c r="AC494" s="258" t="str">
        <f t="shared" si="223"/>
        <v/>
      </c>
      <c r="AD494" s="262"/>
      <c r="AE494" s="258" t="str">
        <f t="shared" si="224"/>
        <v/>
      </c>
      <c r="AF494" s="262"/>
      <c r="AG494" s="256" t="str">
        <f t="shared" si="225"/>
        <v/>
      </c>
      <c r="AH494" s="256" t="str">
        <f t="shared" si="226"/>
        <v/>
      </c>
      <c r="AI494" s="256" t="str">
        <f t="shared" si="227"/>
        <v/>
      </c>
      <c r="AJ494" s="111"/>
      <c r="AK494" s="255"/>
      <c r="AL494" s="259" t="str">
        <f>IF(AK494&lt;&gt;"",AK494/VLOOKUP($V494,Setup!$C$30:$D$41,2,0),"")</f>
        <v/>
      </c>
      <c r="AM494" s="266"/>
      <c r="AN494" s="258" t="str">
        <f t="shared" si="228"/>
        <v/>
      </c>
      <c r="AO494" s="266"/>
      <c r="AP494" s="258" t="str">
        <f t="shared" si="229"/>
        <v/>
      </c>
      <c r="AQ494" s="266"/>
      <c r="AR494" s="258" t="str">
        <f t="shared" si="230"/>
        <v/>
      </c>
      <c r="AS494" s="266"/>
      <c r="AT494" s="256" t="str">
        <f t="shared" si="231"/>
        <v/>
      </c>
      <c r="AU494" s="256" t="str">
        <f t="shared" si="232"/>
        <v/>
      </c>
      <c r="AV494" s="256" t="str">
        <f t="shared" si="233"/>
        <v/>
      </c>
      <c r="AW494" s="267"/>
      <c r="AX494" s="255"/>
      <c r="AY494" s="259" t="str">
        <f>IF(AX494&lt;&gt;"",AX494/VLOOKUP($V494,Setup!$C$30:$D$41,2,0),"")</f>
        <v/>
      </c>
      <c r="AZ494" s="268"/>
      <c r="BA494" s="258" t="str">
        <f t="shared" si="234"/>
        <v/>
      </c>
      <c r="BB494" s="268"/>
      <c r="BC494" s="258" t="str">
        <f t="shared" si="235"/>
        <v/>
      </c>
      <c r="BD494" s="268"/>
      <c r="BE494" s="258" t="str">
        <f t="shared" si="236"/>
        <v/>
      </c>
      <c r="BF494" s="268"/>
      <c r="BG494" s="256" t="str">
        <f t="shared" si="237"/>
        <v/>
      </c>
      <c r="BH494" s="256" t="str">
        <f t="shared" si="238"/>
        <v/>
      </c>
      <c r="BI494" s="256" t="str">
        <f t="shared" si="239"/>
        <v/>
      </c>
      <c r="BJ494" s="267"/>
      <c r="BK494" s="255"/>
      <c r="BL494" s="259" t="str">
        <f>IF(BK494&lt;&gt;"",BK494/VLOOKUP($V494,Setup!$C$30:$D$41,2,0),"")</f>
        <v/>
      </c>
      <c r="BM494" s="268"/>
      <c r="BN494" s="258" t="str">
        <f t="shared" si="240"/>
        <v/>
      </c>
      <c r="BO494" s="268"/>
      <c r="BP494" s="258" t="str">
        <f t="shared" si="241"/>
        <v/>
      </c>
      <c r="BQ494" s="268"/>
      <c r="BR494" s="258" t="str">
        <f t="shared" si="242"/>
        <v/>
      </c>
      <c r="BS494" s="268"/>
      <c r="BT494" s="256" t="str">
        <f t="shared" si="243"/>
        <v/>
      </c>
      <c r="BU494" s="256" t="str">
        <f t="shared" si="244"/>
        <v/>
      </c>
      <c r="BV494" s="256" t="str">
        <f t="shared" si="245"/>
        <v/>
      </c>
      <c r="BW494" s="267"/>
      <c r="BX494" s="256" t="str">
        <f t="shared" si="246"/>
        <v/>
      </c>
      <c r="BY494" s="256" t="str">
        <f t="shared" si="247"/>
        <v/>
      </c>
      <c r="BZ494" s="281"/>
      <c r="CA494" s="282"/>
      <c r="CC494" s="112" t="str">
        <f t="shared" ca="1" si="248"/>
        <v/>
      </c>
      <c r="CF494" s="284"/>
      <c r="CG494" s="284"/>
      <c r="CH494" s="284"/>
      <c r="CI494" s="284"/>
      <c r="CL494" s="356" t="str">
        <f>IFERROR(VLOOKUP(C494,'Data Sheet'!$A$3:$B$26,2,FALSE),"")</f>
        <v/>
      </c>
    </row>
    <row r="495" spans="1:90" s="98" customFormat="1" ht="15.75" x14ac:dyDescent="0.2">
      <c r="A495" s="97"/>
      <c r="B495" s="105" t="str">
        <f t="shared" si="251"/>
        <v>--</v>
      </c>
      <c r="C495" s="276"/>
      <c r="D495" s="101" t="str">
        <f>IFERROR(IF(VLOOKUP(C495,'Data Sheet'!$A$3:$D$26,4,FALSE)=0,"",VLOOKUP(C495,'Data Sheet'!$A$3:$D$26,4,FALSE)),"")</f>
        <v/>
      </c>
      <c r="E495" s="279"/>
      <c r="F495" s="103" t="str">
        <f>IFERROR(IF(VLOOKUP(E495,'Data Sheet'!$C$29:$E$174,3,FALSE)=0,"",VLOOKUP(E495,'Data Sheet'!$C$29:$E$174,3,FALSE)),"")</f>
        <v/>
      </c>
      <c r="G495" s="106" t="str">
        <f t="shared" si="249"/>
        <v>-</v>
      </c>
      <c r="H495" s="273"/>
      <c r="I495" s="107"/>
      <c r="J495" s="249" t="e">
        <f t="shared" si="250"/>
        <v>#VALUE!</v>
      </c>
      <c r="K495" s="101" t="str">
        <f>IFERROR(INDEX('Data Sheet'!$C$198:$C$275,MATCH(I495,'Data Sheet'!$F$198:$F$275,0)),"")</f>
        <v/>
      </c>
      <c r="L495" s="250" t="str">
        <f>IFERROR(INDEX('Data Sheet'!$G$198:$G$275,MATCH(I495,'Data Sheet'!$F$198:$F$275,0)),"")</f>
        <v/>
      </c>
      <c r="M495" s="194"/>
      <c r="N495" s="248"/>
      <c r="O495" s="248"/>
      <c r="P495" s="108" t="str">
        <f>IFERROR(INDEX(Setup!$D$44:$D$70,MATCH(M495,Setup!$K$44:$K$70,0))&amp;"","")</f>
        <v/>
      </c>
      <c r="Q495" s="108" t="str">
        <f>IFERROR(INDEX(Setup!$E$44:$E$70,MATCH(M495,Setup!$K$44:$K$70,0))&amp;"","")</f>
        <v/>
      </c>
      <c r="R495" s="108" t="str">
        <f>IFERROR(INDEX(Setup!$L$44:$L$70,MATCH(M495,Setup!$K$44:$K$70,0))&amp;"","")</f>
        <v/>
      </c>
      <c r="S495" s="108" t="str">
        <f>Setup!$C$30</f>
        <v>USD</v>
      </c>
      <c r="T495" s="109" t="str">
        <f>IFERROR(INDEX('Data Sheet'!$B$198:$B$275,MATCH(I495,'Data Sheet'!$F$198:$F$275,0)),"")</f>
        <v/>
      </c>
      <c r="U495" s="110" t="str">
        <f>IFERROR(INDEX('Data Sheet'!$D$198:$D$275,MATCH(I495,'Data Sheet'!$F$198:$F$275,0)),"")</f>
        <v/>
      </c>
      <c r="V495" s="99"/>
      <c r="W495" s="195" t="str">
        <f>IF(V495=Setup!$C$30,"Grant",IF(V495=Setup!$C$31,"Local",IF(V495=Setup!$C$32,"Other",IF(ISBLANK(V495),"","Other"))))</f>
        <v/>
      </c>
      <c r="X495" s="255"/>
      <c r="Y495" s="259" t="str">
        <f>IF(X495&lt;&gt;"",X495/VLOOKUP($V495,Setup!$C$30:$D$41,2,0),"")</f>
        <v/>
      </c>
      <c r="Z495" s="262"/>
      <c r="AA495" s="256" t="str">
        <f t="shared" si="222"/>
        <v/>
      </c>
      <c r="AB495" s="262"/>
      <c r="AC495" s="258" t="str">
        <f t="shared" si="223"/>
        <v/>
      </c>
      <c r="AD495" s="262"/>
      <c r="AE495" s="258" t="str">
        <f t="shared" si="224"/>
        <v/>
      </c>
      <c r="AF495" s="262"/>
      <c r="AG495" s="256" t="str">
        <f t="shared" si="225"/>
        <v/>
      </c>
      <c r="AH495" s="256" t="str">
        <f t="shared" si="226"/>
        <v/>
      </c>
      <c r="AI495" s="256" t="str">
        <f t="shared" si="227"/>
        <v/>
      </c>
      <c r="AJ495" s="111"/>
      <c r="AK495" s="255"/>
      <c r="AL495" s="259" t="str">
        <f>IF(AK495&lt;&gt;"",AK495/VLOOKUP($V495,Setup!$C$30:$D$41,2,0),"")</f>
        <v/>
      </c>
      <c r="AM495" s="266"/>
      <c r="AN495" s="258" t="str">
        <f t="shared" si="228"/>
        <v/>
      </c>
      <c r="AO495" s="266"/>
      <c r="AP495" s="258" t="str">
        <f t="shared" si="229"/>
        <v/>
      </c>
      <c r="AQ495" s="266"/>
      <c r="AR495" s="258" t="str">
        <f t="shared" si="230"/>
        <v/>
      </c>
      <c r="AS495" s="266"/>
      <c r="AT495" s="256" t="str">
        <f t="shared" si="231"/>
        <v/>
      </c>
      <c r="AU495" s="256" t="str">
        <f t="shared" si="232"/>
        <v/>
      </c>
      <c r="AV495" s="256" t="str">
        <f t="shared" si="233"/>
        <v/>
      </c>
      <c r="AW495" s="267"/>
      <c r="AX495" s="255"/>
      <c r="AY495" s="259" t="str">
        <f>IF(AX495&lt;&gt;"",AX495/VLOOKUP($V495,Setup!$C$30:$D$41,2,0),"")</f>
        <v/>
      </c>
      <c r="AZ495" s="268"/>
      <c r="BA495" s="258" t="str">
        <f t="shared" si="234"/>
        <v/>
      </c>
      <c r="BB495" s="268"/>
      <c r="BC495" s="258" t="str">
        <f t="shared" si="235"/>
        <v/>
      </c>
      <c r="BD495" s="268"/>
      <c r="BE495" s="258" t="str">
        <f t="shared" si="236"/>
        <v/>
      </c>
      <c r="BF495" s="268"/>
      <c r="BG495" s="256" t="str">
        <f t="shared" si="237"/>
        <v/>
      </c>
      <c r="BH495" s="256" t="str">
        <f t="shared" si="238"/>
        <v/>
      </c>
      <c r="BI495" s="256" t="str">
        <f t="shared" si="239"/>
        <v/>
      </c>
      <c r="BJ495" s="267"/>
      <c r="BK495" s="255"/>
      <c r="BL495" s="259" t="str">
        <f>IF(BK495&lt;&gt;"",BK495/VLOOKUP($V495,Setup!$C$30:$D$41,2,0),"")</f>
        <v/>
      </c>
      <c r="BM495" s="268"/>
      <c r="BN495" s="258" t="str">
        <f t="shared" si="240"/>
        <v/>
      </c>
      <c r="BO495" s="268"/>
      <c r="BP495" s="258" t="str">
        <f t="shared" si="241"/>
        <v/>
      </c>
      <c r="BQ495" s="268"/>
      <c r="BR495" s="258" t="str">
        <f t="shared" si="242"/>
        <v/>
      </c>
      <c r="BS495" s="268"/>
      <c r="BT495" s="256" t="str">
        <f t="shared" si="243"/>
        <v/>
      </c>
      <c r="BU495" s="256" t="str">
        <f t="shared" si="244"/>
        <v/>
      </c>
      <c r="BV495" s="256" t="str">
        <f t="shared" si="245"/>
        <v/>
      </c>
      <c r="BW495" s="267"/>
      <c r="BX495" s="256" t="str">
        <f t="shared" si="246"/>
        <v/>
      </c>
      <c r="BY495" s="256" t="str">
        <f t="shared" si="247"/>
        <v/>
      </c>
      <c r="BZ495" s="281"/>
      <c r="CA495" s="282"/>
      <c r="CC495" s="112" t="str">
        <f t="shared" ca="1" si="248"/>
        <v/>
      </c>
      <c r="CF495" s="284"/>
      <c r="CG495" s="284"/>
      <c r="CH495" s="284"/>
      <c r="CI495" s="284"/>
      <c r="CL495" s="356" t="str">
        <f>IFERROR(VLOOKUP(C495,'Data Sheet'!$A$3:$B$26,2,FALSE),"")</f>
        <v/>
      </c>
    </row>
    <row r="496" spans="1:90" s="98" customFormat="1" ht="15.75" x14ac:dyDescent="0.2">
      <c r="A496" s="97"/>
      <c r="B496" s="105" t="str">
        <f t="shared" si="251"/>
        <v>--</v>
      </c>
      <c r="C496" s="276"/>
      <c r="D496" s="101" t="str">
        <f>IFERROR(IF(VLOOKUP(C496,'Data Sheet'!$A$3:$D$26,4,FALSE)=0,"",VLOOKUP(C496,'Data Sheet'!$A$3:$D$26,4,FALSE)),"")</f>
        <v/>
      </c>
      <c r="E496" s="279"/>
      <c r="F496" s="103" t="str">
        <f>IFERROR(IF(VLOOKUP(E496,'Data Sheet'!$C$29:$E$174,3,FALSE)=0,"",VLOOKUP(E496,'Data Sheet'!$C$29:$E$174,3,FALSE)),"")</f>
        <v/>
      </c>
      <c r="G496" s="106" t="str">
        <f t="shared" si="249"/>
        <v>-</v>
      </c>
      <c r="H496" s="273"/>
      <c r="I496" s="107"/>
      <c r="J496" s="249" t="e">
        <f t="shared" si="250"/>
        <v>#VALUE!</v>
      </c>
      <c r="K496" s="101" t="str">
        <f>IFERROR(INDEX('Data Sheet'!$C$198:$C$275,MATCH(I496,'Data Sheet'!$F$198:$F$275,0)),"")</f>
        <v/>
      </c>
      <c r="L496" s="250" t="str">
        <f>IFERROR(INDEX('Data Sheet'!$G$198:$G$275,MATCH(I496,'Data Sheet'!$F$198:$F$275,0)),"")</f>
        <v/>
      </c>
      <c r="M496" s="194"/>
      <c r="N496" s="248"/>
      <c r="O496" s="248"/>
      <c r="P496" s="108" t="str">
        <f>IFERROR(INDEX(Setup!$D$44:$D$70,MATCH(M496,Setup!$K$44:$K$70,0))&amp;"","")</f>
        <v/>
      </c>
      <c r="Q496" s="108" t="str">
        <f>IFERROR(INDEX(Setup!$E$44:$E$70,MATCH(M496,Setup!$K$44:$K$70,0))&amp;"","")</f>
        <v/>
      </c>
      <c r="R496" s="108" t="str">
        <f>IFERROR(INDEX(Setup!$L$44:$L$70,MATCH(M496,Setup!$K$44:$K$70,0))&amp;"","")</f>
        <v/>
      </c>
      <c r="S496" s="108" t="str">
        <f>Setup!$C$30</f>
        <v>USD</v>
      </c>
      <c r="T496" s="109" t="str">
        <f>IFERROR(INDEX('Data Sheet'!$B$198:$B$275,MATCH(I496,'Data Sheet'!$F$198:$F$275,0)),"")</f>
        <v/>
      </c>
      <c r="U496" s="110" t="str">
        <f>IFERROR(INDEX('Data Sheet'!$D$198:$D$275,MATCH(I496,'Data Sheet'!$F$198:$F$275,0)),"")</f>
        <v/>
      </c>
      <c r="V496" s="99"/>
      <c r="W496" s="195" t="str">
        <f>IF(V496=Setup!$C$30,"Grant",IF(V496=Setup!$C$31,"Local",IF(V496=Setup!$C$32,"Other",IF(ISBLANK(V496),"","Other"))))</f>
        <v/>
      </c>
      <c r="X496" s="255"/>
      <c r="Y496" s="259" t="str">
        <f>IF(X496&lt;&gt;"",X496/VLOOKUP($V496,Setup!$C$30:$D$41,2,0),"")</f>
        <v/>
      </c>
      <c r="Z496" s="262"/>
      <c r="AA496" s="256" t="str">
        <f t="shared" si="222"/>
        <v/>
      </c>
      <c r="AB496" s="262"/>
      <c r="AC496" s="258" t="str">
        <f t="shared" si="223"/>
        <v/>
      </c>
      <c r="AD496" s="262"/>
      <c r="AE496" s="258" t="str">
        <f t="shared" si="224"/>
        <v/>
      </c>
      <c r="AF496" s="262"/>
      <c r="AG496" s="256" t="str">
        <f t="shared" si="225"/>
        <v/>
      </c>
      <c r="AH496" s="256" t="str">
        <f t="shared" si="226"/>
        <v/>
      </c>
      <c r="AI496" s="256" t="str">
        <f t="shared" si="227"/>
        <v/>
      </c>
      <c r="AJ496" s="111"/>
      <c r="AK496" s="255"/>
      <c r="AL496" s="259" t="str">
        <f>IF(AK496&lt;&gt;"",AK496/VLOOKUP($V496,Setup!$C$30:$D$41,2,0),"")</f>
        <v/>
      </c>
      <c r="AM496" s="266"/>
      <c r="AN496" s="258" t="str">
        <f t="shared" si="228"/>
        <v/>
      </c>
      <c r="AO496" s="266"/>
      <c r="AP496" s="258" t="str">
        <f t="shared" si="229"/>
        <v/>
      </c>
      <c r="AQ496" s="266"/>
      <c r="AR496" s="258" t="str">
        <f t="shared" si="230"/>
        <v/>
      </c>
      <c r="AS496" s="266"/>
      <c r="AT496" s="256" t="str">
        <f t="shared" si="231"/>
        <v/>
      </c>
      <c r="AU496" s="256" t="str">
        <f t="shared" si="232"/>
        <v/>
      </c>
      <c r="AV496" s="256" t="str">
        <f t="shared" si="233"/>
        <v/>
      </c>
      <c r="AW496" s="267"/>
      <c r="AX496" s="255"/>
      <c r="AY496" s="259" t="str">
        <f>IF(AX496&lt;&gt;"",AX496/VLOOKUP($V496,Setup!$C$30:$D$41,2,0),"")</f>
        <v/>
      </c>
      <c r="AZ496" s="268"/>
      <c r="BA496" s="258" t="str">
        <f t="shared" si="234"/>
        <v/>
      </c>
      <c r="BB496" s="268"/>
      <c r="BC496" s="258" t="str">
        <f t="shared" si="235"/>
        <v/>
      </c>
      <c r="BD496" s="268"/>
      <c r="BE496" s="258" t="str">
        <f t="shared" si="236"/>
        <v/>
      </c>
      <c r="BF496" s="268"/>
      <c r="BG496" s="256" t="str">
        <f t="shared" si="237"/>
        <v/>
      </c>
      <c r="BH496" s="256" t="str">
        <f t="shared" si="238"/>
        <v/>
      </c>
      <c r="BI496" s="256" t="str">
        <f t="shared" si="239"/>
        <v/>
      </c>
      <c r="BJ496" s="267"/>
      <c r="BK496" s="255"/>
      <c r="BL496" s="259" t="str">
        <f>IF(BK496&lt;&gt;"",BK496/VLOOKUP($V496,Setup!$C$30:$D$41,2,0),"")</f>
        <v/>
      </c>
      <c r="BM496" s="268"/>
      <c r="BN496" s="258" t="str">
        <f t="shared" si="240"/>
        <v/>
      </c>
      <c r="BO496" s="268"/>
      <c r="BP496" s="258" t="str">
        <f t="shared" si="241"/>
        <v/>
      </c>
      <c r="BQ496" s="268"/>
      <c r="BR496" s="258" t="str">
        <f t="shared" si="242"/>
        <v/>
      </c>
      <c r="BS496" s="268"/>
      <c r="BT496" s="256" t="str">
        <f t="shared" si="243"/>
        <v/>
      </c>
      <c r="BU496" s="256" t="str">
        <f t="shared" si="244"/>
        <v/>
      </c>
      <c r="BV496" s="256" t="str">
        <f t="shared" si="245"/>
        <v/>
      </c>
      <c r="BW496" s="267"/>
      <c r="BX496" s="256" t="str">
        <f t="shared" si="246"/>
        <v/>
      </c>
      <c r="BY496" s="256" t="str">
        <f t="shared" si="247"/>
        <v/>
      </c>
      <c r="BZ496" s="281"/>
      <c r="CA496" s="282"/>
      <c r="CC496" s="112" t="str">
        <f t="shared" ca="1" si="248"/>
        <v/>
      </c>
      <c r="CF496" s="284"/>
      <c r="CG496" s="284"/>
      <c r="CH496" s="284"/>
      <c r="CI496" s="284"/>
      <c r="CL496" s="356" t="str">
        <f>IFERROR(VLOOKUP(C496,'Data Sheet'!$A$3:$B$26,2,FALSE),"")</f>
        <v/>
      </c>
    </row>
    <row r="497" spans="1:90" s="98" customFormat="1" ht="15.75" x14ac:dyDescent="0.2">
      <c r="A497" s="97"/>
      <c r="B497" s="105" t="str">
        <f t="shared" si="251"/>
        <v>--</v>
      </c>
      <c r="C497" s="276"/>
      <c r="D497" s="101" t="str">
        <f>IFERROR(IF(VLOOKUP(C497,'Data Sheet'!$A$3:$D$26,4,FALSE)=0,"",VLOOKUP(C497,'Data Sheet'!$A$3:$D$26,4,FALSE)),"")</f>
        <v/>
      </c>
      <c r="E497" s="279"/>
      <c r="F497" s="103" t="str">
        <f>IFERROR(IF(VLOOKUP(E497,'Data Sheet'!$C$29:$E$174,3,FALSE)=0,"",VLOOKUP(E497,'Data Sheet'!$C$29:$E$174,3,FALSE)),"")</f>
        <v/>
      </c>
      <c r="G497" s="106" t="str">
        <f t="shared" si="249"/>
        <v>-</v>
      </c>
      <c r="H497" s="273"/>
      <c r="I497" s="107"/>
      <c r="J497" s="249" t="e">
        <f t="shared" si="250"/>
        <v>#VALUE!</v>
      </c>
      <c r="K497" s="101" t="str">
        <f>IFERROR(INDEX('Data Sheet'!$C$198:$C$275,MATCH(I497,'Data Sheet'!$F$198:$F$275,0)),"")</f>
        <v/>
      </c>
      <c r="L497" s="250" t="str">
        <f>IFERROR(INDEX('Data Sheet'!$G$198:$G$275,MATCH(I497,'Data Sheet'!$F$198:$F$275,0)),"")</f>
        <v/>
      </c>
      <c r="M497" s="194"/>
      <c r="N497" s="248"/>
      <c r="O497" s="248"/>
      <c r="P497" s="108" t="str">
        <f>IFERROR(INDEX(Setup!$D$44:$D$70,MATCH(M497,Setup!$K$44:$K$70,0))&amp;"","")</f>
        <v/>
      </c>
      <c r="Q497" s="108" t="str">
        <f>IFERROR(INDEX(Setup!$E$44:$E$70,MATCH(M497,Setup!$K$44:$K$70,0))&amp;"","")</f>
        <v/>
      </c>
      <c r="R497" s="108" t="str">
        <f>IFERROR(INDEX(Setup!$L$44:$L$70,MATCH(M497,Setup!$K$44:$K$70,0))&amp;"","")</f>
        <v/>
      </c>
      <c r="S497" s="108" t="str">
        <f>Setup!$C$30</f>
        <v>USD</v>
      </c>
      <c r="T497" s="109" t="str">
        <f>IFERROR(INDEX('Data Sheet'!$B$198:$B$275,MATCH(I497,'Data Sheet'!$F$198:$F$275,0)),"")</f>
        <v/>
      </c>
      <c r="U497" s="110" t="str">
        <f>IFERROR(INDEX('Data Sheet'!$D$198:$D$275,MATCH(I497,'Data Sheet'!$F$198:$F$275,0)),"")</f>
        <v/>
      </c>
      <c r="V497" s="99"/>
      <c r="W497" s="195" t="str">
        <f>IF(V497=Setup!$C$30,"Grant",IF(V497=Setup!$C$31,"Local",IF(V497=Setup!$C$32,"Other",IF(ISBLANK(V497),"","Other"))))</f>
        <v/>
      </c>
      <c r="X497" s="255"/>
      <c r="Y497" s="259" t="str">
        <f>IF(X497&lt;&gt;"",X497/VLOOKUP($V497,Setup!$C$30:$D$41,2,0),"")</f>
        <v/>
      </c>
      <c r="Z497" s="262"/>
      <c r="AA497" s="256" t="str">
        <f t="shared" si="222"/>
        <v/>
      </c>
      <c r="AB497" s="262"/>
      <c r="AC497" s="258" t="str">
        <f t="shared" si="223"/>
        <v/>
      </c>
      <c r="AD497" s="262"/>
      <c r="AE497" s="258" t="str">
        <f t="shared" si="224"/>
        <v/>
      </c>
      <c r="AF497" s="262"/>
      <c r="AG497" s="256" t="str">
        <f t="shared" si="225"/>
        <v/>
      </c>
      <c r="AH497" s="256" t="str">
        <f t="shared" si="226"/>
        <v/>
      </c>
      <c r="AI497" s="256" t="str">
        <f t="shared" si="227"/>
        <v/>
      </c>
      <c r="AJ497" s="111"/>
      <c r="AK497" s="255"/>
      <c r="AL497" s="259" t="str">
        <f>IF(AK497&lt;&gt;"",AK497/VLOOKUP($V497,Setup!$C$30:$D$41,2,0),"")</f>
        <v/>
      </c>
      <c r="AM497" s="266"/>
      <c r="AN497" s="258" t="str">
        <f t="shared" si="228"/>
        <v/>
      </c>
      <c r="AO497" s="266"/>
      <c r="AP497" s="258" t="str">
        <f t="shared" si="229"/>
        <v/>
      </c>
      <c r="AQ497" s="266"/>
      <c r="AR497" s="258" t="str">
        <f t="shared" si="230"/>
        <v/>
      </c>
      <c r="AS497" s="266"/>
      <c r="AT497" s="256" t="str">
        <f t="shared" si="231"/>
        <v/>
      </c>
      <c r="AU497" s="256" t="str">
        <f t="shared" si="232"/>
        <v/>
      </c>
      <c r="AV497" s="256" t="str">
        <f t="shared" si="233"/>
        <v/>
      </c>
      <c r="AW497" s="267"/>
      <c r="AX497" s="255"/>
      <c r="AY497" s="259" t="str">
        <f>IF(AX497&lt;&gt;"",AX497/VLOOKUP($V497,Setup!$C$30:$D$41,2,0),"")</f>
        <v/>
      </c>
      <c r="AZ497" s="268"/>
      <c r="BA497" s="258" t="str">
        <f t="shared" si="234"/>
        <v/>
      </c>
      <c r="BB497" s="268"/>
      <c r="BC497" s="258" t="str">
        <f t="shared" si="235"/>
        <v/>
      </c>
      <c r="BD497" s="268"/>
      <c r="BE497" s="258" t="str">
        <f t="shared" si="236"/>
        <v/>
      </c>
      <c r="BF497" s="268"/>
      <c r="BG497" s="256" t="str">
        <f t="shared" si="237"/>
        <v/>
      </c>
      <c r="BH497" s="256" t="str">
        <f t="shared" si="238"/>
        <v/>
      </c>
      <c r="BI497" s="256" t="str">
        <f t="shared" si="239"/>
        <v/>
      </c>
      <c r="BJ497" s="267"/>
      <c r="BK497" s="255"/>
      <c r="BL497" s="259" t="str">
        <f>IF(BK497&lt;&gt;"",BK497/VLOOKUP($V497,Setup!$C$30:$D$41,2,0),"")</f>
        <v/>
      </c>
      <c r="BM497" s="268"/>
      <c r="BN497" s="258" t="str">
        <f t="shared" si="240"/>
        <v/>
      </c>
      <c r="BO497" s="268"/>
      <c r="BP497" s="258" t="str">
        <f t="shared" si="241"/>
        <v/>
      </c>
      <c r="BQ497" s="268"/>
      <c r="BR497" s="258" t="str">
        <f t="shared" si="242"/>
        <v/>
      </c>
      <c r="BS497" s="268"/>
      <c r="BT497" s="256" t="str">
        <f t="shared" si="243"/>
        <v/>
      </c>
      <c r="BU497" s="256" t="str">
        <f t="shared" si="244"/>
        <v/>
      </c>
      <c r="BV497" s="256" t="str">
        <f t="shared" si="245"/>
        <v/>
      </c>
      <c r="BW497" s="267"/>
      <c r="BX497" s="256" t="str">
        <f t="shared" si="246"/>
        <v/>
      </c>
      <c r="BY497" s="256" t="str">
        <f t="shared" si="247"/>
        <v/>
      </c>
      <c r="BZ497" s="281"/>
      <c r="CA497" s="282"/>
      <c r="CC497" s="112" t="str">
        <f t="shared" ca="1" si="248"/>
        <v/>
      </c>
      <c r="CF497" s="284"/>
      <c r="CG497" s="284"/>
      <c r="CH497" s="284"/>
      <c r="CI497" s="284"/>
      <c r="CL497" s="356" t="str">
        <f>IFERROR(VLOOKUP(C497,'Data Sheet'!$A$3:$B$26,2,FALSE),"")</f>
        <v/>
      </c>
    </row>
    <row r="498" spans="1:90" s="98" customFormat="1" ht="15.75" x14ac:dyDescent="0.2">
      <c r="A498" s="97"/>
      <c r="B498" s="105" t="str">
        <f t="shared" si="251"/>
        <v>--</v>
      </c>
      <c r="C498" s="276"/>
      <c r="D498" s="101" t="str">
        <f>IFERROR(IF(VLOOKUP(C498,'Data Sheet'!$A$3:$D$26,4,FALSE)=0,"",VLOOKUP(C498,'Data Sheet'!$A$3:$D$26,4,FALSE)),"")</f>
        <v/>
      </c>
      <c r="E498" s="279"/>
      <c r="F498" s="103" t="str">
        <f>IFERROR(IF(VLOOKUP(E498,'Data Sheet'!$C$29:$E$174,3,FALSE)=0,"",VLOOKUP(E498,'Data Sheet'!$C$29:$E$174,3,FALSE)),"")</f>
        <v/>
      </c>
      <c r="G498" s="106" t="str">
        <f t="shared" si="249"/>
        <v>-</v>
      </c>
      <c r="H498" s="273"/>
      <c r="I498" s="107"/>
      <c r="J498" s="249" t="e">
        <f t="shared" si="250"/>
        <v>#VALUE!</v>
      </c>
      <c r="K498" s="101" t="str">
        <f>IFERROR(INDEX('Data Sheet'!$C$198:$C$275,MATCH(I498,'Data Sheet'!$F$198:$F$275,0)),"")</f>
        <v/>
      </c>
      <c r="L498" s="250" t="str">
        <f>IFERROR(INDEX('Data Sheet'!$G$198:$G$275,MATCH(I498,'Data Sheet'!$F$198:$F$275,0)),"")</f>
        <v/>
      </c>
      <c r="M498" s="194"/>
      <c r="N498" s="248"/>
      <c r="O498" s="248"/>
      <c r="P498" s="108" t="str">
        <f>IFERROR(INDEX(Setup!$D$44:$D$70,MATCH(M498,Setup!$K$44:$K$70,0))&amp;"","")</f>
        <v/>
      </c>
      <c r="Q498" s="108" t="str">
        <f>IFERROR(INDEX(Setup!$E$44:$E$70,MATCH(M498,Setup!$K$44:$K$70,0))&amp;"","")</f>
        <v/>
      </c>
      <c r="R498" s="108" t="str">
        <f>IFERROR(INDEX(Setup!$L$44:$L$70,MATCH(M498,Setup!$K$44:$K$70,0))&amp;"","")</f>
        <v/>
      </c>
      <c r="S498" s="108" t="str">
        <f>Setup!$C$30</f>
        <v>USD</v>
      </c>
      <c r="T498" s="109" t="str">
        <f>IFERROR(INDEX('Data Sheet'!$B$198:$B$275,MATCH(I498,'Data Sheet'!$F$198:$F$275,0)),"")</f>
        <v/>
      </c>
      <c r="U498" s="110" t="str">
        <f>IFERROR(INDEX('Data Sheet'!$D$198:$D$275,MATCH(I498,'Data Sheet'!$F$198:$F$275,0)),"")</f>
        <v/>
      </c>
      <c r="V498" s="99"/>
      <c r="W498" s="195" t="str">
        <f>IF(V498=Setup!$C$30,"Grant",IF(V498=Setup!$C$31,"Local",IF(V498=Setup!$C$32,"Other",IF(ISBLANK(V498),"","Other"))))</f>
        <v/>
      </c>
      <c r="X498" s="255"/>
      <c r="Y498" s="259" t="str">
        <f>IF(X498&lt;&gt;"",X498/VLOOKUP($V498,Setup!$C$30:$D$41,2,0),"")</f>
        <v/>
      </c>
      <c r="Z498" s="262"/>
      <c r="AA498" s="256" t="str">
        <f t="shared" si="222"/>
        <v/>
      </c>
      <c r="AB498" s="262"/>
      <c r="AC498" s="258" t="str">
        <f t="shared" si="223"/>
        <v/>
      </c>
      <c r="AD498" s="262"/>
      <c r="AE498" s="258" t="str">
        <f t="shared" si="224"/>
        <v/>
      </c>
      <c r="AF498" s="262"/>
      <c r="AG498" s="256" t="str">
        <f t="shared" si="225"/>
        <v/>
      </c>
      <c r="AH498" s="256" t="str">
        <f t="shared" si="226"/>
        <v/>
      </c>
      <c r="AI498" s="256" t="str">
        <f t="shared" si="227"/>
        <v/>
      </c>
      <c r="AJ498" s="111"/>
      <c r="AK498" s="255"/>
      <c r="AL498" s="259" t="str">
        <f>IF(AK498&lt;&gt;"",AK498/VLOOKUP($V498,Setup!$C$30:$D$41,2,0),"")</f>
        <v/>
      </c>
      <c r="AM498" s="266"/>
      <c r="AN498" s="258" t="str">
        <f t="shared" si="228"/>
        <v/>
      </c>
      <c r="AO498" s="266"/>
      <c r="AP498" s="258" t="str">
        <f t="shared" si="229"/>
        <v/>
      </c>
      <c r="AQ498" s="266"/>
      <c r="AR498" s="258" t="str">
        <f t="shared" si="230"/>
        <v/>
      </c>
      <c r="AS498" s="266"/>
      <c r="AT498" s="256" t="str">
        <f t="shared" si="231"/>
        <v/>
      </c>
      <c r="AU498" s="256" t="str">
        <f t="shared" si="232"/>
        <v/>
      </c>
      <c r="AV498" s="256" t="str">
        <f t="shared" si="233"/>
        <v/>
      </c>
      <c r="AW498" s="267"/>
      <c r="AX498" s="255"/>
      <c r="AY498" s="259" t="str">
        <f>IF(AX498&lt;&gt;"",AX498/VLOOKUP($V498,Setup!$C$30:$D$41,2,0),"")</f>
        <v/>
      </c>
      <c r="AZ498" s="268"/>
      <c r="BA498" s="258" t="str">
        <f t="shared" si="234"/>
        <v/>
      </c>
      <c r="BB498" s="268"/>
      <c r="BC498" s="258" t="str">
        <f t="shared" si="235"/>
        <v/>
      </c>
      <c r="BD498" s="268"/>
      <c r="BE498" s="258" t="str">
        <f t="shared" si="236"/>
        <v/>
      </c>
      <c r="BF498" s="268"/>
      <c r="BG498" s="256" t="str">
        <f t="shared" si="237"/>
        <v/>
      </c>
      <c r="BH498" s="256" t="str">
        <f t="shared" si="238"/>
        <v/>
      </c>
      <c r="BI498" s="256" t="str">
        <f t="shared" si="239"/>
        <v/>
      </c>
      <c r="BJ498" s="267"/>
      <c r="BK498" s="255"/>
      <c r="BL498" s="259" t="str">
        <f>IF(BK498&lt;&gt;"",BK498/VLOOKUP($V498,Setup!$C$30:$D$41,2,0),"")</f>
        <v/>
      </c>
      <c r="BM498" s="268"/>
      <c r="BN498" s="258" t="str">
        <f t="shared" si="240"/>
        <v/>
      </c>
      <c r="BO498" s="268"/>
      <c r="BP498" s="258" t="str">
        <f t="shared" si="241"/>
        <v/>
      </c>
      <c r="BQ498" s="268"/>
      <c r="BR498" s="258" t="str">
        <f t="shared" si="242"/>
        <v/>
      </c>
      <c r="BS498" s="268"/>
      <c r="BT498" s="256" t="str">
        <f t="shared" si="243"/>
        <v/>
      </c>
      <c r="BU498" s="256" t="str">
        <f t="shared" si="244"/>
        <v/>
      </c>
      <c r="BV498" s="256" t="str">
        <f t="shared" si="245"/>
        <v/>
      </c>
      <c r="BW498" s="267"/>
      <c r="BX498" s="256" t="str">
        <f t="shared" si="246"/>
        <v/>
      </c>
      <c r="BY498" s="256" t="str">
        <f t="shared" si="247"/>
        <v/>
      </c>
      <c r="BZ498" s="281"/>
      <c r="CA498" s="282"/>
      <c r="CC498" s="112" t="str">
        <f t="shared" ca="1" si="248"/>
        <v/>
      </c>
      <c r="CF498" s="284"/>
      <c r="CG498" s="284"/>
      <c r="CH498" s="284"/>
      <c r="CI498" s="284"/>
      <c r="CL498" s="356" t="str">
        <f>IFERROR(VLOOKUP(C498,'Data Sheet'!$A$3:$B$26,2,FALSE),"")</f>
        <v/>
      </c>
    </row>
    <row r="499" spans="1:90" s="98" customFormat="1" ht="15.75" x14ac:dyDescent="0.2">
      <c r="A499" s="97"/>
      <c r="B499" s="105" t="str">
        <f t="shared" si="251"/>
        <v>--</v>
      </c>
      <c r="C499" s="276"/>
      <c r="D499" s="101" t="str">
        <f>IFERROR(IF(VLOOKUP(C499,'Data Sheet'!$A$3:$D$26,4,FALSE)=0,"",VLOOKUP(C499,'Data Sheet'!$A$3:$D$26,4,FALSE)),"")</f>
        <v/>
      </c>
      <c r="E499" s="279"/>
      <c r="F499" s="103" t="str">
        <f>IFERROR(IF(VLOOKUP(E499,'Data Sheet'!$C$29:$E$174,3,FALSE)=0,"",VLOOKUP(E499,'Data Sheet'!$C$29:$E$174,3,FALSE)),"")</f>
        <v/>
      </c>
      <c r="G499" s="106" t="str">
        <f t="shared" si="249"/>
        <v>-</v>
      </c>
      <c r="H499" s="273"/>
      <c r="I499" s="107"/>
      <c r="J499" s="249" t="e">
        <f t="shared" si="250"/>
        <v>#VALUE!</v>
      </c>
      <c r="K499" s="101" t="str">
        <f>IFERROR(INDEX('Data Sheet'!$C$198:$C$275,MATCH(I499,'Data Sheet'!$F$198:$F$275,0)),"")</f>
        <v/>
      </c>
      <c r="L499" s="250" t="str">
        <f>IFERROR(INDEX('Data Sheet'!$G$198:$G$275,MATCH(I499,'Data Sheet'!$F$198:$F$275,0)),"")</f>
        <v/>
      </c>
      <c r="M499" s="194"/>
      <c r="N499" s="248"/>
      <c r="O499" s="248"/>
      <c r="P499" s="108" t="str">
        <f>IFERROR(INDEX(Setup!$D$44:$D$70,MATCH(M499,Setup!$K$44:$K$70,0))&amp;"","")</f>
        <v/>
      </c>
      <c r="Q499" s="108" t="str">
        <f>IFERROR(INDEX(Setup!$E$44:$E$70,MATCH(M499,Setup!$K$44:$K$70,0))&amp;"","")</f>
        <v/>
      </c>
      <c r="R499" s="108" t="str">
        <f>IFERROR(INDEX(Setup!$L$44:$L$70,MATCH(M499,Setup!$K$44:$K$70,0))&amp;"","")</f>
        <v/>
      </c>
      <c r="S499" s="108" t="str">
        <f>Setup!$C$30</f>
        <v>USD</v>
      </c>
      <c r="T499" s="109" t="str">
        <f>IFERROR(INDEX('Data Sheet'!$B$198:$B$275,MATCH(I499,'Data Sheet'!$F$198:$F$275,0)),"")</f>
        <v/>
      </c>
      <c r="U499" s="110" t="str">
        <f>IFERROR(INDEX('Data Sheet'!$D$198:$D$275,MATCH(I499,'Data Sheet'!$F$198:$F$275,0)),"")</f>
        <v/>
      </c>
      <c r="V499" s="99"/>
      <c r="W499" s="195" t="str">
        <f>IF(V499=Setup!$C$30,"Grant",IF(V499=Setup!$C$31,"Local",IF(V499=Setup!$C$32,"Other",IF(ISBLANK(V499),"","Other"))))</f>
        <v/>
      </c>
      <c r="X499" s="255"/>
      <c r="Y499" s="259" t="str">
        <f>IF(X499&lt;&gt;"",X499/VLOOKUP($V499,Setup!$C$30:$D$41,2,0),"")</f>
        <v/>
      </c>
      <c r="Z499" s="262"/>
      <c r="AA499" s="256" t="str">
        <f t="shared" si="222"/>
        <v/>
      </c>
      <c r="AB499" s="262"/>
      <c r="AC499" s="258" t="str">
        <f t="shared" si="223"/>
        <v/>
      </c>
      <c r="AD499" s="262"/>
      <c r="AE499" s="258" t="str">
        <f t="shared" si="224"/>
        <v/>
      </c>
      <c r="AF499" s="262"/>
      <c r="AG499" s="256" t="str">
        <f t="shared" si="225"/>
        <v/>
      </c>
      <c r="AH499" s="256" t="str">
        <f t="shared" si="226"/>
        <v/>
      </c>
      <c r="AI499" s="256" t="str">
        <f t="shared" si="227"/>
        <v/>
      </c>
      <c r="AJ499" s="111"/>
      <c r="AK499" s="255"/>
      <c r="AL499" s="259" t="str">
        <f>IF(AK499&lt;&gt;"",AK499/VLOOKUP($V499,Setup!$C$30:$D$41,2,0),"")</f>
        <v/>
      </c>
      <c r="AM499" s="266"/>
      <c r="AN499" s="258" t="str">
        <f t="shared" si="228"/>
        <v/>
      </c>
      <c r="AO499" s="266"/>
      <c r="AP499" s="258" t="str">
        <f t="shared" si="229"/>
        <v/>
      </c>
      <c r="AQ499" s="266"/>
      <c r="AR499" s="258" t="str">
        <f t="shared" si="230"/>
        <v/>
      </c>
      <c r="AS499" s="266"/>
      <c r="AT499" s="256" t="str">
        <f t="shared" si="231"/>
        <v/>
      </c>
      <c r="AU499" s="256" t="str">
        <f t="shared" si="232"/>
        <v/>
      </c>
      <c r="AV499" s="256" t="str">
        <f t="shared" si="233"/>
        <v/>
      </c>
      <c r="AW499" s="267"/>
      <c r="AX499" s="255"/>
      <c r="AY499" s="259" t="str">
        <f>IF(AX499&lt;&gt;"",AX499/VLOOKUP($V499,Setup!$C$30:$D$41,2,0),"")</f>
        <v/>
      </c>
      <c r="AZ499" s="268"/>
      <c r="BA499" s="258" t="str">
        <f t="shared" si="234"/>
        <v/>
      </c>
      <c r="BB499" s="268"/>
      <c r="BC499" s="258" t="str">
        <f t="shared" si="235"/>
        <v/>
      </c>
      <c r="BD499" s="268"/>
      <c r="BE499" s="258" t="str">
        <f t="shared" si="236"/>
        <v/>
      </c>
      <c r="BF499" s="268"/>
      <c r="BG499" s="256" t="str">
        <f t="shared" si="237"/>
        <v/>
      </c>
      <c r="BH499" s="256" t="str">
        <f t="shared" si="238"/>
        <v/>
      </c>
      <c r="BI499" s="256" t="str">
        <f t="shared" si="239"/>
        <v/>
      </c>
      <c r="BJ499" s="267"/>
      <c r="BK499" s="255"/>
      <c r="BL499" s="259" t="str">
        <f>IF(BK499&lt;&gt;"",BK499/VLOOKUP($V499,Setup!$C$30:$D$41,2,0),"")</f>
        <v/>
      </c>
      <c r="BM499" s="268"/>
      <c r="BN499" s="258" t="str">
        <f t="shared" si="240"/>
        <v/>
      </c>
      <c r="BO499" s="268"/>
      <c r="BP499" s="258" t="str">
        <f t="shared" si="241"/>
        <v/>
      </c>
      <c r="BQ499" s="268"/>
      <c r="BR499" s="258" t="str">
        <f t="shared" si="242"/>
        <v/>
      </c>
      <c r="BS499" s="268"/>
      <c r="BT499" s="256" t="str">
        <f t="shared" si="243"/>
        <v/>
      </c>
      <c r="BU499" s="256" t="str">
        <f t="shared" si="244"/>
        <v/>
      </c>
      <c r="BV499" s="256" t="str">
        <f t="shared" si="245"/>
        <v/>
      </c>
      <c r="BW499" s="267"/>
      <c r="BX499" s="256" t="str">
        <f t="shared" si="246"/>
        <v/>
      </c>
      <c r="BY499" s="256" t="str">
        <f t="shared" si="247"/>
        <v/>
      </c>
      <c r="BZ499" s="281"/>
      <c r="CA499" s="282"/>
      <c r="CC499" s="112" t="str">
        <f t="shared" ca="1" si="248"/>
        <v/>
      </c>
      <c r="CF499" s="284"/>
      <c r="CG499" s="284"/>
      <c r="CH499" s="284"/>
      <c r="CI499" s="284"/>
      <c r="CL499" s="356" t="str">
        <f>IFERROR(VLOOKUP(C499,'Data Sheet'!$A$3:$B$26,2,FALSE),"")</f>
        <v/>
      </c>
    </row>
    <row r="500" spans="1:90" s="98" customFormat="1" ht="15.75" x14ac:dyDescent="0.2">
      <c r="A500" s="97"/>
      <c r="B500" s="105" t="str">
        <f t="shared" si="251"/>
        <v>--</v>
      </c>
      <c r="C500" s="276"/>
      <c r="D500" s="101" t="str">
        <f>IFERROR(IF(VLOOKUP(C500,'Data Sheet'!$A$3:$D$26,4,FALSE)=0,"",VLOOKUP(C500,'Data Sheet'!$A$3:$D$26,4,FALSE)),"")</f>
        <v/>
      </c>
      <c r="E500" s="279"/>
      <c r="F500" s="103" t="str">
        <f>IFERROR(IF(VLOOKUP(E500,'Data Sheet'!$C$29:$E$174,3,FALSE)=0,"",VLOOKUP(E500,'Data Sheet'!$C$29:$E$174,3,FALSE)),"")</f>
        <v/>
      </c>
      <c r="G500" s="106" t="str">
        <f t="shared" si="249"/>
        <v>-</v>
      </c>
      <c r="H500" s="273"/>
      <c r="I500" s="107"/>
      <c r="J500" s="249" t="e">
        <f t="shared" si="250"/>
        <v>#VALUE!</v>
      </c>
      <c r="K500" s="101" t="str">
        <f>IFERROR(INDEX('Data Sheet'!$C$198:$C$275,MATCH(I500,'Data Sheet'!$F$198:$F$275,0)),"")</f>
        <v/>
      </c>
      <c r="L500" s="250" t="str">
        <f>IFERROR(INDEX('Data Sheet'!$G$198:$G$275,MATCH(I500,'Data Sheet'!$F$198:$F$275,0)),"")</f>
        <v/>
      </c>
      <c r="M500" s="194"/>
      <c r="N500" s="248"/>
      <c r="O500" s="248"/>
      <c r="P500" s="108" t="str">
        <f>IFERROR(INDEX(Setup!$D$44:$D$70,MATCH(M500,Setup!$K$44:$K$70,0))&amp;"","")</f>
        <v/>
      </c>
      <c r="Q500" s="108" t="str">
        <f>IFERROR(INDEX(Setup!$E$44:$E$70,MATCH(M500,Setup!$K$44:$K$70,0))&amp;"","")</f>
        <v/>
      </c>
      <c r="R500" s="108" t="str">
        <f>IFERROR(INDEX(Setup!$L$44:$L$70,MATCH(M500,Setup!$K$44:$K$70,0))&amp;"","")</f>
        <v/>
      </c>
      <c r="S500" s="108" t="str">
        <f>Setup!$C$30</f>
        <v>USD</v>
      </c>
      <c r="T500" s="109" t="str">
        <f>IFERROR(INDEX('Data Sheet'!$B$198:$B$275,MATCH(I500,'Data Sheet'!$F$198:$F$275,0)),"")</f>
        <v/>
      </c>
      <c r="U500" s="110" t="str">
        <f>IFERROR(INDEX('Data Sheet'!$D$198:$D$275,MATCH(I500,'Data Sheet'!$F$198:$F$275,0)),"")</f>
        <v/>
      </c>
      <c r="V500" s="99"/>
      <c r="W500" s="195" t="str">
        <f>IF(V500=Setup!$C$30,"Grant",IF(V500=Setup!$C$31,"Local",IF(V500=Setup!$C$32,"Other",IF(ISBLANK(V500),"","Other"))))</f>
        <v/>
      </c>
      <c r="X500" s="255"/>
      <c r="Y500" s="259" t="str">
        <f>IF(X500&lt;&gt;"",X500/VLOOKUP($V500,Setup!$C$30:$D$41,2,0),"")</f>
        <v/>
      </c>
      <c r="Z500" s="262"/>
      <c r="AA500" s="256" t="str">
        <f t="shared" si="222"/>
        <v/>
      </c>
      <c r="AB500" s="262"/>
      <c r="AC500" s="258" t="str">
        <f t="shared" si="223"/>
        <v/>
      </c>
      <c r="AD500" s="262"/>
      <c r="AE500" s="258" t="str">
        <f t="shared" si="224"/>
        <v/>
      </c>
      <c r="AF500" s="262"/>
      <c r="AG500" s="256" t="str">
        <f t="shared" si="225"/>
        <v/>
      </c>
      <c r="AH500" s="256" t="str">
        <f t="shared" si="226"/>
        <v/>
      </c>
      <c r="AI500" s="256" t="str">
        <f t="shared" si="227"/>
        <v/>
      </c>
      <c r="AJ500" s="111"/>
      <c r="AK500" s="255"/>
      <c r="AL500" s="259" t="str">
        <f>IF(AK500&lt;&gt;"",AK500/VLOOKUP($V500,Setup!$C$30:$D$41,2,0),"")</f>
        <v/>
      </c>
      <c r="AM500" s="266"/>
      <c r="AN500" s="258" t="str">
        <f t="shared" si="228"/>
        <v/>
      </c>
      <c r="AO500" s="266"/>
      <c r="AP500" s="258" t="str">
        <f t="shared" si="229"/>
        <v/>
      </c>
      <c r="AQ500" s="266"/>
      <c r="AR500" s="258" t="str">
        <f t="shared" si="230"/>
        <v/>
      </c>
      <c r="AS500" s="266"/>
      <c r="AT500" s="256" t="str">
        <f t="shared" si="231"/>
        <v/>
      </c>
      <c r="AU500" s="256" t="str">
        <f t="shared" si="232"/>
        <v/>
      </c>
      <c r="AV500" s="256" t="str">
        <f t="shared" si="233"/>
        <v/>
      </c>
      <c r="AW500" s="267"/>
      <c r="AX500" s="255"/>
      <c r="AY500" s="259" t="str">
        <f>IF(AX500&lt;&gt;"",AX500/VLOOKUP($V500,Setup!$C$30:$D$41,2,0),"")</f>
        <v/>
      </c>
      <c r="AZ500" s="268"/>
      <c r="BA500" s="258" t="str">
        <f t="shared" si="234"/>
        <v/>
      </c>
      <c r="BB500" s="268"/>
      <c r="BC500" s="258" t="str">
        <f t="shared" si="235"/>
        <v/>
      </c>
      <c r="BD500" s="268"/>
      <c r="BE500" s="258" t="str">
        <f t="shared" si="236"/>
        <v/>
      </c>
      <c r="BF500" s="268"/>
      <c r="BG500" s="256" t="str">
        <f t="shared" si="237"/>
        <v/>
      </c>
      <c r="BH500" s="256" t="str">
        <f t="shared" si="238"/>
        <v/>
      </c>
      <c r="BI500" s="256" t="str">
        <f t="shared" si="239"/>
        <v/>
      </c>
      <c r="BJ500" s="267"/>
      <c r="BK500" s="255"/>
      <c r="BL500" s="259" t="str">
        <f>IF(BK500&lt;&gt;"",BK500/VLOOKUP($V500,Setup!$C$30:$D$41,2,0),"")</f>
        <v/>
      </c>
      <c r="BM500" s="268"/>
      <c r="BN500" s="258" t="str">
        <f t="shared" si="240"/>
        <v/>
      </c>
      <c r="BO500" s="268"/>
      <c r="BP500" s="258" t="str">
        <f t="shared" si="241"/>
        <v/>
      </c>
      <c r="BQ500" s="268"/>
      <c r="BR500" s="258" t="str">
        <f t="shared" si="242"/>
        <v/>
      </c>
      <c r="BS500" s="268"/>
      <c r="BT500" s="256" t="str">
        <f t="shared" si="243"/>
        <v/>
      </c>
      <c r="BU500" s="256" t="str">
        <f t="shared" si="244"/>
        <v/>
      </c>
      <c r="BV500" s="256" t="str">
        <f t="shared" si="245"/>
        <v/>
      </c>
      <c r="BW500" s="267"/>
      <c r="BX500" s="256" t="str">
        <f t="shared" si="246"/>
        <v/>
      </c>
      <c r="BY500" s="256" t="str">
        <f t="shared" si="247"/>
        <v/>
      </c>
      <c r="BZ500" s="281"/>
      <c r="CA500" s="282"/>
      <c r="CC500" s="112" t="str">
        <f t="shared" ca="1" si="248"/>
        <v/>
      </c>
      <c r="CF500" s="284"/>
      <c r="CG500" s="284"/>
      <c r="CH500" s="284"/>
      <c r="CI500" s="284"/>
      <c r="CL500" s="356" t="str">
        <f>IFERROR(VLOOKUP(C500,'Data Sheet'!$A$3:$B$26,2,FALSE),"")</f>
        <v/>
      </c>
    </row>
    <row r="501" spans="1:90" s="98" customFormat="1" ht="15.75" x14ac:dyDescent="0.2">
      <c r="A501" s="97"/>
      <c r="B501" s="105" t="str">
        <f t="shared" si="251"/>
        <v>--</v>
      </c>
      <c r="C501" s="276"/>
      <c r="D501" s="101" t="str">
        <f>IFERROR(IF(VLOOKUP(C501,'Data Sheet'!$A$3:$D$26,4,FALSE)=0,"",VLOOKUP(C501,'Data Sheet'!$A$3:$D$26,4,FALSE)),"")</f>
        <v/>
      </c>
      <c r="E501" s="279"/>
      <c r="F501" s="103" t="str">
        <f>IFERROR(IF(VLOOKUP(E501,'Data Sheet'!$C$29:$E$174,3,FALSE)=0,"",VLOOKUP(E501,'Data Sheet'!$C$29:$E$174,3,FALSE)),"")</f>
        <v/>
      </c>
      <c r="G501" s="106" t="str">
        <f t="shared" si="249"/>
        <v>-</v>
      </c>
      <c r="H501" s="273"/>
      <c r="I501" s="107"/>
      <c r="J501" s="249" t="e">
        <f t="shared" si="250"/>
        <v>#VALUE!</v>
      </c>
      <c r="K501" s="101" t="str">
        <f>IFERROR(INDEX('Data Sheet'!$C$198:$C$275,MATCH(I501,'Data Sheet'!$F$198:$F$275,0)),"")</f>
        <v/>
      </c>
      <c r="L501" s="250" t="str">
        <f>IFERROR(INDEX('Data Sheet'!$G$198:$G$275,MATCH(I501,'Data Sheet'!$F$198:$F$275,0)),"")</f>
        <v/>
      </c>
      <c r="M501" s="194"/>
      <c r="N501" s="248"/>
      <c r="O501" s="248"/>
      <c r="P501" s="108" t="str">
        <f>IFERROR(INDEX(Setup!$D$44:$D$70,MATCH(M501,Setup!$K$44:$K$70,0))&amp;"","")</f>
        <v/>
      </c>
      <c r="Q501" s="108" t="str">
        <f>IFERROR(INDEX(Setup!$E$44:$E$70,MATCH(M501,Setup!$K$44:$K$70,0))&amp;"","")</f>
        <v/>
      </c>
      <c r="R501" s="108" t="str">
        <f>IFERROR(INDEX(Setup!$L$44:$L$70,MATCH(M501,Setup!$K$44:$K$70,0))&amp;"","")</f>
        <v/>
      </c>
      <c r="S501" s="108" t="str">
        <f>Setup!$C$30</f>
        <v>USD</v>
      </c>
      <c r="T501" s="109" t="str">
        <f>IFERROR(INDEX('Data Sheet'!$B$198:$B$275,MATCH(I501,'Data Sheet'!$F$198:$F$275,0)),"")</f>
        <v/>
      </c>
      <c r="U501" s="110" t="str">
        <f>IFERROR(INDEX('Data Sheet'!$D$198:$D$275,MATCH(I501,'Data Sheet'!$F$198:$F$275,0)),"")</f>
        <v/>
      </c>
      <c r="V501" s="99"/>
      <c r="W501" s="195" t="str">
        <f>IF(V501=Setup!$C$30,"Grant",IF(V501=Setup!$C$31,"Local",IF(V501=Setup!$C$32,"Other",IF(ISBLANK(V501),"","Other"))))</f>
        <v/>
      </c>
      <c r="X501" s="255"/>
      <c r="Y501" s="259" t="str">
        <f>IF(X501&lt;&gt;"",X501/VLOOKUP($V501,Setup!$C$30:$D$41,2,0),"")</f>
        <v/>
      </c>
      <c r="Z501" s="262"/>
      <c r="AA501" s="256" t="str">
        <f t="shared" si="222"/>
        <v/>
      </c>
      <c r="AB501" s="262"/>
      <c r="AC501" s="258" t="str">
        <f t="shared" si="223"/>
        <v/>
      </c>
      <c r="AD501" s="262"/>
      <c r="AE501" s="258" t="str">
        <f t="shared" si="224"/>
        <v/>
      </c>
      <c r="AF501" s="262"/>
      <c r="AG501" s="256" t="str">
        <f t="shared" si="225"/>
        <v/>
      </c>
      <c r="AH501" s="256" t="str">
        <f t="shared" si="226"/>
        <v/>
      </c>
      <c r="AI501" s="256" t="str">
        <f t="shared" si="227"/>
        <v/>
      </c>
      <c r="AJ501" s="111"/>
      <c r="AK501" s="255"/>
      <c r="AL501" s="259" t="str">
        <f>IF(AK501&lt;&gt;"",AK501/VLOOKUP($V501,Setup!$C$30:$D$41,2,0),"")</f>
        <v/>
      </c>
      <c r="AM501" s="266"/>
      <c r="AN501" s="258" t="str">
        <f t="shared" si="228"/>
        <v/>
      </c>
      <c r="AO501" s="266"/>
      <c r="AP501" s="258" t="str">
        <f t="shared" si="229"/>
        <v/>
      </c>
      <c r="AQ501" s="266"/>
      <c r="AR501" s="258" t="str">
        <f t="shared" si="230"/>
        <v/>
      </c>
      <c r="AS501" s="266"/>
      <c r="AT501" s="256" t="str">
        <f t="shared" si="231"/>
        <v/>
      </c>
      <c r="AU501" s="256" t="str">
        <f t="shared" si="232"/>
        <v/>
      </c>
      <c r="AV501" s="256" t="str">
        <f t="shared" si="233"/>
        <v/>
      </c>
      <c r="AW501" s="267"/>
      <c r="AX501" s="255"/>
      <c r="AY501" s="259" t="str">
        <f>IF(AX501&lt;&gt;"",AX501/VLOOKUP($V501,Setup!$C$30:$D$41,2,0),"")</f>
        <v/>
      </c>
      <c r="AZ501" s="268"/>
      <c r="BA501" s="258" t="str">
        <f t="shared" si="234"/>
        <v/>
      </c>
      <c r="BB501" s="268"/>
      <c r="BC501" s="258" t="str">
        <f t="shared" si="235"/>
        <v/>
      </c>
      <c r="BD501" s="268"/>
      <c r="BE501" s="258" t="str">
        <f t="shared" si="236"/>
        <v/>
      </c>
      <c r="BF501" s="268"/>
      <c r="BG501" s="256" t="str">
        <f t="shared" si="237"/>
        <v/>
      </c>
      <c r="BH501" s="256" t="str">
        <f t="shared" si="238"/>
        <v/>
      </c>
      <c r="BI501" s="256" t="str">
        <f t="shared" si="239"/>
        <v/>
      </c>
      <c r="BJ501" s="267"/>
      <c r="BK501" s="255"/>
      <c r="BL501" s="259" t="str">
        <f>IF(BK501&lt;&gt;"",BK501/VLOOKUP($V501,Setup!$C$30:$D$41,2,0),"")</f>
        <v/>
      </c>
      <c r="BM501" s="268"/>
      <c r="BN501" s="258" t="str">
        <f t="shared" si="240"/>
        <v/>
      </c>
      <c r="BO501" s="268"/>
      <c r="BP501" s="258" t="str">
        <f t="shared" si="241"/>
        <v/>
      </c>
      <c r="BQ501" s="268"/>
      <c r="BR501" s="258" t="str">
        <f t="shared" si="242"/>
        <v/>
      </c>
      <c r="BS501" s="268"/>
      <c r="BT501" s="256" t="str">
        <f t="shared" si="243"/>
        <v/>
      </c>
      <c r="BU501" s="256" t="str">
        <f t="shared" si="244"/>
        <v/>
      </c>
      <c r="BV501" s="256" t="str">
        <f t="shared" si="245"/>
        <v/>
      </c>
      <c r="BW501" s="267"/>
      <c r="BX501" s="256" t="str">
        <f t="shared" si="246"/>
        <v/>
      </c>
      <c r="BY501" s="256" t="str">
        <f t="shared" si="247"/>
        <v/>
      </c>
      <c r="BZ501" s="281"/>
      <c r="CA501" s="282"/>
      <c r="CC501" s="112" t="str">
        <f t="shared" ca="1" si="248"/>
        <v/>
      </c>
      <c r="CF501" s="284"/>
      <c r="CG501" s="284"/>
      <c r="CH501" s="284"/>
      <c r="CI501" s="284"/>
      <c r="CL501" s="356" t="str">
        <f>IFERROR(VLOOKUP(C501,'Data Sheet'!$A$3:$B$26,2,FALSE),"")</f>
        <v/>
      </c>
    </row>
    <row r="502" spans="1:90" s="98" customFormat="1" ht="15.75" x14ac:dyDescent="0.2">
      <c r="A502" s="97"/>
      <c r="B502" s="105" t="str">
        <f t="shared" si="251"/>
        <v>--</v>
      </c>
      <c r="C502" s="276"/>
      <c r="D502" s="101" t="str">
        <f>IFERROR(IF(VLOOKUP(C502,'Data Sheet'!$A$3:$D$26,4,FALSE)=0,"",VLOOKUP(C502,'Data Sheet'!$A$3:$D$26,4,FALSE)),"")</f>
        <v/>
      </c>
      <c r="E502" s="279"/>
      <c r="F502" s="103" t="str">
        <f>IFERROR(IF(VLOOKUP(E502,'Data Sheet'!$C$29:$E$174,3,FALSE)=0,"",VLOOKUP(E502,'Data Sheet'!$C$29:$E$174,3,FALSE)),"")</f>
        <v/>
      </c>
      <c r="G502" s="106" t="str">
        <f t="shared" si="249"/>
        <v>-</v>
      </c>
      <c r="H502" s="273"/>
      <c r="I502" s="107"/>
      <c r="J502" s="249" t="e">
        <f t="shared" si="250"/>
        <v>#VALUE!</v>
      </c>
      <c r="K502" s="101" t="str">
        <f>IFERROR(INDEX('Data Sheet'!$C$198:$C$275,MATCH(I502,'Data Sheet'!$F$198:$F$275,0)),"")</f>
        <v/>
      </c>
      <c r="L502" s="250" t="str">
        <f>IFERROR(INDEX('Data Sheet'!$G$198:$G$275,MATCH(I502,'Data Sheet'!$F$198:$F$275,0)),"")</f>
        <v/>
      </c>
      <c r="M502" s="194"/>
      <c r="N502" s="248"/>
      <c r="O502" s="248"/>
      <c r="P502" s="108" t="str">
        <f>IFERROR(INDEX(Setup!$D$44:$D$70,MATCH(M502,Setup!$K$44:$K$70,0))&amp;"","")</f>
        <v/>
      </c>
      <c r="Q502" s="108" t="str">
        <f>IFERROR(INDEX(Setup!$E$44:$E$70,MATCH(M502,Setup!$K$44:$K$70,0))&amp;"","")</f>
        <v/>
      </c>
      <c r="R502" s="108" t="str">
        <f>IFERROR(INDEX(Setup!$L$44:$L$70,MATCH(M502,Setup!$K$44:$K$70,0))&amp;"","")</f>
        <v/>
      </c>
      <c r="S502" s="108" t="str">
        <f>Setup!$C$30</f>
        <v>USD</v>
      </c>
      <c r="T502" s="109" t="str">
        <f>IFERROR(INDEX('Data Sheet'!$B$198:$B$275,MATCH(I502,'Data Sheet'!$F$198:$F$275,0)),"")</f>
        <v/>
      </c>
      <c r="U502" s="110" t="str">
        <f>IFERROR(INDEX('Data Sheet'!$D$198:$D$275,MATCH(I502,'Data Sheet'!$F$198:$F$275,0)),"")</f>
        <v/>
      </c>
      <c r="V502" s="99"/>
      <c r="W502" s="195" t="str">
        <f>IF(V502=Setup!$C$30,"Grant",IF(V502=Setup!$C$31,"Local",IF(V502=Setup!$C$32,"Other",IF(ISBLANK(V502),"","Other"))))</f>
        <v/>
      </c>
      <c r="X502" s="255"/>
      <c r="Y502" s="259" t="str">
        <f>IF(X502&lt;&gt;"",X502/VLOOKUP($V502,Setup!$C$30:$D$41,2,0),"")</f>
        <v/>
      </c>
      <c r="Z502" s="262"/>
      <c r="AA502" s="256" t="str">
        <f t="shared" si="222"/>
        <v/>
      </c>
      <c r="AB502" s="262"/>
      <c r="AC502" s="258" t="str">
        <f t="shared" si="223"/>
        <v/>
      </c>
      <c r="AD502" s="262"/>
      <c r="AE502" s="258" t="str">
        <f t="shared" si="224"/>
        <v/>
      </c>
      <c r="AF502" s="262"/>
      <c r="AG502" s="256" t="str">
        <f t="shared" si="225"/>
        <v/>
      </c>
      <c r="AH502" s="256" t="str">
        <f t="shared" si="226"/>
        <v/>
      </c>
      <c r="AI502" s="256" t="str">
        <f t="shared" si="227"/>
        <v/>
      </c>
      <c r="AJ502" s="111"/>
      <c r="AK502" s="255"/>
      <c r="AL502" s="259" t="str">
        <f>IF(AK502&lt;&gt;"",AK502/VLOOKUP($V502,Setup!$C$30:$D$41,2,0),"")</f>
        <v/>
      </c>
      <c r="AM502" s="266"/>
      <c r="AN502" s="258" t="str">
        <f t="shared" si="228"/>
        <v/>
      </c>
      <c r="AO502" s="266"/>
      <c r="AP502" s="258" t="str">
        <f t="shared" si="229"/>
        <v/>
      </c>
      <c r="AQ502" s="266"/>
      <c r="AR502" s="258" t="str">
        <f t="shared" si="230"/>
        <v/>
      </c>
      <c r="AS502" s="266"/>
      <c r="AT502" s="256" t="str">
        <f t="shared" si="231"/>
        <v/>
      </c>
      <c r="AU502" s="256" t="str">
        <f t="shared" si="232"/>
        <v/>
      </c>
      <c r="AV502" s="256" t="str">
        <f t="shared" si="233"/>
        <v/>
      </c>
      <c r="AW502" s="267"/>
      <c r="AX502" s="255"/>
      <c r="AY502" s="259" t="str">
        <f>IF(AX502&lt;&gt;"",AX502/VLOOKUP($V502,Setup!$C$30:$D$41,2,0),"")</f>
        <v/>
      </c>
      <c r="AZ502" s="268"/>
      <c r="BA502" s="258" t="str">
        <f t="shared" si="234"/>
        <v/>
      </c>
      <c r="BB502" s="268"/>
      <c r="BC502" s="258" t="str">
        <f t="shared" si="235"/>
        <v/>
      </c>
      <c r="BD502" s="268"/>
      <c r="BE502" s="258" t="str">
        <f t="shared" si="236"/>
        <v/>
      </c>
      <c r="BF502" s="268"/>
      <c r="BG502" s="256" t="str">
        <f t="shared" si="237"/>
        <v/>
      </c>
      <c r="BH502" s="256" t="str">
        <f t="shared" si="238"/>
        <v/>
      </c>
      <c r="BI502" s="256" t="str">
        <f t="shared" si="239"/>
        <v/>
      </c>
      <c r="BJ502" s="267"/>
      <c r="BK502" s="255"/>
      <c r="BL502" s="259" t="str">
        <f>IF(BK502&lt;&gt;"",BK502/VLOOKUP($V502,Setup!$C$30:$D$41,2,0),"")</f>
        <v/>
      </c>
      <c r="BM502" s="268"/>
      <c r="BN502" s="258" t="str">
        <f t="shared" si="240"/>
        <v/>
      </c>
      <c r="BO502" s="268"/>
      <c r="BP502" s="258" t="str">
        <f t="shared" si="241"/>
        <v/>
      </c>
      <c r="BQ502" s="268"/>
      <c r="BR502" s="258" t="str">
        <f t="shared" si="242"/>
        <v/>
      </c>
      <c r="BS502" s="268"/>
      <c r="BT502" s="256" t="str">
        <f t="shared" si="243"/>
        <v/>
      </c>
      <c r="BU502" s="256" t="str">
        <f t="shared" si="244"/>
        <v/>
      </c>
      <c r="BV502" s="256" t="str">
        <f t="shared" si="245"/>
        <v/>
      </c>
      <c r="BW502" s="267"/>
      <c r="BX502" s="256" t="str">
        <f t="shared" si="246"/>
        <v/>
      </c>
      <c r="BY502" s="256" t="str">
        <f t="shared" si="247"/>
        <v/>
      </c>
      <c r="BZ502" s="281"/>
      <c r="CA502" s="282"/>
      <c r="CC502" s="112" t="str">
        <f t="shared" ca="1" si="248"/>
        <v/>
      </c>
      <c r="CF502" s="284"/>
      <c r="CG502" s="284"/>
      <c r="CH502" s="284"/>
      <c r="CI502" s="284"/>
      <c r="CL502" s="356" t="str">
        <f>IFERROR(VLOOKUP(C502,'Data Sheet'!$A$3:$B$26,2,FALSE),"")</f>
        <v/>
      </c>
    </row>
    <row r="503" spans="1:90" s="98" customFormat="1" ht="15.75" x14ac:dyDescent="0.2">
      <c r="A503" s="97"/>
      <c r="B503" s="105" t="str">
        <f t="shared" si="251"/>
        <v>--</v>
      </c>
      <c r="C503" s="276"/>
      <c r="D503" s="101" t="str">
        <f>IFERROR(IF(VLOOKUP(C503,'Data Sheet'!$A$3:$D$26,4,FALSE)=0,"",VLOOKUP(C503,'Data Sheet'!$A$3:$D$26,4,FALSE)),"")</f>
        <v/>
      </c>
      <c r="E503" s="279"/>
      <c r="F503" s="103" t="str">
        <f>IFERROR(IF(VLOOKUP(E503,'Data Sheet'!$C$29:$E$174,3,FALSE)=0,"",VLOOKUP(E503,'Data Sheet'!$C$29:$E$174,3,FALSE)),"")</f>
        <v/>
      </c>
      <c r="G503" s="106" t="str">
        <f t="shared" si="249"/>
        <v>-</v>
      </c>
      <c r="H503" s="273"/>
      <c r="I503" s="107"/>
      <c r="J503" s="249" t="e">
        <f t="shared" si="250"/>
        <v>#VALUE!</v>
      </c>
      <c r="K503" s="101" t="str">
        <f>IFERROR(INDEX('Data Sheet'!$C$198:$C$275,MATCH(I503,'Data Sheet'!$F$198:$F$275,0)),"")</f>
        <v/>
      </c>
      <c r="L503" s="250" t="str">
        <f>IFERROR(INDEX('Data Sheet'!$G$198:$G$275,MATCH(I503,'Data Sheet'!$F$198:$F$275,0)),"")</f>
        <v/>
      </c>
      <c r="M503" s="194"/>
      <c r="N503" s="248"/>
      <c r="O503" s="248"/>
      <c r="P503" s="108" t="str">
        <f>IFERROR(INDEX(Setup!$D$44:$D$70,MATCH(M503,Setup!$K$44:$K$70,0))&amp;"","")</f>
        <v/>
      </c>
      <c r="Q503" s="108" t="str">
        <f>IFERROR(INDEX(Setup!$E$44:$E$70,MATCH(M503,Setup!$K$44:$K$70,0))&amp;"","")</f>
        <v/>
      </c>
      <c r="R503" s="108" t="str">
        <f>IFERROR(INDEX(Setup!$L$44:$L$70,MATCH(M503,Setup!$K$44:$K$70,0))&amp;"","")</f>
        <v/>
      </c>
      <c r="S503" s="108" t="str">
        <f>Setup!$C$30</f>
        <v>USD</v>
      </c>
      <c r="T503" s="109" t="str">
        <f>IFERROR(INDEX('Data Sheet'!$B$198:$B$275,MATCH(I503,'Data Sheet'!$F$198:$F$275,0)),"")</f>
        <v/>
      </c>
      <c r="U503" s="110" t="str">
        <f>IFERROR(INDEX('Data Sheet'!$D$198:$D$275,MATCH(I503,'Data Sheet'!$F$198:$F$275,0)),"")</f>
        <v/>
      </c>
      <c r="V503" s="99"/>
      <c r="W503" s="195" t="str">
        <f>IF(V503=Setup!$C$30,"Grant",IF(V503=Setup!$C$31,"Local",IF(V503=Setup!$C$32,"Other",IF(ISBLANK(V503),"","Other"))))</f>
        <v/>
      </c>
      <c r="X503" s="255"/>
      <c r="Y503" s="259" t="str">
        <f>IF(X503&lt;&gt;"",X503/VLOOKUP($V503,Setup!$C$30:$D$41,2,0),"")</f>
        <v/>
      </c>
      <c r="Z503" s="262"/>
      <c r="AA503" s="256" t="str">
        <f t="shared" si="222"/>
        <v/>
      </c>
      <c r="AB503" s="262"/>
      <c r="AC503" s="258" t="str">
        <f t="shared" si="223"/>
        <v/>
      </c>
      <c r="AD503" s="262"/>
      <c r="AE503" s="258" t="str">
        <f t="shared" si="224"/>
        <v/>
      </c>
      <c r="AF503" s="262"/>
      <c r="AG503" s="256" t="str">
        <f t="shared" si="225"/>
        <v/>
      </c>
      <c r="AH503" s="256" t="str">
        <f t="shared" si="226"/>
        <v/>
      </c>
      <c r="AI503" s="256" t="str">
        <f t="shared" si="227"/>
        <v/>
      </c>
      <c r="AJ503" s="111"/>
      <c r="AK503" s="255"/>
      <c r="AL503" s="259" t="str">
        <f>IF(AK503&lt;&gt;"",AK503/VLOOKUP($V503,Setup!$C$30:$D$41,2,0),"")</f>
        <v/>
      </c>
      <c r="AM503" s="266"/>
      <c r="AN503" s="258" t="str">
        <f t="shared" si="228"/>
        <v/>
      </c>
      <c r="AO503" s="266"/>
      <c r="AP503" s="258" t="str">
        <f t="shared" si="229"/>
        <v/>
      </c>
      <c r="AQ503" s="266"/>
      <c r="AR503" s="258" t="str">
        <f t="shared" si="230"/>
        <v/>
      </c>
      <c r="AS503" s="266"/>
      <c r="AT503" s="256" t="str">
        <f t="shared" si="231"/>
        <v/>
      </c>
      <c r="AU503" s="256" t="str">
        <f t="shared" si="232"/>
        <v/>
      </c>
      <c r="AV503" s="256" t="str">
        <f t="shared" si="233"/>
        <v/>
      </c>
      <c r="AW503" s="267"/>
      <c r="AX503" s="255"/>
      <c r="AY503" s="259" t="str">
        <f>IF(AX503&lt;&gt;"",AX503/VLOOKUP($V503,Setup!$C$30:$D$41,2,0),"")</f>
        <v/>
      </c>
      <c r="AZ503" s="268"/>
      <c r="BA503" s="258" t="str">
        <f t="shared" si="234"/>
        <v/>
      </c>
      <c r="BB503" s="268"/>
      <c r="BC503" s="258" t="str">
        <f t="shared" si="235"/>
        <v/>
      </c>
      <c r="BD503" s="268"/>
      <c r="BE503" s="258" t="str">
        <f t="shared" si="236"/>
        <v/>
      </c>
      <c r="BF503" s="268"/>
      <c r="BG503" s="256" t="str">
        <f t="shared" si="237"/>
        <v/>
      </c>
      <c r="BH503" s="256" t="str">
        <f t="shared" si="238"/>
        <v/>
      </c>
      <c r="BI503" s="256" t="str">
        <f t="shared" si="239"/>
        <v/>
      </c>
      <c r="BJ503" s="267"/>
      <c r="BK503" s="255"/>
      <c r="BL503" s="259" t="str">
        <f>IF(BK503&lt;&gt;"",BK503/VLOOKUP($V503,Setup!$C$30:$D$41,2,0),"")</f>
        <v/>
      </c>
      <c r="BM503" s="268"/>
      <c r="BN503" s="258" t="str">
        <f t="shared" si="240"/>
        <v/>
      </c>
      <c r="BO503" s="268"/>
      <c r="BP503" s="258" t="str">
        <f t="shared" si="241"/>
        <v/>
      </c>
      <c r="BQ503" s="268"/>
      <c r="BR503" s="258" t="str">
        <f t="shared" si="242"/>
        <v/>
      </c>
      <c r="BS503" s="268"/>
      <c r="BT503" s="256" t="str">
        <f t="shared" si="243"/>
        <v/>
      </c>
      <c r="BU503" s="256" t="str">
        <f t="shared" si="244"/>
        <v/>
      </c>
      <c r="BV503" s="256" t="str">
        <f t="shared" si="245"/>
        <v/>
      </c>
      <c r="BW503" s="267"/>
      <c r="BX503" s="256" t="str">
        <f t="shared" si="246"/>
        <v/>
      </c>
      <c r="BY503" s="256" t="str">
        <f t="shared" si="247"/>
        <v/>
      </c>
      <c r="BZ503" s="281"/>
      <c r="CA503" s="282"/>
      <c r="CC503" s="112" t="str">
        <f t="shared" ca="1" si="248"/>
        <v/>
      </c>
      <c r="CF503" s="284"/>
      <c r="CG503" s="284"/>
      <c r="CH503" s="284"/>
      <c r="CI503" s="284"/>
      <c r="CL503" s="356" t="str">
        <f>IFERROR(VLOOKUP(C503,'Data Sheet'!$A$3:$B$26,2,FALSE),"")</f>
        <v/>
      </c>
    </row>
    <row r="504" spans="1:90" s="98" customFormat="1" ht="15.75" x14ac:dyDescent="0.2">
      <c r="A504" s="97"/>
      <c r="B504" s="105" t="str">
        <f t="shared" si="251"/>
        <v>--</v>
      </c>
      <c r="C504" s="276"/>
      <c r="D504" s="101" t="str">
        <f>IFERROR(IF(VLOOKUP(C504,'Data Sheet'!$A$3:$D$26,4,FALSE)=0,"",VLOOKUP(C504,'Data Sheet'!$A$3:$D$26,4,FALSE)),"")</f>
        <v/>
      </c>
      <c r="E504" s="279"/>
      <c r="F504" s="103" t="str">
        <f>IFERROR(IF(VLOOKUP(E504,'Data Sheet'!$C$29:$E$174,3,FALSE)=0,"",VLOOKUP(E504,'Data Sheet'!$C$29:$E$174,3,FALSE)),"")</f>
        <v/>
      </c>
      <c r="G504" s="106" t="str">
        <f t="shared" si="249"/>
        <v>-</v>
      </c>
      <c r="H504" s="273"/>
      <c r="I504" s="107"/>
      <c r="J504" s="249" t="e">
        <f t="shared" si="250"/>
        <v>#VALUE!</v>
      </c>
      <c r="K504" s="101" t="str">
        <f>IFERROR(INDEX('Data Sheet'!$C$198:$C$275,MATCH(I504,'Data Sheet'!$F$198:$F$275,0)),"")</f>
        <v/>
      </c>
      <c r="L504" s="250" t="str">
        <f>IFERROR(INDEX('Data Sheet'!$G$198:$G$275,MATCH(I504,'Data Sheet'!$F$198:$F$275,0)),"")</f>
        <v/>
      </c>
      <c r="M504" s="194"/>
      <c r="N504" s="248"/>
      <c r="O504" s="248"/>
      <c r="P504" s="108" t="str">
        <f>IFERROR(INDEX(Setup!$D$44:$D$70,MATCH(M504,Setup!$K$44:$K$70,0))&amp;"","")</f>
        <v/>
      </c>
      <c r="Q504" s="108" t="str">
        <f>IFERROR(INDEX(Setup!$E$44:$E$70,MATCH(M504,Setup!$K$44:$K$70,0))&amp;"","")</f>
        <v/>
      </c>
      <c r="R504" s="108" t="str">
        <f>IFERROR(INDEX(Setup!$L$44:$L$70,MATCH(M504,Setup!$K$44:$K$70,0))&amp;"","")</f>
        <v/>
      </c>
      <c r="S504" s="108" t="str">
        <f>Setup!$C$30</f>
        <v>USD</v>
      </c>
      <c r="T504" s="109" t="str">
        <f>IFERROR(INDEX('Data Sheet'!$B$198:$B$275,MATCH(I504,'Data Sheet'!$F$198:$F$275,0)),"")</f>
        <v/>
      </c>
      <c r="U504" s="110" t="str">
        <f>IFERROR(INDEX('Data Sheet'!$D$198:$D$275,MATCH(I504,'Data Sheet'!$F$198:$F$275,0)),"")</f>
        <v/>
      </c>
      <c r="V504" s="99"/>
      <c r="W504" s="195" t="str">
        <f>IF(V504=Setup!$C$30,"Grant",IF(V504=Setup!$C$31,"Local",IF(V504=Setup!$C$32,"Other",IF(ISBLANK(V504),"","Other"))))</f>
        <v/>
      </c>
      <c r="X504" s="255"/>
      <c r="Y504" s="259" t="str">
        <f>IF(X504&lt;&gt;"",X504/VLOOKUP($V504,Setup!$C$30:$D$41,2,0),"")</f>
        <v/>
      </c>
      <c r="Z504" s="262"/>
      <c r="AA504" s="256" t="str">
        <f t="shared" si="222"/>
        <v/>
      </c>
      <c r="AB504" s="262"/>
      <c r="AC504" s="258" t="str">
        <f t="shared" si="223"/>
        <v/>
      </c>
      <c r="AD504" s="262"/>
      <c r="AE504" s="258" t="str">
        <f t="shared" si="224"/>
        <v/>
      </c>
      <c r="AF504" s="262"/>
      <c r="AG504" s="256" t="str">
        <f t="shared" si="225"/>
        <v/>
      </c>
      <c r="AH504" s="256" t="str">
        <f t="shared" si="226"/>
        <v/>
      </c>
      <c r="AI504" s="256" t="str">
        <f t="shared" si="227"/>
        <v/>
      </c>
      <c r="AJ504" s="111"/>
      <c r="AK504" s="255"/>
      <c r="AL504" s="259" t="str">
        <f>IF(AK504&lt;&gt;"",AK504/VLOOKUP($V504,Setup!$C$30:$D$41,2,0),"")</f>
        <v/>
      </c>
      <c r="AM504" s="266"/>
      <c r="AN504" s="258" t="str">
        <f t="shared" si="228"/>
        <v/>
      </c>
      <c r="AO504" s="266"/>
      <c r="AP504" s="258" t="str">
        <f t="shared" si="229"/>
        <v/>
      </c>
      <c r="AQ504" s="266"/>
      <c r="AR504" s="258" t="str">
        <f t="shared" si="230"/>
        <v/>
      </c>
      <c r="AS504" s="266"/>
      <c r="AT504" s="256" t="str">
        <f t="shared" si="231"/>
        <v/>
      </c>
      <c r="AU504" s="256" t="str">
        <f t="shared" si="232"/>
        <v/>
      </c>
      <c r="AV504" s="256" t="str">
        <f t="shared" si="233"/>
        <v/>
      </c>
      <c r="AW504" s="267"/>
      <c r="AX504" s="255"/>
      <c r="AY504" s="259" t="str">
        <f>IF(AX504&lt;&gt;"",AX504/VLOOKUP($V504,Setup!$C$30:$D$41,2,0),"")</f>
        <v/>
      </c>
      <c r="AZ504" s="268"/>
      <c r="BA504" s="258" t="str">
        <f t="shared" si="234"/>
        <v/>
      </c>
      <c r="BB504" s="268"/>
      <c r="BC504" s="258" t="str">
        <f t="shared" si="235"/>
        <v/>
      </c>
      <c r="BD504" s="268"/>
      <c r="BE504" s="258" t="str">
        <f t="shared" si="236"/>
        <v/>
      </c>
      <c r="BF504" s="268"/>
      <c r="BG504" s="256" t="str">
        <f t="shared" si="237"/>
        <v/>
      </c>
      <c r="BH504" s="256" t="str">
        <f t="shared" si="238"/>
        <v/>
      </c>
      <c r="BI504" s="256" t="str">
        <f t="shared" si="239"/>
        <v/>
      </c>
      <c r="BJ504" s="267"/>
      <c r="BK504" s="255"/>
      <c r="BL504" s="259" t="str">
        <f>IF(BK504&lt;&gt;"",BK504/VLOOKUP($V504,Setup!$C$30:$D$41,2,0),"")</f>
        <v/>
      </c>
      <c r="BM504" s="268"/>
      <c r="BN504" s="258" t="str">
        <f t="shared" si="240"/>
        <v/>
      </c>
      <c r="BO504" s="268"/>
      <c r="BP504" s="258" t="str">
        <f t="shared" si="241"/>
        <v/>
      </c>
      <c r="BQ504" s="268"/>
      <c r="BR504" s="258" t="str">
        <f t="shared" si="242"/>
        <v/>
      </c>
      <c r="BS504" s="268"/>
      <c r="BT504" s="256" t="str">
        <f t="shared" si="243"/>
        <v/>
      </c>
      <c r="BU504" s="256" t="str">
        <f t="shared" si="244"/>
        <v/>
      </c>
      <c r="BV504" s="256" t="str">
        <f t="shared" si="245"/>
        <v/>
      </c>
      <c r="BW504" s="267"/>
      <c r="BX504" s="256" t="str">
        <f t="shared" si="246"/>
        <v/>
      </c>
      <c r="BY504" s="256" t="str">
        <f t="shared" si="247"/>
        <v/>
      </c>
      <c r="BZ504" s="281"/>
      <c r="CA504" s="282"/>
      <c r="CC504" s="112" t="str">
        <f t="shared" ca="1" si="248"/>
        <v/>
      </c>
      <c r="CF504" s="284"/>
      <c r="CG504" s="284"/>
      <c r="CH504" s="284"/>
      <c r="CI504" s="284"/>
      <c r="CL504" s="356" t="str">
        <f>IFERROR(VLOOKUP(C504,'Data Sheet'!$A$3:$B$26,2,FALSE),"")</f>
        <v/>
      </c>
    </row>
    <row r="505" spans="1:90" ht="15.75" x14ac:dyDescent="0.2">
      <c r="A505" s="97"/>
      <c r="B505" s="105" t="str">
        <f t="shared" si="251"/>
        <v>--</v>
      </c>
      <c r="C505" s="276"/>
      <c r="D505" s="101" t="str">
        <f>IFERROR(IF(VLOOKUP(C505,'Data Sheet'!$A$3:$D$26,4,FALSE)=0,"",VLOOKUP(C505,'Data Sheet'!$A$3:$D$26,4,FALSE)),"")</f>
        <v/>
      </c>
      <c r="E505" s="279"/>
      <c r="F505" s="103" t="str">
        <f>IFERROR(IF(VLOOKUP(E505,'Data Sheet'!$C$29:$E$174,3,FALSE)=0,"",VLOOKUP(E505,'Data Sheet'!$C$29:$E$174,3,FALSE)),"")</f>
        <v/>
      </c>
      <c r="G505" s="106" t="str">
        <f t="shared" si="249"/>
        <v>-</v>
      </c>
      <c r="H505" s="273"/>
      <c r="I505" s="107"/>
      <c r="J505" s="249" t="e">
        <f t="shared" si="250"/>
        <v>#VALUE!</v>
      </c>
      <c r="K505" s="101" t="str">
        <f>IFERROR(INDEX('Data Sheet'!$C$198:$C$275,MATCH(I505,'Data Sheet'!$F$198:$F$275,0)),"")</f>
        <v/>
      </c>
      <c r="L505" s="250" t="str">
        <f>IFERROR(INDEX('Data Sheet'!$G$198:$G$275,MATCH(I505,'Data Sheet'!$F$198:$F$275,0)),"")</f>
        <v/>
      </c>
      <c r="M505" s="194"/>
      <c r="N505" s="248"/>
      <c r="O505" s="248"/>
      <c r="P505" s="108" t="str">
        <f>IFERROR(INDEX(Setup!$D$44:$D$70,MATCH(M505,Setup!$K$44:$K$70,0))&amp;"","")</f>
        <v/>
      </c>
      <c r="Q505" s="108" t="str">
        <f>IFERROR(INDEX(Setup!$E$44:$E$70,MATCH(M505,Setup!$K$44:$K$70,0))&amp;"","")</f>
        <v/>
      </c>
      <c r="R505" s="108" t="str">
        <f>IFERROR(INDEX(Setup!$L$44:$L$70,MATCH(M505,Setup!$K$44:$K$70,0))&amp;"","")</f>
        <v/>
      </c>
      <c r="S505" s="108" t="str">
        <f>Setup!$C$30</f>
        <v>USD</v>
      </c>
      <c r="T505" s="109" t="str">
        <f>IFERROR(INDEX('Data Sheet'!$B$198:$B$275,MATCH(I505,'Data Sheet'!$F$198:$F$275,0)),"")</f>
        <v/>
      </c>
      <c r="U505" s="110" t="str">
        <f>IFERROR(INDEX('Data Sheet'!$D$198:$D$275,MATCH(I505,'Data Sheet'!$F$198:$F$275,0)),"")</f>
        <v/>
      </c>
      <c r="V505" s="99"/>
      <c r="W505" s="195" t="str">
        <f>IF(V505=Setup!$C$30,"Grant",IF(V505=Setup!$C$31,"Local",IF(V505=Setup!$C$32,"Other",IF(ISBLANK(V505),"","Other"))))</f>
        <v/>
      </c>
      <c r="X505" s="255"/>
      <c r="Y505" s="259" t="str">
        <f>IF(X505&lt;&gt;"",X505/VLOOKUP($V505,Setup!$C$30:$D$41,2,0),"")</f>
        <v/>
      </c>
      <c r="Z505" s="262"/>
      <c r="AA505" s="256" t="str">
        <f t="shared" si="222"/>
        <v/>
      </c>
      <c r="AB505" s="262"/>
      <c r="AC505" s="258" t="str">
        <f t="shared" si="223"/>
        <v/>
      </c>
      <c r="AD505" s="262"/>
      <c r="AE505" s="258" t="str">
        <f t="shared" si="224"/>
        <v/>
      </c>
      <c r="AF505" s="262"/>
      <c r="AG505" s="256" t="str">
        <f t="shared" si="225"/>
        <v/>
      </c>
      <c r="AH505" s="256" t="str">
        <f t="shared" si="226"/>
        <v/>
      </c>
      <c r="AI505" s="256" t="str">
        <f t="shared" si="227"/>
        <v/>
      </c>
      <c r="AJ505" s="111"/>
      <c r="AK505" s="255"/>
      <c r="AL505" s="259" t="str">
        <f>IF(AK505&lt;&gt;"",AK505/VLOOKUP($V505,Setup!$C$30:$D$41,2,0),"")</f>
        <v/>
      </c>
      <c r="AM505" s="266"/>
      <c r="AN505" s="258" t="str">
        <f t="shared" si="228"/>
        <v/>
      </c>
      <c r="AO505" s="266"/>
      <c r="AP505" s="258" t="str">
        <f t="shared" si="229"/>
        <v/>
      </c>
      <c r="AQ505" s="266"/>
      <c r="AR505" s="258" t="str">
        <f t="shared" si="230"/>
        <v/>
      </c>
      <c r="AS505" s="266"/>
      <c r="AT505" s="256" t="str">
        <f t="shared" si="231"/>
        <v/>
      </c>
      <c r="AU505" s="256" t="str">
        <f t="shared" si="232"/>
        <v/>
      </c>
      <c r="AV505" s="256" t="str">
        <f t="shared" si="233"/>
        <v/>
      </c>
      <c r="AW505" s="267"/>
      <c r="AX505" s="255"/>
      <c r="AY505" s="259" t="str">
        <f>IF(AX505&lt;&gt;"",AX505/VLOOKUP($V505,Setup!$C$30:$D$41,2,0),"")</f>
        <v/>
      </c>
      <c r="AZ505" s="268"/>
      <c r="BA505" s="258" t="str">
        <f t="shared" si="234"/>
        <v/>
      </c>
      <c r="BB505" s="268"/>
      <c r="BC505" s="258" t="str">
        <f t="shared" si="235"/>
        <v/>
      </c>
      <c r="BD505" s="268"/>
      <c r="BE505" s="258" t="str">
        <f t="shared" si="236"/>
        <v/>
      </c>
      <c r="BF505" s="268"/>
      <c r="BG505" s="256" t="str">
        <f t="shared" si="237"/>
        <v/>
      </c>
      <c r="BH505" s="256" t="str">
        <f t="shared" si="238"/>
        <v/>
      </c>
      <c r="BI505" s="256" t="str">
        <f t="shared" si="239"/>
        <v/>
      </c>
      <c r="BJ505" s="267"/>
      <c r="BK505" s="255"/>
      <c r="BL505" s="259" t="str">
        <f>IF(BK505&lt;&gt;"",BK505/VLOOKUP($V505,Setup!$C$30:$D$41,2,0),"")</f>
        <v/>
      </c>
      <c r="BM505" s="268"/>
      <c r="BN505" s="258" t="str">
        <f t="shared" si="240"/>
        <v/>
      </c>
      <c r="BO505" s="268"/>
      <c r="BP505" s="258" t="str">
        <f t="shared" si="241"/>
        <v/>
      </c>
      <c r="BQ505" s="268"/>
      <c r="BR505" s="258" t="str">
        <f t="shared" si="242"/>
        <v/>
      </c>
      <c r="BS505" s="268"/>
      <c r="BT505" s="256" t="str">
        <f t="shared" si="243"/>
        <v/>
      </c>
      <c r="BU505" s="256" t="str">
        <f t="shared" si="244"/>
        <v/>
      </c>
      <c r="BV505" s="256" t="str">
        <f t="shared" si="245"/>
        <v/>
      </c>
      <c r="BW505" s="267"/>
      <c r="BX505" s="256" t="str">
        <f t="shared" si="246"/>
        <v/>
      </c>
      <c r="BY505" s="256" t="str">
        <f t="shared" si="247"/>
        <v/>
      </c>
      <c r="BZ505" s="281"/>
      <c r="CA505" s="282"/>
      <c r="CF505" s="284"/>
      <c r="CG505" s="284"/>
      <c r="CH505" s="284"/>
      <c r="CI505" s="284"/>
      <c r="CL505" s="356" t="str">
        <f>IFERROR(VLOOKUP(C505,'Data Sheet'!$A$3:$B$26,2,FALSE),"")</f>
        <v/>
      </c>
    </row>
    <row r="506" spans="1:90" ht="15.75" x14ac:dyDescent="0.2">
      <c r="A506" s="97"/>
      <c r="B506" s="105" t="str">
        <f t="shared" si="251"/>
        <v>--</v>
      </c>
      <c r="C506" s="276"/>
      <c r="D506" s="101" t="str">
        <f>IFERROR(IF(VLOOKUP(C506,'Data Sheet'!$A$3:$D$26,4,FALSE)=0,"",VLOOKUP(C506,'Data Sheet'!$A$3:$D$26,4,FALSE)),"")</f>
        <v/>
      </c>
      <c r="E506" s="279"/>
      <c r="F506" s="103" t="str">
        <f>IFERROR(IF(VLOOKUP(E506,'Data Sheet'!$C$29:$E$174,3,FALSE)=0,"",VLOOKUP(E506,'Data Sheet'!$C$29:$E$174,3,FALSE)),"")</f>
        <v/>
      </c>
      <c r="G506" s="106" t="str">
        <f t="shared" si="249"/>
        <v>-</v>
      </c>
      <c r="H506" s="273"/>
      <c r="I506" s="107"/>
      <c r="J506" s="249" t="e">
        <f t="shared" si="250"/>
        <v>#VALUE!</v>
      </c>
      <c r="K506" s="101" t="str">
        <f>IFERROR(INDEX('Data Sheet'!$C$198:$C$275,MATCH(I506,'Data Sheet'!$F$198:$F$275,0)),"")</f>
        <v/>
      </c>
      <c r="L506" s="250" t="str">
        <f>IFERROR(INDEX('Data Sheet'!$G$198:$G$275,MATCH(I506,'Data Sheet'!$F$198:$F$275,0)),"")</f>
        <v/>
      </c>
      <c r="M506" s="194"/>
      <c r="N506" s="248"/>
      <c r="O506" s="248"/>
      <c r="P506" s="108" t="str">
        <f>IFERROR(INDEX(Setup!$D$44:$D$70,MATCH(M506,Setup!$K$44:$K$70,0))&amp;"","")</f>
        <v/>
      </c>
      <c r="Q506" s="108" t="str">
        <f>IFERROR(INDEX(Setup!$E$44:$E$70,MATCH(M506,Setup!$K$44:$K$70,0))&amp;"","")</f>
        <v/>
      </c>
      <c r="R506" s="108" t="str">
        <f>IFERROR(INDEX(Setup!$L$44:$L$70,MATCH(M506,Setup!$K$44:$K$70,0))&amp;"","")</f>
        <v/>
      </c>
      <c r="S506" s="108" t="str">
        <f>Setup!$C$30</f>
        <v>USD</v>
      </c>
      <c r="T506" s="109" t="str">
        <f>IFERROR(INDEX('Data Sheet'!$B$198:$B$275,MATCH(I506,'Data Sheet'!$F$198:$F$275,0)),"")</f>
        <v/>
      </c>
      <c r="U506" s="110" t="str">
        <f>IFERROR(INDEX('Data Sheet'!$D$198:$D$275,MATCH(I506,'Data Sheet'!$F$198:$F$275,0)),"")</f>
        <v/>
      </c>
      <c r="V506" s="99"/>
      <c r="W506" s="195" t="str">
        <f>IF(V506=Setup!$C$30,"Grant",IF(V506=Setup!$C$31,"Local",IF(V506=Setup!$C$32,"Other",IF(ISBLANK(V506),"","Other"))))</f>
        <v/>
      </c>
      <c r="X506" s="255"/>
      <c r="Y506" s="259" t="str">
        <f>IF(X506&lt;&gt;"",X506/VLOOKUP($V506,Setup!$C$30:$D$41,2,0),"")</f>
        <v/>
      </c>
      <c r="Z506" s="262"/>
      <c r="AA506" s="256" t="str">
        <f t="shared" si="222"/>
        <v/>
      </c>
      <c r="AB506" s="262"/>
      <c r="AC506" s="258" t="str">
        <f t="shared" si="223"/>
        <v/>
      </c>
      <c r="AD506" s="262"/>
      <c r="AE506" s="258" t="str">
        <f t="shared" si="224"/>
        <v/>
      </c>
      <c r="AF506" s="262"/>
      <c r="AG506" s="256" t="str">
        <f t="shared" si="225"/>
        <v/>
      </c>
      <c r="AH506" s="256" t="str">
        <f t="shared" si="226"/>
        <v/>
      </c>
      <c r="AI506" s="256" t="str">
        <f t="shared" si="227"/>
        <v/>
      </c>
      <c r="AJ506" s="111"/>
      <c r="AK506" s="255"/>
      <c r="AL506" s="259" t="str">
        <f>IF(AK506&lt;&gt;"",AK506/VLOOKUP($V506,Setup!$C$30:$D$41,2,0),"")</f>
        <v/>
      </c>
      <c r="AM506" s="266"/>
      <c r="AN506" s="258" t="str">
        <f t="shared" si="228"/>
        <v/>
      </c>
      <c r="AO506" s="266"/>
      <c r="AP506" s="258" t="str">
        <f t="shared" si="229"/>
        <v/>
      </c>
      <c r="AQ506" s="266"/>
      <c r="AR506" s="258" t="str">
        <f t="shared" si="230"/>
        <v/>
      </c>
      <c r="AS506" s="266"/>
      <c r="AT506" s="256" t="str">
        <f t="shared" si="231"/>
        <v/>
      </c>
      <c r="AU506" s="256" t="str">
        <f t="shared" si="232"/>
        <v/>
      </c>
      <c r="AV506" s="256" t="str">
        <f t="shared" si="233"/>
        <v/>
      </c>
      <c r="AW506" s="267"/>
      <c r="AX506" s="255"/>
      <c r="AY506" s="259" t="str">
        <f>IF(AX506&lt;&gt;"",AX506/VLOOKUP($V506,Setup!$C$30:$D$41,2,0),"")</f>
        <v/>
      </c>
      <c r="AZ506" s="268"/>
      <c r="BA506" s="258" t="str">
        <f t="shared" si="234"/>
        <v/>
      </c>
      <c r="BB506" s="268"/>
      <c r="BC506" s="258" t="str">
        <f t="shared" si="235"/>
        <v/>
      </c>
      <c r="BD506" s="268"/>
      <c r="BE506" s="258" t="str">
        <f t="shared" si="236"/>
        <v/>
      </c>
      <c r="BF506" s="268"/>
      <c r="BG506" s="256" t="str">
        <f t="shared" si="237"/>
        <v/>
      </c>
      <c r="BH506" s="256" t="str">
        <f t="shared" si="238"/>
        <v/>
      </c>
      <c r="BI506" s="256" t="str">
        <f t="shared" si="239"/>
        <v/>
      </c>
      <c r="BJ506" s="267"/>
      <c r="BK506" s="255"/>
      <c r="BL506" s="259" t="str">
        <f>IF(BK506&lt;&gt;"",BK506/VLOOKUP($V506,Setup!$C$30:$D$41,2,0),"")</f>
        <v/>
      </c>
      <c r="BM506" s="268"/>
      <c r="BN506" s="258" t="str">
        <f t="shared" si="240"/>
        <v/>
      </c>
      <c r="BO506" s="268"/>
      <c r="BP506" s="258" t="str">
        <f t="shared" si="241"/>
        <v/>
      </c>
      <c r="BQ506" s="268"/>
      <c r="BR506" s="258" t="str">
        <f t="shared" si="242"/>
        <v/>
      </c>
      <c r="BS506" s="268"/>
      <c r="BT506" s="256" t="str">
        <f t="shared" si="243"/>
        <v/>
      </c>
      <c r="BU506" s="256" t="str">
        <f t="shared" si="244"/>
        <v/>
      </c>
      <c r="BV506" s="256" t="str">
        <f t="shared" si="245"/>
        <v/>
      </c>
      <c r="BW506" s="267"/>
      <c r="BX506" s="256" t="str">
        <f t="shared" si="246"/>
        <v/>
      </c>
      <c r="BY506" s="256" t="str">
        <f t="shared" si="247"/>
        <v/>
      </c>
      <c r="BZ506" s="281"/>
      <c r="CA506" s="282"/>
      <c r="CF506" s="284"/>
      <c r="CG506" s="284"/>
      <c r="CH506" s="284"/>
      <c r="CI506" s="284"/>
      <c r="CL506" s="356" t="str">
        <f>IFERROR(VLOOKUP(C506,'Data Sheet'!$A$3:$B$26,2,FALSE),"")</f>
        <v/>
      </c>
    </row>
    <row r="507" spans="1:90" ht="15.75" x14ac:dyDescent="0.2">
      <c r="A507" s="97"/>
      <c r="B507" s="105" t="str">
        <f t="shared" si="251"/>
        <v>--</v>
      </c>
      <c r="C507" s="276"/>
      <c r="D507" s="101" t="str">
        <f>IFERROR(IF(VLOOKUP(C507,'Data Sheet'!$A$3:$D$26,4,FALSE)=0,"",VLOOKUP(C507,'Data Sheet'!$A$3:$D$26,4,FALSE)),"")</f>
        <v/>
      </c>
      <c r="E507" s="279"/>
      <c r="F507" s="103" t="str">
        <f>IFERROR(IF(VLOOKUP(E507,'Data Sheet'!$C$29:$E$174,3,FALSE)=0,"",VLOOKUP(E507,'Data Sheet'!$C$29:$E$174,3,FALSE)),"")</f>
        <v/>
      </c>
      <c r="G507" s="106" t="str">
        <f t="shared" si="249"/>
        <v>-</v>
      </c>
      <c r="H507" s="273"/>
      <c r="I507" s="107"/>
      <c r="J507" s="249" t="e">
        <f t="shared" si="250"/>
        <v>#VALUE!</v>
      </c>
      <c r="K507" s="101" t="str">
        <f>IFERROR(INDEX('Data Sheet'!$C$198:$C$275,MATCH(I507,'Data Sheet'!$F$198:$F$275,0)),"")</f>
        <v/>
      </c>
      <c r="L507" s="250" t="str">
        <f>IFERROR(INDEX('Data Sheet'!$G$198:$G$275,MATCH(I507,'Data Sheet'!$F$198:$F$275,0)),"")</f>
        <v/>
      </c>
      <c r="M507" s="194"/>
      <c r="N507" s="248"/>
      <c r="O507" s="248"/>
      <c r="P507" s="108" t="str">
        <f>IFERROR(INDEX(Setup!$D$44:$D$70,MATCH(M507,Setup!$K$44:$K$70,0))&amp;"","")</f>
        <v/>
      </c>
      <c r="Q507" s="108" t="str">
        <f>IFERROR(INDEX(Setup!$E$44:$E$70,MATCH(M507,Setup!$K$44:$K$70,0))&amp;"","")</f>
        <v/>
      </c>
      <c r="R507" s="108" t="str">
        <f>IFERROR(INDEX(Setup!$L$44:$L$70,MATCH(M507,Setup!$K$44:$K$70,0))&amp;"","")</f>
        <v/>
      </c>
      <c r="S507" s="108" t="str">
        <f>Setup!$C$30</f>
        <v>USD</v>
      </c>
      <c r="T507" s="109" t="str">
        <f>IFERROR(INDEX('Data Sheet'!$B$198:$B$275,MATCH(I507,'Data Sheet'!$F$198:$F$275,0)),"")</f>
        <v/>
      </c>
      <c r="U507" s="110" t="str">
        <f>IFERROR(INDEX('Data Sheet'!$D$198:$D$275,MATCH(I507,'Data Sheet'!$F$198:$F$275,0)),"")</f>
        <v/>
      </c>
      <c r="V507" s="99"/>
      <c r="W507" s="195" t="str">
        <f>IF(V507=Setup!$C$30,"Grant",IF(V507=Setup!$C$31,"Local",IF(V507=Setup!$C$32,"Other",IF(ISBLANK(V507),"","Other"))))</f>
        <v/>
      </c>
      <c r="X507" s="255"/>
      <c r="Y507" s="259" t="str">
        <f>IF(X507&lt;&gt;"",X507/VLOOKUP($V507,Setup!$C$30:$D$41,2,0),"")</f>
        <v/>
      </c>
      <c r="Z507" s="262"/>
      <c r="AA507" s="256" t="str">
        <f t="shared" si="222"/>
        <v/>
      </c>
      <c r="AB507" s="262"/>
      <c r="AC507" s="258" t="str">
        <f t="shared" si="223"/>
        <v/>
      </c>
      <c r="AD507" s="262"/>
      <c r="AE507" s="258" t="str">
        <f t="shared" si="224"/>
        <v/>
      </c>
      <c r="AF507" s="262"/>
      <c r="AG507" s="256" t="str">
        <f t="shared" si="225"/>
        <v/>
      </c>
      <c r="AH507" s="256" t="str">
        <f t="shared" si="226"/>
        <v/>
      </c>
      <c r="AI507" s="256" t="str">
        <f t="shared" si="227"/>
        <v/>
      </c>
      <c r="AJ507" s="111"/>
      <c r="AK507" s="255"/>
      <c r="AL507" s="259" t="str">
        <f>IF(AK507&lt;&gt;"",AK507/VLOOKUP($V507,Setup!$C$30:$D$41,2,0),"")</f>
        <v/>
      </c>
      <c r="AM507" s="266"/>
      <c r="AN507" s="258" t="str">
        <f t="shared" si="228"/>
        <v/>
      </c>
      <c r="AO507" s="266"/>
      <c r="AP507" s="258" t="str">
        <f t="shared" si="229"/>
        <v/>
      </c>
      <c r="AQ507" s="266"/>
      <c r="AR507" s="258" t="str">
        <f t="shared" si="230"/>
        <v/>
      </c>
      <c r="AS507" s="266"/>
      <c r="AT507" s="256" t="str">
        <f t="shared" si="231"/>
        <v/>
      </c>
      <c r="AU507" s="256" t="str">
        <f t="shared" si="232"/>
        <v/>
      </c>
      <c r="AV507" s="256" t="str">
        <f t="shared" si="233"/>
        <v/>
      </c>
      <c r="AW507" s="267"/>
      <c r="AX507" s="255"/>
      <c r="AY507" s="259" t="str">
        <f>IF(AX507&lt;&gt;"",AX507/VLOOKUP($V507,Setup!$C$30:$D$41,2,0),"")</f>
        <v/>
      </c>
      <c r="AZ507" s="268"/>
      <c r="BA507" s="258" t="str">
        <f t="shared" si="234"/>
        <v/>
      </c>
      <c r="BB507" s="268"/>
      <c r="BC507" s="258" t="str">
        <f t="shared" si="235"/>
        <v/>
      </c>
      <c r="BD507" s="268"/>
      <c r="BE507" s="258" t="str">
        <f t="shared" si="236"/>
        <v/>
      </c>
      <c r="BF507" s="268"/>
      <c r="BG507" s="256" t="str">
        <f t="shared" si="237"/>
        <v/>
      </c>
      <c r="BH507" s="256" t="str">
        <f t="shared" si="238"/>
        <v/>
      </c>
      <c r="BI507" s="256" t="str">
        <f t="shared" si="239"/>
        <v/>
      </c>
      <c r="BJ507" s="267"/>
      <c r="BK507" s="255"/>
      <c r="BL507" s="259" t="str">
        <f>IF(BK507&lt;&gt;"",BK507/VLOOKUP($V507,Setup!$C$30:$D$41,2,0),"")</f>
        <v/>
      </c>
      <c r="BM507" s="268"/>
      <c r="BN507" s="258" t="str">
        <f t="shared" si="240"/>
        <v/>
      </c>
      <c r="BO507" s="268"/>
      <c r="BP507" s="258" t="str">
        <f t="shared" si="241"/>
        <v/>
      </c>
      <c r="BQ507" s="268"/>
      <c r="BR507" s="258" t="str">
        <f t="shared" si="242"/>
        <v/>
      </c>
      <c r="BS507" s="268"/>
      <c r="BT507" s="256" t="str">
        <f t="shared" si="243"/>
        <v/>
      </c>
      <c r="BU507" s="256" t="str">
        <f t="shared" si="244"/>
        <v/>
      </c>
      <c r="BV507" s="256" t="str">
        <f t="shared" si="245"/>
        <v/>
      </c>
      <c r="BW507" s="267"/>
      <c r="BX507" s="256" t="str">
        <f t="shared" si="246"/>
        <v/>
      </c>
      <c r="BY507" s="256" t="str">
        <f t="shared" si="247"/>
        <v/>
      </c>
      <c r="BZ507" s="281"/>
      <c r="CA507" s="282"/>
      <c r="CF507" s="284"/>
      <c r="CG507" s="284"/>
      <c r="CH507" s="284"/>
      <c r="CI507" s="284"/>
      <c r="CL507" s="356" t="str">
        <f>IFERROR(VLOOKUP(C507,'Data Sheet'!$A$3:$B$26,2,FALSE),"")</f>
        <v/>
      </c>
    </row>
    <row r="508" spans="1:90" ht="15.75" x14ac:dyDescent="0.2">
      <c r="A508" s="97"/>
      <c r="B508" s="105" t="str">
        <f t="shared" si="251"/>
        <v>--</v>
      </c>
      <c r="C508" s="276"/>
      <c r="D508" s="101" t="str">
        <f>IFERROR(IF(VLOOKUP(C508,'Data Sheet'!$A$3:$D$26,4,FALSE)=0,"",VLOOKUP(C508,'Data Sheet'!$A$3:$D$26,4,FALSE)),"")</f>
        <v/>
      </c>
      <c r="E508" s="279"/>
      <c r="F508" s="103" t="str">
        <f>IFERROR(IF(VLOOKUP(E508,'Data Sheet'!$C$29:$E$174,3,FALSE)=0,"",VLOOKUP(E508,'Data Sheet'!$C$29:$E$174,3,FALSE)),"")</f>
        <v/>
      </c>
      <c r="G508" s="106" t="str">
        <f t="shared" si="249"/>
        <v>-</v>
      </c>
      <c r="H508" s="273"/>
      <c r="I508" s="107"/>
      <c r="J508" s="249" t="e">
        <f t="shared" si="250"/>
        <v>#VALUE!</v>
      </c>
      <c r="K508" s="101" t="str">
        <f>IFERROR(INDEX('Data Sheet'!$C$198:$C$275,MATCH(I508,'Data Sheet'!$F$198:$F$275,0)),"")</f>
        <v/>
      </c>
      <c r="L508" s="250" t="str">
        <f>IFERROR(INDEX('Data Sheet'!$G$198:$G$275,MATCH(I508,'Data Sheet'!$F$198:$F$275,0)),"")</f>
        <v/>
      </c>
      <c r="M508" s="194"/>
      <c r="N508" s="248"/>
      <c r="O508" s="248"/>
      <c r="P508" s="108" t="str">
        <f>IFERROR(INDEX(Setup!$D$44:$D$70,MATCH(M508,Setup!$K$44:$K$70,0))&amp;"","")</f>
        <v/>
      </c>
      <c r="Q508" s="108" t="str">
        <f>IFERROR(INDEX(Setup!$E$44:$E$70,MATCH(M508,Setup!$K$44:$K$70,0))&amp;"","")</f>
        <v/>
      </c>
      <c r="R508" s="108" t="str">
        <f>IFERROR(INDEX(Setup!$L$44:$L$70,MATCH(M508,Setup!$K$44:$K$70,0))&amp;"","")</f>
        <v/>
      </c>
      <c r="S508" s="108" t="str">
        <f>Setup!$C$30</f>
        <v>USD</v>
      </c>
      <c r="T508" s="109" t="str">
        <f>IFERROR(INDEX('Data Sheet'!$B$198:$B$275,MATCH(I508,'Data Sheet'!$F$198:$F$275,0)),"")</f>
        <v/>
      </c>
      <c r="U508" s="110" t="str">
        <f>IFERROR(INDEX('Data Sheet'!$D$198:$D$275,MATCH(I508,'Data Sheet'!$F$198:$F$275,0)),"")</f>
        <v/>
      </c>
      <c r="V508" s="99"/>
      <c r="W508" s="195" t="str">
        <f>IF(V508=Setup!$C$30,"Grant",IF(V508=Setup!$C$31,"Local",IF(V508=Setup!$C$32,"Other",IF(ISBLANK(V508),"","Other"))))</f>
        <v/>
      </c>
      <c r="X508" s="255"/>
      <c r="Y508" s="259" t="str">
        <f>IF(X508&lt;&gt;"",X508/VLOOKUP($V508,Setup!$C$30:$D$41,2,0),"")</f>
        <v/>
      </c>
      <c r="Z508" s="262"/>
      <c r="AA508" s="256" t="str">
        <f t="shared" si="222"/>
        <v/>
      </c>
      <c r="AB508" s="262"/>
      <c r="AC508" s="258" t="str">
        <f t="shared" si="223"/>
        <v/>
      </c>
      <c r="AD508" s="262"/>
      <c r="AE508" s="258" t="str">
        <f t="shared" si="224"/>
        <v/>
      </c>
      <c r="AF508" s="262"/>
      <c r="AG508" s="256" t="str">
        <f t="shared" si="225"/>
        <v/>
      </c>
      <c r="AH508" s="256" t="str">
        <f t="shared" si="226"/>
        <v/>
      </c>
      <c r="AI508" s="256" t="str">
        <f t="shared" si="227"/>
        <v/>
      </c>
      <c r="AJ508" s="111"/>
      <c r="AK508" s="255"/>
      <c r="AL508" s="259" t="str">
        <f>IF(AK508&lt;&gt;"",AK508/VLOOKUP($V508,Setup!$C$30:$D$41,2,0),"")</f>
        <v/>
      </c>
      <c r="AM508" s="266"/>
      <c r="AN508" s="258" t="str">
        <f t="shared" si="228"/>
        <v/>
      </c>
      <c r="AO508" s="266"/>
      <c r="AP508" s="258" t="str">
        <f t="shared" si="229"/>
        <v/>
      </c>
      <c r="AQ508" s="266"/>
      <c r="AR508" s="258" t="str">
        <f t="shared" si="230"/>
        <v/>
      </c>
      <c r="AS508" s="266"/>
      <c r="AT508" s="256" t="str">
        <f t="shared" si="231"/>
        <v/>
      </c>
      <c r="AU508" s="256" t="str">
        <f t="shared" si="232"/>
        <v/>
      </c>
      <c r="AV508" s="256" t="str">
        <f t="shared" si="233"/>
        <v/>
      </c>
      <c r="AW508" s="267"/>
      <c r="AX508" s="255"/>
      <c r="AY508" s="259" t="str">
        <f>IF(AX508&lt;&gt;"",AX508/VLOOKUP($V508,Setup!$C$30:$D$41,2,0),"")</f>
        <v/>
      </c>
      <c r="AZ508" s="268"/>
      <c r="BA508" s="258" t="str">
        <f t="shared" si="234"/>
        <v/>
      </c>
      <c r="BB508" s="268"/>
      <c r="BC508" s="258" t="str">
        <f t="shared" si="235"/>
        <v/>
      </c>
      <c r="BD508" s="268"/>
      <c r="BE508" s="258" t="str">
        <f t="shared" si="236"/>
        <v/>
      </c>
      <c r="BF508" s="268"/>
      <c r="BG508" s="256" t="str">
        <f t="shared" si="237"/>
        <v/>
      </c>
      <c r="BH508" s="256" t="str">
        <f t="shared" si="238"/>
        <v/>
      </c>
      <c r="BI508" s="256" t="str">
        <f t="shared" si="239"/>
        <v/>
      </c>
      <c r="BJ508" s="267"/>
      <c r="BK508" s="255"/>
      <c r="BL508" s="259" t="str">
        <f>IF(BK508&lt;&gt;"",BK508/VLOOKUP($V508,Setup!$C$30:$D$41,2,0),"")</f>
        <v/>
      </c>
      <c r="BM508" s="268"/>
      <c r="BN508" s="258" t="str">
        <f t="shared" si="240"/>
        <v/>
      </c>
      <c r="BO508" s="268"/>
      <c r="BP508" s="258" t="str">
        <f t="shared" si="241"/>
        <v/>
      </c>
      <c r="BQ508" s="268"/>
      <c r="BR508" s="258" t="str">
        <f t="shared" si="242"/>
        <v/>
      </c>
      <c r="BS508" s="268"/>
      <c r="BT508" s="256" t="str">
        <f t="shared" si="243"/>
        <v/>
      </c>
      <c r="BU508" s="256" t="str">
        <f t="shared" si="244"/>
        <v/>
      </c>
      <c r="BV508" s="256" t="str">
        <f t="shared" si="245"/>
        <v/>
      </c>
      <c r="BW508" s="267"/>
      <c r="BX508" s="256" t="str">
        <f t="shared" si="246"/>
        <v/>
      </c>
      <c r="BY508" s="256" t="str">
        <f t="shared" si="247"/>
        <v/>
      </c>
      <c r="BZ508" s="281"/>
      <c r="CA508" s="282"/>
      <c r="CF508" s="284"/>
      <c r="CG508" s="284"/>
      <c r="CH508" s="284"/>
      <c r="CI508" s="284"/>
      <c r="CL508" s="356" t="str">
        <f>IFERROR(VLOOKUP(C508,'Data Sheet'!$A$3:$B$26,2,FALSE),"")</f>
        <v/>
      </c>
    </row>
    <row r="509" spans="1:90" ht="15.75" x14ac:dyDescent="0.2">
      <c r="A509" s="97"/>
      <c r="B509" s="105" t="str">
        <f t="shared" si="251"/>
        <v>--</v>
      </c>
      <c r="C509" s="276"/>
      <c r="D509" s="101" t="str">
        <f>IFERROR(IF(VLOOKUP(C509,'Data Sheet'!$A$3:$D$26,4,FALSE)=0,"",VLOOKUP(C509,'Data Sheet'!$A$3:$D$26,4,FALSE)),"")</f>
        <v/>
      </c>
      <c r="E509" s="279"/>
      <c r="F509" s="103" t="str">
        <f>IFERROR(IF(VLOOKUP(E509,'Data Sheet'!$C$29:$E$174,3,FALSE)=0,"",VLOOKUP(E509,'Data Sheet'!$C$29:$E$174,3,FALSE)),"")</f>
        <v/>
      </c>
      <c r="G509" s="106" t="str">
        <f t="shared" si="249"/>
        <v>-</v>
      </c>
      <c r="H509" s="273"/>
      <c r="I509" s="107"/>
      <c r="J509" s="249" t="e">
        <f t="shared" si="250"/>
        <v>#VALUE!</v>
      </c>
      <c r="K509" s="101" t="str">
        <f>IFERROR(INDEX('Data Sheet'!$C$198:$C$275,MATCH(I509,'Data Sheet'!$F$198:$F$275,0)),"")</f>
        <v/>
      </c>
      <c r="L509" s="250" t="str">
        <f>IFERROR(INDEX('Data Sheet'!$G$198:$G$275,MATCH(I509,'Data Sheet'!$F$198:$F$275,0)),"")</f>
        <v/>
      </c>
      <c r="M509" s="194"/>
      <c r="N509" s="248"/>
      <c r="O509" s="248"/>
      <c r="P509" s="108" t="str">
        <f>IFERROR(INDEX(Setup!$D$44:$D$70,MATCH(M509,Setup!$K$44:$K$70,0))&amp;"","")</f>
        <v/>
      </c>
      <c r="Q509" s="108" t="str">
        <f>IFERROR(INDEX(Setup!$E$44:$E$70,MATCH(M509,Setup!$K$44:$K$70,0))&amp;"","")</f>
        <v/>
      </c>
      <c r="R509" s="108" t="str">
        <f>IFERROR(INDEX(Setup!$L$44:$L$70,MATCH(M509,Setup!$K$44:$K$70,0))&amp;"","")</f>
        <v/>
      </c>
      <c r="S509" s="108" t="str">
        <f>Setup!$C$30</f>
        <v>USD</v>
      </c>
      <c r="T509" s="109" t="str">
        <f>IFERROR(INDEX('Data Sheet'!$B$198:$B$275,MATCH(I509,'Data Sheet'!$F$198:$F$275,0)),"")</f>
        <v/>
      </c>
      <c r="U509" s="110" t="str">
        <f>IFERROR(INDEX('Data Sheet'!$D$198:$D$275,MATCH(I509,'Data Sheet'!$F$198:$F$275,0)),"")</f>
        <v/>
      </c>
      <c r="V509" s="99"/>
      <c r="W509" s="195" t="str">
        <f>IF(V509=Setup!$C$30,"Grant",IF(V509=Setup!$C$31,"Local",IF(V509=Setup!$C$32,"Other",IF(ISBLANK(V509),"","Other"))))</f>
        <v/>
      </c>
      <c r="X509" s="255"/>
      <c r="Y509" s="259" t="str">
        <f>IF(X509&lt;&gt;"",X509/VLOOKUP($V509,Setup!$C$30:$D$41,2,0),"")</f>
        <v/>
      </c>
      <c r="Z509" s="262"/>
      <c r="AA509" s="256" t="str">
        <f t="shared" si="222"/>
        <v/>
      </c>
      <c r="AB509" s="262"/>
      <c r="AC509" s="258" t="str">
        <f t="shared" si="223"/>
        <v/>
      </c>
      <c r="AD509" s="262"/>
      <c r="AE509" s="258" t="str">
        <f t="shared" si="224"/>
        <v/>
      </c>
      <c r="AF509" s="262"/>
      <c r="AG509" s="256" t="str">
        <f t="shared" si="225"/>
        <v/>
      </c>
      <c r="AH509" s="256" t="str">
        <f t="shared" si="226"/>
        <v/>
      </c>
      <c r="AI509" s="256" t="str">
        <f t="shared" si="227"/>
        <v/>
      </c>
      <c r="AJ509" s="111"/>
      <c r="AK509" s="255"/>
      <c r="AL509" s="259" t="str">
        <f>IF(AK509&lt;&gt;"",AK509/VLOOKUP($V509,Setup!$C$30:$D$41,2,0),"")</f>
        <v/>
      </c>
      <c r="AM509" s="266"/>
      <c r="AN509" s="258" t="str">
        <f t="shared" si="228"/>
        <v/>
      </c>
      <c r="AO509" s="266"/>
      <c r="AP509" s="258" t="str">
        <f t="shared" si="229"/>
        <v/>
      </c>
      <c r="AQ509" s="266"/>
      <c r="AR509" s="258" t="str">
        <f t="shared" si="230"/>
        <v/>
      </c>
      <c r="AS509" s="266"/>
      <c r="AT509" s="256" t="str">
        <f t="shared" si="231"/>
        <v/>
      </c>
      <c r="AU509" s="256" t="str">
        <f t="shared" si="232"/>
        <v/>
      </c>
      <c r="AV509" s="256" t="str">
        <f t="shared" si="233"/>
        <v/>
      </c>
      <c r="AW509" s="267"/>
      <c r="AX509" s="255"/>
      <c r="AY509" s="259" t="str">
        <f>IF(AX509&lt;&gt;"",AX509/VLOOKUP($V509,Setup!$C$30:$D$41,2,0),"")</f>
        <v/>
      </c>
      <c r="AZ509" s="268"/>
      <c r="BA509" s="258" t="str">
        <f t="shared" si="234"/>
        <v/>
      </c>
      <c r="BB509" s="268"/>
      <c r="BC509" s="258" t="str">
        <f t="shared" si="235"/>
        <v/>
      </c>
      <c r="BD509" s="268"/>
      <c r="BE509" s="258" t="str">
        <f t="shared" si="236"/>
        <v/>
      </c>
      <c r="BF509" s="268"/>
      <c r="BG509" s="256" t="str">
        <f t="shared" si="237"/>
        <v/>
      </c>
      <c r="BH509" s="256" t="str">
        <f t="shared" si="238"/>
        <v/>
      </c>
      <c r="BI509" s="256" t="str">
        <f t="shared" si="239"/>
        <v/>
      </c>
      <c r="BJ509" s="267"/>
      <c r="BK509" s="255"/>
      <c r="BL509" s="259" t="str">
        <f>IF(BK509&lt;&gt;"",BK509/VLOOKUP($V509,Setup!$C$30:$D$41,2,0),"")</f>
        <v/>
      </c>
      <c r="BM509" s="268"/>
      <c r="BN509" s="258" t="str">
        <f t="shared" si="240"/>
        <v/>
      </c>
      <c r="BO509" s="268"/>
      <c r="BP509" s="258" t="str">
        <f t="shared" si="241"/>
        <v/>
      </c>
      <c r="BQ509" s="268"/>
      <c r="BR509" s="258" t="str">
        <f t="shared" si="242"/>
        <v/>
      </c>
      <c r="BS509" s="268"/>
      <c r="BT509" s="256" t="str">
        <f t="shared" si="243"/>
        <v/>
      </c>
      <c r="BU509" s="256" t="str">
        <f t="shared" si="244"/>
        <v/>
      </c>
      <c r="BV509" s="256" t="str">
        <f t="shared" si="245"/>
        <v/>
      </c>
      <c r="BW509" s="267"/>
      <c r="BX509" s="256" t="str">
        <f t="shared" si="246"/>
        <v/>
      </c>
      <c r="BY509" s="256" t="str">
        <f t="shared" si="247"/>
        <v/>
      </c>
      <c r="BZ509" s="281"/>
      <c r="CA509" s="282"/>
      <c r="CF509" s="284"/>
      <c r="CG509" s="284"/>
      <c r="CH509" s="284"/>
      <c r="CI509" s="284"/>
      <c r="CL509" s="356" t="str">
        <f>IFERROR(VLOOKUP(C509,'Data Sheet'!$A$3:$B$26,2,FALSE),"")</f>
        <v/>
      </c>
    </row>
    <row r="510" spans="1:90" ht="15.75" x14ac:dyDescent="0.2">
      <c r="A510" s="97"/>
      <c r="B510" s="105" t="str">
        <f t="shared" si="251"/>
        <v>--</v>
      </c>
      <c r="C510" s="276"/>
      <c r="D510" s="101" t="str">
        <f>IFERROR(IF(VLOOKUP(C510,'Data Sheet'!$A$3:$D$26,4,FALSE)=0,"",VLOOKUP(C510,'Data Sheet'!$A$3:$D$26,4,FALSE)),"")</f>
        <v/>
      </c>
      <c r="E510" s="279"/>
      <c r="F510" s="103" t="str">
        <f>IFERROR(IF(VLOOKUP(E510,'Data Sheet'!$C$29:$E$174,3,FALSE)=0,"",VLOOKUP(E510,'Data Sheet'!$C$29:$E$174,3,FALSE)),"")</f>
        <v/>
      </c>
      <c r="G510" s="106" t="str">
        <f t="shared" si="249"/>
        <v>-</v>
      </c>
      <c r="H510" s="273"/>
      <c r="I510" s="107"/>
      <c r="J510" s="249" t="e">
        <f t="shared" si="250"/>
        <v>#VALUE!</v>
      </c>
      <c r="K510" s="101" t="str">
        <f>IFERROR(INDEX('Data Sheet'!$C$198:$C$275,MATCH(I510,'Data Sheet'!$F$198:$F$275,0)),"")</f>
        <v/>
      </c>
      <c r="L510" s="250" t="str">
        <f>IFERROR(INDEX('Data Sheet'!$G$198:$G$275,MATCH(I510,'Data Sheet'!$F$198:$F$275,0)),"")</f>
        <v/>
      </c>
      <c r="M510" s="194"/>
      <c r="N510" s="248"/>
      <c r="O510" s="248"/>
      <c r="P510" s="108" t="str">
        <f>IFERROR(INDEX(Setup!$D$44:$D$70,MATCH(M510,Setup!$K$44:$K$70,0))&amp;"","")</f>
        <v/>
      </c>
      <c r="Q510" s="108" t="str">
        <f>IFERROR(INDEX(Setup!$E$44:$E$70,MATCH(M510,Setup!$K$44:$K$70,0))&amp;"","")</f>
        <v/>
      </c>
      <c r="R510" s="108" t="str">
        <f>IFERROR(INDEX(Setup!$L$44:$L$70,MATCH(M510,Setup!$K$44:$K$70,0))&amp;"","")</f>
        <v/>
      </c>
      <c r="S510" s="108" t="str">
        <f>Setup!$C$30</f>
        <v>USD</v>
      </c>
      <c r="T510" s="109" t="str">
        <f>IFERROR(INDEX('Data Sheet'!$B$198:$B$275,MATCH(I510,'Data Sheet'!$F$198:$F$275,0)),"")</f>
        <v/>
      </c>
      <c r="U510" s="110" t="str">
        <f>IFERROR(INDEX('Data Sheet'!$D$198:$D$275,MATCH(I510,'Data Sheet'!$F$198:$F$275,0)),"")</f>
        <v/>
      </c>
      <c r="V510" s="99"/>
      <c r="W510" s="195" t="str">
        <f>IF(V510=Setup!$C$30,"Grant",IF(V510=Setup!$C$31,"Local",IF(V510=Setup!$C$32,"Other",IF(ISBLANK(V510),"","Other"))))</f>
        <v/>
      </c>
      <c r="X510" s="255"/>
      <c r="Y510" s="259" t="str">
        <f>IF(X510&lt;&gt;"",X510/VLOOKUP($V510,Setup!$C$30:$D$41,2,0),"")</f>
        <v/>
      </c>
      <c r="Z510" s="262"/>
      <c r="AA510" s="256" t="str">
        <f t="shared" si="222"/>
        <v/>
      </c>
      <c r="AB510" s="262"/>
      <c r="AC510" s="258" t="str">
        <f t="shared" si="223"/>
        <v/>
      </c>
      <c r="AD510" s="262"/>
      <c r="AE510" s="258" t="str">
        <f t="shared" si="224"/>
        <v/>
      </c>
      <c r="AF510" s="262"/>
      <c r="AG510" s="256" t="str">
        <f t="shared" si="225"/>
        <v/>
      </c>
      <c r="AH510" s="256" t="str">
        <f t="shared" si="226"/>
        <v/>
      </c>
      <c r="AI510" s="256" t="str">
        <f t="shared" si="227"/>
        <v/>
      </c>
      <c r="AJ510" s="111"/>
      <c r="AK510" s="255"/>
      <c r="AL510" s="259" t="str">
        <f>IF(AK510&lt;&gt;"",AK510/VLOOKUP($V510,Setup!$C$30:$D$41,2,0),"")</f>
        <v/>
      </c>
      <c r="AM510" s="266"/>
      <c r="AN510" s="258" t="str">
        <f t="shared" si="228"/>
        <v/>
      </c>
      <c r="AO510" s="266"/>
      <c r="AP510" s="258" t="str">
        <f t="shared" si="229"/>
        <v/>
      </c>
      <c r="AQ510" s="266"/>
      <c r="AR510" s="258" t="str">
        <f t="shared" si="230"/>
        <v/>
      </c>
      <c r="AS510" s="266"/>
      <c r="AT510" s="256" t="str">
        <f t="shared" si="231"/>
        <v/>
      </c>
      <c r="AU510" s="256" t="str">
        <f t="shared" si="232"/>
        <v/>
      </c>
      <c r="AV510" s="256" t="str">
        <f t="shared" si="233"/>
        <v/>
      </c>
      <c r="AW510" s="267"/>
      <c r="AX510" s="255"/>
      <c r="AY510" s="259" t="str">
        <f>IF(AX510&lt;&gt;"",AX510/VLOOKUP($V510,Setup!$C$30:$D$41,2,0),"")</f>
        <v/>
      </c>
      <c r="AZ510" s="268"/>
      <c r="BA510" s="258" t="str">
        <f t="shared" si="234"/>
        <v/>
      </c>
      <c r="BB510" s="268"/>
      <c r="BC510" s="258" t="str">
        <f t="shared" si="235"/>
        <v/>
      </c>
      <c r="BD510" s="268"/>
      <c r="BE510" s="258" t="str">
        <f t="shared" si="236"/>
        <v/>
      </c>
      <c r="BF510" s="268"/>
      <c r="BG510" s="256" t="str">
        <f t="shared" si="237"/>
        <v/>
      </c>
      <c r="BH510" s="256" t="str">
        <f t="shared" si="238"/>
        <v/>
      </c>
      <c r="BI510" s="256" t="str">
        <f t="shared" si="239"/>
        <v/>
      </c>
      <c r="BJ510" s="267"/>
      <c r="BK510" s="255"/>
      <c r="BL510" s="259" t="str">
        <f>IF(BK510&lt;&gt;"",BK510/VLOOKUP($V510,Setup!$C$30:$D$41,2,0),"")</f>
        <v/>
      </c>
      <c r="BM510" s="268"/>
      <c r="BN510" s="258" t="str">
        <f t="shared" si="240"/>
        <v/>
      </c>
      <c r="BO510" s="268"/>
      <c r="BP510" s="258" t="str">
        <f t="shared" si="241"/>
        <v/>
      </c>
      <c r="BQ510" s="268"/>
      <c r="BR510" s="258" t="str">
        <f t="shared" si="242"/>
        <v/>
      </c>
      <c r="BS510" s="268"/>
      <c r="BT510" s="256" t="str">
        <f t="shared" si="243"/>
        <v/>
      </c>
      <c r="BU510" s="256" t="str">
        <f t="shared" si="244"/>
        <v/>
      </c>
      <c r="BV510" s="256" t="str">
        <f t="shared" si="245"/>
        <v/>
      </c>
      <c r="BW510" s="267"/>
      <c r="BX510" s="256" t="str">
        <f t="shared" si="246"/>
        <v/>
      </c>
      <c r="BY510" s="256" t="str">
        <f t="shared" si="247"/>
        <v/>
      </c>
      <c r="BZ510" s="281"/>
      <c r="CA510" s="282"/>
      <c r="CF510" s="284"/>
      <c r="CG510" s="284"/>
      <c r="CH510" s="284"/>
      <c r="CI510" s="284"/>
      <c r="CL510" s="356" t="str">
        <f>IFERROR(VLOOKUP(C510,'Data Sheet'!$A$3:$B$26,2,FALSE),"")</f>
        <v/>
      </c>
    </row>
    <row r="511" spans="1:90" ht="15.75" x14ac:dyDescent="0.2">
      <c r="A511" s="97"/>
      <c r="B511" s="105" t="str">
        <f t="shared" si="251"/>
        <v>--</v>
      </c>
      <c r="C511" s="276"/>
      <c r="D511" s="101" t="str">
        <f>IFERROR(IF(VLOOKUP(C511,'Data Sheet'!$A$3:$D$26,4,FALSE)=0,"",VLOOKUP(C511,'Data Sheet'!$A$3:$D$26,4,FALSE)),"")</f>
        <v/>
      </c>
      <c r="E511" s="279"/>
      <c r="F511" s="103" t="str">
        <f>IFERROR(IF(VLOOKUP(E511,'Data Sheet'!$C$29:$E$174,3,FALSE)=0,"",VLOOKUP(E511,'Data Sheet'!$C$29:$E$174,3,FALSE)),"")</f>
        <v/>
      </c>
      <c r="G511" s="106" t="str">
        <f t="shared" si="249"/>
        <v>-</v>
      </c>
      <c r="H511" s="273"/>
      <c r="I511" s="107"/>
      <c r="J511" s="249" t="e">
        <f t="shared" si="250"/>
        <v>#VALUE!</v>
      </c>
      <c r="K511" s="101" t="str">
        <f>IFERROR(INDEX('Data Sheet'!$C$198:$C$275,MATCH(I511,'Data Sheet'!$F$198:$F$275,0)),"")</f>
        <v/>
      </c>
      <c r="L511" s="250" t="str">
        <f>IFERROR(INDEX('Data Sheet'!$G$198:$G$275,MATCH(I511,'Data Sheet'!$F$198:$F$275,0)),"")</f>
        <v/>
      </c>
      <c r="M511" s="194"/>
      <c r="N511" s="248"/>
      <c r="O511" s="248"/>
      <c r="P511" s="108" t="str">
        <f>IFERROR(INDEX(Setup!$D$44:$D$70,MATCH(M511,Setup!$K$44:$K$70,0))&amp;"","")</f>
        <v/>
      </c>
      <c r="Q511" s="108" t="str">
        <f>IFERROR(INDEX(Setup!$E$44:$E$70,MATCH(M511,Setup!$K$44:$K$70,0))&amp;"","")</f>
        <v/>
      </c>
      <c r="R511" s="108" t="str">
        <f>IFERROR(INDEX(Setup!$L$44:$L$70,MATCH(M511,Setup!$K$44:$K$70,0))&amp;"","")</f>
        <v/>
      </c>
      <c r="S511" s="108" t="str">
        <f>Setup!$C$30</f>
        <v>USD</v>
      </c>
      <c r="T511" s="109" t="str">
        <f>IFERROR(INDEX('Data Sheet'!$B$198:$B$275,MATCH(I511,'Data Sheet'!$F$198:$F$275,0)),"")</f>
        <v/>
      </c>
      <c r="U511" s="110" t="str">
        <f>IFERROR(INDEX('Data Sheet'!$D$198:$D$275,MATCH(I511,'Data Sheet'!$F$198:$F$275,0)),"")</f>
        <v/>
      </c>
      <c r="V511" s="99"/>
      <c r="W511" s="195" t="str">
        <f>IF(V511=Setup!$C$30,"Grant",IF(V511=Setup!$C$31,"Local",IF(V511=Setup!$C$32,"Other",IF(ISBLANK(V511),"","Other"))))</f>
        <v/>
      </c>
      <c r="X511" s="255"/>
      <c r="Y511" s="259" t="str">
        <f>IF(X511&lt;&gt;"",X511/VLOOKUP($V511,Setup!$C$30:$D$41,2,0),"")</f>
        <v/>
      </c>
      <c r="Z511" s="262"/>
      <c r="AA511" s="256" t="str">
        <f t="shared" si="222"/>
        <v/>
      </c>
      <c r="AB511" s="262"/>
      <c r="AC511" s="258" t="str">
        <f t="shared" si="223"/>
        <v/>
      </c>
      <c r="AD511" s="262"/>
      <c r="AE511" s="258" t="str">
        <f t="shared" si="224"/>
        <v/>
      </c>
      <c r="AF511" s="262"/>
      <c r="AG511" s="256" t="str">
        <f t="shared" si="225"/>
        <v/>
      </c>
      <c r="AH511" s="256" t="str">
        <f t="shared" si="226"/>
        <v/>
      </c>
      <c r="AI511" s="256" t="str">
        <f t="shared" si="227"/>
        <v/>
      </c>
      <c r="AJ511" s="111"/>
      <c r="AK511" s="255"/>
      <c r="AL511" s="259" t="str">
        <f>IF(AK511&lt;&gt;"",AK511/VLOOKUP($V511,Setup!$C$30:$D$41,2,0),"")</f>
        <v/>
      </c>
      <c r="AM511" s="266"/>
      <c r="AN511" s="258" t="str">
        <f t="shared" si="228"/>
        <v/>
      </c>
      <c r="AO511" s="266"/>
      <c r="AP511" s="258" t="str">
        <f t="shared" si="229"/>
        <v/>
      </c>
      <c r="AQ511" s="266"/>
      <c r="AR511" s="258" t="str">
        <f t="shared" si="230"/>
        <v/>
      </c>
      <c r="AS511" s="266"/>
      <c r="AT511" s="256" t="str">
        <f t="shared" si="231"/>
        <v/>
      </c>
      <c r="AU511" s="256" t="str">
        <f t="shared" si="232"/>
        <v/>
      </c>
      <c r="AV511" s="256" t="str">
        <f t="shared" si="233"/>
        <v/>
      </c>
      <c r="AW511" s="267"/>
      <c r="AX511" s="255"/>
      <c r="AY511" s="259" t="str">
        <f>IF(AX511&lt;&gt;"",AX511/VLOOKUP($V511,Setup!$C$30:$D$41,2,0),"")</f>
        <v/>
      </c>
      <c r="AZ511" s="268"/>
      <c r="BA511" s="258" t="str">
        <f t="shared" si="234"/>
        <v/>
      </c>
      <c r="BB511" s="268"/>
      <c r="BC511" s="258" t="str">
        <f t="shared" si="235"/>
        <v/>
      </c>
      <c r="BD511" s="268"/>
      <c r="BE511" s="258" t="str">
        <f t="shared" si="236"/>
        <v/>
      </c>
      <c r="BF511" s="268"/>
      <c r="BG511" s="256" t="str">
        <f t="shared" si="237"/>
        <v/>
      </c>
      <c r="BH511" s="256" t="str">
        <f t="shared" si="238"/>
        <v/>
      </c>
      <c r="BI511" s="256" t="str">
        <f t="shared" si="239"/>
        <v/>
      </c>
      <c r="BJ511" s="267"/>
      <c r="BK511" s="255"/>
      <c r="BL511" s="259" t="str">
        <f>IF(BK511&lt;&gt;"",BK511/VLOOKUP($V511,Setup!$C$30:$D$41,2,0),"")</f>
        <v/>
      </c>
      <c r="BM511" s="268"/>
      <c r="BN511" s="258" t="str">
        <f t="shared" si="240"/>
        <v/>
      </c>
      <c r="BO511" s="268"/>
      <c r="BP511" s="258" t="str">
        <f t="shared" si="241"/>
        <v/>
      </c>
      <c r="BQ511" s="268"/>
      <c r="BR511" s="258" t="str">
        <f t="shared" si="242"/>
        <v/>
      </c>
      <c r="BS511" s="268"/>
      <c r="BT511" s="256" t="str">
        <f t="shared" si="243"/>
        <v/>
      </c>
      <c r="BU511" s="256" t="str">
        <f t="shared" si="244"/>
        <v/>
      </c>
      <c r="BV511" s="256" t="str">
        <f t="shared" si="245"/>
        <v/>
      </c>
      <c r="BW511" s="267"/>
      <c r="BX511" s="256" t="str">
        <f t="shared" si="246"/>
        <v/>
      </c>
      <c r="BY511" s="256" t="str">
        <f t="shared" si="247"/>
        <v/>
      </c>
      <c r="BZ511" s="281"/>
      <c r="CA511" s="282"/>
      <c r="CF511" s="284"/>
      <c r="CG511" s="284"/>
      <c r="CH511" s="284"/>
      <c r="CI511" s="284"/>
      <c r="CL511" s="356" t="str">
        <f>IFERROR(VLOOKUP(C511,'Data Sheet'!$A$3:$B$26,2,FALSE),"")</f>
        <v/>
      </c>
    </row>
    <row r="512" spans="1:90" ht="15.75" x14ac:dyDescent="0.2">
      <c r="A512" s="97"/>
      <c r="B512" s="105" t="str">
        <f t="shared" si="251"/>
        <v>--</v>
      </c>
      <c r="C512" s="276"/>
      <c r="D512" s="101" t="str">
        <f>IFERROR(IF(VLOOKUP(C512,'Data Sheet'!$A$3:$D$26,4,FALSE)=0,"",VLOOKUP(C512,'Data Sheet'!$A$3:$D$26,4,FALSE)),"")</f>
        <v/>
      </c>
      <c r="E512" s="279"/>
      <c r="F512" s="103" t="str">
        <f>IFERROR(IF(VLOOKUP(E512,'Data Sheet'!$C$29:$E$174,3,FALSE)=0,"",VLOOKUP(E512,'Data Sheet'!$C$29:$E$174,3,FALSE)),"")</f>
        <v/>
      </c>
      <c r="G512" s="106" t="str">
        <f t="shared" si="249"/>
        <v>-</v>
      </c>
      <c r="H512" s="273"/>
      <c r="I512" s="107"/>
      <c r="J512" s="249" t="e">
        <f t="shared" si="250"/>
        <v>#VALUE!</v>
      </c>
      <c r="K512" s="101" t="str">
        <f>IFERROR(INDEX('Data Sheet'!$C$198:$C$275,MATCH(I512,'Data Sheet'!$F$198:$F$275,0)),"")</f>
        <v/>
      </c>
      <c r="L512" s="250" t="str">
        <f>IFERROR(INDEX('Data Sheet'!$G$198:$G$275,MATCH(I512,'Data Sheet'!$F$198:$F$275,0)),"")</f>
        <v/>
      </c>
      <c r="M512" s="194"/>
      <c r="N512" s="248"/>
      <c r="O512" s="248"/>
      <c r="P512" s="108" t="str">
        <f>IFERROR(INDEX(Setup!$D$44:$D$70,MATCH(M512,Setup!$K$44:$K$70,0))&amp;"","")</f>
        <v/>
      </c>
      <c r="Q512" s="108" t="str">
        <f>IFERROR(INDEX(Setup!$E$44:$E$70,MATCH(M512,Setup!$K$44:$K$70,0))&amp;"","")</f>
        <v/>
      </c>
      <c r="R512" s="108" t="str">
        <f>IFERROR(INDEX(Setup!$L$44:$L$70,MATCH(M512,Setup!$K$44:$K$70,0))&amp;"","")</f>
        <v/>
      </c>
      <c r="S512" s="108" t="str">
        <f>Setup!$C$30</f>
        <v>USD</v>
      </c>
      <c r="T512" s="109" t="str">
        <f>IFERROR(INDEX('Data Sheet'!$B$198:$B$275,MATCH(I512,'Data Sheet'!$F$198:$F$275,0)),"")</f>
        <v/>
      </c>
      <c r="U512" s="110" t="str">
        <f>IFERROR(INDEX('Data Sheet'!$D$198:$D$275,MATCH(I512,'Data Sheet'!$F$198:$F$275,0)),"")</f>
        <v/>
      </c>
      <c r="V512" s="99"/>
      <c r="W512" s="195" t="str">
        <f>IF(V512=Setup!$C$30,"Grant",IF(V512=Setup!$C$31,"Local",IF(V512=Setup!$C$32,"Other",IF(ISBLANK(V512),"","Other"))))</f>
        <v/>
      </c>
      <c r="X512" s="255"/>
      <c r="Y512" s="259" t="str">
        <f>IF(X512&lt;&gt;"",X512/VLOOKUP($V512,Setup!$C$30:$D$41,2,0),"")</f>
        <v/>
      </c>
      <c r="Z512" s="262"/>
      <c r="AA512" s="256" t="str">
        <f t="shared" si="222"/>
        <v/>
      </c>
      <c r="AB512" s="262"/>
      <c r="AC512" s="258" t="str">
        <f t="shared" si="223"/>
        <v/>
      </c>
      <c r="AD512" s="262"/>
      <c r="AE512" s="258" t="str">
        <f t="shared" si="224"/>
        <v/>
      </c>
      <c r="AF512" s="262"/>
      <c r="AG512" s="256" t="str">
        <f t="shared" si="225"/>
        <v/>
      </c>
      <c r="AH512" s="256" t="str">
        <f t="shared" si="226"/>
        <v/>
      </c>
      <c r="AI512" s="256" t="str">
        <f t="shared" si="227"/>
        <v/>
      </c>
      <c r="AJ512" s="111"/>
      <c r="AK512" s="255"/>
      <c r="AL512" s="259" t="str">
        <f>IF(AK512&lt;&gt;"",AK512/VLOOKUP($V512,Setup!$C$30:$D$41,2,0),"")</f>
        <v/>
      </c>
      <c r="AM512" s="266"/>
      <c r="AN512" s="258" t="str">
        <f t="shared" si="228"/>
        <v/>
      </c>
      <c r="AO512" s="266"/>
      <c r="AP512" s="258" t="str">
        <f t="shared" si="229"/>
        <v/>
      </c>
      <c r="AQ512" s="266"/>
      <c r="AR512" s="258" t="str">
        <f t="shared" si="230"/>
        <v/>
      </c>
      <c r="AS512" s="266"/>
      <c r="AT512" s="256" t="str">
        <f t="shared" si="231"/>
        <v/>
      </c>
      <c r="AU512" s="256" t="str">
        <f t="shared" si="232"/>
        <v/>
      </c>
      <c r="AV512" s="256" t="str">
        <f t="shared" si="233"/>
        <v/>
      </c>
      <c r="AW512" s="267"/>
      <c r="AX512" s="255"/>
      <c r="AY512" s="259" t="str">
        <f>IF(AX512&lt;&gt;"",AX512/VLOOKUP($V512,Setup!$C$30:$D$41,2,0),"")</f>
        <v/>
      </c>
      <c r="AZ512" s="268"/>
      <c r="BA512" s="258" t="str">
        <f t="shared" si="234"/>
        <v/>
      </c>
      <c r="BB512" s="268"/>
      <c r="BC512" s="258" t="str">
        <f t="shared" si="235"/>
        <v/>
      </c>
      <c r="BD512" s="268"/>
      <c r="BE512" s="258" t="str">
        <f t="shared" si="236"/>
        <v/>
      </c>
      <c r="BF512" s="268"/>
      <c r="BG512" s="256" t="str">
        <f t="shared" si="237"/>
        <v/>
      </c>
      <c r="BH512" s="256" t="str">
        <f t="shared" si="238"/>
        <v/>
      </c>
      <c r="BI512" s="256" t="str">
        <f t="shared" si="239"/>
        <v/>
      </c>
      <c r="BJ512" s="267"/>
      <c r="BK512" s="255"/>
      <c r="BL512" s="259" t="str">
        <f>IF(BK512&lt;&gt;"",BK512/VLOOKUP($V512,Setup!$C$30:$D$41,2,0),"")</f>
        <v/>
      </c>
      <c r="BM512" s="268"/>
      <c r="BN512" s="258" t="str">
        <f t="shared" si="240"/>
        <v/>
      </c>
      <c r="BO512" s="268"/>
      <c r="BP512" s="258" t="str">
        <f t="shared" si="241"/>
        <v/>
      </c>
      <c r="BQ512" s="268"/>
      <c r="BR512" s="258" t="str">
        <f t="shared" si="242"/>
        <v/>
      </c>
      <c r="BS512" s="268"/>
      <c r="BT512" s="256" t="str">
        <f t="shared" si="243"/>
        <v/>
      </c>
      <c r="BU512" s="256" t="str">
        <f t="shared" si="244"/>
        <v/>
      </c>
      <c r="BV512" s="256" t="str">
        <f t="shared" si="245"/>
        <v/>
      </c>
      <c r="BW512" s="267"/>
      <c r="BX512" s="256" t="str">
        <f t="shared" si="246"/>
        <v/>
      </c>
      <c r="BY512" s="256" t="str">
        <f t="shared" si="247"/>
        <v/>
      </c>
      <c r="BZ512" s="281"/>
      <c r="CA512" s="282"/>
      <c r="CF512" s="284"/>
      <c r="CG512" s="284"/>
      <c r="CH512" s="284"/>
      <c r="CI512" s="284"/>
      <c r="CL512" s="356" t="str">
        <f>IFERROR(VLOOKUP(C512,'Data Sheet'!$A$3:$B$26,2,FALSE),"")</f>
        <v/>
      </c>
    </row>
    <row r="513" spans="1:90" ht="15.75" x14ac:dyDescent="0.2">
      <c r="A513" s="97"/>
      <c r="B513" s="105" t="str">
        <f t="shared" si="251"/>
        <v>--</v>
      </c>
      <c r="C513" s="276"/>
      <c r="D513" s="101" t="str">
        <f>IFERROR(IF(VLOOKUP(C513,'Data Sheet'!$A$3:$D$26,4,FALSE)=0,"",VLOOKUP(C513,'Data Sheet'!$A$3:$D$26,4,FALSE)),"")</f>
        <v/>
      </c>
      <c r="E513" s="279"/>
      <c r="F513" s="103" t="str">
        <f>IFERROR(IF(VLOOKUP(E513,'Data Sheet'!$C$29:$E$174,3,FALSE)=0,"",VLOOKUP(E513,'Data Sheet'!$C$29:$E$174,3,FALSE)),"")</f>
        <v/>
      </c>
      <c r="G513" s="106" t="str">
        <f t="shared" si="249"/>
        <v>-</v>
      </c>
      <c r="H513" s="273"/>
      <c r="I513" s="107"/>
      <c r="J513" s="249" t="e">
        <f t="shared" si="250"/>
        <v>#VALUE!</v>
      </c>
      <c r="K513" s="101" t="str">
        <f>IFERROR(INDEX('Data Sheet'!$C$198:$C$275,MATCH(I513,'Data Sheet'!$F$198:$F$275,0)),"")</f>
        <v/>
      </c>
      <c r="L513" s="250" t="str">
        <f>IFERROR(INDEX('Data Sheet'!$G$198:$G$275,MATCH(I513,'Data Sheet'!$F$198:$F$275,0)),"")</f>
        <v/>
      </c>
      <c r="M513" s="194"/>
      <c r="N513" s="248"/>
      <c r="O513" s="248"/>
      <c r="P513" s="108" t="str">
        <f>IFERROR(INDEX(Setup!$D$44:$D$70,MATCH(M513,Setup!$K$44:$K$70,0))&amp;"","")</f>
        <v/>
      </c>
      <c r="Q513" s="108" t="str">
        <f>IFERROR(INDEX(Setup!$E$44:$E$70,MATCH(M513,Setup!$K$44:$K$70,0))&amp;"","")</f>
        <v/>
      </c>
      <c r="R513" s="108" t="str">
        <f>IFERROR(INDEX(Setup!$L$44:$L$70,MATCH(M513,Setup!$K$44:$K$70,0))&amp;"","")</f>
        <v/>
      </c>
      <c r="S513" s="108" t="str">
        <f>Setup!$C$30</f>
        <v>USD</v>
      </c>
      <c r="T513" s="109" t="str">
        <f>IFERROR(INDEX('Data Sheet'!$B$198:$B$275,MATCH(I513,'Data Sheet'!$F$198:$F$275,0)),"")</f>
        <v/>
      </c>
      <c r="U513" s="110" t="str">
        <f>IFERROR(INDEX('Data Sheet'!$D$198:$D$275,MATCH(I513,'Data Sheet'!$F$198:$F$275,0)),"")</f>
        <v/>
      </c>
      <c r="V513" s="99"/>
      <c r="W513" s="195" t="str">
        <f>IF(V513=Setup!$C$30,"Grant",IF(V513=Setup!$C$31,"Local",IF(V513=Setup!$C$32,"Other",IF(ISBLANK(V513),"","Other"))))</f>
        <v/>
      </c>
      <c r="X513" s="255"/>
      <c r="Y513" s="259" t="str">
        <f>IF(X513&lt;&gt;"",X513/VLOOKUP($V513,Setup!$C$30:$D$41,2,0),"")</f>
        <v/>
      </c>
      <c r="Z513" s="262"/>
      <c r="AA513" s="256" t="str">
        <f t="shared" si="222"/>
        <v/>
      </c>
      <c r="AB513" s="262"/>
      <c r="AC513" s="258" t="str">
        <f t="shared" si="223"/>
        <v/>
      </c>
      <c r="AD513" s="262"/>
      <c r="AE513" s="258" t="str">
        <f t="shared" si="224"/>
        <v/>
      </c>
      <c r="AF513" s="262"/>
      <c r="AG513" s="256" t="str">
        <f t="shared" si="225"/>
        <v/>
      </c>
      <c r="AH513" s="256" t="str">
        <f t="shared" si="226"/>
        <v/>
      </c>
      <c r="AI513" s="256" t="str">
        <f t="shared" si="227"/>
        <v/>
      </c>
      <c r="AJ513" s="111"/>
      <c r="AK513" s="255"/>
      <c r="AL513" s="259" t="str">
        <f>IF(AK513&lt;&gt;"",AK513/VLOOKUP($V513,Setup!$C$30:$D$41,2,0),"")</f>
        <v/>
      </c>
      <c r="AM513" s="266"/>
      <c r="AN513" s="258" t="str">
        <f t="shared" si="228"/>
        <v/>
      </c>
      <c r="AO513" s="266"/>
      <c r="AP513" s="258" t="str">
        <f t="shared" si="229"/>
        <v/>
      </c>
      <c r="AQ513" s="266"/>
      <c r="AR513" s="258" t="str">
        <f t="shared" si="230"/>
        <v/>
      </c>
      <c r="AS513" s="266"/>
      <c r="AT513" s="256" t="str">
        <f t="shared" si="231"/>
        <v/>
      </c>
      <c r="AU513" s="256" t="str">
        <f t="shared" si="232"/>
        <v/>
      </c>
      <c r="AV513" s="256" t="str">
        <f t="shared" si="233"/>
        <v/>
      </c>
      <c r="AW513" s="267"/>
      <c r="AX513" s="255"/>
      <c r="AY513" s="259" t="str">
        <f>IF(AX513&lt;&gt;"",AX513/VLOOKUP($V513,Setup!$C$30:$D$41,2,0),"")</f>
        <v/>
      </c>
      <c r="AZ513" s="268"/>
      <c r="BA513" s="258" t="str">
        <f t="shared" si="234"/>
        <v/>
      </c>
      <c r="BB513" s="268"/>
      <c r="BC513" s="258" t="str">
        <f t="shared" si="235"/>
        <v/>
      </c>
      <c r="BD513" s="268"/>
      <c r="BE513" s="258" t="str">
        <f t="shared" si="236"/>
        <v/>
      </c>
      <c r="BF513" s="268"/>
      <c r="BG513" s="256" t="str">
        <f t="shared" si="237"/>
        <v/>
      </c>
      <c r="BH513" s="256" t="str">
        <f t="shared" si="238"/>
        <v/>
      </c>
      <c r="BI513" s="256" t="str">
        <f t="shared" si="239"/>
        <v/>
      </c>
      <c r="BJ513" s="267"/>
      <c r="BK513" s="255"/>
      <c r="BL513" s="259" t="str">
        <f>IF(BK513&lt;&gt;"",BK513/VLOOKUP($V513,Setup!$C$30:$D$41,2,0),"")</f>
        <v/>
      </c>
      <c r="BM513" s="268"/>
      <c r="BN513" s="258" t="str">
        <f t="shared" si="240"/>
        <v/>
      </c>
      <c r="BO513" s="268"/>
      <c r="BP513" s="258" t="str">
        <f t="shared" si="241"/>
        <v/>
      </c>
      <c r="BQ513" s="268"/>
      <c r="BR513" s="258" t="str">
        <f t="shared" si="242"/>
        <v/>
      </c>
      <c r="BS513" s="268"/>
      <c r="BT513" s="256" t="str">
        <f t="shared" si="243"/>
        <v/>
      </c>
      <c r="BU513" s="256" t="str">
        <f t="shared" si="244"/>
        <v/>
      </c>
      <c r="BV513" s="256" t="str">
        <f t="shared" si="245"/>
        <v/>
      </c>
      <c r="BW513" s="267"/>
      <c r="BX513" s="256" t="str">
        <f t="shared" si="246"/>
        <v/>
      </c>
      <c r="BY513" s="256" t="str">
        <f t="shared" si="247"/>
        <v/>
      </c>
      <c r="BZ513" s="281"/>
      <c r="CA513" s="282"/>
      <c r="CF513" s="284"/>
      <c r="CG513" s="284"/>
      <c r="CH513" s="284"/>
      <c r="CI513" s="284"/>
      <c r="CL513" s="356" t="str">
        <f>IFERROR(VLOOKUP(C513,'Data Sheet'!$A$3:$B$26,2,FALSE),"")</f>
        <v/>
      </c>
    </row>
    <row r="514" spans="1:90" ht="15.75" x14ac:dyDescent="0.2">
      <c r="A514" s="97"/>
      <c r="B514" s="105" t="str">
        <f t="shared" si="251"/>
        <v>--</v>
      </c>
      <c r="C514" s="276"/>
      <c r="D514" s="101" t="str">
        <f>IFERROR(IF(VLOOKUP(C514,'Data Sheet'!$A$3:$D$26,4,FALSE)=0,"",VLOOKUP(C514,'Data Sheet'!$A$3:$D$26,4,FALSE)),"")</f>
        <v/>
      </c>
      <c r="E514" s="279"/>
      <c r="F514" s="103" t="str">
        <f>IFERROR(IF(VLOOKUP(E514,'Data Sheet'!$C$29:$E$174,3,FALSE)=0,"",VLOOKUP(E514,'Data Sheet'!$C$29:$E$174,3,FALSE)),"")</f>
        <v/>
      </c>
      <c r="G514" s="106" t="str">
        <f t="shared" si="249"/>
        <v>-</v>
      </c>
      <c r="H514" s="273"/>
      <c r="I514" s="107"/>
      <c r="J514" s="249" t="e">
        <f t="shared" si="250"/>
        <v>#VALUE!</v>
      </c>
      <c r="K514" s="101" t="str">
        <f>IFERROR(INDEX('Data Sheet'!$C$198:$C$275,MATCH(I514,'Data Sheet'!$F$198:$F$275,0)),"")</f>
        <v/>
      </c>
      <c r="L514" s="250" t="str">
        <f>IFERROR(INDEX('Data Sheet'!$G$198:$G$275,MATCH(I514,'Data Sheet'!$F$198:$F$275,0)),"")</f>
        <v/>
      </c>
      <c r="M514" s="194"/>
      <c r="N514" s="248"/>
      <c r="O514" s="248"/>
      <c r="P514" s="108" t="str">
        <f>IFERROR(INDEX(Setup!$D$44:$D$70,MATCH(M514,Setup!$K$44:$K$70,0))&amp;"","")</f>
        <v/>
      </c>
      <c r="Q514" s="108" t="str">
        <f>IFERROR(INDEX(Setup!$E$44:$E$70,MATCH(M514,Setup!$K$44:$K$70,0))&amp;"","")</f>
        <v/>
      </c>
      <c r="R514" s="108" t="str">
        <f>IFERROR(INDEX(Setup!$L$44:$L$70,MATCH(M514,Setup!$K$44:$K$70,0))&amp;"","")</f>
        <v/>
      </c>
      <c r="S514" s="108" t="str">
        <f>Setup!$C$30</f>
        <v>USD</v>
      </c>
      <c r="T514" s="109" t="str">
        <f>IFERROR(INDEX('Data Sheet'!$B$198:$B$275,MATCH(I514,'Data Sheet'!$F$198:$F$275,0)),"")</f>
        <v/>
      </c>
      <c r="U514" s="110" t="str">
        <f>IFERROR(INDEX('Data Sheet'!$D$198:$D$275,MATCH(I514,'Data Sheet'!$F$198:$F$275,0)),"")</f>
        <v/>
      </c>
      <c r="V514" s="99"/>
      <c r="W514" s="195" t="str">
        <f>IF(V514=Setup!$C$30,"Grant",IF(V514=Setup!$C$31,"Local",IF(V514=Setup!$C$32,"Other",IF(ISBLANK(V514),"","Other"))))</f>
        <v/>
      </c>
      <c r="X514" s="255"/>
      <c r="Y514" s="259" t="str">
        <f>IF(X514&lt;&gt;"",X514/VLOOKUP($V514,Setup!$C$30:$D$41,2,0),"")</f>
        <v/>
      </c>
      <c r="Z514" s="262"/>
      <c r="AA514" s="256" t="str">
        <f t="shared" si="222"/>
        <v/>
      </c>
      <c r="AB514" s="262"/>
      <c r="AC514" s="258" t="str">
        <f t="shared" si="223"/>
        <v/>
      </c>
      <c r="AD514" s="262"/>
      <c r="AE514" s="258" t="str">
        <f t="shared" si="224"/>
        <v/>
      </c>
      <c r="AF514" s="262"/>
      <c r="AG514" s="256" t="str">
        <f t="shared" si="225"/>
        <v/>
      </c>
      <c r="AH514" s="256" t="str">
        <f t="shared" si="226"/>
        <v/>
      </c>
      <c r="AI514" s="256" t="str">
        <f t="shared" si="227"/>
        <v/>
      </c>
      <c r="AJ514" s="111"/>
      <c r="AK514" s="255"/>
      <c r="AL514" s="259" t="str">
        <f>IF(AK514&lt;&gt;"",AK514/VLOOKUP($V514,Setup!$C$30:$D$41,2,0),"")</f>
        <v/>
      </c>
      <c r="AM514" s="266"/>
      <c r="AN514" s="258" t="str">
        <f t="shared" si="228"/>
        <v/>
      </c>
      <c r="AO514" s="266"/>
      <c r="AP514" s="258" t="str">
        <f t="shared" si="229"/>
        <v/>
      </c>
      <c r="AQ514" s="266"/>
      <c r="AR514" s="258" t="str">
        <f t="shared" si="230"/>
        <v/>
      </c>
      <c r="AS514" s="266"/>
      <c r="AT514" s="256" t="str">
        <f t="shared" si="231"/>
        <v/>
      </c>
      <c r="AU514" s="256" t="str">
        <f t="shared" si="232"/>
        <v/>
      </c>
      <c r="AV514" s="256" t="str">
        <f t="shared" si="233"/>
        <v/>
      </c>
      <c r="AW514" s="267"/>
      <c r="AX514" s="255"/>
      <c r="AY514" s="259" t="str">
        <f>IF(AX514&lt;&gt;"",AX514/VLOOKUP($V514,Setup!$C$30:$D$41,2,0),"")</f>
        <v/>
      </c>
      <c r="AZ514" s="268"/>
      <c r="BA514" s="258" t="str">
        <f t="shared" si="234"/>
        <v/>
      </c>
      <c r="BB514" s="268"/>
      <c r="BC514" s="258" t="str">
        <f t="shared" si="235"/>
        <v/>
      </c>
      <c r="BD514" s="268"/>
      <c r="BE514" s="258" t="str">
        <f t="shared" si="236"/>
        <v/>
      </c>
      <c r="BF514" s="268"/>
      <c r="BG514" s="256" t="str">
        <f t="shared" si="237"/>
        <v/>
      </c>
      <c r="BH514" s="256" t="str">
        <f t="shared" si="238"/>
        <v/>
      </c>
      <c r="BI514" s="256" t="str">
        <f t="shared" si="239"/>
        <v/>
      </c>
      <c r="BJ514" s="267"/>
      <c r="BK514" s="255"/>
      <c r="BL514" s="259" t="str">
        <f>IF(BK514&lt;&gt;"",BK514/VLOOKUP($V514,Setup!$C$30:$D$41,2,0),"")</f>
        <v/>
      </c>
      <c r="BM514" s="268"/>
      <c r="BN514" s="258" t="str">
        <f t="shared" si="240"/>
        <v/>
      </c>
      <c r="BO514" s="268"/>
      <c r="BP514" s="258" t="str">
        <f t="shared" si="241"/>
        <v/>
      </c>
      <c r="BQ514" s="268"/>
      <c r="BR514" s="258" t="str">
        <f t="shared" si="242"/>
        <v/>
      </c>
      <c r="BS514" s="268"/>
      <c r="BT514" s="256" t="str">
        <f t="shared" si="243"/>
        <v/>
      </c>
      <c r="BU514" s="256" t="str">
        <f t="shared" si="244"/>
        <v/>
      </c>
      <c r="BV514" s="256" t="str">
        <f t="shared" si="245"/>
        <v/>
      </c>
      <c r="BW514" s="267"/>
      <c r="BX514" s="256" t="str">
        <f t="shared" si="246"/>
        <v/>
      </c>
      <c r="BY514" s="256" t="str">
        <f t="shared" si="247"/>
        <v/>
      </c>
      <c r="BZ514" s="281"/>
      <c r="CA514" s="282"/>
      <c r="CF514" s="284"/>
      <c r="CG514" s="284"/>
      <c r="CH514" s="284"/>
      <c r="CI514" s="284"/>
      <c r="CL514" s="356" t="str">
        <f>IFERROR(VLOOKUP(C514,'Data Sheet'!$A$3:$B$26,2,FALSE),"")</f>
        <v/>
      </c>
    </row>
    <row r="515" spans="1:90" ht="15.75" x14ac:dyDescent="0.2">
      <c r="A515" s="97"/>
      <c r="B515" s="105" t="str">
        <f t="shared" si="251"/>
        <v>--</v>
      </c>
      <c r="C515" s="276"/>
      <c r="D515" s="101" t="str">
        <f>IFERROR(IF(VLOOKUP(C515,'Data Sheet'!$A$3:$D$26,4,FALSE)=0,"",VLOOKUP(C515,'Data Sheet'!$A$3:$D$26,4,FALSE)),"")</f>
        <v/>
      </c>
      <c r="E515" s="279"/>
      <c r="F515" s="103" t="str">
        <f>IFERROR(IF(VLOOKUP(E515,'Data Sheet'!$C$29:$E$174,3,FALSE)=0,"",VLOOKUP(E515,'Data Sheet'!$C$29:$E$174,3,FALSE)),"")</f>
        <v/>
      </c>
      <c r="G515" s="106" t="str">
        <f t="shared" si="249"/>
        <v>-</v>
      </c>
      <c r="H515" s="273"/>
      <c r="I515" s="107"/>
      <c r="J515" s="249" t="e">
        <f t="shared" si="250"/>
        <v>#VALUE!</v>
      </c>
      <c r="K515" s="101" t="str">
        <f>IFERROR(INDEX('Data Sheet'!$C$198:$C$275,MATCH(I515,'Data Sheet'!$F$198:$F$275,0)),"")</f>
        <v/>
      </c>
      <c r="L515" s="250" t="str">
        <f>IFERROR(INDEX('Data Sheet'!$G$198:$G$275,MATCH(I515,'Data Sheet'!$F$198:$F$275,0)),"")</f>
        <v/>
      </c>
      <c r="M515" s="194"/>
      <c r="N515" s="248"/>
      <c r="O515" s="248"/>
      <c r="P515" s="108" t="str">
        <f>IFERROR(INDEX(Setup!$D$44:$D$70,MATCH(M515,Setup!$K$44:$K$70,0))&amp;"","")</f>
        <v/>
      </c>
      <c r="Q515" s="108" t="str">
        <f>IFERROR(INDEX(Setup!$E$44:$E$70,MATCH(M515,Setup!$K$44:$K$70,0))&amp;"","")</f>
        <v/>
      </c>
      <c r="R515" s="108" t="str">
        <f>IFERROR(INDEX(Setup!$L$44:$L$70,MATCH(M515,Setup!$K$44:$K$70,0))&amp;"","")</f>
        <v/>
      </c>
      <c r="S515" s="108" t="str">
        <f>Setup!$C$30</f>
        <v>USD</v>
      </c>
      <c r="T515" s="109" t="str">
        <f>IFERROR(INDEX('Data Sheet'!$B$198:$B$275,MATCH(I515,'Data Sheet'!$F$198:$F$275,0)),"")</f>
        <v/>
      </c>
      <c r="U515" s="110" t="str">
        <f>IFERROR(INDEX('Data Sheet'!$D$198:$D$275,MATCH(I515,'Data Sheet'!$F$198:$F$275,0)),"")</f>
        <v/>
      </c>
      <c r="V515" s="99"/>
      <c r="W515" s="195" t="str">
        <f>IF(V515=Setup!$C$30,"Grant",IF(V515=Setup!$C$31,"Local",IF(V515=Setup!$C$32,"Other",IF(ISBLANK(V515),"","Other"))))</f>
        <v/>
      </c>
      <c r="X515" s="255"/>
      <c r="Y515" s="259" t="str">
        <f>IF(X515&lt;&gt;"",X515/VLOOKUP($V515,Setup!$C$30:$D$41,2,0),"")</f>
        <v/>
      </c>
      <c r="Z515" s="262"/>
      <c r="AA515" s="256" t="str">
        <f t="shared" si="222"/>
        <v/>
      </c>
      <c r="AB515" s="262"/>
      <c r="AC515" s="258" t="str">
        <f t="shared" si="223"/>
        <v/>
      </c>
      <c r="AD515" s="262"/>
      <c r="AE515" s="258" t="str">
        <f t="shared" si="224"/>
        <v/>
      </c>
      <c r="AF515" s="262"/>
      <c r="AG515" s="256" t="str">
        <f t="shared" si="225"/>
        <v/>
      </c>
      <c r="AH515" s="256" t="str">
        <f t="shared" si="226"/>
        <v/>
      </c>
      <c r="AI515" s="256" t="str">
        <f t="shared" si="227"/>
        <v/>
      </c>
      <c r="AJ515" s="111"/>
      <c r="AK515" s="255"/>
      <c r="AL515" s="259" t="str">
        <f>IF(AK515&lt;&gt;"",AK515/VLOOKUP($V515,Setup!$C$30:$D$41,2,0),"")</f>
        <v/>
      </c>
      <c r="AM515" s="266"/>
      <c r="AN515" s="258" t="str">
        <f t="shared" si="228"/>
        <v/>
      </c>
      <c r="AO515" s="266"/>
      <c r="AP515" s="258" t="str">
        <f t="shared" si="229"/>
        <v/>
      </c>
      <c r="AQ515" s="266"/>
      <c r="AR515" s="258" t="str">
        <f t="shared" si="230"/>
        <v/>
      </c>
      <c r="AS515" s="266"/>
      <c r="AT515" s="256" t="str">
        <f t="shared" si="231"/>
        <v/>
      </c>
      <c r="AU515" s="256" t="str">
        <f t="shared" si="232"/>
        <v/>
      </c>
      <c r="AV515" s="256" t="str">
        <f t="shared" si="233"/>
        <v/>
      </c>
      <c r="AW515" s="267"/>
      <c r="AX515" s="255"/>
      <c r="AY515" s="259" t="str">
        <f>IF(AX515&lt;&gt;"",AX515/VLOOKUP($V515,Setup!$C$30:$D$41,2,0),"")</f>
        <v/>
      </c>
      <c r="AZ515" s="268"/>
      <c r="BA515" s="258" t="str">
        <f t="shared" si="234"/>
        <v/>
      </c>
      <c r="BB515" s="268"/>
      <c r="BC515" s="258" t="str">
        <f t="shared" si="235"/>
        <v/>
      </c>
      <c r="BD515" s="268"/>
      <c r="BE515" s="258" t="str">
        <f t="shared" si="236"/>
        <v/>
      </c>
      <c r="BF515" s="268"/>
      <c r="BG515" s="256" t="str">
        <f t="shared" si="237"/>
        <v/>
      </c>
      <c r="BH515" s="256" t="str">
        <f t="shared" si="238"/>
        <v/>
      </c>
      <c r="BI515" s="256" t="str">
        <f t="shared" si="239"/>
        <v/>
      </c>
      <c r="BJ515" s="267"/>
      <c r="BK515" s="255"/>
      <c r="BL515" s="259" t="str">
        <f>IF(BK515&lt;&gt;"",BK515/VLOOKUP($V515,Setup!$C$30:$D$41,2,0),"")</f>
        <v/>
      </c>
      <c r="BM515" s="268"/>
      <c r="BN515" s="258" t="str">
        <f t="shared" si="240"/>
        <v/>
      </c>
      <c r="BO515" s="268"/>
      <c r="BP515" s="258" t="str">
        <f t="shared" si="241"/>
        <v/>
      </c>
      <c r="BQ515" s="268"/>
      <c r="BR515" s="258" t="str">
        <f t="shared" si="242"/>
        <v/>
      </c>
      <c r="BS515" s="268"/>
      <c r="BT515" s="256" t="str">
        <f t="shared" si="243"/>
        <v/>
      </c>
      <c r="BU515" s="256" t="str">
        <f t="shared" si="244"/>
        <v/>
      </c>
      <c r="BV515" s="256" t="str">
        <f t="shared" si="245"/>
        <v/>
      </c>
      <c r="BW515" s="267"/>
      <c r="BX515" s="256" t="str">
        <f t="shared" si="246"/>
        <v/>
      </c>
      <c r="BY515" s="256" t="str">
        <f t="shared" si="247"/>
        <v/>
      </c>
      <c r="BZ515" s="281"/>
      <c r="CA515" s="282"/>
      <c r="CF515" s="284"/>
      <c r="CG515" s="284"/>
      <c r="CH515" s="284"/>
      <c r="CI515" s="284"/>
      <c r="CL515" s="356" t="str">
        <f>IFERROR(VLOOKUP(C515,'Data Sheet'!$A$3:$B$26,2,FALSE),"")</f>
        <v/>
      </c>
    </row>
    <row r="516" spans="1:90" ht="15.75" x14ac:dyDescent="0.2">
      <c r="A516" s="97"/>
      <c r="B516" s="105" t="str">
        <f t="shared" si="251"/>
        <v>--</v>
      </c>
      <c r="C516" s="276"/>
      <c r="D516" s="101" t="str">
        <f>IFERROR(IF(VLOOKUP(C516,'Data Sheet'!$A$3:$D$26,4,FALSE)=0,"",VLOOKUP(C516,'Data Sheet'!$A$3:$D$26,4,FALSE)),"")</f>
        <v/>
      </c>
      <c r="E516" s="279"/>
      <c r="F516" s="103" t="str">
        <f>IFERROR(IF(VLOOKUP(E516,'Data Sheet'!$C$29:$E$174,3,FALSE)=0,"",VLOOKUP(E516,'Data Sheet'!$C$29:$E$174,3,FALSE)),"")</f>
        <v/>
      </c>
      <c r="G516" s="106" t="str">
        <f t="shared" si="249"/>
        <v>-</v>
      </c>
      <c r="H516" s="273"/>
      <c r="I516" s="107"/>
      <c r="J516" s="249" t="e">
        <f t="shared" si="250"/>
        <v>#VALUE!</v>
      </c>
      <c r="K516" s="101" t="str">
        <f>IFERROR(INDEX('Data Sheet'!$C$198:$C$275,MATCH(I516,'Data Sheet'!$F$198:$F$275,0)),"")</f>
        <v/>
      </c>
      <c r="L516" s="250" t="str">
        <f>IFERROR(INDEX('Data Sheet'!$G$198:$G$275,MATCH(I516,'Data Sheet'!$F$198:$F$275,0)),"")</f>
        <v/>
      </c>
      <c r="M516" s="194"/>
      <c r="N516" s="248"/>
      <c r="O516" s="248"/>
      <c r="P516" s="108" t="str">
        <f>IFERROR(INDEX(Setup!$D$44:$D$70,MATCH(M516,Setup!$K$44:$K$70,0))&amp;"","")</f>
        <v/>
      </c>
      <c r="Q516" s="108" t="str">
        <f>IFERROR(INDEX(Setup!$E$44:$E$70,MATCH(M516,Setup!$K$44:$K$70,0))&amp;"","")</f>
        <v/>
      </c>
      <c r="R516" s="108" t="str">
        <f>IFERROR(INDEX(Setup!$L$44:$L$70,MATCH(M516,Setup!$K$44:$K$70,0))&amp;"","")</f>
        <v/>
      </c>
      <c r="S516" s="108" t="str">
        <f>Setup!$C$30</f>
        <v>USD</v>
      </c>
      <c r="T516" s="109" t="str">
        <f>IFERROR(INDEX('Data Sheet'!$B$198:$B$275,MATCH(I516,'Data Sheet'!$F$198:$F$275,0)),"")</f>
        <v/>
      </c>
      <c r="U516" s="110" t="str">
        <f>IFERROR(INDEX('Data Sheet'!$D$198:$D$275,MATCH(I516,'Data Sheet'!$F$198:$F$275,0)),"")</f>
        <v/>
      </c>
      <c r="V516" s="99"/>
      <c r="W516" s="195" t="str">
        <f>IF(V516=Setup!$C$30,"Grant",IF(V516=Setup!$C$31,"Local",IF(V516=Setup!$C$32,"Other",IF(ISBLANK(V516),"","Other"))))</f>
        <v/>
      </c>
      <c r="X516" s="255"/>
      <c r="Y516" s="259" t="str">
        <f>IF(X516&lt;&gt;"",X516/VLOOKUP($V516,Setup!$C$30:$D$41,2,0),"")</f>
        <v/>
      </c>
      <c r="Z516" s="262"/>
      <c r="AA516" s="256" t="str">
        <f t="shared" si="222"/>
        <v/>
      </c>
      <c r="AB516" s="262"/>
      <c r="AC516" s="258" t="str">
        <f t="shared" si="223"/>
        <v/>
      </c>
      <c r="AD516" s="262"/>
      <c r="AE516" s="258" t="str">
        <f t="shared" si="224"/>
        <v/>
      </c>
      <c r="AF516" s="262"/>
      <c r="AG516" s="256" t="str">
        <f t="shared" si="225"/>
        <v/>
      </c>
      <c r="AH516" s="256" t="str">
        <f t="shared" si="226"/>
        <v/>
      </c>
      <c r="AI516" s="256" t="str">
        <f t="shared" si="227"/>
        <v/>
      </c>
      <c r="AJ516" s="111"/>
      <c r="AK516" s="255"/>
      <c r="AL516" s="259" t="str">
        <f>IF(AK516&lt;&gt;"",AK516/VLOOKUP($V516,Setup!$C$30:$D$41,2,0),"")</f>
        <v/>
      </c>
      <c r="AM516" s="266"/>
      <c r="AN516" s="258" t="str">
        <f t="shared" si="228"/>
        <v/>
      </c>
      <c r="AO516" s="266"/>
      <c r="AP516" s="258" t="str">
        <f t="shared" si="229"/>
        <v/>
      </c>
      <c r="AQ516" s="266"/>
      <c r="AR516" s="258" t="str">
        <f t="shared" si="230"/>
        <v/>
      </c>
      <c r="AS516" s="266"/>
      <c r="AT516" s="256" t="str">
        <f t="shared" si="231"/>
        <v/>
      </c>
      <c r="AU516" s="256" t="str">
        <f t="shared" si="232"/>
        <v/>
      </c>
      <c r="AV516" s="256" t="str">
        <f t="shared" si="233"/>
        <v/>
      </c>
      <c r="AW516" s="267"/>
      <c r="AX516" s="255"/>
      <c r="AY516" s="259" t="str">
        <f>IF(AX516&lt;&gt;"",AX516/VLOOKUP($V516,Setup!$C$30:$D$41,2,0),"")</f>
        <v/>
      </c>
      <c r="AZ516" s="268"/>
      <c r="BA516" s="258" t="str">
        <f t="shared" si="234"/>
        <v/>
      </c>
      <c r="BB516" s="268"/>
      <c r="BC516" s="258" t="str">
        <f t="shared" si="235"/>
        <v/>
      </c>
      <c r="BD516" s="268"/>
      <c r="BE516" s="258" t="str">
        <f t="shared" si="236"/>
        <v/>
      </c>
      <c r="BF516" s="268"/>
      <c r="BG516" s="256" t="str">
        <f t="shared" si="237"/>
        <v/>
      </c>
      <c r="BH516" s="256" t="str">
        <f t="shared" si="238"/>
        <v/>
      </c>
      <c r="BI516" s="256" t="str">
        <f t="shared" si="239"/>
        <v/>
      </c>
      <c r="BJ516" s="267"/>
      <c r="BK516" s="255"/>
      <c r="BL516" s="259" t="str">
        <f>IF(BK516&lt;&gt;"",BK516/VLOOKUP($V516,Setup!$C$30:$D$41,2,0),"")</f>
        <v/>
      </c>
      <c r="BM516" s="268"/>
      <c r="BN516" s="258" t="str">
        <f t="shared" si="240"/>
        <v/>
      </c>
      <c r="BO516" s="268"/>
      <c r="BP516" s="258" t="str">
        <f t="shared" si="241"/>
        <v/>
      </c>
      <c r="BQ516" s="268"/>
      <c r="BR516" s="258" t="str">
        <f t="shared" si="242"/>
        <v/>
      </c>
      <c r="BS516" s="268"/>
      <c r="BT516" s="256" t="str">
        <f t="shared" si="243"/>
        <v/>
      </c>
      <c r="BU516" s="256" t="str">
        <f t="shared" si="244"/>
        <v/>
      </c>
      <c r="BV516" s="256" t="str">
        <f t="shared" si="245"/>
        <v/>
      </c>
      <c r="BW516" s="267"/>
      <c r="BX516" s="256" t="str">
        <f t="shared" si="246"/>
        <v/>
      </c>
      <c r="BY516" s="256" t="str">
        <f t="shared" si="247"/>
        <v/>
      </c>
      <c r="BZ516" s="281"/>
      <c r="CA516" s="282"/>
      <c r="CF516" s="284"/>
      <c r="CG516" s="284"/>
      <c r="CH516" s="284"/>
      <c r="CI516" s="284"/>
      <c r="CL516" s="356" t="str">
        <f>IFERROR(VLOOKUP(C516,'Data Sheet'!$A$3:$B$26,2,FALSE),"")</f>
        <v/>
      </c>
    </row>
    <row r="517" spans="1:90" ht="15.75" x14ac:dyDescent="0.2">
      <c r="A517" s="97"/>
      <c r="B517" s="105" t="str">
        <f t="shared" si="251"/>
        <v>--</v>
      </c>
      <c r="C517" s="276"/>
      <c r="D517" s="101" t="str">
        <f>IFERROR(IF(VLOOKUP(C517,'Data Sheet'!$A$3:$D$26,4,FALSE)=0,"",VLOOKUP(C517,'Data Sheet'!$A$3:$D$26,4,FALSE)),"")</f>
        <v/>
      </c>
      <c r="E517" s="279"/>
      <c r="F517" s="103" t="str">
        <f>IFERROR(IF(VLOOKUP(E517,'Data Sheet'!$C$29:$E$174,3,FALSE)=0,"",VLOOKUP(E517,'Data Sheet'!$C$29:$E$174,3,FALSE)),"")</f>
        <v/>
      </c>
      <c r="G517" s="106" t="str">
        <f t="shared" si="249"/>
        <v>-</v>
      </c>
      <c r="H517" s="273"/>
      <c r="I517" s="107"/>
      <c r="J517" s="249" t="e">
        <f t="shared" si="250"/>
        <v>#VALUE!</v>
      </c>
      <c r="K517" s="101" t="str">
        <f>IFERROR(INDEX('Data Sheet'!$C$198:$C$275,MATCH(I517,'Data Sheet'!$F$198:$F$275,0)),"")</f>
        <v/>
      </c>
      <c r="L517" s="250" t="str">
        <f>IFERROR(INDEX('Data Sheet'!$G$198:$G$275,MATCH(I517,'Data Sheet'!$F$198:$F$275,0)),"")</f>
        <v/>
      </c>
      <c r="M517" s="194"/>
      <c r="N517" s="248"/>
      <c r="O517" s="248"/>
      <c r="P517" s="108" t="str">
        <f>IFERROR(INDEX(Setup!$D$44:$D$70,MATCH(M517,Setup!$K$44:$K$70,0))&amp;"","")</f>
        <v/>
      </c>
      <c r="Q517" s="108" t="str">
        <f>IFERROR(INDEX(Setup!$E$44:$E$70,MATCH(M517,Setup!$K$44:$K$70,0))&amp;"","")</f>
        <v/>
      </c>
      <c r="R517" s="108" t="str">
        <f>IFERROR(INDEX(Setup!$L$44:$L$70,MATCH(M517,Setup!$K$44:$K$70,0))&amp;"","")</f>
        <v/>
      </c>
      <c r="S517" s="108" t="str">
        <f>Setup!$C$30</f>
        <v>USD</v>
      </c>
      <c r="T517" s="109" t="str">
        <f>IFERROR(INDEX('Data Sheet'!$B$198:$B$275,MATCH(I517,'Data Sheet'!$F$198:$F$275,0)),"")</f>
        <v/>
      </c>
      <c r="U517" s="110" t="str">
        <f>IFERROR(INDEX('Data Sheet'!$D$198:$D$275,MATCH(I517,'Data Sheet'!$F$198:$F$275,0)),"")</f>
        <v/>
      </c>
      <c r="V517" s="99"/>
      <c r="W517" s="195" t="str">
        <f>IF(V517=Setup!$C$30,"Grant",IF(V517=Setup!$C$31,"Local",IF(V517=Setup!$C$32,"Other",IF(ISBLANK(V517),"","Other"))))</f>
        <v/>
      </c>
      <c r="X517" s="255"/>
      <c r="Y517" s="259" t="str">
        <f>IF(X517&lt;&gt;"",X517/VLOOKUP($V517,Setup!$C$30:$D$41,2,0),"")</f>
        <v/>
      </c>
      <c r="Z517" s="262"/>
      <c r="AA517" s="256" t="str">
        <f t="shared" ref="AA517:AA580" si="252">IFERROR(IF(AND(NOT(Z517=""),NOT(Y517="")),Z517*Y517,""),"")</f>
        <v/>
      </c>
      <c r="AB517" s="262"/>
      <c r="AC517" s="258" t="str">
        <f t="shared" ref="AC517:AC580" si="253">IFERROR(IF(AND(NOT(AB517=""),NOT(Y517="")),AB517*Y517,""),"")</f>
        <v/>
      </c>
      <c r="AD517" s="262"/>
      <c r="AE517" s="258" t="str">
        <f t="shared" ref="AE517:AE580" si="254">IFERROR(IF(AND(NOT(AD517=""),NOT(Y517="")),AD517*Y517,""),"")</f>
        <v/>
      </c>
      <c r="AF517" s="262"/>
      <c r="AG517" s="256" t="str">
        <f t="shared" ref="AG517:AG580" si="255">IFERROR(IF(AND(NOT(AF517=""),NOT(Y517="")),AF517*Y517,""),"")</f>
        <v/>
      </c>
      <c r="AH517" s="256" t="str">
        <f t="shared" ref="AH517:AH580" si="256">IFERROR(IF(OR(NOT(Z517=""),NOT(AF517=""),NOT(AB517=""),NOT(AD517="")),Z517+AF517+AB517+AD517,""),"")</f>
        <v/>
      </c>
      <c r="AI517" s="256" t="str">
        <f t="shared" ref="AI517:AI580" si="257">IF(SUM(AA517,AC517,AE517,AG517)&gt;0,SUM(AA517,AC517,AE517,AG517),"")</f>
        <v/>
      </c>
      <c r="AJ517" s="111"/>
      <c r="AK517" s="255"/>
      <c r="AL517" s="259" t="str">
        <f>IF(AK517&lt;&gt;"",AK517/VLOOKUP($V517,Setup!$C$30:$D$41,2,0),"")</f>
        <v/>
      </c>
      <c r="AM517" s="266"/>
      <c r="AN517" s="258" t="str">
        <f t="shared" ref="AN517:AN580" si="258">IFERROR(IF(AND(NOT(AM517=""),NOT(AL517="")),AM517*$AL517,""),"")</f>
        <v/>
      </c>
      <c r="AO517" s="266"/>
      <c r="AP517" s="258" t="str">
        <f t="shared" ref="AP517:AP580" si="259">IFERROR(IF(AND(NOT(AO517=""),NOT(AL517="")),AO517*$AL517,""),"")</f>
        <v/>
      </c>
      <c r="AQ517" s="266"/>
      <c r="AR517" s="258" t="str">
        <f t="shared" ref="AR517:AR580" si="260">IFERROR(IF(AND(NOT(AQ517=""),NOT(AL517="")),AQ517*$AL517,""),"")</f>
        <v/>
      </c>
      <c r="AS517" s="266"/>
      <c r="AT517" s="256" t="str">
        <f t="shared" ref="AT517:AT580" si="261">IFERROR(IF(AND(NOT(AS517=""),NOT(AL517="")),AS517*$AL517,""),"")</f>
        <v/>
      </c>
      <c r="AU517" s="256" t="str">
        <f t="shared" ref="AU517:AU580" si="262">IFERROR(IF(OR(NOT(AM517=""),NOT(AS517=""),NOT(AO517=""),NOT(AQ517="")),AM517+AS517+AO517+AQ517,""),"")</f>
        <v/>
      </c>
      <c r="AV517" s="256" t="str">
        <f t="shared" ref="AV517:AV580" si="263">IF(SUM(AN517,AT517,AP517,AR517)&gt;0,SUM(AN517,AT517,AP517,AR517),"")</f>
        <v/>
      </c>
      <c r="AW517" s="267"/>
      <c r="AX517" s="255"/>
      <c r="AY517" s="259" t="str">
        <f>IF(AX517&lt;&gt;"",AX517/VLOOKUP($V517,Setup!$C$30:$D$41,2,0),"")</f>
        <v/>
      </c>
      <c r="AZ517" s="268"/>
      <c r="BA517" s="258" t="str">
        <f t="shared" ref="BA517:BA580" si="264">IFERROR(IF(AND(NOT(AZ517=""),NOT(AY517="")),AZ517*$AY517,""),"")</f>
        <v/>
      </c>
      <c r="BB517" s="268"/>
      <c r="BC517" s="258" t="str">
        <f t="shared" ref="BC517:BC580" si="265">IFERROR(IF(AND(NOT(BB517=""),NOT(AY517="")),BB517*$AY517,""),"")</f>
        <v/>
      </c>
      <c r="BD517" s="268"/>
      <c r="BE517" s="258" t="str">
        <f t="shared" ref="BE517:BE580" si="266">IFERROR(IF(AND(NOT(BD517=""),NOT(AY517="")),BD517*$AY517,""),"")</f>
        <v/>
      </c>
      <c r="BF517" s="268"/>
      <c r="BG517" s="256" t="str">
        <f t="shared" ref="BG517:BG580" si="267">IFERROR(IF(AND(NOT(BF517=""),NOT(AY517="")),BF517*$AY517,""),"")</f>
        <v/>
      </c>
      <c r="BH517" s="256" t="str">
        <f t="shared" ref="BH517:BH580" si="268">IFERROR(IF(OR(NOT(AZ517=""),NOT(BF517=""),NOT(BB517=""),NOT(BD517="")),AZ517+BF517+BB517+BD517,""),"")</f>
        <v/>
      </c>
      <c r="BI517" s="256" t="str">
        <f t="shared" ref="BI517:BI580" si="269">IF(SUM(BA517,BG517,BC517,BE517)&gt;0,SUM(BA517,BG517,BC517,BE517),"")</f>
        <v/>
      </c>
      <c r="BJ517" s="267"/>
      <c r="BK517" s="255"/>
      <c r="BL517" s="259" t="str">
        <f>IF(BK517&lt;&gt;"",BK517/VLOOKUP($V517,Setup!$C$30:$D$41,2,0),"")</f>
        <v/>
      </c>
      <c r="BM517" s="268"/>
      <c r="BN517" s="258" t="str">
        <f t="shared" ref="BN517:BN580" si="270">IFERROR(IF(AND(NOT(BM517=""),NOT(BL517="")),BM517*$BL517,""),"")</f>
        <v/>
      </c>
      <c r="BO517" s="268"/>
      <c r="BP517" s="258" t="str">
        <f t="shared" ref="BP517:BP580" si="271">IFERROR(IF(AND(NOT(BO517=""),NOT(BL517="")),BO517*$BL517,""),"")</f>
        <v/>
      </c>
      <c r="BQ517" s="268"/>
      <c r="BR517" s="258" t="str">
        <f t="shared" ref="BR517:BR580" si="272">IFERROR(IF(AND(NOT(BQ517=""),NOT(BL517="")),BQ517*$BL517,""),"")</f>
        <v/>
      </c>
      <c r="BS517" s="268"/>
      <c r="BT517" s="256" t="str">
        <f t="shared" ref="BT517:BT580" si="273">IFERROR(IF(AND(NOT(BS517=""),NOT(BL517="")),BS517*$BL517,""),"")</f>
        <v/>
      </c>
      <c r="BU517" s="256" t="str">
        <f t="shared" ref="BU517:BU580" si="274">IFERROR(IF(OR(NOT(BM517=""),NOT(BS517=""),NOT(BO517=""),NOT(BQ517="")),BM517+BS517+BO517+BQ517,""),"")</f>
        <v/>
      </c>
      <c r="BV517" s="256" t="str">
        <f t="shared" ref="BV517:BV580" si="275">IF(SUM(BN517,BT517,BP517,BR517)&gt;0,SUM(BN517,BT517,BP517,BR517),"")</f>
        <v/>
      </c>
      <c r="BW517" s="267"/>
      <c r="BX517" s="256" t="str">
        <f t="shared" ref="BX517:BX580" si="276">IF(SUM(AH517,AU517,BH517,BU517)&gt;0,SUM(AH517,AU517,BH517,BU517),"")</f>
        <v/>
      </c>
      <c r="BY517" s="256" t="str">
        <f t="shared" ref="BY517:BY580" si="277">IF(SUM(AI517,AV517,BI517,BV517)&gt;0,SUM(AI517,AV517,BI517,BV517),"")</f>
        <v/>
      </c>
      <c r="BZ517" s="281"/>
      <c r="CA517" s="282"/>
      <c r="CF517" s="284"/>
      <c r="CG517" s="284"/>
      <c r="CH517" s="284"/>
      <c r="CI517" s="284"/>
      <c r="CL517" s="356" t="str">
        <f>IFERROR(VLOOKUP(C517,'Data Sheet'!$A$3:$B$26,2,FALSE),"")</f>
        <v/>
      </c>
    </row>
    <row r="518" spans="1:90" ht="15.75" x14ac:dyDescent="0.2">
      <c r="A518" s="97"/>
      <c r="B518" s="105" t="str">
        <f t="shared" si="251"/>
        <v>--</v>
      </c>
      <c r="C518" s="276"/>
      <c r="D518" s="101" t="str">
        <f>IFERROR(IF(VLOOKUP(C518,'Data Sheet'!$A$3:$D$26,4,FALSE)=0,"",VLOOKUP(C518,'Data Sheet'!$A$3:$D$26,4,FALSE)),"")</f>
        <v/>
      </c>
      <c r="E518" s="279"/>
      <c r="F518" s="103" t="str">
        <f>IFERROR(IF(VLOOKUP(E518,'Data Sheet'!$C$29:$E$174,3,FALSE)=0,"",VLOOKUP(E518,'Data Sheet'!$C$29:$E$174,3,FALSE)),"")</f>
        <v/>
      </c>
      <c r="G518" s="106" t="str">
        <f t="shared" ref="G518:G581" si="278">CONCATENATE(D518,"-",F518)</f>
        <v>-</v>
      </c>
      <c r="H518" s="273"/>
      <c r="I518" s="107"/>
      <c r="J518" s="249" t="e">
        <f t="shared" ref="J518:J581" si="279">LEFT(I518,SEARCH(".",I518,1)+1)</f>
        <v>#VALUE!</v>
      </c>
      <c r="K518" s="101" t="str">
        <f>IFERROR(INDEX('Data Sheet'!$C$198:$C$275,MATCH(I518,'Data Sheet'!$F$198:$F$275,0)),"")</f>
        <v/>
      </c>
      <c r="L518" s="250" t="str">
        <f>IFERROR(INDEX('Data Sheet'!$G$198:$G$275,MATCH(I518,'Data Sheet'!$F$198:$F$275,0)),"")</f>
        <v/>
      </c>
      <c r="M518" s="194"/>
      <c r="N518" s="248"/>
      <c r="O518" s="248"/>
      <c r="P518" s="108" t="str">
        <f>IFERROR(INDEX(Setup!$D$44:$D$70,MATCH(M518,Setup!$K$44:$K$70,0))&amp;"","")</f>
        <v/>
      </c>
      <c r="Q518" s="108" t="str">
        <f>IFERROR(INDEX(Setup!$E$44:$E$70,MATCH(M518,Setup!$K$44:$K$70,0))&amp;"","")</f>
        <v/>
      </c>
      <c r="R518" s="108" t="str">
        <f>IFERROR(INDEX(Setup!$L$44:$L$70,MATCH(M518,Setup!$K$44:$K$70,0))&amp;"","")</f>
        <v/>
      </c>
      <c r="S518" s="108" t="str">
        <f>Setup!$C$30</f>
        <v>USD</v>
      </c>
      <c r="T518" s="109" t="str">
        <f>IFERROR(INDEX('Data Sheet'!$B$198:$B$275,MATCH(I518,'Data Sheet'!$F$198:$F$275,0)),"")</f>
        <v/>
      </c>
      <c r="U518" s="110" t="str">
        <f>IFERROR(INDEX('Data Sheet'!$D$198:$D$275,MATCH(I518,'Data Sheet'!$F$198:$F$275,0)),"")</f>
        <v/>
      </c>
      <c r="V518" s="99"/>
      <c r="W518" s="195" t="str">
        <f>IF(V518=Setup!$C$30,"Grant",IF(V518=Setup!$C$31,"Local",IF(V518=Setup!$C$32,"Other",IF(ISBLANK(V518),"","Other"))))</f>
        <v/>
      </c>
      <c r="X518" s="255"/>
      <c r="Y518" s="259" t="str">
        <f>IF(X518&lt;&gt;"",X518/VLOOKUP($V518,Setup!$C$30:$D$41,2,0),"")</f>
        <v/>
      </c>
      <c r="Z518" s="262"/>
      <c r="AA518" s="256" t="str">
        <f t="shared" si="252"/>
        <v/>
      </c>
      <c r="AB518" s="262"/>
      <c r="AC518" s="258" t="str">
        <f t="shared" si="253"/>
        <v/>
      </c>
      <c r="AD518" s="262"/>
      <c r="AE518" s="258" t="str">
        <f t="shared" si="254"/>
        <v/>
      </c>
      <c r="AF518" s="262"/>
      <c r="AG518" s="256" t="str">
        <f t="shared" si="255"/>
        <v/>
      </c>
      <c r="AH518" s="256" t="str">
        <f t="shared" si="256"/>
        <v/>
      </c>
      <c r="AI518" s="256" t="str">
        <f t="shared" si="257"/>
        <v/>
      </c>
      <c r="AJ518" s="111"/>
      <c r="AK518" s="255"/>
      <c r="AL518" s="259" t="str">
        <f>IF(AK518&lt;&gt;"",AK518/VLOOKUP($V518,Setup!$C$30:$D$41,2,0),"")</f>
        <v/>
      </c>
      <c r="AM518" s="266"/>
      <c r="AN518" s="258" t="str">
        <f t="shared" si="258"/>
        <v/>
      </c>
      <c r="AO518" s="266"/>
      <c r="AP518" s="258" t="str">
        <f t="shared" si="259"/>
        <v/>
      </c>
      <c r="AQ518" s="266"/>
      <c r="AR518" s="258" t="str">
        <f t="shared" si="260"/>
        <v/>
      </c>
      <c r="AS518" s="266"/>
      <c r="AT518" s="256" t="str">
        <f t="shared" si="261"/>
        <v/>
      </c>
      <c r="AU518" s="256" t="str">
        <f t="shared" si="262"/>
        <v/>
      </c>
      <c r="AV518" s="256" t="str">
        <f t="shared" si="263"/>
        <v/>
      </c>
      <c r="AW518" s="267"/>
      <c r="AX518" s="255"/>
      <c r="AY518" s="259" t="str">
        <f>IF(AX518&lt;&gt;"",AX518/VLOOKUP($V518,Setup!$C$30:$D$41,2,0),"")</f>
        <v/>
      </c>
      <c r="AZ518" s="268"/>
      <c r="BA518" s="258" t="str">
        <f t="shared" si="264"/>
        <v/>
      </c>
      <c r="BB518" s="268"/>
      <c r="BC518" s="258" t="str">
        <f t="shared" si="265"/>
        <v/>
      </c>
      <c r="BD518" s="268"/>
      <c r="BE518" s="258" t="str">
        <f t="shared" si="266"/>
        <v/>
      </c>
      <c r="BF518" s="268"/>
      <c r="BG518" s="256" t="str">
        <f t="shared" si="267"/>
        <v/>
      </c>
      <c r="BH518" s="256" t="str">
        <f t="shared" si="268"/>
        <v/>
      </c>
      <c r="BI518" s="256" t="str">
        <f t="shared" si="269"/>
        <v/>
      </c>
      <c r="BJ518" s="267"/>
      <c r="BK518" s="255"/>
      <c r="BL518" s="259" t="str">
        <f>IF(BK518&lt;&gt;"",BK518/VLOOKUP($V518,Setup!$C$30:$D$41,2,0),"")</f>
        <v/>
      </c>
      <c r="BM518" s="268"/>
      <c r="BN518" s="258" t="str">
        <f t="shared" si="270"/>
        <v/>
      </c>
      <c r="BO518" s="268"/>
      <c r="BP518" s="258" t="str">
        <f t="shared" si="271"/>
        <v/>
      </c>
      <c r="BQ518" s="268"/>
      <c r="BR518" s="258" t="str">
        <f t="shared" si="272"/>
        <v/>
      </c>
      <c r="BS518" s="268"/>
      <c r="BT518" s="256" t="str">
        <f t="shared" si="273"/>
        <v/>
      </c>
      <c r="BU518" s="256" t="str">
        <f t="shared" si="274"/>
        <v/>
      </c>
      <c r="BV518" s="256" t="str">
        <f t="shared" si="275"/>
        <v/>
      </c>
      <c r="BW518" s="267"/>
      <c r="BX518" s="256" t="str">
        <f t="shared" si="276"/>
        <v/>
      </c>
      <c r="BY518" s="256" t="str">
        <f t="shared" si="277"/>
        <v/>
      </c>
      <c r="BZ518" s="281"/>
      <c r="CA518" s="282"/>
      <c r="CF518" s="284"/>
      <c r="CG518" s="284"/>
      <c r="CH518" s="284"/>
      <c r="CI518" s="284"/>
      <c r="CL518" s="356" t="str">
        <f>IFERROR(VLOOKUP(C518,'Data Sheet'!$A$3:$B$26,2,FALSE),"")</f>
        <v/>
      </c>
    </row>
    <row r="519" spans="1:90" ht="15.75" x14ac:dyDescent="0.2">
      <c r="A519" s="97"/>
      <c r="B519" s="105" t="str">
        <f t="shared" si="251"/>
        <v>--</v>
      </c>
      <c r="C519" s="276"/>
      <c r="D519" s="101" t="str">
        <f>IFERROR(IF(VLOOKUP(C519,'Data Sheet'!$A$3:$D$26,4,FALSE)=0,"",VLOOKUP(C519,'Data Sheet'!$A$3:$D$26,4,FALSE)),"")</f>
        <v/>
      </c>
      <c r="E519" s="279"/>
      <c r="F519" s="103" t="str">
        <f>IFERROR(IF(VLOOKUP(E519,'Data Sheet'!$C$29:$E$174,3,FALSE)=0,"",VLOOKUP(E519,'Data Sheet'!$C$29:$E$174,3,FALSE)),"")</f>
        <v/>
      </c>
      <c r="G519" s="106" t="str">
        <f t="shared" si="278"/>
        <v>-</v>
      </c>
      <c r="H519" s="273"/>
      <c r="I519" s="107"/>
      <c r="J519" s="249" t="e">
        <f t="shared" si="279"/>
        <v>#VALUE!</v>
      </c>
      <c r="K519" s="101" t="str">
        <f>IFERROR(INDEX('Data Sheet'!$C$198:$C$275,MATCH(I519,'Data Sheet'!$F$198:$F$275,0)),"")</f>
        <v/>
      </c>
      <c r="L519" s="250" t="str">
        <f>IFERROR(INDEX('Data Sheet'!$G$198:$G$275,MATCH(I519,'Data Sheet'!$F$198:$F$275,0)),"")</f>
        <v/>
      </c>
      <c r="M519" s="194"/>
      <c r="N519" s="248"/>
      <c r="O519" s="248"/>
      <c r="P519" s="108" t="str">
        <f>IFERROR(INDEX(Setup!$D$44:$D$70,MATCH(M519,Setup!$K$44:$K$70,0))&amp;"","")</f>
        <v/>
      </c>
      <c r="Q519" s="108" t="str">
        <f>IFERROR(INDEX(Setup!$E$44:$E$70,MATCH(M519,Setup!$K$44:$K$70,0))&amp;"","")</f>
        <v/>
      </c>
      <c r="R519" s="108" t="str">
        <f>IFERROR(INDEX(Setup!$L$44:$L$70,MATCH(M519,Setup!$K$44:$K$70,0))&amp;"","")</f>
        <v/>
      </c>
      <c r="S519" s="108" t="str">
        <f>Setup!$C$30</f>
        <v>USD</v>
      </c>
      <c r="T519" s="109" t="str">
        <f>IFERROR(INDEX('Data Sheet'!$B$198:$B$275,MATCH(I519,'Data Sheet'!$F$198:$F$275,0)),"")</f>
        <v/>
      </c>
      <c r="U519" s="110" t="str">
        <f>IFERROR(INDEX('Data Sheet'!$D$198:$D$275,MATCH(I519,'Data Sheet'!$F$198:$F$275,0)),"")</f>
        <v/>
      </c>
      <c r="V519" s="99"/>
      <c r="W519" s="195" t="str">
        <f>IF(V519=Setup!$C$30,"Grant",IF(V519=Setup!$C$31,"Local",IF(V519=Setup!$C$32,"Other",IF(ISBLANK(V519),"","Other"))))</f>
        <v/>
      </c>
      <c r="X519" s="255"/>
      <c r="Y519" s="259" t="str">
        <f>IF(X519&lt;&gt;"",X519/VLOOKUP($V519,Setup!$C$30:$D$41,2,0),"")</f>
        <v/>
      </c>
      <c r="Z519" s="262"/>
      <c r="AA519" s="256" t="str">
        <f t="shared" si="252"/>
        <v/>
      </c>
      <c r="AB519" s="262"/>
      <c r="AC519" s="258" t="str">
        <f t="shared" si="253"/>
        <v/>
      </c>
      <c r="AD519" s="262"/>
      <c r="AE519" s="258" t="str">
        <f t="shared" si="254"/>
        <v/>
      </c>
      <c r="AF519" s="262"/>
      <c r="AG519" s="256" t="str">
        <f t="shared" si="255"/>
        <v/>
      </c>
      <c r="AH519" s="256" t="str">
        <f t="shared" si="256"/>
        <v/>
      </c>
      <c r="AI519" s="256" t="str">
        <f t="shared" si="257"/>
        <v/>
      </c>
      <c r="AJ519" s="111"/>
      <c r="AK519" s="255"/>
      <c r="AL519" s="259" t="str">
        <f>IF(AK519&lt;&gt;"",AK519/VLOOKUP($V519,Setup!$C$30:$D$41,2,0),"")</f>
        <v/>
      </c>
      <c r="AM519" s="266"/>
      <c r="AN519" s="258" t="str">
        <f t="shared" si="258"/>
        <v/>
      </c>
      <c r="AO519" s="266"/>
      <c r="AP519" s="258" t="str">
        <f t="shared" si="259"/>
        <v/>
      </c>
      <c r="AQ519" s="266"/>
      <c r="AR519" s="258" t="str">
        <f t="shared" si="260"/>
        <v/>
      </c>
      <c r="AS519" s="266"/>
      <c r="AT519" s="256" t="str">
        <f t="shared" si="261"/>
        <v/>
      </c>
      <c r="AU519" s="256" t="str">
        <f t="shared" si="262"/>
        <v/>
      </c>
      <c r="AV519" s="256" t="str">
        <f t="shared" si="263"/>
        <v/>
      </c>
      <c r="AW519" s="267"/>
      <c r="AX519" s="255"/>
      <c r="AY519" s="259" t="str">
        <f>IF(AX519&lt;&gt;"",AX519/VLOOKUP($V519,Setup!$C$30:$D$41,2,0),"")</f>
        <v/>
      </c>
      <c r="AZ519" s="268"/>
      <c r="BA519" s="258" t="str">
        <f t="shared" si="264"/>
        <v/>
      </c>
      <c r="BB519" s="268"/>
      <c r="BC519" s="258" t="str">
        <f t="shared" si="265"/>
        <v/>
      </c>
      <c r="BD519" s="268"/>
      <c r="BE519" s="258" t="str">
        <f t="shared" si="266"/>
        <v/>
      </c>
      <c r="BF519" s="268"/>
      <c r="BG519" s="256" t="str">
        <f t="shared" si="267"/>
        <v/>
      </c>
      <c r="BH519" s="256" t="str">
        <f t="shared" si="268"/>
        <v/>
      </c>
      <c r="BI519" s="256" t="str">
        <f t="shared" si="269"/>
        <v/>
      </c>
      <c r="BJ519" s="267"/>
      <c r="BK519" s="255"/>
      <c r="BL519" s="259" t="str">
        <f>IF(BK519&lt;&gt;"",BK519/VLOOKUP($V519,Setup!$C$30:$D$41,2,0),"")</f>
        <v/>
      </c>
      <c r="BM519" s="268"/>
      <c r="BN519" s="258" t="str">
        <f t="shared" si="270"/>
        <v/>
      </c>
      <c r="BO519" s="268"/>
      <c r="BP519" s="258" t="str">
        <f t="shared" si="271"/>
        <v/>
      </c>
      <c r="BQ519" s="268"/>
      <c r="BR519" s="258" t="str">
        <f t="shared" si="272"/>
        <v/>
      </c>
      <c r="BS519" s="268"/>
      <c r="BT519" s="256" t="str">
        <f t="shared" si="273"/>
        <v/>
      </c>
      <c r="BU519" s="256" t="str">
        <f t="shared" si="274"/>
        <v/>
      </c>
      <c r="BV519" s="256" t="str">
        <f t="shared" si="275"/>
        <v/>
      </c>
      <c r="BW519" s="267"/>
      <c r="BX519" s="256" t="str">
        <f t="shared" si="276"/>
        <v/>
      </c>
      <c r="BY519" s="256" t="str">
        <f t="shared" si="277"/>
        <v/>
      </c>
      <c r="BZ519" s="281"/>
      <c r="CA519" s="282"/>
      <c r="CF519" s="284"/>
      <c r="CG519" s="284"/>
      <c r="CH519" s="284"/>
      <c r="CI519" s="284"/>
      <c r="CL519" s="356" t="str">
        <f>IFERROR(VLOOKUP(C519,'Data Sheet'!$A$3:$B$26,2,FALSE),"")</f>
        <v/>
      </c>
    </row>
    <row r="520" spans="1:90" ht="15.75" x14ac:dyDescent="0.2">
      <c r="A520" s="97"/>
      <c r="B520" s="105" t="str">
        <f t="shared" si="251"/>
        <v>--</v>
      </c>
      <c r="C520" s="276"/>
      <c r="D520" s="101" t="str">
        <f>IFERROR(IF(VLOOKUP(C520,'Data Sheet'!$A$3:$D$26,4,FALSE)=0,"",VLOOKUP(C520,'Data Sheet'!$A$3:$D$26,4,FALSE)),"")</f>
        <v/>
      </c>
      <c r="E520" s="279"/>
      <c r="F520" s="103" t="str">
        <f>IFERROR(IF(VLOOKUP(E520,'Data Sheet'!$C$29:$E$174,3,FALSE)=0,"",VLOOKUP(E520,'Data Sheet'!$C$29:$E$174,3,FALSE)),"")</f>
        <v/>
      </c>
      <c r="G520" s="106" t="str">
        <f t="shared" si="278"/>
        <v>-</v>
      </c>
      <c r="H520" s="273"/>
      <c r="I520" s="107"/>
      <c r="J520" s="249" t="e">
        <f t="shared" si="279"/>
        <v>#VALUE!</v>
      </c>
      <c r="K520" s="101" t="str">
        <f>IFERROR(INDEX('Data Sheet'!$C$198:$C$275,MATCH(I520,'Data Sheet'!$F$198:$F$275,0)),"")</f>
        <v/>
      </c>
      <c r="L520" s="250" t="str">
        <f>IFERROR(INDEX('Data Sheet'!$G$198:$G$275,MATCH(I520,'Data Sheet'!$F$198:$F$275,0)),"")</f>
        <v/>
      </c>
      <c r="M520" s="194"/>
      <c r="N520" s="248"/>
      <c r="O520" s="248"/>
      <c r="P520" s="108" t="str">
        <f>IFERROR(INDEX(Setup!$D$44:$D$70,MATCH(M520,Setup!$K$44:$K$70,0))&amp;"","")</f>
        <v/>
      </c>
      <c r="Q520" s="108" t="str">
        <f>IFERROR(INDEX(Setup!$E$44:$E$70,MATCH(M520,Setup!$K$44:$K$70,0))&amp;"","")</f>
        <v/>
      </c>
      <c r="R520" s="108" t="str">
        <f>IFERROR(INDEX(Setup!$L$44:$L$70,MATCH(M520,Setup!$K$44:$K$70,0))&amp;"","")</f>
        <v/>
      </c>
      <c r="S520" s="108" t="str">
        <f>Setup!$C$30</f>
        <v>USD</v>
      </c>
      <c r="T520" s="109" t="str">
        <f>IFERROR(INDEX('Data Sheet'!$B$198:$B$275,MATCH(I520,'Data Sheet'!$F$198:$F$275,0)),"")</f>
        <v/>
      </c>
      <c r="U520" s="110" t="str">
        <f>IFERROR(INDEX('Data Sheet'!$D$198:$D$275,MATCH(I520,'Data Sheet'!$F$198:$F$275,0)),"")</f>
        <v/>
      </c>
      <c r="V520" s="99"/>
      <c r="W520" s="195" t="str">
        <f>IF(V520=Setup!$C$30,"Grant",IF(V520=Setup!$C$31,"Local",IF(V520=Setup!$C$32,"Other",IF(ISBLANK(V520),"","Other"))))</f>
        <v/>
      </c>
      <c r="X520" s="255"/>
      <c r="Y520" s="259" t="str">
        <f>IF(X520&lt;&gt;"",X520/VLOOKUP($V520,Setup!$C$30:$D$41,2,0),"")</f>
        <v/>
      </c>
      <c r="Z520" s="262"/>
      <c r="AA520" s="256" t="str">
        <f t="shared" si="252"/>
        <v/>
      </c>
      <c r="AB520" s="262"/>
      <c r="AC520" s="258" t="str">
        <f t="shared" si="253"/>
        <v/>
      </c>
      <c r="AD520" s="262"/>
      <c r="AE520" s="258" t="str">
        <f t="shared" si="254"/>
        <v/>
      </c>
      <c r="AF520" s="262"/>
      <c r="AG520" s="256" t="str">
        <f t="shared" si="255"/>
        <v/>
      </c>
      <c r="AH520" s="256" t="str">
        <f t="shared" si="256"/>
        <v/>
      </c>
      <c r="AI520" s="256" t="str">
        <f t="shared" si="257"/>
        <v/>
      </c>
      <c r="AJ520" s="111"/>
      <c r="AK520" s="255"/>
      <c r="AL520" s="259" t="str">
        <f>IF(AK520&lt;&gt;"",AK520/VLOOKUP($V520,Setup!$C$30:$D$41,2,0),"")</f>
        <v/>
      </c>
      <c r="AM520" s="266"/>
      <c r="AN520" s="258" t="str">
        <f t="shared" si="258"/>
        <v/>
      </c>
      <c r="AO520" s="266"/>
      <c r="AP520" s="258" t="str">
        <f t="shared" si="259"/>
        <v/>
      </c>
      <c r="AQ520" s="266"/>
      <c r="AR520" s="258" t="str">
        <f t="shared" si="260"/>
        <v/>
      </c>
      <c r="AS520" s="266"/>
      <c r="AT520" s="256" t="str">
        <f t="shared" si="261"/>
        <v/>
      </c>
      <c r="AU520" s="256" t="str">
        <f t="shared" si="262"/>
        <v/>
      </c>
      <c r="AV520" s="256" t="str">
        <f t="shared" si="263"/>
        <v/>
      </c>
      <c r="AW520" s="267"/>
      <c r="AX520" s="255"/>
      <c r="AY520" s="259" t="str">
        <f>IF(AX520&lt;&gt;"",AX520/VLOOKUP($V520,Setup!$C$30:$D$41,2,0),"")</f>
        <v/>
      </c>
      <c r="AZ520" s="268"/>
      <c r="BA520" s="258" t="str">
        <f t="shared" si="264"/>
        <v/>
      </c>
      <c r="BB520" s="268"/>
      <c r="BC520" s="258" t="str">
        <f t="shared" si="265"/>
        <v/>
      </c>
      <c r="BD520" s="268"/>
      <c r="BE520" s="258" t="str">
        <f t="shared" si="266"/>
        <v/>
      </c>
      <c r="BF520" s="268"/>
      <c r="BG520" s="256" t="str">
        <f t="shared" si="267"/>
        <v/>
      </c>
      <c r="BH520" s="256" t="str">
        <f t="shared" si="268"/>
        <v/>
      </c>
      <c r="BI520" s="256" t="str">
        <f t="shared" si="269"/>
        <v/>
      </c>
      <c r="BJ520" s="267"/>
      <c r="BK520" s="255"/>
      <c r="BL520" s="259" t="str">
        <f>IF(BK520&lt;&gt;"",BK520/VLOOKUP($V520,Setup!$C$30:$D$41,2,0),"")</f>
        <v/>
      </c>
      <c r="BM520" s="268"/>
      <c r="BN520" s="258" t="str">
        <f t="shared" si="270"/>
        <v/>
      </c>
      <c r="BO520" s="268"/>
      <c r="BP520" s="258" t="str">
        <f t="shared" si="271"/>
        <v/>
      </c>
      <c r="BQ520" s="268"/>
      <c r="BR520" s="258" t="str">
        <f t="shared" si="272"/>
        <v/>
      </c>
      <c r="BS520" s="268"/>
      <c r="BT520" s="256" t="str">
        <f t="shared" si="273"/>
        <v/>
      </c>
      <c r="BU520" s="256" t="str">
        <f t="shared" si="274"/>
        <v/>
      </c>
      <c r="BV520" s="256" t="str">
        <f t="shared" si="275"/>
        <v/>
      </c>
      <c r="BW520" s="267"/>
      <c r="BX520" s="256" t="str">
        <f t="shared" si="276"/>
        <v/>
      </c>
      <c r="BY520" s="256" t="str">
        <f t="shared" si="277"/>
        <v/>
      </c>
      <c r="BZ520" s="281"/>
      <c r="CA520" s="282"/>
      <c r="CF520" s="284"/>
      <c r="CG520" s="284"/>
      <c r="CH520" s="284"/>
      <c r="CI520" s="284"/>
      <c r="CL520" s="356" t="str">
        <f>IFERROR(VLOOKUP(C520,'Data Sheet'!$A$3:$B$26,2,FALSE),"")</f>
        <v/>
      </c>
    </row>
    <row r="521" spans="1:90" ht="15.75" x14ac:dyDescent="0.2">
      <c r="A521" s="97"/>
      <c r="B521" s="105" t="str">
        <f t="shared" si="251"/>
        <v>--</v>
      </c>
      <c r="C521" s="276"/>
      <c r="D521" s="101" t="str">
        <f>IFERROR(IF(VLOOKUP(C521,'Data Sheet'!$A$3:$D$26,4,FALSE)=0,"",VLOOKUP(C521,'Data Sheet'!$A$3:$D$26,4,FALSE)),"")</f>
        <v/>
      </c>
      <c r="E521" s="279"/>
      <c r="F521" s="103" t="str">
        <f>IFERROR(IF(VLOOKUP(E521,'Data Sheet'!$C$29:$E$174,3,FALSE)=0,"",VLOOKUP(E521,'Data Sheet'!$C$29:$E$174,3,FALSE)),"")</f>
        <v/>
      </c>
      <c r="G521" s="106" t="str">
        <f t="shared" si="278"/>
        <v>-</v>
      </c>
      <c r="H521" s="273"/>
      <c r="I521" s="107"/>
      <c r="J521" s="249" t="e">
        <f t="shared" si="279"/>
        <v>#VALUE!</v>
      </c>
      <c r="K521" s="101" t="str">
        <f>IFERROR(INDEX('Data Sheet'!$C$198:$C$275,MATCH(I521,'Data Sheet'!$F$198:$F$275,0)),"")</f>
        <v/>
      </c>
      <c r="L521" s="250" t="str">
        <f>IFERROR(INDEX('Data Sheet'!$G$198:$G$275,MATCH(I521,'Data Sheet'!$F$198:$F$275,0)),"")</f>
        <v/>
      </c>
      <c r="M521" s="194"/>
      <c r="N521" s="248"/>
      <c r="O521" s="248"/>
      <c r="P521" s="108" t="str">
        <f>IFERROR(INDEX(Setup!$D$44:$D$70,MATCH(M521,Setup!$K$44:$K$70,0))&amp;"","")</f>
        <v/>
      </c>
      <c r="Q521" s="108" t="str">
        <f>IFERROR(INDEX(Setup!$E$44:$E$70,MATCH(M521,Setup!$K$44:$K$70,0))&amp;"","")</f>
        <v/>
      </c>
      <c r="R521" s="108" t="str">
        <f>IFERROR(INDEX(Setup!$L$44:$L$70,MATCH(M521,Setup!$K$44:$K$70,0))&amp;"","")</f>
        <v/>
      </c>
      <c r="S521" s="108" t="str">
        <f>Setup!$C$30</f>
        <v>USD</v>
      </c>
      <c r="T521" s="109" t="str">
        <f>IFERROR(INDEX('Data Sheet'!$B$198:$B$275,MATCH(I521,'Data Sheet'!$F$198:$F$275,0)),"")</f>
        <v/>
      </c>
      <c r="U521" s="110" t="str">
        <f>IFERROR(INDEX('Data Sheet'!$D$198:$D$275,MATCH(I521,'Data Sheet'!$F$198:$F$275,0)),"")</f>
        <v/>
      </c>
      <c r="V521" s="99"/>
      <c r="W521" s="195" t="str">
        <f>IF(V521=Setup!$C$30,"Grant",IF(V521=Setup!$C$31,"Local",IF(V521=Setup!$C$32,"Other",IF(ISBLANK(V521),"","Other"))))</f>
        <v/>
      </c>
      <c r="X521" s="255"/>
      <c r="Y521" s="259" t="str">
        <f>IF(X521&lt;&gt;"",X521/VLOOKUP($V521,Setup!$C$30:$D$41,2,0),"")</f>
        <v/>
      </c>
      <c r="Z521" s="262"/>
      <c r="AA521" s="256" t="str">
        <f t="shared" si="252"/>
        <v/>
      </c>
      <c r="AB521" s="262"/>
      <c r="AC521" s="258" t="str">
        <f t="shared" si="253"/>
        <v/>
      </c>
      <c r="AD521" s="262"/>
      <c r="AE521" s="258" t="str">
        <f t="shared" si="254"/>
        <v/>
      </c>
      <c r="AF521" s="262"/>
      <c r="AG521" s="256" t="str">
        <f t="shared" si="255"/>
        <v/>
      </c>
      <c r="AH521" s="256" t="str">
        <f t="shared" si="256"/>
        <v/>
      </c>
      <c r="AI521" s="256" t="str">
        <f t="shared" si="257"/>
        <v/>
      </c>
      <c r="AJ521" s="111"/>
      <c r="AK521" s="255"/>
      <c r="AL521" s="259" t="str">
        <f>IF(AK521&lt;&gt;"",AK521/VLOOKUP($V521,Setup!$C$30:$D$41,2,0),"")</f>
        <v/>
      </c>
      <c r="AM521" s="266"/>
      <c r="AN521" s="258" t="str">
        <f t="shared" si="258"/>
        <v/>
      </c>
      <c r="AO521" s="266"/>
      <c r="AP521" s="258" t="str">
        <f t="shared" si="259"/>
        <v/>
      </c>
      <c r="AQ521" s="266"/>
      <c r="AR521" s="258" t="str">
        <f t="shared" si="260"/>
        <v/>
      </c>
      <c r="AS521" s="266"/>
      <c r="AT521" s="256" t="str">
        <f t="shared" si="261"/>
        <v/>
      </c>
      <c r="AU521" s="256" t="str">
        <f t="shared" si="262"/>
        <v/>
      </c>
      <c r="AV521" s="256" t="str">
        <f t="shared" si="263"/>
        <v/>
      </c>
      <c r="AW521" s="267"/>
      <c r="AX521" s="255"/>
      <c r="AY521" s="259" t="str">
        <f>IF(AX521&lt;&gt;"",AX521/VLOOKUP($V521,Setup!$C$30:$D$41,2,0),"")</f>
        <v/>
      </c>
      <c r="AZ521" s="268"/>
      <c r="BA521" s="258" t="str">
        <f t="shared" si="264"/>
        <v/>
      </c>
      <c r="BB521" s="268"/>
      <c r="BC521" s="258" t="str">
        <f t="shared" si="265"/>
        <v/>
      </c>
      <c r="BD521" s="268"/>
      <c r="BE521" s="258" t="str">
        <f t="shared" si="266"/>
        <v/>
      </c>
      <c r="BF521" s="268"/>
      <c r="BG521" s="256" t="str">
        <f t="shared" si="267"/>
        <v/>
      </c>
      <c r="BH521" s="256" t="str">
        <f t="shared" si="268"/>
        <v/>
      </c>
      <c r="BI521" s="256" t="str">
        <f t="shared" si="269"/>
        <v/>
      </c>
      <c r="BJ521" s="267"/>
      <c r="BK521" s="255"/>
      <c r="BL521" s="259" t="str">
        <f>IF(BK521&lt;&gt;"",BK521/VLOOKUP($V521,Setup!$C$30:$D$41,2,0),"")</f>
        <v/>
      </c>
      <c r="BM521" s="268"/>
      <c r="BN521" s="258" t="str">
        <f t="shared" si="270"/>
        <v/>
      </c>
      <c r="BO521" s="268"/>
      <c r="BP521" s="258" t="str">
        <f t="shared" si="271"/>
        <v/>
      </c>
      <c r="BQ521" s="268"/>
      <c r="BR521" s="258" t="str">
        <f t="shared" si="272"/>
        <v/>
      </c>
      <c r="BS521" s="268"/>
      <c r="BT521" s="256" t="str">
        <f t="shared" si="273"/>
        <v/>
      </c>
      <c r="BU521" s="256" t="str">
        <f t="shared" si="274"/>
        <v/>
      </c>
      <c r="BV521" s="256" t="str">
        <f t="shared" si="275"/>
        <v/>
      </c>
      <c r="BW521" s="267"/>
      <c r="BX521" s="256" t="str">
        <f t="shared" si="276"/>
        <v/>
      </c>
      <c r="BY521" s="256" t="str">
        <f t="shared" si="277"/>
        <v/>
      </c>
      <c r="BZ521" s="281"/>
      <c r="CA521" s="282"/>
      <c r="CF521" s="284"/>
      <c r="CG521" s="284"/>
      <c r="CH521" s="284"/>
      <c r="CI521" s="284"/>
      <c r="CL521" s="356" t="str">
        <f>IFERROR(VLOOKUP(C521,'Data Sheet'!$A$3:$B$26,2,FALSE),"")</f>
        <v/>
      </c>
    </row>
    <row r="522" spans="1:90" ht="15.75" x14ac:dyDescent="0.2">
      <c r="A522" s="97"/>
      <c r="B522" s="105" t="str">
        <f t="shared" si="251"/>
        <v>--</v>
      </c>
      <c r="C522" s="276"/>
      <c r="D522" s="101" t="str">
        <f>IFERROR(IF(VLOOKUP(C522,'Data Sheet'!$A$3:$D$26,4,FALSE)=0,"",VLOOKUP(C522,'Data Sheet'!$A$3:$D$26,4,FALSE)),"")</f>
        <v/>
      </c>
      <c r="E522" s="279"/>
      <c r="F522" s="103" t="str">
        <f>IFERROR(IF(VLOOKUP(E522,'Data Sheet'!$C$29:$E$174,3,FALSE)=0,"",VLOOKUP(E522,'Data Sheet'!$C$29:$E$174,3,FALSE)),"")</f>
        <v/>
      </c>
      <c r="G522" s="106" t="str">
        <f t="shared" si="278"/>
        <v>-</v>
      </c>
      <c r="H522" s="273"/>
      <c r="I522" s="107"/>
      <c r="J522" s="249" t="e">
        <f t="shared" si="279"/>
        <v>#VALUE!</v>
      </c>
      <c r="K522" s="101" t="str">
        <f>IFERROR(INDEX('Data Sheet'!$C$198:$C$275,MATCH(I522,'Data Sheet'!$F$198:$F$275,0)),"")</f>
        <v/>
      </c>
      <c r="L522" s="250" t="str">
        <f>IFERROR(INDEX('Data Sheet'!$G$198:$G$275,MATCH(I522,'Data Sheet'!$F$198:$F$275,0)),"")</f>
        <v/>
      </c>
      <c r="M522" s="194"/>
      <c r="N522" s="248"/>
      <c r="O522" s="248"/>
      <c r="P522" s="108" t="str">
        <f>IFERROR(INDEX(Setup!$D$44:$D$70,MATCH(M522,Setup!$K$44:$K$70,0))&amp;"","")</f>
        <v/>
      </c>
      <c r="Q522" s="108" t="str">
        <f>IFERROR(INDEX(Setup!$E$44:$E$70,MATCH(M522,Setup!$K$44:$K$70,0))&amp;"","")</f>
        <v/>
      </c>
      <c r="R522" s="108" t="str">
        <f>IFERROR(INDEX(Setup!$L$44:$L$70,MATCH(M522,Setup!$K$44:$K$70,0))&amp;"","")</f>
        <v/>
      </c>
      <c r="S522" s="108" t="str">
        <f>Setup!$C$30</f>
        <v>USD</v>
      </c>
      <c r="T522" s="109" t="str">
        <f>IFERROR(INDEX('Data Sheet'!$B$198:$B$275,MATCH(I522,'Data Sheet'!$F$198:$F$275,0)),"")</f>
        <v/>
      </c>
      <c r="U522" s="110" t="str">
        <f>IFERROR(INDEX('Data Sheet'!$D$198:$D$275,MATCH(I522,'Data Sheet'!$F$198:$F$275,0)),"")</f>
        <v/>
      </c>
      <c r="V522" s="99"/>
      <c r="W522" s="195" t="str">
        <f>IF(V522=Setup!$C$30,"Grant",IF(V522=Setup!$C$31,"Local",IF(V522=Setup!$C$32,"Other",IF(ISBLANK(V522),"","Other"))))</f>
        <v/>
      </c>
      <c r="X522" s="255"/>
      <c r="Y522" s="259" t="str">
        <f>IF(X522&lt;&gt;"",X522/VLOOKUP($V522,Setup!$C$30:$D$41,2,0),"")</f>
        <v/>
      </c>
      <c r="Z522" s="262"/>
      <c r="AA522" s="256" t="str">
        <f t="shared" si="252"/>
        <v/>
      </c>
      <c r="AB522" s="262"/>
      <c r="AC522" s="258" t="str">
        <f t="shared" si="253"/>
        <v/>
      </c>
      <c r="AD522" s="262"/>
      <c r="AE522" s="258" t="str">
        <f t="shared" si="254"/>
        <v/>
      </c>
      <c r="AF522" s="262"/>
      <c r="AG522" s="256" t="str">
        <f t="shared" si="255"/>
        <v/>
      </c>
      <c r="AH522" s="256" t="str">
        <f t="shared" si="256"/>
        <v/>
      </c>
      <c r="AI522" s="256" t="str">
        <f t="shared" si="257"/>
        <v/>
      </c>
      <c r="AJ522" s="111"/>
      <c r="AK522" s="255"/>
      <c r="AL522" s="259" t="str">
        <f>IF(AK522&lt;&gt;"",AK522/VLOOKUP($V522,Setup!$C$30:$D$41,2,0),"")</f>
        <v/>
      </c>
      <c r="AM522" s="266"/>
      <c r="AN522" s="258" t="str">
        <f t="shared" si="258"/>
        <v/>
      </c>
      <c r="AO522" s="266"/>
      <c r="AP522" s="258" t="str">
        <f t="shared" si="259"/>
        <v/>
      </c>
      <c r="AQ522" s="266"/>
      <c r="AR522" s="258" t="str">
        <f t="shared" si="260"/>
        <v/>
      </c>
      <c r="AS522" s="266"/>
      <c r="AT522" s="256" t="str">
        <f t="shared" si="261"/>
        <v/>
      </c>
      <c r="AU522" s="256" t="str">
        <f t="shared" si="262"/>
        <v/>
      </c>
      <c r="AV522" s="256" t="str">
        <f t="shared" si="263"/>
        <v/>
      </c>
      <c r="AW522" s="267"/>
      <c r="AX522" s="255"/>
      <c r="AY522" s="259" t="str">
        <f>IF(AX522&lt;&gt;"",AX522/VLOOKUP($V522,Setup!$C$30:$D$41,2,0),"")</f>
        <v/>
      </c>
      <c r="AZ522" s="268"/>
      <c r="BA522" s="258" t="str">
        <f t="shared" si="264"/>
        <v/>
      </c>
      <c r="BB522" s="268"/>
      <c r="BC522" s="258" t="str">
        <f t="shared" si="265"/>
        <v/>
      </c>
      <c r="BD522" s="268"/>
      <c r="BE522" s="258" t="str">
        <f t="shared" si="266"/>
        <v/>
      </c>
      <c r="BF522" s="268"/>
      <c r="BG522" s="256" t="str">
        <f t="shared" si="267"/>
        <v/>
      </c>
      <c r="BH522" s="256" t="str">
        <f t="shared" si="268"/>
        <v/>
      </c>
      <c r="BI522" s="256" t="str">
        <f t="shared" si="269"/>
        <v/>
      </c>
      <c r="BJ522" s="267"/>
      <c r="BK522" s="255"/>
      <c r="BL522" s="259" t="str">
        <f>IF(BK522&lt;&gt;"",BK522/VLOOKUP($V522,Setup!$C$30:$D$41,2,0),"")</f>
        <v/>
      </c>
      <c r="BM522" s="268"/>
      <c r="BN522" s="258" t="str">
        <f t="shared" si="270"/>
        <v/>
      </c>
      <c r="BO522" s="268"/>
      <c r="BP522" s="258" t="str">
        <f t="shared" si="271"/>
        <v/>
      </c>
      <c r="BQ522" s="268"/>
      <c r="BR522" s="258" t="str">
        <f t="shared" si="272"/>
        <v/>
      </c>
      <c r="BS522" s="268"/>
      <c r="BT522" s="256" t="str">
        <f t="shared" si="273"/>
        <v/>
      </c>
      <c r="BU522" s="256" t="str">
        <f t="shared" si="274"/>
        <v/>
      </c>
      <c r="BV522" s="256" t="str">
        <f t="shared" si="275"/>
        <v/>
      </c>
      <c r="BW522" s="267"/>
      <c r="BX522" s="256" t="str">
        <f t="shared" si="276"/>
        <v/>
      </c>
      <c r="BY522" s="256" t="str">
        <f t="shared" si="277"/>
        <v/>
      </c>
      <c r="BZ522" s="281"/>
      <c r="CA522" s="282"/>
      <c r="CF522" s="284"/>
      <c r="CG522" s="284"/>
      <c r="CH522" s="284"/>
      <c r="CI522" s="284"/>
      <c r="CL522" s="356" t="str">
        <f>IFERROR(VLOOKUP(C522,'Data Sheet'!$A$3:$B$26,2,FALSE),"")</f>
        <v/>
      </c>
    </row>
    <row r="523" spans="1:90" ht="15.75" x14ac:dyDescent="0.2">
      <c r="A523" s="97"/>
      <c r="B523" s="105" t="str">
        <f t="shared" si="251"/>
        <v>--</v>
      </c>
      <c r="C523" s="276"/>
      <c r="D523" s="101" t="str">
        <f>IFERROR(IF(VLOOKUP(C523,'Data Sheet'!$A$3:$D$26,4,FALSE)=0,"",VLOOKUP(C523,'Data Sheet'!$A$3:$D$26,4,FALSE)),"")</f>
        <v/>
      </c>
      <c r="E523" s="279"/>
      <c r="F523" s="103" t="str">
        <f>IFERROR(IF(VLOOKUP(E523,'Data Sheet'!$C$29:$E$174,3,FALSE)=0,"",VLOOKUP(E523,'Data Sheet'!$C$29:$E$174,3,FALSE)),"")</f>
        <v/>
      </c>
      <c r="G523" s="106" t="str">
        <f t="shared" si="278"/>
        <v>-</v>
      </c>
      <c r="H523" s="273"/>
      <c r="I523" s="107"/>
      <c r="J523" s="249" t="e">
        <f t="shared" si="279"/>
        <v>#VALUE!</v>
      </c>
      <c r="K523" s="101" t="str">
        <f>IFERROR(INDEX('Data Sheet'!$C$198:$C$275,MATCH(I523,'Data Sheet'!$F$198:$F$275,0)),"")</f>
        <v/>
      </c>
      <c r="L523" s="250" t="str">
        <f>IFERROR(INDEX('Data Sheet'!$G$198:$G$275,MATCH(I523,'Data Sheet'!$F$198:$F$275,0)),"")</f>
        <v/>
      </c>
      <c r="M523" s="194"/>
      <c r="N523" s="248"/>
      <c r="O523" s="248"/>
      <c r="P523" s="108" t="str">
        <f>IFERROR(INDEX(Setup!$D$44:$D$70,MATCH(M523,Setup!$K$44:$K$70,0))&amp;"","")</f>
        <v/>
      </c>
      <c r="Q523" s="108" t="str">
        <f>IFERROR(INDEX(Setup!$E$44:$E$70,MATCH(M523,Setup!$K$44:$K$70,0))&amp;"","")</f>
        <v/>
      </c>
      <c r="R523" s="108" t="str">
        <f>IFERROR(INDEX(Setup!$L$44:$L$70,MATCH(M523,Setup!$K$44:$K$70,0))&amp;"","")</f>
        <v/>
      </c>
      <c r="S523" s="108" t="str">
        <f>Setup!$C$30</f>
        <v>USD</v>
      </c>
      <c r="T523" s="109" t="str">
        <f>IFERROR(INDEX('Data Sheet'!$B$198:$B$275,MATCH(I523,'Data Sheet'!$F$198:$F$275,0)),"")</f>
        <v/>
      </c>
      <c r="U523" s="110" t="str">
        <f>IFERROR(INDEX('Data Sheet'!$D$198:$D$275,MATCH(I523,'Data Sheet'!$F$198:$F$275,0)),"")</f>
        <v/>
      </c>
      <c r="V523" s="99"/>
      <c r="W523" s="195" t="str">
        <f>IF(V523=Setup!$C$30,"Grant",IF(V523=Setup!$C$31,"Local",IF(V523=Setup!$C$32,"Other",IF(ISBLANK(V523),"","Other"))))</f>
        <v/>
      </c>
      <c r="X523" s="255"/>
      <c r="Y523" s="259" t="str">
        <f>IF(X523&lt;&gt;"",X523/VLOOKUP($V523,Setup!$C$30:$D$41,2,0),"")</f>
        <v/>
      </c>
      <c r="Z523" s="262"/>
      <c r="AA523" s="256" t="str">
        <f t="shared" si="252"/>
        <v/>
      </c>
      <c r="AB523" s="262"/>
      <c r="AC523" s="258" t="str">
        <f t="shared" si="253"/>
        <v/>
      </c>
      <c r="AD523" s="262"/>
      <c r="AE523" s="258" t="str">
        <f t="shared" si="254"/>
        <v/>
      </c>
      <c r="AF523" s="262"/>
      <c r="AG523" s="256" t="str">
        <f t="shared" si="255"/>
        <v/>
      </c>
      <c r="AH523" s="256" t="str">
        <f t="shared" si="256"/>
        <v/>
      </c>
      <c r="AI523" s="256" t="str">
        <f t="shared" si="257"/>
        <v/>
      </c>
      <c r="AJ523" s="111"/>
      <c r="AK523" s="255"/>
      <c r="AL523" s="259" t="str">
        <f>IF(AK523&lt;&gt;"",AK523/VLOOKUP($V523,Setup!$C$30:$D$41,2,0),"")</f>
        <v/>
      </c>
      <c r="AM523" s="266"/>
      <c r="AN523" s="258" t="str">
        <f t="shared" si="258"/>
        <v/>
      </c>
      <c r="AO523" s="266"/>
      <c r="AP523" s="258" t="str">
        <f t="shared" si="259"/>
        <v/>
      </c>
      <c r="AQ523" s="266"/>
      <c r="AR523" s="258" t="str">
        <f t="shared" si="260"/>
        <v/>
      </c>
      <c r="AS523" s="266"/>
      <c r="AT523" s="256" t="str">
        <f t="shared" si="261"/>
        <v/>
      </c>
      <c r="AU523" s="256" t="str">
        <f t="shared" si="262"/>
        <v/>
      </c>
      <c r="AV523" s="256" t="str">
        <f t="shared" si="263"/>
        <v/>
      </c>
      <c r="AW523" s="267"/>
      <c r="AX523" s="255"/>
      <c r="AY523" s="259" t="str">
        <f>IF(AX523&lt;&gt;"",AX523/VLOOKUP($V523,Setup!$C$30:$D$41,2,0),"")</f>
        <v/>
      </c>
      <c r="AZ523" s="268"/>
      <c r="BA523" s="258" t="str">
        <f t="shared" si="264"/>
        <v/>
      </c>
      <c r="BB523" s="268"/>
      <c r="BC523" s="258" t="str">
        <f t="shared" si="265"/>
        <v/>
      </c>
      <c r="BD523" s="268"/>
      <c r="BE523" s="258" t="str">
        <f t="shared" si="266"/>
        <v/>
      </c>
      <c r="BF523" s="268"/>
      <c r="BG523" s="256" t="str">
        <f t="shared" si="267"/>
        <v/>
      </c>
      <c r="BH523" s="256" t="str">
        <f t="shared" si="268"/>
        <v/>
      </c>
      <c r="BI523" s="256" t="str">
        <f t="shared" si="269"/>
        <v/>
      </c>
      <c r="BJ523" s="267"/>
      <c r="BK523" s="255"/>
      <c r="BL523" s="259" t="str">
        <f>IF(BK523&lt;&gt;"",BK523/VLOOKUP($V523,Setup!$C$30:$D$41,2,0),"")</f>
        <v/>
      </c>
      <c r="BM523" s="268"/>
      <c r="BN523" s="258" t="str">
        <f t="shared" si="270"/>
        <v/>
      </c>
      <c r="BO523" s="268"/>
      <c r="BP523" s="258" t="str">
        <f t="shared" si="271"/>
        <v/>
      </c>
      <c r="BQ523" s="268"/>
      <c r="BR523" s="258" t="str">
        <f t="shared" si="272"/>
        <v/>
      </c>
      <c r="BS523" s="268"/>
      <c r="BT523" s="256" t="str">
        <f t="shared" si="273"/>
        <v/>
      </c>
      <c r="BU523" s="256" t="str">
        <f t="shared" si="274"/>
        <v/>
      </c>
      <c r="BV523" s="256" t="str">
        <f t="shared" si="275"/>
        <v/>
      </c>
      <c r="BW523" s="267"/>
      <c r="BX523" s="256" t="str">
        <f t="shared" si="276"/>
        <v/>
      </c>
      <c r="BY523" s="256" t="str">
        <f t="shared" si="277"/>
        <v/>
      </c>
      <c r="BZ523" s="281"/>
      <c r="CA523" s="282"/>
      <c r="CF523" s="284"/>
      <c r="CG523" s="284"/>
      <c r="CH523" s="284"/>
      <c r="CI523" s="284"/>
      <c r="CL523" s="356" t="str">
        <f>IFERROR(VLOOKUP(C523,'Data Sheet'!$A$3:$B$26,2,FALSE),"")</f>
        <v/>
      </c>
    </row>
    <row r="524" spans="1:90" ht="15.75" x14ac:dyDescent="0.2">
      <c r="A524" s="97"/>
      <c r="B524" s="105" t="str">
        <f t="shared" si="251"/>
        <v>--</v>
      </c>
      <c r="C524" s="276"/>
      <c r="D524" s="101" t="str">
        <f>IFERROR(IF(VLOOKUP(C524,'Data Sheet'!$A$3:$D$26,4,FALSE)=0,"",VLOOKUP(C524,'Data Sheet'!$A$3:$D$26,4,FALSE)),"")</f>
        <v/>
      </c>
      <c r="E524" s="279"/>
      <c r="F524" s="103" t="str">
        <f>IFERROR(IF(VLOOKUP(E524,'Data Sheet'!$C$29:$E$174,3,FALSE)=0,"",VLOOKUP(E524,'Data Sheet'!$C$29:$E$174,3,FALSE)),"")</f>
        <v/>
      </c>
      <c r="G524" s="106" t="str">
        <f t="shared" si="278"/>
        <v>-</v>
      </c>
      <c r="H524" s="273"/>
      <c r="I524" s="107"/>
      <c r="J524" s="249" t="e">
        <f t="shared" si="279"/>
        <v>#VALUE!</v>
      </c>
      <c r="K524" s="101" t="str">
        <f>IFERROR(INDEX('Data Sheet'!$C$198:$C$275,MATCH(I524,'Data Sheet'!$F$198:$F$275,0)),"")</f>
        <v/>
      </c>
      <c r="L524" s="250" t="str">
        <f>IFERROR(INDEX('Data Sheet'!$G$198:$G$275,MATCH(I524,'Data Sheet'!$F$198:$F$275,0)),"")</f>
        <v/>
      </c>
      <c r="M524" s="194"/>
      <c r="N524" s="248"/>
      <c r="O524" s="248"/>
      <c r="P524" s="108" t="str">
        <f>IFERROR(INDEX(Setup!$D$44:$D$70,MATCH(M524,Setup!$K$44:$K$70,0))&amp;"","")</f>
        <v/>
      </c>
      <c r="Q524" s="108" t="str">
        <f>IFERROR(INDEX(Setup!$E$44:$E$70,MATCH(M524,Setup!$K$44:$K$70,0))&amp;"","")</f>
        <v/>
      </c>
      <c r="R524" s="108" t="str">
        <f>IFERROR(INDEX(Setup!$L$44:$L$70,MATCH(M524,Setup!$K$44:$K$70,0))&amp;"","")</f>
        <v/>
      </c>
      <c r="S524" s="108" t="str">
        <f>Setup!$C$30</f>
        <v>USD</v>
      </c>
      <c r="T524" s="109" t="str">
        <f>IFERROR(INDEX('Data Sheet'!$B$198:$B$275,MATCH(I524,'Data Sheet'!$F$198:$F$275,0)),"")</f>
        <v/>
      </c>
      <c r="U524" s="110" t="str">
        <f>IFERROR(INDEX('Data Sheet'!$D$198:$D$275,MATCH(I524,'Data Sheet'!$F$198:$F$275,0)),"")</f>
        <v/>
      </c>
      <c r="V524" s="99"/>
      <c r="W524" s="195" t="str">
        <f>IF(V524=Setup!$C$30,"Grant",IF(V524=Setup!$C$31,"Local",IF(V524=Setup!$C$32,"Other",IF(ISBLANK(V524),"","Other"))))</f>
        <v/>
      </c>
      <c r="X524" s="255"/>
      <c r="Y524" s="259" t="str">
        <f>IF(X524&lt;&gt;"",X524/VLOOKUP($V524,Setup!$C$30:$D$41,2,0),"")</f>
        <v/>
      </c>
      <c r="Z524" s="262"/>
      <c r="AA524" s="256" t="str">
        <f t="shared" si="252"/>
        <v/>
      </c>
      <c r="AB524" s="262"/>
      <c r="AC524" s="258" t="str">
        <f t="shared" si="253"/>
        <v/>
      </c>
      <c r="AD524" s="262"/>
      <c r="AE524" s="258" t="str">
        <f t="shared" si="254"/>
        <v/>
      </c>
      <c r="AF524" s="262"/>
      <c r="AG524" s="256" t="str">
        <f t="shared" si="255"/>
        <v/>
      </c>
      <c r="AH524" s="256" t="str">
        <f t="shared" si="256"/>
        <v/>
      </c>
      <c r="AI524" s="256" t="str">
        <f t="shared" si="257"/>
        <v/>
      </c>
      <c r="AJ524" s="111"/>
      <c r="AK524" s="255"/>
      <c r="AL524" s="259" t="str">
        <f>IF(AK524&lt;&gt;"",AK524/VLOOKUP($V524,Setup!$C$30:$D$41,2,0),"")</f>
        <v/>
      </c>
      <c r="AM524" s="266"/>
      <c r="AN524" s="258" t="str">
        <f t="shared" si="258"/>
        <v/>
      </c>
      <c r="AO524" s="266"/>
      <c r="AP524" s="258" t="str">
        <f t="shared" si="259"/>
        <v/>
      </c>
      <c r="AQ524" s="266"/>
      <c r="AR524" s="258" t="str">
        <f t="shared" si="260"/>
        <v/>
      </c>
      <c r="AS524" s="266"/>
      <c r="AT524" s="256" t="str">
        <f t="shared" si="261"/>
        <v/>
      </c>
      <c r="AU524" s="256" t="str">
        <f t="shared" si="262"/>
        <v/>
      </c>
      <c r="AV524" s="256" t="str">
        <f t="shared" si="263"/>
        <v/>
      </c>
      <c r="AW524" s="267"/>
      <c r="AX524" s="255"/>
      <c r="AY524" s="259" t="str">
        <f>IF(AX524&lt;&gt;"",AX524/VLOOKUP($V524,Setup!$C$30:$D$41,2,0),"")</f>
        <v/>
      </c>
      <c r="AZ524" s="268"/>
      <c r="BA524" s="258" t="str">
        <f t="shared" si="264"/>
        <v/>
      </c>
      <c r="BB524" s="268"/>
      <c r="BC524" s="258" t="str">
        <f t="shared" si="265"/>
        <v/>
      </c>
      <c r="BD524" s="268"/>
      <c r="BE524" s="258" t="str">
        <f t="shared" si="266"/>
        <v/>
      </c>
      <c r="BF524" s="268"/>
      <c r="BG524" s="256" t="str">
        <f t="shared" si="267"/>
        <v/>
      </c>
      <c r="BH524" s="256" t="str">
        <f t="shared" si="268"/>
        <v/>
      </c>
      <c r="BI524" s="256" t="str">
        <f t="shared" si="269"/>
        <v/>
      </c>
      <c r="BJ524" s="267"/>
      <c r="BK524" s="255"/>
      <c r="BL524" s="259" t="str">
        <f>IF(BK524&lt;&gt;"",BK524/VLOOKUP($V524,Setup!$C$30:$D$41,2,0),"")</f>
        <v/>
      </c>
      <c r="BM524" s="268"/>
      <c r="BN524" s="258" t="str">
        <f t="shared" si="270"/>
        <v/>
      </c>
      <c r="BO524" s="268"/>
      <c r="BP524" s="258" t="str">
        <f t="shared" si="271"/>
        <v/>
      </c>
      <c r="BQ524" s="268"/>
      <c r="BR524" s="258" t="str">
        <f t="shared" si="272"/>
        <v/>
      </c>
      <c r="BS524" s="268"/>
      <c r="BT524" s="256" t="str">
        <f t="shared" si="273"/>
        <v/>
      </c>
      <c r="BU524" s="256" t="str">
        <f t="shared" si="274"/>
        <v/>
      </c>
      <c r="BV524" s="256" t="str">
        <f t="shared" si="275"/>
        <v/>
      </c>
      <c r="BW524" s="267"/>
      <c r="BX524" s="256" t="str">
        <f t="shared" si="276"/>
        <v/>
      </c>
      <c r="BY524" s="256" t="str">
        <f t="shared" si="277"/>
        <v/>
      </c>
      <c r="BZ524" s="281"/>
      <c r="CA524" s="282"/>
      <c r="CF524" s="284"/>
      <c r="CG524" s="284"/>
      <c r="CH524" s="284"/>
      <c r="CI524" s="284"/>
      <c r="CL524" s="356" t="str">
        <f>IFERROR(VLOOKUP(C524,'Data Sheet'!$A$3:$B$26,2,FALSE),"")</f>
        <v/>
      </c>
    </row>
    <row r="525" spans="1:90" ht="15.75" x14ac:dyDescent="0.2">
      <c r="A525" s="97"/>
      <c r="B525" s="105" t="str">
        <f t="shared" si="251"/>
        <v>--</v>
      </c>
      <c r="C525" s="276"/>
      <c r="D525" s="101" t="str">
        <f>IFERROR(IF(VLOOKUP(C525,'Data Sheet'!$A$3:$D$26,4,FALSE)=0,"",VLOOKUP(C525,'Data Sheet'!$A$3:$D$26,4,FALSE)),"")</f>
        <v/>
      </c>
      <c r="E525" s="279"/>
      <c r="F525" s="103" t="str">
        <f>IFERROR(IF(VLOOKUP(E525,'Data Sheet'!$C$29:$E$174,3,FALSE)=0,"",VLOOKUP(E525,'Data Sheet'!$C$29:$E$174,3,FALSE)),"")</f>
        <v/>
      </c>
      <c r="G525" s="106" t="str">
        <f t="shared" si="278"/>
        <v>-</v>
      </c>
      <c r="H525" s="273"/>
      <c r="I525" s="107"/>
      <c r="J525" s="249" t="e">
        <f t="shared" si="279"/>
        <v>#VALUE!</v>
      </c>
      <c r="K525" s="101" t="str">
        <f>IFERROR(INDEX('Data Sheet'!$C$198:$C$275,MATCH(I525,'Data Sheet'!$F$198:$F$275,0)),"")</f>
        <v/>
      </c>
      <c r="L525" s="250" t="str">
        <f>IFERROR(INDEX('Data Sheet'!$G$198:$G$275,MATCH(I525,'Data Sheet'!$F$198:$F$275,0)),"")</f>
        <v/>
      </c>
      <c r="M525" s="194"/>
      <c r="N525" s="248"/>
      <c r="O525" s="248"/>
      <c r="P525" s="108" t="str">
        <f>IFERROR(INDEX(Setup!$D$44:$D$70,MATCH(M525,Setup!$K$44:$K$70,0))&amp;"","")</f>
        <v/>
      </c>
      <c r="Q525" s="108" t="str">
        <f>IFERROR(INDEX(Setup!$E$44:$E$70,MATCH(M525,Setup!$K$44:$K$70,0))&amp;"","")</f>
        <v/>
      </c>
      <c r="R525" s="108" t="str">
        <f>IFERROR(INDEX(Setup!$L$44:$L$70,MATCH(M525,Setup!$K$44:$K$70,0))&amp;"","")</f>
        <v/>
      </c>
      <c r="S525" s="108" t="str">
        <f>Setup!$C$30</f>
        <v>USD</v>
      </c>
      <c r="T525" s="109" t="str">
        <f>IFERROR(INDEX('Data Sheet'!$B$198:$B$275,MATCH(I525,'Data Sheet'!$F$198:$F$275,0)),"")</f>
        <v/>
      </c>
      <c r="U525" s="110" t="str">
        <f>IFERROR(INDEX('Data Sheet'!$D$198:$D$275,MATCH(I525,'Data Sheet'!$F$198:$F$275,0)),"")</f>
        <v/>
      </c>
      <c r="V525" s="99"/>
      <c r="W525" s="195" t="str">
        <f>IF(V525=Setup!$C$30,"Grant",IF(V525=Setup!$C$31,"Local",IF(V525=Setup!$C$32,"Other",IF(ISBLANK(V525),"","Other"))))</f>
        <v/>
      </c>
      <c r="X525" s="255"/>
      <c r="Y525" s="259" t="str">
        <f>IF(X525&lt;&gt;"",X525/VLOOKUP($V525,Setup!$C$30:$D$41,2,0),"")</f>
        <v/>
      </c>
      <c r="Z525" s="262"/>
      <c r="AA525" s="256" t="str">
        <f t="shared" si="252"/>
        <v/>
      </c>
      <c r="AB525" s="262"/>
      <c r="AC525" s="258" t="str">
        <f t="shared" si="253"/>
        <v/>
      </c>
      <c r="AD525" s="262"/>
      <c r="AE525" s="258" t="str">
        <f t="shared" si="254"/>
        <v/>
      </c>
      <c r="AF525" s="262"/>
      <c r="AG525" s="256" t="str">
        <f t="shared" si="255"/>
        <v/>
      </c>
      <c r="AH525" s="256" t="str">
        <f t="shared" si="256"/>
        <v/>
      </c>
      <c r="AI525" s="256" t="str">
        <f t="shared" si="257"/>
        <v/>
      </c>
      <c r="AJ525" s="111"/>
      <c r="AK525" s="255"/>
      <c r="AL525" s="259" t="str">
        <f>IF(AK525&lt;&gt;"",AK525/VLOOKUP($V525,Setup!$C$30:$D$41,2,0),"")</f>
        <v/>
      </c>
      <c r="AM525" s="266"/>
      <c r="AN525" s="258" t="str">
        <f t="shared" si="258"/>
        <v/>
      </c>
      <c r="AO525" s="266"/>
      <c r="AP525" s="258" t="str">
        <f t="shared" si="259"/>
        <v/>
      </c>
      <c r="AQ525" s="266"/>
      <c r="AR525" s="258" t="str">
        <f t="shared" si="260"/>
        <v/>
      </c>
      <c r="AS525" s="266"/>
      <c r="AT525" s="256" t="str">
        <f t="shared" si="261"/>
        <v/>
      </c>
      <c r="AU525" s="256" t="str">
        <f t="shared" si="262"/>
        <v/>
      </c>
      <c r="AV525" s="256" t="str">
        <f t="shared" si="263"/>
        <v/>
      </c>
      <c r="AW525" s="267"/>
      <c r="AX525" s="255"/>
      <c r="AY525" s="259" t="str">
        <f>IF(AX525&lt;&gt;"",AX525/VLOOKUP($V525,Setup!$C$30:$D$41,2,0),"")</f>
        <v/>
      </c>
      <c r="AZ525" s="268"/>
      <c r="BA525" s="258" t="str">
        <f t="shared" si="264"/>
        <v/>
      </c>
      <c r="BB525" s="268"/>
      <c r="BC525" s="258" t="str">
        <f t="shared" si="265"/>
        <v/>
      </c>
      <c r="BD525" s="268"/>
      <c r="BE525" s="258" t="str">
        <f t="shared" si="266"/>
        <v/>
      </c>
      <c r="BF525" s="268"/>
      <c r="BG525" s="256" t="str">
        <f t="shared" si="267"/>
        <v/>
      </c>
      <c r="BH525" s="256" t="str">
        <f t="shared" si="268"/>
        <v/>
      </c>
      <c r="BI525" s="256" t="str">
        <f t="shared" si="269"/>
        <v/>
      </c>
      <c r="BJ525" s="267"/>
      <c r="BK525" s="255"/>
      <c r="BL525" s="259" t="str">
        <f>IF(BK525&lt;&gt;"",BK525/VLOOKUP($V525,Setup!$C$30:$D$41,2,0),"")</f>
        <v/>
      </c>
      <c r="BM525" s="268"/>
      <c r="BN525" s="258" t="str">
        <f t="shared" si="270"/>
        <v/>
      </c>
      <c r="BO525" s="268"/>
      <c r="BP525" s="258" t="str">
        <f t="shared" si="271"/>
        <v/>
      </c>
      <c r="BQ525" s="268"/>
      <c r="BR525" s="258" t="str">
        <f t="shared" si="272"/>
        <v/>
      </c>
      <c r="BS525" s="268"/>
      <c r="BT525" s="256" t="str">
        <f t="shared" si="273"/>
        <v/>
      </c>
      <c r="BU525" s="256" t="str">
        <f t="shared" si="274"/>
        <v/>
      </c>
      <c r="BV525" s="256" t="str">
        <f t="shared" si="275"/>
        <v/>
      </c>
      <c r="BW525" s="267"/>
      <c r="BX525" s="256" t="str">
        <f t="shared" si="276"/>
        <v/>
      </c>
      <c r="BY525" s="256" t="str">
        <f t="shared" si="277"/>
        <v/>
      </c>
      <c r="BZ525" s="281"/>
      <c r="CA525" s="282"/>
      <c r="CF525" s="284"/>
      <c r="CG525" s="284"/>
      <c r="CH525" s="284"/>
      <c r="CI525" s="284"/>
      <c r="CL525" s="356" t="str">
        <f>IFERROR(VLOOKUP(C525,'Data Sheet'!$A$3:$B$26,2,FALSE),"")</f>
        <v/>
      </c>
    </row>
    <row r="526" spans="1:90" ht="15.75" x14ac:dyDescent="0.2">
      <c r="A526" s="97"/>
      <c r="B526" s="105" t="str">
        <f t="shared" ref="B526:B589" si="280">CONCATENATE(D526,"-",F526,"-",N526)</f>
        <v>--</v>
      </c>
      <c r="C526" s="276"/>
      <c r="D526" s="101" t="str">
        <f>IFERROR(IF(VLOOKUP(C526,'Data Sheet'!$A$3:$D$26,4,FALSE)=0,"",VLOOKUP(C526,'Data Sheet'!$A$3:$D$26,4,FALSE)),"")</f>
        <v/>
      </c>
      <c r="E526" s="279"/>
      <c r="F526" s="103" t="str">
        <f>IFERROR(IF(VLOOKUP(E526,'Data Sheet'!$C$29:$E$174,3,FALSE)=0,"",VLOOKUP(E526,'Data Sheet'!$C$29:$E$174,3,FALSE)),"")</f>
        <v/>
      </c>
      <c r="G526" s="106" t="str">
        <f t="shared" si="278"/>
        <v>-</v>
      </c>
      <c r="H526" s="273"/>
      <c r="I526" s="107"/>
      <c r="J526" s="249" t="e">
        <f t="shared" si="279"/>
        <v>#VALUE!</v>
      </c>
      <c r="K526" s="101" t="str">
        <f>IFERROR(INDEX('Data Sheet'!$C$198:$C$275,MATCH(I526,'Data Sheet'!$F$198:$F$275,0)),"")</f>
        <v/>
      </c>
      <c r="L526" s="250" t="str">
        <f>IFERROR(INDEX('Data Sheet'!$G$198:$G$275,MATCH(I526,'Data Sheet'!$F$198:$F$275,0)),"")</f>
        <v/>
      </c>
      <c r="M526" s="194"/>
      <c r="N526" s="248"/>
      <c r="O526" s="248"/>
      <c r="P526" s="108" t="str">
        <f>IFERROR(INDEX(Setup!$D$44:$D$70,MATCH(M526,Setup!$K$44:$K$70,0))&amp;"","")</f>
        <v/>
      </c>
      <c r="Q526" s="108" t="str">
        <f>IFERROR(INDEX(Setup!$E$44:$E$70,MATCH(M526,Setup!$K$44:$K$70,0))&amp;"","")</f>
        <v/>
      </c>
      <c r="R526" s="108" t="str">
        <f>IFERROR(INDEX(Setup!$L$44:$L$70,MATCH(M526,Setup!$K$44:$K$70,0))&amp;"","")</f>
        <v/>
      </c>
      <c r="S526" s="108" t="str">
        <f>Setup!$C$30</f>
        <v>USD</v>
      </c>
      <c r="T526" s="109" t="str">
        <f>IFERROR(INDEX('Data Sheet'!$B$198:$B$275,MATCH(I526,'Data Sheet'!$F$198:$F$275,0)),"")</f>
        <v/>
      </c>
      <c r="U526" s="110" t="str">
        <f>IFERROR(INDEX('Data Sheet'!$D$198:$D$275,MATCH(I526,'Data Sheet'!$F$198:$F$275,0)),"")</f>
        <v/>
      </c>
      <c r="V526" s="99"/>
      <c r="W526" s="195" t="str">
        <f>IF(V526=Setup!$C$30,"Grant",IF(V526=Setup!$C$31,"Local",IF(V526=Setup!$C$32,"Other",IF(ISBLANK(V526),"","Other"))))</f>
        <v/>
      </c>
      <c r="X526" s="255"/>
      <c r="Y526" s="259" t="str">
        <f>IF(X526&lt;&gt;"",X526/VLOOKUP($V526,Setup!$C$30:$D$41,2,0),"")</f>
        <v/>
      </c>
      <c r="Z526" s="262"/>
      <c r="AA526" s="256" t="str">
        <f t="shared" si="252"/>
        <v/>
      </c>
      <c r="AB526" s="262"/>
      <c r="AC526" s="258" t="str">
        <f t="shared" si="253"/>
        <v/>
      </c>
      <c r="AD526" s="262"/>
      <c r="AE526" s="258" t="str">
        <f t="shared" si="254"/>
        <v/>
      </c>
      <c r="AF526" s="262"/>
      <c r="AG526" s="256" t="str">
        <f t="shared" si="255"/>
        <v/>
      </c>
      <c r="AH526" s="256" t="str">
        <f t="shared" si="256"/>
        <v/>
      </c>
      <c r="AI526" s="256" t="str">
        <f t="shared" si="257"/>
        <v/>
      </c>
      <c r="AJ526" s="111"/>
      <c r="AK526" s="255"/>
      <c r="AL526" s="259" t="str">
        <f>IF(AK526&lt;&gt;"",AK526/VLOOKUP($V526,Setup!$C$30:$D$41,2,0),"")</f>
        <v/>
      </c>
      <c r="AM526" s="266"/>
      <c r="AN526" s="258" t="str">
        <f t="shared" si="258"/>
        <v/>
      </c>
      <c r="AO526" s="266"/>
      <c r="AP526" s="258" t="str">
        <f t="shared" si="259"/>
        <v/>
      </c>
      <c r="AQ526" s="266"/>
      <c r="AR526" s="258" t="str">
        <f t="shared" si="260"/>
        <v/>
      </c>
      <c r="AS526" s="266"/>
      <c r="AT526" s="256" t="str">
        <f t="shared" si="261"/>
        <v/>
      </c>
      <c r="AU526" s="256" t="str">
        <f t="shared" si="262"/>
        <v/>
      </c>
      <c r="AV526" s="256" t="str">
        <f t="shared" si="263"/>
        <v/>
      </c>
      <c r="AW526" s="267"/>
      <c r="AX526" s="255"/>
      <c r="AY526" s="259" t="str">
        <f>IF(AX526&lt;&gt;"",AX526/VLOOKUP($V526,Setup!$C$30:$D$41,2,0),"")</f>
        <v/>
      </c>
      <c r="AZ526" s="268"/>
      <c r="BA526" s="258" t="str">
        <f t="shared" si="264"/>
        <v/>
      </c>
      <c r="BB526" s="268"/>
      <c r="BC526" s="258" t="str">
        <f t="shared" si="265"/>
        <v/>
      </c>
      <c r="BD526" s="268"/>
      <c r="BE526" s="258" t="str">
        <f t="shared" si="266"/>
        <v/>
      </c>
      <c r="BF526" s="268"/>
      <c r="BG526" s="256" t="str">
        <f t="shared" si="267"/>
        <v/>
      </c>
      <c r="BH526" s="256" t="str">
        <f t="shared" si="268"/>
        <v/>
      </c>
      <c r="BI526" s="256" t="str">
        <f t="shared" si="269"/>
        <v/>
      </c>
      <c r="BJ526" s="267"/>
      <c r="BK526" s="255"/>
      <c r="BL526" s="259" t="str">
        <f>IF(BK526&lt;&gt;"",BK526/VLOOKUP($V526,Setup!$C$30:$D$41,2,0),"")</f>
        <v/>
      </c>
      <c r="BM526" s="268"/>
      <c r="BN526" s="258" t="str">
        <f t="shared" si="270"/>
        <v/>
      </c>
      <c r="BO526" s="268"/>
      <c r="BP526" s="258" t="str">
        <f t="shared" si="271"/>
        <v/>
      </c>
      <c r="BQ526" s="268"/>
      <c r="BR526" s="258" t="str">
        <f t="shared" si="272"/>
        <v/>
      </c>
      <c r="BS526" s="268"/>
      <c r="BT526" s="256" t="str">
        <f t="shared" si="273"/>
        <v/>
      </c>
      <c r="BU526" s="256" t="str">
        <f t="shared" si="274"/>
        <v/>
      </c>
      <c r="BV526" s="256" t="str">
        <f t="shared" si="275"/>
        <v/>
      </c>
      <c r="BW526" s="267"/>
      <c r="BX526" s="256" t="str">
        <f t="shared" si="276"/>
        <v/>
      </c>
      <c r="BY526" s="256" t="str">
        <f t="shared" si="277"/>
        <v/>
      </c>
      <c r="BZ526" s="281"/>
      <c r="CA526" s="282"/>
      <c r="CF526" s="284"/>
      <c r="CG526" s="284"/>
      <c r="CH526" s="284"/>
      <c r="CI526" s="284"/>
      <c r="CL526" s="356" t="str">
        <f>IFERROR(VLOOKUP(C526,'Data Sheet'!$A$3:$B$26,2,FALSE),"")</f>
        <v/>
      </c>
    </row>
    <row r="527" spans="1:90" ht="15.75" x14ac:dyDescent="0.2">
      <c r="A527" s="97"/>
      <c r="B527" s="105" t="str">
        <f t="shared" si="280"/>
        <v>--</v>
      </c>
      <c r="C527" s="276"/>
      <c r="D527" s="101" t="str">
        <f>IFERROR(IF(VLOOKUP(C527,'Data Sheet'!$A$3:$D$26,4,FALSE)=0,"",VLOOKUP(C527,'Data Sheet'!$A$3:$D$26,4,FALSE)),"")</f>
        <v/>
      </c>
      <c r="E527" s="279"/>
      <c r="F527" s="103" t="str">
        <f>IFERROR(IF(VLOOKUP(E527,'Data Sheet'!$C$29:$E$174,3,FALSE)=0,"",VLOOKUP(E527,'Data Sheet'!$C$29:$E$174,3,FALSE)),"")</f>
        <v/>
      </c>
      <c r="G527" s="106" t="str">
        <f t="shared" si="278"/>
        <v>-</v>
      </c>
      <c r="H527" s="273"/>
      <c r="I527" s="107"/>
      <c r="J527" s="249" t="e">
        <f t="shared" si="279"/>
        <v>#VALUE!</v>
      </c>
      <c r="K527" s="101" t="str">
        <f>IFERROR(INDEX('Data Sheet'!$C$198:$C$275,MATCH(I527,'Data Sheet'!$F$198:$F$275,0)),"")</f>
        <v/>
      </c>
      <c r="L527" s="250" t="str">
        <f>IFERROR(INDEX('Data Sheet'!$G$198:$G$275,MATCH(I527,'Data Sheet'!$F$198:$F$275,0)),"")</f>
        <v/>
      </c>
      <c r="M527" s="194"/>
      <c r="N527" s="248"/>
      <c r="O527" s="248"/>
      <c r="P527" s="108" t="str">
        <f>IFERROR(INDEX(Setup!$D$44:$D$70,MATCH(M527,Setup!$K$44:$K$70,0))&amp;"","")</f>
        <v/>
      </c>
      <c r="Q527" s="108" t="str">
        <f>IFERROR(INDEX(Setup!$E$44:$E$70,MATCH(M527,Setup!$K$44:$K$70,0))&amp;"","")</f>
        <v/>
      </c>
      <c r="R527" s="108" t="str">
        <f>IFERROR(INDEX(Setup!$L$44:$L$70,MATCH(M527,Setup!$K$44:$K$70,0))&amp;"","")</f>
        <v/>
      </c>
      <c r="S527" s="108" t="str">
        <f>Setup!$C$30</f>
        <v>USD</v>
      </c>
      <c r="T527" s="109" t="str">
        <f>IFERROR(INDEX('Data Sheet'!$B$198:$B$275,MATCH(I527,'Data Sheet'!$F$198:$F$275,0)),"")</f>
        <v/>
      </c>
      <c r="U527" s="110" t="str">
        <f>IFERROR(INDEX('Data Sheet'!$D$198:$D$275,MATCH(I527,'Data Sheet'!$F$198:$F$275,0)),"")</f>
        <v/>
      </c>
      <c r="V527" s="99"/>
      <c r="W527" s="195" t="str">
        <f>IF(V527=Setup!$C$30,"Grant",IF(V527=Setup!$C$31,"Local",IF(V527=Setup!$C$32,"Other",IF(ISBLANK(V527),"","Other"))))</f>
        <v/>
      </c>
      <c r="X527" s="255"/>
      <c r="Y527" s="259" t="str">
        <f>IF(X527&lt;&gt;"",X527/VLOOKUP($V527,Setup!$C$30:$D$41,2,0),"")</f>
        <v/>
      </c>
      <c r="Z527" s="262"/>
      <c r="AA527" s="256" t="str">
        <f t="shared" si="252"/>
        <v/>
      </c>
      <c r="AB527" s="262"/>
      <c r="AC527" s="258" t="str">
        <f t="shared" si="253"/>
        <v/>
      </c>
      <c r="AD527" s="262"/>
      <c r="AE527" s="258" t="str">
        <f t="shared" si="254"/>
        <v/>
      </c>
      <c r="AF527" s="262"/>
      <c r="AG527" s="256" t="str">
        <f t="shared" si="255"/>
        <v/>
      </c>
      <c r="AH527" s="256" t="str">
        <f t="shared" si="256"/>
        <v/>
      </c>
      <c r="AI527" s="256" t="str">
        <f t="shared" si="257"/>
        <v/>
      </c>
      <c r="AJ527" s="111"/>
      <c r="AK527" s="255"/>
      <c r="AL527" s="259" t="str">
        <f>IF(AK527&lt;&gt;"",AK527/VLOOKUP($V527,Setup!$C$30:$D$41,2,0),"")</f>
        <v/>
      </c>
      <c r="AM527" s="266"/>
      <c r="AN527" s="258" t="str">
        <f t="shared" si="258"/>
        <v/>
      </c>
      <c r="AO527" s="266"/>
      <c r="AP527" s="258" t="str">
        <f t="shared" si="259"/>
        <v/>
      </c>
      <c r="AQ527" s="266"/>
      <c r="AR527" s="258" t="str">
        <f t="shared" si="260"/>
        <v/>
      </c>
      <c r="AS527" s="266"/>
      <c r="AT527" s="256" t="str">
        <f t="shared" si="261"/>
        <v/>
      </c>
      <c r="AU527" s="256" t="str">
        <f t="shared" si="262"/>
        <v/>
      </c>
      <c r="AV527" s="256" t="str">
        <f t="shared" si="263"/>
        <v/>
      </c>
      <c r="AW527" s="267"/>
      <c r="AX527" s="255"/>
      <c r="AY527" s="259" t="str">
        <f>IF(AX527&lt;&gt;"",AX527/VLOOKUP($V527,Setup!$C$30:$D$41,2,0),"")</f>
        <v/>
      </c>
      <c r="AZ527" s="268"/>
      <c r="BA527" s="258" t="str">
        <f t="shared" si="264"/>
        <v/>
      </c>
      <c r="BB527" s="268"/>
      <c r="BC527" s="258" t="str">
        <f t="shared" si="265"/>
        <v/>
      </c>
      <c r="BD527" s="268"/>
      <c r="BE527" s="258" t="str">
        <f t="shared" si="266"/>
        <v/>
      </c>
      <c r="BF527" s="268"/>
      <c r="BG527" s="256" t="str">
        <f t="shared" si="267"/>
        <v/>
      </c>
      <c r="BH527" s="256" t="str">
        <f t="shared" si="268"/>
        <v/>
      </c>
      <c r="BI527" s="256" t="str">
        <f t="shared" si="269"/>
        <v/>
      </c>
      <c r="BJ527" s="267"/>
      <c r="BK527" s="255"/>
      <c r="BL527" s="259" t="str">
        <f>IF(BK527&lt;&gt;"",BK527/VLOOKUP($V527,Setup!$C$30:$D$41,2,0),"")</f>
        <v/>
      </c>
      <c r="BM527" s="268"/>
      <c r="BN527" s="258" t="str">
        <f t="shared" si="270"/>
        <v/>
      </c>
      <c r="BO527" s="268"/>
      <c r="BP527" s="258" t="str">
        <f t="shared" si="271"/>
        <v/>
      </c>
      <c r="BQ527" s="268"/>
      <c r="BR527" s="258" t="str">
        <f t="shared" si="272"/>
        <v/>
      </c>
      <c r="BS527" s="268"/>
      <c r="BT527" s="256" t="str">
        <f t="shared" si="273"/>
        <v/>
      </c>
      <c r="BU527" s="256" t="str">
        <f t="shared" si="274"/>
        <v/>
      </c>
      <c r="BV527" s="256" t="str">
        <f t="shared" si="275"/>
        <v/>
      </c>
      <c r="BW527" s="267"/>
      <c r="BX527" s="256" t="str">
        <f t="shared" si="276"/>
        <v/>
      </c>
      <c r="BY527" s="256" t="str">
        <f t="shared" si="277"/>
        <v/>
      </c>
      <c r="BZ527" s="281"/>
      <c r="CA527" s="282"/>
      <c r="CF527" s="284"/>
      <c r="CG527" s="284"/>
      <c r="CH527" s="284"/>
      <c r="CI527" s="284"/>
      <c r="CL527" s="356" t="str">
        <f>IFERROR(VLOOKUP(C527,'Data Sheet'!$A$3:$B$26,2,FALSE),"")</f>
        <v/>
      </c>
    </row>
    <row r="528" spans="1:90" ht="15.75" x14ac:dyDescent="0.2">
      <c r="A528" s="97"/>
      <c r="B528" s="105" t="str">
        <f t="shared" si="280"/>
        <v>--</v>
      </c>
      <c r="C528" s="276"/>
      <c r="D528" s="101" t="str">
        <f>IFERROR(IF(VLOOKUP(C528,'Data Sheet'!$A$3:$D$26,4,FALSE)=0,"",VLOOKUP(C528,'Data Sheet'!$A$3:$D$26,4,FALSE)),"")</f>
        <v/>
      </c>
      <c r="E528" s="279"/>
      <c r="F528" s="103" t="str">
        <f>IFERROR(IF(VLOOKUP(E528,'Data Sheet'!$C$29:$E$174,3,FALSE)=0,"",VLOOKUP(E528,'Data Sheet'!$C$29:$E$174,3,FALSE)),"")</f>
        <v/>
      </c>
      <c r="G528" s="106" t="str">
        <f t="shared" si="278"/>
        <v>-</v>
      </c>
      <c r="H528" s="273"/>
      <c r="I528" s="107"/>
      <c r="J528" s="249" t="e">
        <f t="shared" si="279"/>
        <v>#VALUE!</v>
      </c>
      <c r="K528" s="101" t="str">
        <f>IFERROR(INDEX('Data Sheet'!$C$198:$C$275,MATCH(I528,'Data Sheet'!$F$198:$F$275,0)),"")</f>
        <v/>
      </c>
      <c r="L528" s="250" t="str">
        <f>IFERROR(INDEX('Data Sheet'!$G$198:$G$275,MATCH(I528,'Data Sheet'!$F$198:$F$275,0)),"")</f>
        <v/>
      </c>
      <c r="M528" s="194"/>
      <c r="N528" s="248"/>
      <c r="O528" s="248"/>
      <c r="P528" s="108" t="str">
        <f>IFERROR(INDEX(Setup!$D$44:$D$70,MATCH(M528,Setup!$K$44:$K$70,0))&amp;"","")</f>
        <v/>
      </c>
      <c r="Q528" s="108" t="str">
        <f>IFERROR(INDEX(Setup!$E$44:$E$70,MATCH(M528,Setup!$K$44:$K$70,0))&amp;"","")</f>
        <v/>
      </c>
      <c r="R528" s="108" t="str">
        <f>IFERROR(INDEX(Setup!$L$44:$L$70,MATCH(M528,Setup!$K$44:$K$70,0))&amp;"","")</f>
        <v/>
      </c>
      <c r="S528" s="108" t="str">
        <f>Setup!$C$30</f>
        <v>USD</v>
      </c>
      <c r="T528" s="109" t="str">
        <f>IFERROR(INDEX('Data Sheet'!$B$198:$B$275,MATCH(I528,'Data Sheet'!$F$198:$F$275,0)),"")</f>
        <v/>
      </c>
      <c r="U528" s="110" t="str">
        <f>IFERROR(INDEX('Data Sheet'!$D$198:$D$275,MATCH(I528,'Data Sheet'!$F$198:$F$275,0)),"")</f>
        <v/>
      </c>
      <c r="V528" s="99"/>
      <c r="W528" s="195" t="str">
        <f>IF(V528=Setup!$C$30,"Grant",IF(V528=Setup!$C$31,"Local",IF(V528=Setup!$C$32,"Other",IF(ISBLANK(V528),"","Other"))))</f>
        <v/>
      </c>
      <c r="X528" s="255"/>
      <c r="Y528" s="259" t="str">
        <f>IF(X528&lt;&gt;"",X528/VLOOKUP($V528,Setup!$C$30:$D$41,2,0),"")</f>
        <v/>
      </c>
      <c r="Z528" s="262"/>
      <c r="AA528" s="256" t="str">
        <f t="shared" si="252"/>
        <v/>
      </c>
      <c r="AB528" s="262"/>
      <c r="AC528" s="258" t="str">
        <f t="shared" si="253"/>
        <v/>
      </c>
      <c r="AD528" s="262"/>
      <c r="AE528" s="258" t="str">
        <f t="shared" si="254"/>
        <v/>
      </c>
      <c r="AF528" s="262"/>
      <c r="AG528" s="256" t="str">
        <f t="shared" si="255"/>
        <v/>
      </c>
      <c r="AH528" s="256" t="str">
        <f t="shared" si="256"/>
        <v/>
      </c>
      <c r="AI528" s="256" t="str">
        <f t="shared" si="257"/>
        <v/>
      </c>
      <c r="AJ528" s="111"/>
      <c r="AK528" s="255"/>
      <c r="AL528" s="259" t="str">
        <f>IF(AK528&lt;&gt;"",AK528/VLOOKUP($V528,Setup!$C$30:$D$41,2,0),"")</f>
        <v/>
      </c>
      <c r="AM528" s="266"/>
      <c r="AN528" s="258" t="str">
        <f t="shared" si="258"/>
        <v/>
      </c>
      <c r="AO528" s="266"/>
      <c r="AP528" s="258" t="str">
        <f t="shared" si="259"/>
        <v/>
      </c>
      <c r="AQ528" s="266"/>
      <c r="AR528" s="258" t="str">
        <f t="shared" si="260"/>
        <v/>
      </c>
      <c r="AS528" s="266"/>
      <c r="AT528" s="256" t="str">
        <f t="shared" si="261"/>
        <v/>
      </c>
      <c r="AU528" s="256" t="str">
        <f t="shared" si="262"/>
        <v/>
      </c>
      <c r="AV528" s="256" t="str">
        <f t="shared" si="263"/>
        <v/>
      </c>
      <c r="AW528" s="267"/>
      <c r="AX528" s="255"/>
      <c r="AY528" s="259" t="str">
        <f>IF(AX528&lt;&gt;"",AX528/VLOOKUP($V528,Setup!$C$30:$D$41,2,0),"")</f>
        <v/>
      </c>
      <c r="AZ528" s="268"/>
      <c r="BA528" s="258" t="str">
        <f t="shared" si="264"/>
        <v/>
      </c>
      <c r="BB528" s="268"/>
      <c r="BC528" s="258" t="str">
        <f t="shared" si="265"/>
        <v/>
      </c>
      <c r="BD528" s="268"/>
      <c r="BE528" s="258" t="str">
        <f t="shared" si="266"/>
        <v/>
      </c>
      <c r="BF528" s="268"/>
      <c r="BG528" s="256" t="str">
        <f t="shared" si="267"/>
        <v/>
      </c>
      <c r="BH528" s="256" t="str">
        <f t="shared" si="268"/>
        <v/>
      </c>
      <c r="BI528" s="256" t="str">
        <f t="shared" si="269"/>
        <v/>
      </c>
      <c r="BJ528" s="267"/>
      <c r="BK528" s="255"/>
      <c r="BL528" s="259" t="str">
        <f>IF(BK528&lt;&gt;"",BK528/VLOOKUP($V528,Setup!$C$30:$D$41,2,0),"")</f>
        <v/>
      </c>
      <c r="BM528" s="268"/>
      <c r="BN528" s="258" t="str">
        <f t="shared" si="270"/>
        <v/>
      </c>
      <c r="BO528" s="268"/>
      <c r="BP528" s="258" t="str">
        <f t="shared" si="271"/>
        <v/>
      </c>
      <c r="BQ528" s="268"/>
      <c r="BR528" s="258" t="str">
        <f t="shared" si="272"/>
        <v/>
      </c>
      <c r="BS528" s="268"/>
      <c r="BT528" s="256" t="str">
        <f t="shared" si="273"/>
        <v/>
      </c>
      <c r="BU528" s="256" t="str">
        <f t="shared" si="274"/>
        <v/>
      </c>
      <c r="BV528" s="256" t="str">
        <f t="shared" si="275"/>
        <v/>
      </c>
      <c r="BW528" s="267"/>
      <c r="BX528" s="256" t="str">
        <f t="shared" si="276"/>
        <v/>
      </c>
      <c r="BY528" s="256" t="str">
        <f t="shared" si="277"/>
        <v/>
      </c>
      <c r="BZ528" s="281"/>
      <c r="CA528" s="282"/>
      <c r="CF528" s="284"/>
      <c r="CG528" s="284"/>
      <c r="CH528" s="284"/>
      <c r="CI528" s="284"/>
      <c r="CL528" s="356" t="str">
        <f>IFERROR(VLOOKUP(C528,'Data Sheet'!$A$3:$B$26,2,FALSE),"")</f>
        <v/>
      </c>
    </row>
    <row r="529" spans="1:90" ht="15.75" x14ac:dyDescent="0.2">
      <c r="A529" s="97"/>
      <c r="B529" s="105" t="str">
        <f t="shared" si="280"/>
        <v>--</v>
      </c>
      <c r="C529" s="276"/>
      <c r="D529" s="101" t="str">
        <f>IFERROR(IF(VLOOKUP(C529,'Data Sheet'!$A$3:$D$26,4,FALSE)=0,"",VLOOKUP(C529,'Data Sheet'!$A$3:$D$26,4,FALSE)),"")</f>
        <v/>
      </c>
      <c r="E529" s="279"/>
      <c r="F529" s="103" t="str">
        <f>IFERROR(IF(VLOOKUP(E529,'Data Sheet'!$C$29:$E$174,3,FALSE)=0,"",VLOOKUP(E529,'Data Sheet'!$C$29:$E$174,3,FALSE)),"")</f>
        <v/>
      </c>
      <c r="G529" s="106" t="str">
        <f t="shared" si="278"/>
        <v>-</v>
      </c>
      <c r="H529" s="273"/>
      <c r="I529" s="107"/>
      <c r="J529" s="249" t="e">
        <f t="shared" si="279"/>
        <v>#VALUE!</v>
      </c>
      <c r="K529" s="101" t="str">
        <f>IFERROR(INDEX('Data Sheet'!$C$198:$C$275,MATCH(I529,'Data Sheet'!$F$198:$F$275,0)),"")</f>
        <v/>
      </c>
      <c r="L529" s="250" t="str">
        <f>IFERROR(INDEX('Data Sheet'!$G$198:$G$275,MATCH(I529,'Data Sheet'!$F$198:$F$275,0)),"")</f>
        <v/>
      </c>
      <c r="M529" s="194"/>
      <c r="N529" s="248"/>
      <c r="O529" s="248"/>
      <c r="P529" s="108" t="str">
        <f>IFERROR(INDEX(Setup!$D$44:$D$70,MATCH(M529,Setup!$K$44:$K$70,0))&amp;"","")</f>
        <v/>
      </c>
      <c r="Q529" s="108" t="str">
        <f>IFERROR(INDEX(Setup!$E$44:$E$70,MATCH(M529,Setup!$K$44:$K$70,0))&amp;"","")</f>
        <v/>
      </c>
      <c r="R529" s="108" t="str">
        <f>IFERROR(INDEX(Setup!$L$44:$L$70,MATCH(M529,Setup!$K$44:$K$70,0))&amp;"","")</f>
        <v/>
      </c>
      <c r="S529" s="108" t="str">
        <f>Setup!$C$30</f>
        <v>USD</v>
      </c>
      <c r="T529" s="109" t="str">
        <f>IFERROR(INDEX('Data Sheet'!$B$198:$B$275,MATCH(I529,'Data Sheet'!$F$198:$F$275,0)),"")</f>
        <v/>
      </c>
      <c r="U529" s="110" t="str">
        <f>IFERROR(INDEX('Data Sheet'!$D$198:$D$275,MATCH(I529,'Data Sheet'!$F$198:$F$275,0)),"")</f>
        <v/>
      </c>
      <c r="V529" s="99"/>
      <c r="W529" s="195" t="str">
        <f>IF(V529=Setup!$C$30,"Grant",IF(V529=Setup!$C$31,"Local",IF(V529=Setup!$C$32,"Other",IF(ISBLANK(V529),"","Other"))))</f>
        <v/>
      </c>
      <c r="X529" s="255"/>
      <c r="Y529" s="259" t="str">
        <f>IF(X529&lt;&gt;"",X529/VLOOKUP($V529,Setup!$C$30:$D$41,2,0),"")</f>
        <v/>
      </c>
      <c r="Z529" s="262"/>
      <c r="AA529" s="256" t="str">
        <f t="shared" si="252"/>
        <v/>
      </c>
      <c r="AB529" s="262"/>
      <c r="AC529" s="258" t="str">
        <f t="shared" si="253"/>
        <v/>
      </c>
      <c r="AD529" s="262"/>
      <c r="AE529" s="258" t="str">
        <f t="shared" si="254"/>
        <v/>
      </c>
      <c r="AF529" s="262"/>
      <c r="AG529" s="256" t="str">
        <f t="shared" si="255"/>
        <v/>
      </c>
      <c r="AH529" s="256" t="str">
        <f t="shared" si="256"/>
        <v/>
      </c>
      <c r="AI529" s="256" t="str">
        <f t="shared" si="257"/>
        <v/>
      </c>
      <c r="AJ529" s="111"/>
      <c r="AK529" s="255"/>
      <c r="AL529" s="259" t="str">
        <f>IF(AK529&lt;&gt;"",AK529/VLOOKUP($V529,Setup!$C$30:$D$41,2,0),"")</f>
        <v/>
      </c>
      <c r="AM529" s="266"/>
      <c r="AN529" s="258" t="str">
        <f t="shared" si="258"/>
        <v/>
      </c>
      <c r="AO529" s="266"/>
      <c r="AP529" s="258" t="str">
        <f t="shared" si="259"/>
        <v/>
      </c>
      <c r="AQ529" s="266"/>
      <c r="AR529" s="258" t="str">
        <f t="shared" si="260"/>
        <v/>
      </c>
      <c r="AS529" s="266"/>
      <c r="AT529" s="256" t="str">
        <f t="shared" si="261"/>
        <v/>
      </c>
      <c r="AU529" s="256" t="str">
        <f t="shared" si="262"/>
        <v/>
      </c>
      <c r="AV529" s="256" t="str">
        <f t="shared" si="263"/>
        <v/>
      </c>
      <c r="AW529" s="267"/>
      <c r="AX529" s="255"/>
      <c r="AY529" s="259" t="str">
        <f>IF(AX529&lt;&gt;"",AX529/VLOOKUP($V529,Setup!$C$30:$D$41,2,0),"")</f>
        <v/>
      </c>
      <c r="AZ529" s="268"/>
      <c r="BA529" s="258" t="str">
        <f t="shared" si="264"/>
        <v/>
      </c>
      <c r="BB529" s="268"/>
      <c r="BC529" s="258" t="str">
        <f t="shared" si="265"/>
        <v/>
      </c>
      <c r="BD529" s="268"/>
      <c r="BE529" s="258" t="str">
        <f t="shared" si="266"/>
        <v/>
      </c>
      <c r="BF529" s="268"/>
      <c r="BG529" s="256" t="str">
        <f t="shared" si="267"/>
        <v/>
      </c>
      <c r="BH529" s="256" t="str">
        <f t="shared" si="268"/>
        <v/>
      </c>
      <c r="BI529" s="256" t="str">
        <f t="shared" si="269"/>
        <v/>
      </c>
      <c r="BJ529" s="267"/>
      <c r="BK529" s="255"/>
      <c r="BL529" s="259" t="str">
        <f>IF(BK529&lt;&gt;"",BK529/VLOOKUP($V529,Setup!$C$30:$D$41,2,0),"")</f>
        <v/>
      </c>
      <c r="BM529" s="268"/>
      <c r="BN529" s="258" t="str">
        <f t="shared" si="270"/>
        <v/>
      </c>
      <c r="BO529" s="268"/>
      <c r="BP529" s="258" t="str">
        <f t="shared" si="271"/>
        <v/>
      </c>
      <c r="BQ529" s="268"/>
      <c r="BR529" s="258" t="str">
        <f t="shared" si="272"/>
        <v/>
      </c>
      <c r="BS529" s="268"/>
      <c r="BT529" s="256" t="str">
        <f t="shared" si="273"/>
        <v/>
      </c>
      <c r="BU529" s="256" t="str">
        <f t="shared" si="274"/>
        <v/>
      </c>
      <c r="BV529" s="256" t="str">
        <f t="shared" si="275"/>
        <v/>
      </c>
      <c r="BW529" s="267"/>
      <c r="BX529" s="256" t="str">
        <f t="shared" si="276"/>
        <v/>
      </c>
      <c r="BY529" s="256" t="str">
        <f t="shared" si="277"/>
        <v/>
      </c>
      <c r="BZ529" s="281"/>
      <c r="CA529" s="282"/>
      <c r="CF529" s="284"/>
      <c r="CG529" s="284"/>
      <c r="CH529" s="284"/>
      <c r="CI529" s="284"/>
      <c r="CL529" s="356" t="str">
        <f>IFERROR(VLOOKUP(C529,'Data Sheet'!$A$3:$B$26,2,FALSE),"")</f>
        <v/>
      </c>
    </row>
    <row r="530" spans="1:90" ht="15.75" x14ac:dyDescent="0.2">
      <c r="A530" s="97"/>
      <c r="B530" s="105" t="str">
        <f t="shared" si="280"/>
        <v>--</v>
      </c>
      <c r="C530" s="276"/>
      <c r="D530" s="101" t="str">
        <f>IFERROR(IF(VLOOKUP(C530,'Data Sheet'!$A$3:$D$26,4,FALSE)=0,"",VLOOKUP(C530,'Data Sheet'!$A$3:$D$26,4,FALSE)),"")</f>
        <v/>
      </c>
      <c r="E530" s="279"/>
      <c r="F530" s="103" t="str">
        <f>IFERROR(IF(VLOOKUP(E530,'Data Sheet'!$C$29:$E$174,3,FALSE)=0,"",VLOOKUP(E530,'Data Sheet'!$C$29:$E$174,3,FALSE)),"")</f>
        <v/>
      </c>
      <c r="G530" s="106" t="str">
        <f t="shared" si="278"/>
        <v>-</v>
      </c>
      <c r="H530" s="273"/>
      <c r="I530" s="107"/>
      <c r="J530" s="249" t="e">
        <f t="shared" si="279"/>
        <v>#VALUE!</v>
      </c>
      <c r="K530" s="101" t="str">
        <f>IFERROR(INDEX('Data Sheet'!$C$198:$C$275,MATCH(I530,'Data Sheet'!$F$198:$F$275,0)),"")</f>
        <v/>
      </c>
      <c r="L530" s="250" t="str">
        <f>IFERROR(INDEX('Data Sheet'!$G$198:$G$275,MATCH(I530,'Data Sheet'!$F$198:$F$275,0)),"")</f>
        <v/>
      </c>
      <c r="M530" s="194"/>
      <c r="N530" s="248"/>
      <c r="O530" s="248"/>
      <c r="P530" s="108" t="str">
        <f>IFERROR(INDEX(Setup!$D$44:$D$70,MATCH(M530,Setup!$K$44:$K$70,0))&amp;"","")</f>
        <v/>
      </c>
      <c r="Q530" s="108" t="str">
        <f>IFERROR(INDEX(Setup!$E$44:$E$70,MATCH(M530,Setup!$K$44:$K$70,0))&amp;"","")</f>
        <v/>
      </c>
      <c r="R530" s="108" t="str">
        <f>IFERROR(INDEX(Setup!$L$44:$L$70,MATCH(M530,Setup!$K$44:$K$70,0))&amp;"","")</f>
        <v/>
      </c>
      <c r="S530" s="108" t="str">
        <f>Setup!$C$30</f>
        <v>USD</v>
      </c>
      <c r="T530" s="109" t="str">
        <f>IFERROR(INDEX('Data Sheet'!$B$198:$B$275,MATCH(I530,'Data Sheet'!$F$198:$F$275,0)),"")</f>
        <v/>
      </c>
      <c r="U530" s="110" t="str">
        <f>IFERROR(INDEX('Data Sheet'!$D$198:$D$275,MATCH(I530,'Data Sheet'!$F$198:$F$275,0)),"")</f>
        <v/>
      </c>
      <c r="V530" s="99"/>
      <c r="W530" s="195" t="str">
        <f>IF(V530=Setup!$C$30,"Grant",IF(V530=Setup!$C$31,"Local",IF(V530=Setup!$C$32,"Other",IF(ISBLANK(V530),"","Other"))))</f>
        <v/>
      </c>
      <c r="X530" s="255"/>
      <c r="Y530" s="259" t="str">
        <f>IF(X530&lt;&gt;"",X530/VLOOKUP($V530,Setup!$C$30:$D$41,2,0),"")</f>
        <v/>
      </c>
      <c r="Z530" s="262"/>
      <c r="AA530" s="256" t="str">
        <f t="shared" si="252"/>
        <v/>
      </c>
      <c r="AB530" s="262"/>
      <c r="AC530" s="258" t="str">
        <f t="shared" si="253"/>
        <v/>
      </c>
      <c r="AD530" s="262"/>
      <c r="AE530" s="258" t="str">
        <f t="shared" si="254"/>
        <v/>
      </c>
      <c r="AF530" s="262"/>
      <c r="AG530" s="256" t="str">
        <f t="shared" si="255"/>
        <v/>
      </c>
      <c r="AH530" s="256" t="str">
        <f t="shared" si="256"/>
        <v/>
      </c>
      <c r="AI530" s="256" t="str">
        <f t="shared" si="257"/>
        <v/>
      </c>
      <c r="AJ530" s="111"/>
      <c r="AK530" s="255"/>
      <c r="AL530" s="259" t="str">
        <f>IF(AK530&lt;&gt;"",AK530/VLOOKUP($V530,Setup!$C$30:$D$41,2,0),"")</f>
        <v/>
      </c>
      <c r="AM530" s="266"/>
      <c r="AN530" s="258" t="str">
        <f t="shared" si="258"/>
        <v/>
      </c>
      <c r="AO530" s="266"/>
      <c r="AP530" s="258" t="str">
        <f t="shared" si="259"/>
        <v/>
      </c>
      <c r="AQ530" s="266"/>
      <c r="AR530" s="258" t="str">
        <f t="shared" si="260"/>
        <v/>
      </c>
      <c r="AS530" s="266"/>
      <c r="AT530" s="256" t="str">
        <f t="shared" si="261"/>
        <v/>
      </c>
      <c r="AU530" s="256" t="str">
        <f t="shared" si="262"/>
        <v/>
      </c>
      <c r="AV530" s="256" t="str">
        <f t="shared" si="263"/>
        <v/>
      </c>
      <c r="AW530" s="267"/>
      <c r="AX530" s="255"/>
      <c r="AY530" s="259" t="str">
        <f>IF(AX530&lt;&gt;"",AX530/VLOOKUP($V530,Setup!$C$30:$D$41,2,0),"")</f>
        <v/>
      </c>
      <c r="AZ530" s="268"/>
      <c r="BA530" s="258" t="str">
        <f t="shared" si="264"/>
        <v/>
      </c>
      <c r="BB530" s="268"/>
      <c r="BC530" s="258" t="str">
        <f t="shared" si="265"/>
        <v/>
      </c>
      <c r="BD530" s="268"/>
      <c r="BE530" s="258" t="str">
        <f t="shared" si="266"/>
        <v/>
      </c>
      <c r="BF530" s="268"/>
      <c r="BG530" s="256" t="str">
        <f t="shared" si="267"/>
        <v/>
      </c>
      <c r="BH530" s="256" t="str">
        <f t="shared" si="268"/>
        <v/>
      </c>
      <c r="BI530" s="256" t="str">
        <f t="shared" si="269"/>
        <v/>
      </c>
      <c r="BJ530" s="267"/>
      <c r="BK530" s="255"/>
      <c r="BL530" s="259" t="str">
        <f>IF(BK530&lt;&gt;"",BK530/VLOOKUP($V530,Setup!$C$30:$D$41,2,0),"")</f>
        <v/>
      </c>
      <c r="BM530" s="268"/>
      <c r="BN530" s="258" t="str">
        <f t="shared" si="270"/>
        <v/>
      </c>
      <c r="BO530" s="268"/>
      <c r="BP530" s="258" t="str">
        <f t="shared" si="271"/>
        <v/>
      </c>
      <c r="BQ530" s="268"/>
      <c r="BR530" s="258" t="str">
        <f t="shared" si="272"/>
        <v/>
      </c>
      <c r="BS530" s="268"/>
      <c r="BT530" s="256" t="str">
        <f t="shared" si="273"/>
        <v/>
      </c>
      <c r="BU530" s="256" t="str">
        <f t="shared" si="274"/>
        <v/>
      </c>
      <c r="BV530" s="256" t="str">
        <f t="shared" si="275"/>
        <v/>
      </c>
      <c r="BW530" s="267"/>
      <c r="BX530" s="256" t="str">
        <f t="shared" si="276"/>
        <v/>
      </c>
      <c r="BY530" s="256" t="str">
        <f t="shared" si="277"/>
        <v/>
      </c>
      <c r="BZ530" s="281"/>
      <c r="CA530" s="282"/>
      <c r="CF530" s="284"/>
      <c r="CG530" s="284"/>
      <c r="CH530" s="284"/>
      <c r="CI530" s="284"/>
      <c r="CL530" s="356" t="str">
        <f>IFERROR(VLOOKUP(C530,'Data Sheet'!$A$3:$B$26,2,FALSE),"")</f>
        <v/>
      </c>
    </row>
    <row r="531" spans="1:90" ht="15.75" x14ac:dyDescent="0.2">
      <c r="A531" s="97"/>
      <c r="B531" s="105" t="str">
        <f t="shared" si="280"/>
        <v>--</v>
      </c>
      <c r="C531" s="276"/>
      <c r="D531" s="101" t="str">
        <f>IFERROR(IF(VLOOKUP(C531,'Data Sheet'!$A$3:$D$26,4,FALSE)=0,"",VLOOKUP(C531,'Data Sheet'!$A$3:$D$26,4,FALSE)),"")</f>
        <v/>
      </c>
      <c r="E531" s="279"/>
      <c r="F531" s="103" t="str">
        <f>IFERROR(IF(VLOOKUP(E531,'Data Sheet'!$C$29:$E$174,3,FALSE)=0,"",VLOOKUP(E531,'Data Sheet'!$C$29:$E$174,3,FALSE)),"")</f>
        <v/>
      </c>
      <c r="G531" s="106" t="str">
        <f t="shared" si="278"/>
        <v>-</v>
      </c>
      <c r="H531" s="273"/>
      <c r="I531" s="107"/>
      <c r="J531" s="249" t="e">
        <f t="shared" si="279"/>
        <v>#VALUE!</v>
      </c>
      <c r="K531" s="101" t="str">
        <f>IFERROR(INDEX('Data Sheet'!$C$198:$C$275,MATCH(I531,'Data Sheet'!$F$198:$F$275,0)),"")</f>
        <v/>
      </c>
      <c r="L531" s="250" t="str">
        <f>IFERROR(INDEX('Data Sheet'!$G$198:$G$275,MATCH(I531,'Data Sheet'!$F$198:$F$275,0)),"")</f>
        <v/>
      </c>
      <c r="M531" s="194"/>
      <c r="N531" s="248"/>
      <c r="O531" s="248"/>
      <c r="P531" s="108" t="str">
        <f>IFERROR(INDEX(Setup!$D$44:$D$70,MATCH(M531,Setup!$K$44:$K$70,0))&amp;"","")</f>
        <v/>
      </c>
      <c r="Q531" s="108" t="str">
        <f>IFERROR(INDEX(Setup!$E$44:$E$70,MATCH(M531,Setup!$K$44:$K$70,0))&amp;"","")</f>
        <v/>
      </c>
      <c r="R531" s="108" t="str">
        <f>IFERROR(INDEX(Setup!$L$44:$L$70,MATCH(M531,Setup!$K$44:$K$70,0))&amp;"","")</f>
        <v/>
      </c>
      <c r="S531" s="108" t="str">
        <f>Setup!$C$30</f>
        <v>USD</v>
      </c>
      <c r="T531" s="109" t="str">
        <f>IFERROR(INDEX('Data Sheet'!$B$198:$B$275,MATCH(I531,'Data Sheet'!$F$198:$F$275,0)),"")</f>
        <v/>
      </c>
      <c r="U531" s="110" t="str">
        <f>IFERROR(INDEX('Data Sheet'!$D$198:$D$275,MATCH(I531,'Data Sheet'!$F$198:$F$275,0)),"")</f>
        <v/>
      </c>
      <c r="V531" s="99"/>
      <c r="W531" s="195" t="str">
        <f>IF(V531=Setup!$C$30,"Grant",IF(V531=Setup!$C$31,"Local",IF(V531=Setup!$C$32,"Other",IF(ISBLANK(V531),"","Other"))))</f>
        <v/>
      </c>
      <c r="X531" s="255"/>
      <c r="Y531" s="259" t="str">
        <f>IF(X531&lt;&gt;"",X531/VLOOKUP($V531,Setup!$C$30:$D$41,2,0),"")</f>
        <v/>
      </c>
      <c r="Z531" s="262"/>
      <c r="AA531" s="256" t="str">
        <f t="shared" si="252"/>
        <v/>
      </c>
      <c r="AB531" s="262"/>
      <c r="AC531" s="258" t="str">
        <f t="shared" si="253"/>
        <v/>
      </c>
      <c r="AD531" s="262"/>
      <c r="AE531" s="258" t="str">
        <f t="shared" si="254"/>
        <v/>
      </c>
      <c r="AF531" s="262"/>
      <c r="AG531" s="256" t="str">
        <f t="shared" si="255"/>
        <v/>
      </c>
      <c r="AH531" s="256" t="str">
        <f t="shared" si="256"/>
        <v/>
      </c>
      <c r="AI531" s="256" t="str">
        <f t="shared" si="257"/>
        <v/>
      </c>
      <c r="AJ531" s="111"/>
      <c r="AK531" s="255"/>
      <c r="AL531" s="259" t="str">
        <f>IF(AK531&lt;&gt;"",AK531/VLOOKUP($V531,Setup!$C$30:$D$41,2,0),"")</f>
        <v/>
      </c>
      <c r="AM531" s="266"/>
      <c r="AN531" s="258" t="str">
        <f t="shared" si="258"/>
        <v/>
      </c>
      <c r="AO531" s="266"/>
      <c r="AP531" s="258" t="str">
        <f t="shared" si="259"/>
        <v/>
      </c>
      <c r="AQ531" s="266"/>
      <c r="AR531" s="258" t="str">
        <f t="shared" si="260"/>
        <v/>
      </c>
      <c r="AS531" s="266"/>
      <c r="AT531" s="256" t="str">
        <f t="shared" si="261"/>
        <v/>
      </c>
      <c r="AU531" s="256" t="str">
        <f t="shared" si="262"/>
        <v/>
      </c>
      <c r="AV531" s="256" t="str">
        <f t="shared" si="263"/>
        <v/>
      </c>
      <c r="AW531" s="267"/>
      <c r="AX531" s="255"/>
      <c r="AY531" s="259" t="str">
        <f>IF(AX531&lt;&gt;"",AX531/VLOOKUP($V531,Setup!$C$30:$D$41,2,0),"")</f>
        <v/>
      </c>
      <c r="AZ531" s="268"/>
      <c r="BA531" s="258" t="str">
        <f t="shared" si="264"/>
        <v/>
      </c>
      <c r="BB531" s="268"/>
      <c r="BC531" s="258" t="str">
        <f t="shared" si="265"/>
        <v/>
      </c>
      <c r="BD531" s="268"/>
      <c r="BE531" s="258" t="str">
        <f t="shared" si="266"/>
        <v/>
      </c>
      <c r="BF531" s="268"/>
      <c r="BG531" s="256" t="str">
        <f t="shared" si="267"/>
        <v/>
      </c>
      <c r="BH531" s="256" t="str">
        <f t="shared" si="268"/>
        <v/>
      </c>
      <c r="BI531" s="256" t="str">
        <f t="shared" si="269"/>
        <v/>
      </c>
      <c r="BJ531" s="267"/>
      <c r="BK531" s="255"/>
      <c r="BL531" s="259" t="str">
        <f>IF(BK531&lt;&gt;"",BK531/VLOOKUP($V531,Setup!$C$30:$D$41,2,0),"")</f>
        <v/>
      </c>
      <c r="BM531" s="268"/>
      <c r="BN531" s="258" t="str">
        <f t="shared" si="270"/>
        <v/>
      </c>
      <c r="BO531" s="268"/>
      <c r="BP531" s="258" t="str">
        <f t="shared" si="271"/>
        <v/>
      </c>
      <c r="BQ531" s="268"/>
      <c r="BR531" s="258" t="str">
        <f t="shared" si="272"/>
        <v/>
      </c>
      <c r="BS531" s="268"/>
      <c r="BT531" s="256" t="str">
        <f t="shared" si="273"/>
        <v/>
      </c>
      <c r="BU531" s="256" t="str">
        <f t="shared" si="274"/>
        <v/>
      </c>
      <c r="BV531" s="256" t="str">
        <f t="shared" si="275"/>
        <v/>
      </c>
      <c r="BW531" s="267"/>
      <c r="BX531" s="256" t="str">
        <f t="shared" si="276"/>
        <v/>
      </c>
      <c r="BY531" s="256" t="str">
        <f t="shared" si="277"/>
        <v/>
      </c>
      <c r="BZ531" s="281"/>
      <c r="CA531" s="282"/>
      <c r="CF531" s="284"/>
      <c r="CG531" s="284"/>
      <c r="CH531" s="284"/>
      <c r="CI531" s="284"/>
      <c r="CL531" s="356" t="str">
        <f>IFERROR(VLOOKUP(C531,'Data Sheet'!$A$3:$B$26,2,FALSE),"")</f>
        <v/>
      </c>
    </row>
    <row r="532" spans="1:90" ht="15.75" x14ac:dyDescent="0.2">
      <c r="A532" s="97"/>
      <c r="B532" s="105" t="str">
        <f t="shared" si="280"/>
        <v>--</v>
      </c>
      <c r="C532" s="276"/>
      <c r="D532" s="101" t="str">
        <f>IFERROR(IF(VLOOKUP(C532,'Data Sheet'!$A$3:$D$26,4,FALSE)=0,"",VLOOKUP(C532,'Data Sheet'!$A$3:$D$26,4,FALSE)),"")</f>
        <v/>
      </c>
      <c r="E532" s="279"/>
      <c r="F532" s="103" t="str">
        <f>IFERROR(IF(VLOOKUP(E532,'Data Sheet'!$C$29:$E$174,3,FALSE)=0,"",VLOOKUP(E532,'Data Sheet'!$C$29:$E$174,3,FALSE)),"")</f>
        <v/>
      </c>
      <c r="G532" s="106" t="str">
        <f t="shared" si="278"/>
        <v>-</v>
      </c>
      <c r="H532" s="273"/>
      <c r="I532" s="107"/>
      <c r="J532" s="249" t="e">
        <f t="shared" si="279"/>
        <v>#VALUE!</v>
      </c>
      <c r="K532" s="101" t="str">
        <f>IFERROR(INDEX('Data Sheet'!$C$198:$C$275,MATCH(I532,'Data Sheet'!$F$198:$F$275,0)),"")</f>
        <v/>
      </c>
      <c r="L532" s="250" t="str">
        <f>IFERROR(INDEX('Data Sheet'!$G$198:$G$275,MATCH(I532,'Data Sheet'!$F$198:$F$275,0)),"")</f>
        <v/>
      </c>
      <c r="M532" s="194"/>
      <c r="N532" s="248"/>
      <c r="O532" s="248"/>
      <c r="P532" s="108" t="str">
        <f>IFERROR(INDEX(Setup!$D$44:$D$70,MATCH(M532,Setup!$K$44:$K$70,0))&amp;"","")</f>
        <v/>
      </c>
      <c r="Q532" s="108" t="str">
        <f>IFERROR(INDEX(Setup!$E$44:$E$70,MATCH(M532,Setup!$K$44:$K$70,0))&amp;"","")</f>
        <v/>
      </c>
      <c r="R532" s="108" t="str">
        <f>IFERROR(INDEX(Setup!$L$44:$L$70,MATCH(M532,Setup!$K$44:$K$70,0))&amp;"","")</f>
        <v/>
      </c>
      <c r="S532" s="108" t="str">
        <f>Setup!$C$30</f>
        <v>USD</v>
      </c>
      <c r="T532" s="109" t="str">
        <f>IFERROR(INDEX('Data Sheet'!$B$198:$B$275,MATCH(I532,'Data Sheet'!$F$198:$F$275,0)),"")</f>
        <v/>
      </c>
      <c r="U532" s="110" t="str">
        <f>IFERROR(INDEX('Data Sheet'!$D$198:$D$275,MATCH(I532,'Data Sheet'!$F$198:$F$275,0)),"")</f>
        <v/>
      </c>
      <c r="V532" s="99"/>
      <c r="W532" s="195" t="str">
        <f>IF(V532=Setup!$C$30,"Grant",IF(V532=Setup!$C$31,"Local",IF(V532=Setup!$C$32,"Other",IF(ISBLANK(V532),"","Other"))))</f>
        <v/>
      </c>
      <c r="X532" s="255"/>
      <c r="Y532" s="259" t="str">
        <f>IF(X532&lt;&gt;"",X532/VLOOKUP($V532,Setup!$C$30:$D$41,2,0),"")</f>
        <v/>
      </c>
      <c r="Z532" s="262"/>
      <c r="AA532" s="256" t="str">
        <f t="shared" si="252"/>
        <v/>
      </c>
      <c r="AB532" s="262"/>
      <c r="AC532" s="258" t="str">
        <f t="shared" si="253"/>
        <v/>
      </c>
      <c r="AD532" s="262"/>
      <c r="AE532" s="258" t="str">
        <f t="shared" si="254"/>
        <v/>
      </c>
      <c r="AF532" s="262"/>
      <c r="AG532" s="256" t="str">
        <f t="shared" si="255"/>
        <v/>
      </c>
      <c r="AH532" s="256" t="str">
        <f t="shared" si="256"/>
        <v/>
      </c>
      <c r="AI532" s="256" t="str">
        <f t="shared" si="257"/>
        <v/>
      </c>
      <c r="AJ532" s="111"/>
      <c r="AK532" s="255"/>
      <c r="AL532" s="259" t="str">
        <f>IF(AK532&lt;&gt;"",AK532/VLOOKUP($V532,Setup!$C$30:$D$41,2,0),"")</f>
        <v/>
      </c>
      <c r="AM532" s="266"/>
      <c r="AN532" s="258" t="str">
        <f t="shared" si="258"/>
        <v/>
      </c>
      <c r="AO532" s="266"/>
      <c r="AP532" s="258" t="str">
        <f t="shared" si="259"/>
        <v/>
      </c>
      <c r="AQ532" s="266"/>
      <c r="AR532" s="258" t="str">
        <f t="shared" si="260"/>
        <v/>
      </c>
      <c r="AS532" s="266"/>
      <c r="AT532" s="256" t="str">
        <f t="shared" si="261"/>
        <v/>
      </c>
      <c r="AU532" s="256" t="str">
        <f t="shared" si="262"/>
        <v/>
      </c>
      <c r="AV532" s="256" t="str">
        <f t="shared" si="263"/>
        <v/>
      </c>
      <c r="AW532" s="267"/>
      <c r="AX532" s="255"/>
      <c r="AY532" s="259" t="str">
        <f>IF(AX532&lt;&gt;"",AX532/VLOOKUP($V532,Setup!$C$30:$D$41,2,0),"")</f>
        <v/>
      </c>
      <c r="AZ532" s="268"/>
      <c r="BA532" s="258" t="str">
        <f t="shared" si="264"/>
        <v/>
      </c>
      <c r="BB532" s="268"/>
      <c r="BC532" s="258" t="str">
        <f t="shared" si="265"/>
        <v/>
      </c>
      <c r="BD532" s="268"/>
      <c r="BE532" s="258" t="str">
        <f t="shared" si="266"/>
        <v/>
      </c>
      <c r="BF532" s="268"/>
      <c r="BG532" s="256" t="str">
        <f t="shared" si="267"/>
        <v/>
      </c>
      <c r="BH532" s="256" t="str">
        <f t="shared" si="268"/>
        <v/>
      </c>
      <c r="BI532" s="256" t="str">
        <f t="shared" si="269"/>
        <v/>
      </c>
      <c r="BJ532" s="267"/>
      <c r="BK532" s="255"/>
      <c r="BL532" s="259" t="str">
        <f>IF(BK532&lt;&gt;"",BK532/VLOOKUP($V532,Setup!$C$30:$D$41,2,0),"")</f>
        <v/>
      </c>
      <c r="BM532" s="268"/>
      <c r="BN532" s="258" t="str">
        <f t="shared" si="270"/>
        <v/>
      </c>
      <c r="BO532" s="268"/>
      <c r="BP532" s="258" t="str">
        <f t="shared" si="271"/>
        <v/>
      </c>
      <c r="BQ532" s="268"/>
      <c r="BR532" s="258" t="str">
        <f t="shared" si="272"/>
        <v/>
      </c>
      <c r="BS532" s="268"/>
      <c r="BT532" s="256" t="str">
        <f t="shared" si="273"/>
        <v/>
      </c>
      <c r="BU532" s="256" t="str">
        <f t="shared" si="274"/>
        <v/>
      </c>
      <c r="BV532" s="256" t="str">
        <f t="shared" si="275"/>
        <v/>
      </c>
      <c r="BW532" s="267"/>
      <c r="BX532" s="256" t="str">
        <f t="shared" si="276"/>
        <v/>
      </c>
      <c r="BY532" s="256" t="str">
        <f t="shared" si="277"/>
        <v/>
      </c>
      <c r="BZ532" s="281"/>
      <c r="CA532" s="282"/>
      <c r="CF532" s="284"/>
      <c r="CG532" s="284"/>
      <c r="CH532" s="284"/>
      <c r="CI532" s="284"/>
      <c r="CL532" s="356" t="str">
        <f>IFERROR(VLOOKUP(C532,'Data Sheet'!$A$3:$B$26,2,FALSE),"")</f>
        <v/>
      </c>
    </row>
    <row r="533" spans="1:90" ht="15.75" x14ac:dyDescent="0.2">
      <c r="A533" s="97"/>
      <c r="B533" s="105" t="str">
        <f t="shared" si="280"/>
        <v>--</v>
      </c>
      <c r="C533" s="276"/>
      <c r="D533" s="101" t="str">
        <f>IFERROR(IF(VLOOKUP(C533,'Data Sheet'!$A$3:$D$26,4,FALSE)=0,"",VLOOKUP(C533,'Data Sheet'!$A$3:$D$26,4,FALSE)),"")</f>
        <v/>
      </c>
      <c r="E533" s="279"/>
      <c r="F533" s="103" t="str">
        <f>IFERROR(IF(VLOOKUP(E533,'Data Sheet'!$C$29:$E$174,3,FALSE)=0,"",VLOOKUP(E533,'Data Sheet'!$C$29:$E$174,3,FALSE)),"")</f>
        <v/>
      </c>
      <c r="G533" s="106" t="str">
        <f t="shared" si="278"/>
        <v>-</v>
      </c>
      <c r="H533" s="273"/>
      <c r="I533" s="107"/>
      <c r="J533" s="249" t="e">
        <f t="shared" si="279"/>
        <v>#VALUE!</v>
      </c>
      <c r="K533" s="101" t="str">
        <f>IFERROR(INDEX('Data Sheet'!$C$198:$C$275,MATCH(I533,'Data Sheet'!$F$198:$F$275,0)),"")</f>
        <v/>
      </c>
      <c r="L533" s="250" t="str">
        <f>IFERROR(INDEX('Data Sheet'!$G$198:$G$275,MATCH(I533,'Data Sheet'!$F$198:$F$275,0)),"")</f>
        <v/>
      </c>
      <c r="M533" s="194"/>
      <c r="N533" s="248"/>
      <c r="O533" s="248"/>
      <c r="P533" s="108" t="str">
        <f>IFERROR(INDEX(Setup!$D$44:$D$70,MATCH(M533,Setup!$K$44:$K$70,0))&amp;"","")</f>
        <v/>
      </c>
      <c r="Q533" s="108" t="str">
        <f>IFERROR(INDEX(Setup!$E$44:$E$70,MATCH(M533,Setup!$K$44:$K$70,0))&amp;"","")</f>
        <v/>
      </c>
      <c r="R533" s="108" t="str">
        <f>IFERROR(INDEX(Setup!$L$44:$L$70,MATCH(M533,Setup!$K$44:$K$70,0))&amp;"","")</f>
        <v/>
      </c>
      <c r="S533" s="108" t="str">
        <f>Setup!$C$30</f>
        <v>USD</v>
      </c>
      <c r="T533" s="109" t="str">
        <f>IFERROR(INDEX('Data Sheet'!$B$198:$B$275,MATCH(I533,'Data Sheet'!$F$198:$F$275,0)),"")</f>
        <v/>
      </c>
      <c r="U533" s="110" t="str">
        <f>IFERROR(INDEX('Data Sheet'!$D$198:$D$275,MATCH(I533,'Data Sheet'!$F$198:$F$275,0)),"")</f>
        <v/>
      </c>
      <c r="V533" s="99"/>
      <c r="W533" s="195" t="str">
        <f>IF(V533=Setup!$C$30,"Grant",IF(V533=Setup!$C$31,"Local",IF(V533=Setup!$C$32,"Other",IF(ISBLANK(V533),"","Other"))))</f>
        <v/>
      </c>
      <c r="X533" s="255"/>
      <c r="Y533" s="259" t="str">
        <f>IF(X533&lt;&gt;"",X533/VLOOKUP($V533,Setup!$C$30:$D$41,2,0),"")</f>
        <v/>
      </c>
      <c r="Z533" s="262"/>
      <c r="AA533" s="256" t="str">
        <f t="shared" si="252"/>
        <v/>
      </c>
      <c r="AB533" s="262"/>
      <c r="AC533" s="258" t="str">
        <f t="shared" si="253"/>
        <v/>
      </c>
      <c r="AD533" s="262"/>
      <c r="AE533" s="258" t="str">
        <f t="shared" si="254"/>
        <v/>
      </c>
      <c r="AF533" s="262"/>
      <c r="AG533" s="256" t="str">
        <f t="shared" si="255"/>
        <v/>
      </c>
      <c r="AH533" s="256" t="str">
        <f t="shared" si="256"/>
        <v/>
      </c>
      <c r="AI533" s="256" t="str">
        <f t="shared" si="257"/>
        <v/>
      </c>
      <c r="AJ533" s="111"/>
      <c r="AK533" s="255"/>
      <c r="AL533" s="259" t="str">
        <f>IF(AK533&lt;&gt;"",AK533/VLOOKUP($V533,Setup!$C$30:$D$41,2,0),"")</f>
        <v/>
      </c>
      <c r="AM533" s="266"/>
      <c r="AN533" s="258" t="str">
        <f t="shared" si="258"/>
        <v/>
      </c>
      <c r="AO533" s="266"/>
      <c r="AP533" s="258" t="str">
        <f t="shared" si="259"/>
        <v/>
      </c>
      <c r="AQ533" s="266"/>
      <c r="AR533" s="258" t="str">
        <f t="shared" si="260"/>
        <v/>
      </c>
      <c r="AS533" s="266"/>
      <c r="AT533" s="256" t="str">
        <f t="shared" si="261"/>
        <v/>
      </c>
      <c r="AU533" s="256" t="str">
        <f t="shared" si="262"/>
        <v/>
      </c>
      <c r="AV533" s="256" t="str">
        <f t="shared" si="263"/>
        <v/>
      </c>
      <c r="AW533" s="267"/>
      <c r="AX533" s="255"/>
      <c r="AY533" s="259" t="str">
        <f>IF(AX533&lt;&gt;"",AX533/VLOOKUP($V533,Setup!$C$30:$D$41,2,0),"")</f>
        <v/>
      </c>
      <c r="AZ533" s="268"/>
      <c r="BA533" s="258" t="str">
        <f t="shared" si="264"/>
        <v/>
      </c>
      <c r="BB533" s="268"/>
      <c r="BC533" s="258" t="str">
        <f t="shared" si="265"/>
        <v/>
      </c>
      <c r="BD533" s="268"/>
      <c r="BE533" s="258" t="str">
        <f t="shared" si="266"/>
        <v/>
      </c>
      <c r="BF533" s="268"/>
      <c r="BG533" s="256" t="str">
        <f t="shared" si="267"/>
        <v/>
      </c>
      <c r="BH533" s="256" t="str">
        <f t="shared" si="268"/>
        <v/>
      </c>
      <c r="BI533" s="256" t="str">
        <f t="shared" si="269"/>
        <v/>
      </c>
      <c r="BJ533" s="267"/>
      <c r="BK533" s="255"/>
      <c r="BL533" s="259" t="str">
        <f>IF(BK533&lt;&gt;"",BK533/VLOOKUP($V533,Setup!$C$30:$D$41,2,0),"")</f>
        <v/>
      </c>
      <c r="BM533" s="268"/>
      <c r="BN533" s="258" t="str">
        <f t="shared" si="270"/>
        <v/>
      </c>
      <c r="BO533" s="268"/>
      <c r="BP533" s="258" t="str">
        <f t="shared" si="271"/>
        <v/>
      </c>
      <c r="BQ533" s="268"/>
      <c r="BR533" s="258" t="str">
        <f t="shared" si="272"/>
        <v/>
      </c>
      <c r="BS533" s="268"/>
      <c r="BT533" s="256" t="str">
        <f t="shared" si="273"/>
        <v/>
      </c>
      <c r="BU533" s="256" t="str">
        <f t="shared" si="274"/>
        <v/>
      </c>
      <c r="BV533" s="256" t="str">
        <f t="shared" si="275"/>
        <v/>
      </c>
      <c r="BW533" s="267"/>
      <c r="BX533" s="256" t="str">
        <f t="shared" si="276"/>
        <v/>
      </c>
      <c r="BY533" s="256" t="str">
        <f t="shared" si="277"/>
        <v/>
      </c>
      <c r="BZ533" s="281"/>
      <c r="CA533" s="282"/>
      <c r="CF533" s="284"/>
      <c r="CG533" s="284"/>
      <c r="CH533" s="284"/>
      <c r="CI533" s="284"/>
      <c r="CL533" s="356" t="str">
        <f>IFERROR(VLOOKUP(C533,'Data Sheet'!$A$3:$B$26,2,FALSE),"")</f>
        <v/>
      </c>
    </row>
    <row r="534" spans="1:90" ht="15.75" x14ac:dyDescent="0.2">
      <c r="A534" s="97"/>
      <c r="B534" s="105" t="str">
        <f t="shared" si="280"/>
        <v>--</v>
      </c>
      <c r="C534" s="276"/>
      <c r="D534" s="101" t="str">
        <f>IFERROR(IF(VLOOKUP(C534,'Data Sheet'!$A$3:$D$26,4,FALSE)=0,"",VLOOKUP(C534,'Data Sheet'!$A$3:$D$26,4,FALSE)),"")</f>
        <v/>
      </c>
      <c r="E534" s="279"/>
      <c r="F534" s="103" t="str">
        <f>IFERROR(IF(VLOOKUP(E534,'Data Sheet'!$C$29:$E$174,3,FALSE)=0,"",VLOOKUP(E534,'Data Sheet'!$C$29:$E$174,3,FALSE)),"")</f>
        <v/>
      </c>
      <c r="G534" s="106" t="str">
        <f t="shared" si="278"/>
        <v>-</v>
      </c>
      <c r="H534" s="273"/>
      <c r="I534" s="107"/>
      <c r="J534" s="249" t="e">
        <f t="shared" si="279"/>
        <v>#VALUE!</v>
      </c>
      <c r="K534" s="101" t="str">
        <f>IFERROR(INDEX('Data Sheet'!$C$198:$C$275,MATCH(I534,'Data Sheet'!$F$198:$F$275,0)),"")</f>
        <v/>
      </c>
      <c r="L534" s="250" t="str">
        <f>IFERROR(INDEX('Data Sheet'!$G$198:$G$275,MATCH(I534,'Data Sheet'!$F$198:$F$275,0)),"")</f>
        <v/>
      </c>
      <c r="M534" s="194"/>
      <c r="N534" s="248"/>
      <c r="O534" s="248"/>
      <c r="P534" s="108" t="str">
        <f>IFERROR(INDEX(Setup!$D$44:$D$70,MATCH(M534,Setup!$K$44:$K$70,0))&amp;"","")</f>
        <v/>
      </c>
      <c r="Q534" s="108" t="str">
        <f>IFERROR(INDEX(Setup!$E$44:$E$70,MATCH(M534,Setup!$K$44:$K$70,0))&amp;"","")</f>
        <v/>
      </c>
      <c r="R534" s="108" t="str">
        <f>IFERROR(INDEX(Setup!$L$44:$L$70,MATCH(M534,Setup!$K$44:$K$70,0))&amp;"","")</f>
        <v/>
      </c>
      <c r="S534" s="108" t="str">
        <f>Setup!$C$30</f>
        <v>USD</v>
      </c>
      <c r="T534" s="109" t="str">
        <f>IFERROR(INDEX('Data Sheet'!$B$198:$B$275,MATCH(I534,'Data Sheet'!$F$198:$F$275,0)),"")</f>
        <v/>
      </c>
      <c r="U534" s="110" t="str">
        <f>IFERROR(INDEX('Data Sheet'!$D$198:$D$275,MATCH(I534,'Data Sheet'!$F$198:$F$275,0)),"")</f>
        <v/>
      </c>
      <c r="V534" s="99"/>
      <c r="W534" s="195" t="str">
        <f>IF(V534=Setup!$C$30,"Grant",IF(V534=Setup!$C$31,"Local",IF(V534=Setup!$C$32,"Other",IF(ISBLANK(V534),"","Other"))))</f>
        <v/>
      </c>
      <c r="X534" s="255"/>
      <c r="Y534" s="259" t="str">
        <f>IF(X534&lt;&gt;"",X534/VLOOKUP($V534,Setup!$C$30:$D$41,2,0),"")</f>
        <v/>
      </c>
      <c r="Z534" s="262"/>
      <c r="AA534" s="256" t="str">
        <f t="shared" si="252"/>
        <v/>
      </c>
      <c r="AB534" s="262"/>
      <c r="AC534" s="258" t="str">
        <f t="shared" si="253"/>
        <v/>
      </c>
      <c r="AD534" s="262"/>
      <c r="AE534" s="258" t="str">
        <f t="shared" si="254"/>
        <v/>
      </c>
      <c r="AF534" s="262"/>
      <c r="AG534" s="256" t="str">
        <f t="shared" si="255"/>
        <v/>
      </c>
      <c r="AH534" s="256" t="str">
        <f t="shared" si="256"/>
        <v/>
      </c>
      <c r="AI534" s="256" t="str">
        <f t="shared" si="257"/>
        <v/>
      </c>
      <c r="AJ534" s="111"/>
      <c r="AK534" s="255"/>
      <c r="AL534" s="259" t="str">
        <f>IF(AK534&lt;&gt;"",AK534/VLOOKUP($V534,Setup!$C$30:$D$41,2,0),"")</f>
        <v/>
      </c>
      <c r="AM534" s="266"/>
      <c r="AN534" s="258" t="str">
        <f t="shared" si="258"/>
        <v/>
      </c>
      <c r="AO534" s="266"/>
      <c r="AP534" s="258" t="str">
        <f t="shared" si="259"/>
        <v/>
      </c>
      <c r="AQ534" s="266"/>
      <c r="AR534" s="258" t="str">
        <f t="shared" si="260"/>
        <v/>
      </c>
      <c r="AS534" s="266"/>
      <c r="AT534" s="256" t="str">
        <f t="shared" si="261"/>
        <v/>
      </c>
      <c r="AU534" s="256" t="str">
        <f t="shared" si="262"/>
        <v/>
      </c>
      <c r="AV534" s="256" t="str">
        <f t="shared" si="263"/>
        <v/>
      </c>
      <c r="AW534" s="267"/>
      <c r="AX534" s="255"/>
      <c r="AY534" s="259" t="str">
        <f>IF(AX534&lt;&gt;"",AX534/VLOOKUP($V534,Setup!$C$30:$D$41,2,0),"")</f>
        <v/>
      </c>
      <c r="AZ534" s="268"/>
      <c r="BA534" s="258" t="str">
        <f t="shared" si="264"/>
        <v/>
      </c>
      <c r="BB534" s="268"/>
      <c r="BC534" s="258" t="str">
        <f t="shared" si="265"/>
        <v/>
      </c>
      <c r="BD534" s="268"/>
      <c r="BE534" s="258" t="str">
        <f t="shared" si="266"/>
        <v/>
      </c>
      <c r="BF534" s="268"/>
      <c r="BG534" s="256" t="str">
        <f t="shared" si="267"/>
        <v/>
      </c>
      <c r="BH534" s="256" t="str">
        <f t="shared" si="268"/>
        <v/>
      </c>
      <c r="BI534" s="256" t="str">
        <f t="shared" si="269"/>
        <v/>
      </c>
      <c r="BJ534" s="267"/>
      <c r="BK534" s="255"/>
      <c r="BL534" s="259" t="str">
        <f>IF(BK534&lt;&gt;"",BK534/VLOOKUP($V534,Setup!$C$30:$D$41,2,0),"")</f>
        <v/>
      </c>
      <c r="BM534" s="268"/>
      <c r="BN534" s="258" t="str">
        <f t="shared" si="270"/>
        <v/>
      </c>
      <c r="BO534" s="268"/>
      <c r="BP534" s="258" t="str">
        <f t="shared" si="271"/>
        <v/>
      </c>
      <c r="BQ534" s="268"/>
      <c r="BR534" s="258" t="str">
        <f t="shared" si="272"/>
        <v/>
      </c>
      <c r="BS534" s="268"/>
      <c r="BT534" s="256" t="str">
        <f t="shared" si="273"/>
        <v/>
      </c>
      <c r="BU534" s="256" t="str">
        <f t="shared" si="274"/>
        <v/>
      </c>
      <c r="BV534" s="256" t="str">
        <f t="shared" si="275"/>
        <v/>
      </c>
      <c r="BW534" s="267"/>
      <c r="BX534" s="256" t="str">
        <f t="shared" si="276"/>
        <v/>
      </c>
      <c r="BY534" s="256" t="str">
        <f t="shared" si="277"/>
        <v/>
      </c>
      <c r="BZ534" s="281"/>
      <c r="CA534" s="282"/>
      <c r="CF534" s="284"/>
      <c r="CG534" s="284"/>
      <c r="CH534" s="284"/>
      <c r="CI534" s="284"/>
      <c r="CL534" s="356" t="str">
        <f>IFERROR(VLOOKUP(C534,'Data Sheet'!$A$3:$B$26,2,FALSE),"")</f>
        <v/>
      </c>
    </row>
    <row r="535" spans="1:90" ht="15.75" x14ac:dyDescent="0.2">
      <c r="A535" s="97"/>
      <c r="B535" s="105" t="str">
        <f t="shared" si="280"/>
        <v>--</v>
      </c>
      <c r="C535" s="276"/>
      <c r="D535" s="101" t="str">
        <f>IFERROR(IF(VLOOKUP(C535,'Data Sheet'!$A$3:$D$26,4,FALSE)=0,"",VLOOKUP(C535,'Data Sheet'!$A$3:$D$26,4,FALSE)),"")</f>
        <v/>
      </c>
      <c r="E535" s="279"/>
      <c r="F535" s="103" t="str">
        <f>IFERROR(IF(VLOOKUP(E535,'Data Sheet'!$C$29:$E$174,3,FALSE)=0,"",VLOOKUP(E535,'Data Sheet'!$C$29:$E$174,3,FALSE)),"")</f>
        <v/>
      </c>
      <c r="G535" s="106" t="str">
        <f t="shared" si="278"/>
        <v>-</v>
      </c>
      <c r="H535" s="273"/>
      <c r="I535" s="107"/>
      <c r="J535" s="249" t="e">
        <f t="shared" si="279"/>
        <v>#VALUE!</v>
      </c>
      <c r="K535" s="101" t="str">
        <f>IFERROR(INDEX('Data Sheet'!$C$198:$C$275,MATCH(I535,'Data Sheet'!$F$198:$F$275,0)),"")</f>
        <v/>
      </c>
      <c r="L535" s="250" t="str">
        <f>IFERROR(INDEX('Data Sheet'!$G$198:$G$275,MATCH(I535,'Data Sheet'!$F$198:$F$275,0)),"")</f>
        <v/>
      </c>
      <c r="M535" s="194"/>
      <c r="N535" s="248"/>
      <c r="O535" s="248"/>
      <c r="P535" s="108" t="str">
        <f>IFERROR(INDEX(Setup!$D$44:$D$70,MATCH(M535,Setup!$K$44:$K$70,0))&amp;"","")</f>
        <v/>
      </c>
      <c r="Q535" s="108" t="str">
        <f>IFERROR(INDEX(Setup!$E$44:$E$70,MATCH(M535,Setup!$K$44:$K$70,0))&amp;"","")</f>
        <v/>
      </c>
      <c r="R535" s="108" t="str">
        <f>IFERROR(INDEX(Setup!$L$44:$L$70,MATCH(M535,Setup!$K$44:$K$70,0))&amp;"","")</f>
        <v/>
      </c>
      <c r="S535" s="108" t="str">
        <f>Setup!$C$30</f>
        <v>USD</v>
      </c>
      <c r="T535" s="109" t="str">
        <f>IFERROR(INDEX('Data Sheet'!$B$198:$B$275,MATCH(I535,'Data Sheet'!$F$198:$F$275,0)),"")</f>
        <v/>
      </c>
      <c r="U535" s="110" t="str">
        <f>IFERROR(INDEX('Data Sheet'!$D$198:$D$275,MATCH(I535,'Data Sheet'!$F$198:$F$275,0)),"")</f>
        <v/>
      </c>
      <c r="V535" s="99"/>
      <c r="W535" s="195" t="str">
        <f>IF(V535=Setup!$C$30,"Grant",IF(V535=Setup!$C$31,"Local",IF(V535=Setup!$C$32,"Other",IF(ISBLANK(V535),"","Other"))))</f>
        <v/>
      </c>
      <c r="X535" s="255"/>
      <c r="Y535" s="259" t="str">
        <f>IF(X535&lt;&gt;"",X535/VLOOKUP($V535,Setup!$C$30:$D$41,2,0),"")</f>
        <v/>
      </c>
      <c r="Z535" s="262"/>
      <c r="AA535" s="256" t="str">
        <f t="shared" si="252"/>
        <v/>
      </c>
      <c r="AB535" s="262"/>
      <c r="AC535" s="258" t="str">
        <f t="shared" si="253"/>
        <v/>
      </c>
      <c r="AD535" s="262"/>
      <c r="AE535" s="258" t="str">
        <f t="shared" si="254"/>
        <v/>
      </c>
      <c r="AF535" s="262"/>
      <c r="AG535" s="256" t="str">
        <f t="shared" si="255"/>
        <v/>
      </c>
      <c r="AH535" s="256" t="str">
        <f t="shared" si="256"/>
        <v/>
      </c>
      <c r="AI535" s="256" t="str">
        <f t="shared" si="257"/>
        <v/>
      </c>
      <c r="AJ535" s="111"/>
      <c r="AK535" s="255"/>
      <c r="AL535" s="259" t="str">
        <f>IF(AK535&lt;&gt;"",AK535/VLOOKUP($V535,Setup!$C$30:$D$41,2,0),"")</f>
        <v/>
      </c>
      <c r="AM535" s="266"/>
      <c r="AN535" s="258" t="str">
        <f t="shared" si="258"/>
        <v/>
      </c>
      <c r="AO535" s="266"/>
      <c r="AP535" s="258" t="str">
        <f t="shared" si="259"/>
        <v/>
      </c>
      <c r="AQ535" s="266"/>
      <c r="AR535" s="258" t="str">
        <f t="shared" si="260"/>
        <v/>
      </c>
      <c r="AS535" s="266"/>
      <c r="AT535" s="256" t="str">
        <f t="shared" si="261"/>
        <v/>
      </c>
      <c r="AU535" s="256" t="str">
        <f t="shared" si="262"/>
        <v/>
      </c>
      <c r="AV535" s="256" t="str">
        <f t="shared" si="263"/>
        <v/>
      </c>
      <c r="AW535" s="267"/>
      <c r="AX535" s="255"/>
      <c r="AY535" s="259" t="str">
        <f>IF(AX535&lt;&gt;"",AX535/VLOOKUP($V535,Setup!$C$30:$D$41,2,0),"")</f>
        <v/>
      </c>
      <c r="AZ535" s="268"/>
      <c r="BA535" s="258" t="str">
        <f t="shared" si="264"/>
        <v/>
      </c>
      <c r="BB535" s="268"/>
      <c r="BC535" s="258" t="str">
        <f t="shared" si="265"/>
        <v/>
      </c>
      <c r="BD535" s="268"/>
      <c r="BE535" s="258" t="str">
        <f t="shared" si="266"/>
        <v/>
      </c>
      <c r="BF535" s="268"/>
      <c r="BG535" s="256" t="str">
        <f t="shared" si="267"/>
        <v/>
      </c>
      <c r="BH535" s="256" t="str">
        <f t="shared" si="268"/>
        <v/>
      </c>
      <c r="BI535" s="256" t="str">
        <f t="shared" si="269"/>
        <v/>
      </c>
      <c r="BJ535" s="267"/>
      <c r="BK535" s="255"/>
      <c r="BL535" s="259" t="str">
        <f>IF(BK535&lt;&gt;"",BK535/VLOOKUP($V535,Setup!$C$30:$D$41,2,0),"")</f>
        <v/>
      </c>
      <c r="BM535" s="268"/>
      <c r="BN535" s="258" t="str">
        <f t="shared" si="270"/>
        <v/>
      </c>
      <c r="BO535" s="268"/>
      <c r="BP535" s="258" t="str">
        <f t="shared" si="271"/>
        <v/>
      </c>
      <c r="BQ535" s="268"/>
      <c r="BR535" s="258" t="str">
        <f t="shared" si="272"/>
        <v/>
      </c>
      <c r="BS535" s="268"/>
      <c r="BT535" s="256" t="str">
        <f t="shared" si="273"/>
        <v/>
      </c>
      <c r="BU535" s="256" t="str">
        <f t="shared" si="274"/>
        <v/>
      </c>
      <c r="BV535" s="256" t="str">
        <f t="shared" si="275"/>
        <v/>
      </c>
      <c r="BW535" s="267"/>
      <c r="BX535" s="256" t="str">
        <f t="shared" si="276"/>
        <v/>
      </c>
      <c r="BY535" s="256" t="str">
        <f t="shared" si="277"/>
        <v/>
      </c>
      <c r="BZ535" s="281"/>
      <c r="CA535" s="282"/>
      <c r="CF535" s="284"/>
      <c r="CG535" s="284"/>
      <c r="CH535" s="284"/>
      <c r="CI535" s="284"/>
      <c r="CL535" s="356" t="str">
        <f>IFERROR(VLOOKUP(C535,'Data Sheet'!$A$3:$B$26,2,FALSE),"")</f>
        <v/>
      </c>
    </row>
    <row r="536" spans="1:90" ht="15.75" x14ac:dyDescent="0.2">
      <c r="A536" s="97"/>
      <c r="B536" s="105" t="str">
        <f t="shared" si="280"/>
        <v>--</v>
      </c>
      <c r="C536" s="276"/>
      <c r="D536" s="101" t="str">
        <f>IFERROR(IF(VLOOKUP(C536,'Data Sheet'!$A$3:$D$26,4,FALSE)=0,"",VLOOKUP(C536,'Data Sheet'!$A$3:$D$26,4,FALSE)),"")</f>
        <v/>
      </c>
      <c r="E536" s="279"/>
      <c r="F536" s="103" t="str">
        <f>IFERROR(IF(VLOOKUP(E536,'Data Sheet'!$C$29:$E$174,3,FALSE)=0,"",VLOOKUP(E536,'Data Sheet'!$C$29:$E$174,3,FALSE)),"")</f>
        <v/>
      </c>
      <c r="G536" s="106" t="str">
        <f t="shared" si="278"/>
        <v>-</v>
      </c>
      <c r="H536" s="273"/>
      <c r="I536" s="107"/>
      <c r="J536" s="249" t="e">
        <f t="shared" si="279"/>
        <v>#VALUE!</v>
      </c>
      <c r="K536" s="101" t="str">
        <f>IFERROR(INDEX('Data Sheet'!$C$198:$C$275,MATCH(I536,'Data Sheet'!$F$198:$F$275,0)),"")</f>
        <v/>
      </c>
      <c r="L536" s="250" t="str">
        <f>IFERROR(INDEX('Data Sheet'!$G$198:$G$275,MATCH(I536,'Data Sheet'!$F$198:$F$275,0)),"")</f>
        <v/>
      </c>
      <c r="M536" s="194"/>
      <c r="N536" s="248"/>
      <c r="O536" s="248"/>
      <c r="P536" s="108" t="str">
        <f>IFERROR(INDEX(Setup!$D$44:$D$70,MATCH(M536,Setup!$K$44:$K$70,0))&amp;"","")</f>
        <v/>
      </c>
      <c r="Q536" s="108" t="str">
        <f>IFERROR(INDEX(Setup!$E$44:$E$70,MATCH(M536,Setup!$K$44:$K$70,0))&amp;"","")</f>
        <v/>
      </c>
      <c r="R536" s="108" t="str">
        <f>IFERROR(INDEX(Setup!$L$44:$L$70,MATCH(M536,Setup!$K$44:$K$70,0))&amp;"","")</f>
        <v/>
      </c>
      <c r="S536" s="108" t="str">
        <f>Setup!$C$30</f>
        <v>USD</v>
      </c>
      <c r="T536" s="109" t="str">
        <f>IFERROR(INDEX('Data Sheet'!$B$198:$B$275,MATCH(I536,'Data Sheet'!$F$198:$F$275,0)),"")</f>
        <v/>
      </c>
      <c r="U536" s="110" t="str">
        <f>IFERROR(INDEX('Data Sheet'!$D$198:$D$275,MATCH(I536,'Data Sheet'!$F$198:$F$275,0)),"")</f>
        <v/>
      </c>
      <c r="V536" s="99"/>
      <c r="W536" s="195" t="str">
        <f>IF(V536=Setup!$C$30,"Grant",IF(V536=Setup!$C$31,"Local",IF(V536=Setup!$C$32,"Other",IF(ISBLANK(V536),"","Other"))))</f>
        <v/>
      </c>
      <c r="X536" s="255"/>
      <c r="Y536" s="259" t="str">
        <f>IF(X536&lt;&gt;"",X536/VLOOKUP($V536,Setup!$C$30:$D$41,2,0),"")</f>
        <v/>
      </c>
      <c r="Z536" s="262"/>
      <c r="AA536" s="256" t="str">
        <f t="shared" si="252"/>
        <v/>
      </c>
      <c r="AB536" s="262"/>
      <c r="AC536" s="258" t="str">
        <f t="shared" si="253"/>
        <v/>
      </c>
      <c r="AD536" s="262"/>
      <c r="AE536" s="258" t="str">
        <f t="shared" si="254"/>
        <v/>
      </c>
      <c r="AF536" s="262"/>
      <c r="AG536" s="256" t="str">
        <f t="shared" si="255"/>
        <v/>
      </c>
      <c r="AH536" s="256" t="str">
        <f t="shared" si="256"/>
        <v/>
      </c>
      <c r="AI536" s="256" t="str">
        <f t="shared" si="257"/>
        <v/>
      </c>
      <c r="AJ536" s="111"/>
      <c r="AK536" s="255"/>
      <c r="AL536" s="259" t="str">
        <f>IF(AK536&lt;&gt;"",AK536/VLOOKUP($V536,Setup!$C$30:$D$41,2,0),"")</f>
        <v/>
      </c>
      <c r="AM536" s="266"/>
      <c r="AN536" s="258" t="str">
        <f t="shared" si="258"/>
        <v/>
      </c>
      <c r="AO536" s="266"/>
      <c r="AP536" s="258" t="str">
        <f t="shared" si="259"/>
        <v/>
      </c>
      <c r="AQ536" s="266"/>
      <c r="AR536" s="258" t="str">
        <f t="shared" si="260"/>
        <v/>
      </c>
      <c r="AS536" s="266"/>
      <c r="AT536" s="256" t="str">
        <f t="shared" si="261"/>
        <v/>
      </c>
      <c r="AU536" s="256" t="str">
        <f t="shared" si="262"/>
        <v/>
      </c>
      <c r="AV536" s="256" t="str">
        <f t="shared" si="263"/>
        <v/>
      </c>
      <c r="AW536" s="267"/>
      <c r="AX536" s="255"/>
      <c r="AY536" s="259" t="str">
        <f>IF(AX536&lt;&gt;"",AX536/VLOOKUP($V536,Setup!$C$30:$D$41,2,0),"")</f>
        <v/>
      </c>
      <c r="AZ536" s="268"/>
      <c r="BA536" s="258" t="str">
        <f t="shared" si="264"/>
        <v/>
      </c>
      <c r="BB536" s="268"/>
      <c r="BC536" s="258" t="str">
        <f t="shared" si="265"/>
        <v/>
      </c>
      <c r="BD536" s="268"/>
      <c r="BE536" s="258" t="str">
        <f t="shared" si="266"/>
        <v/>
      </c>
      <c r="BF536" s="268"/>
      <c r="BG536" s="256" t="str">
        <f t="shared" si="267"/>
        <v/>
      </c>
      <c r="BH536" s="256" t="str">
        <f t="shared" si="268"/>
        <v/>
      </c>
      <c r="BI536" s="256" t="str">
        <f t="shared" si="269"/>
        <v/>
      </c>
      <c r="BJ536" s="267"/>
      <c r="BK536" s="255"/>
      <c r="BL536" s="259" t="str">
        <f>IF(BK536&lt;&gt;"",BK536/VLOOKUP($V536,Setup!$C$30:$D$41,2,0),"")</f>
        <v/>
      </c>
      <c r="BM536" s="268"/>
      <c r="BN536" s="258" t="str">
        <f t="shared" si="270"/>
        <v/>
      </c>
      <c r="BO536" s="268"/>
      <c r="BP536" s="258" t="str">
        <f t="shared" si="271"/>
        <v/>
      </c>
      <c r="BQ536" s="268"/>
      <c r="BR536" s="258" t="str">
        <f t="shared" si="272"/>
        <v/>
      </c>
      <c r="BS536" s="268"/>
      <c r="BT536" s="256" t="str">
        <f t="shared" si="273"/>
        <v/>
      </c>
      <c r="BU536" s="256" t="str">
        <f t="shared" si="274"/>
        <v/>
      </c>
      <c r="BV536" s="256" t="str">
        <f t="shared" si="275"/>
        <v/>
      </c>
      <c r="BW536" s="267"/>
      <c r="BX536" s="256" t="str">
        <f t="shared" si="276"/>
        <v/>
      </c>
      <c r="BY536" s="256" t="str">
        <f t="shared" si="277"/>
        <v/>
      </c>
      <c r="BZ536" s="281"/>
      <c r="CA536" s="282"/>
      <c r="CF536" s="284"/>
      <c r="CG536" s="284"/>
      <c r="CH536" s="284"/>
      <c r="CI536" s="284"/>
      <c r="CL536" s="356" t="str">
        <f>IFERROR(VLOOKUP(C536,'Data Sheet'!$A$3:$B$26,2,FALSE),"")</f>
        <v/>
      </c>
    </row>
    <row r="537" spans="1:90" ht="15.75" x14ac:dyDescent="0.2">
      <c r="A537" s="97"/>
      <c r="B537" s="105" t="str">
        <f t="shared" si="280"/>
        <v>--</v>
      </c>
      <c r="C537" s="276"/>
      <c r="D537" s="101" t="str">
        <f>IFERROR(IF(VLOOKUP(C537,'Data Sheet'!$A$3:$D$26,4,FALSE)=0,"",VLOOKUP(C537,'Data Sheet'!$A$3:$D$26,4,FALSE)),"")</f>
        <v/>
      </c>
      <c r="E537" s="279"/>
      <c r="F537" s="103" t="str">
        <f>IFERROR(IF(VLOOKUP(E537,'Data Sheet'!$C$29:$E$174,3,FALSE)=0,"",VLOOKUP(E537,'Data Sheet'!$C$29:$E$174,3,FALSE)),"")</f>
        <v/>
      </c>
      <c r="G537" s="106" t="str">
        <f t="shared" si="278"/>
        <v>-</v>
      </c>
      <c r="H537" s="273"/>
      <c r="I537" s="107"/>
      <c r="J537" s="249" t="e">
        <f t="shared" si="279"/>
        <v>#VALUE!</v>
      </c>
      <c r="K537" s="101" t="str">
        <f>IFERROR(INDEX('Data Sheet'!$C$198:$C$275,MATCH(I537,'Data Sheet'!$F$198:$F$275,0)),"")</f>
        <v/>
      </c>
      <c r="L537" s="250" t="str">
        <f>IFERROR(INDEX('Data Sheet'!$G$198:$G$275,MATCH(I537,'Data Sheet'!$F$198:$F$275,0)),"")</f>
        <v/>
      </c>
      <c r="M537" s="194"/>
      <c r="N537" s="248"/>
      <c r="O537" s="248"/>
      <c r="P537" s="108" t="str">
        <f>IFERROR(INDEX(Setup!$D$44:$D$70,MATCH(M537,Setup!$K$44:$K$70,0))&amp;"","")</f>
        <v/>
      </c>
      <c r="Q537" s="108" t="str">
        <f>IFERROR(INDEX(Setup!$E$44:$E$70,MATCH(M537,Setup!$K$44:$K$70,0))&amp;"","")</f>
        <v/>
      </c>
      <c r="R537" s="108" t="str">
        <f>IFERROR(INDEX(Setup!$L$44:$L$70,MATCH(M537,Setup!$K$44:$K$70,0))&amp;"","")</f>
        <v/>
      </c>
      <c r="S537" s="108" t="str">
        <f>Setup!$C$30</f>
        <v>USD</v>
      </c>
      <c r="T537" s="109" t="str">
        <f>IFERROR(INDEX('Data Sheet'!$B$198:$B$275,MATCH(I537,'Data Sheet'!$F$198:$F$275,0)),"")</f>
        <v/>
      </c>
      <c r="U537" s="110" t="str">
        <f>IFERROR(INDEX('Data Sheet'!$D$198:$D$275,MATCH(I537,'Data Sheet'!$F$198:$F$275,0)),"")</f>
        <v/>
      </c>
      <c r="V537" s="99"/>
      <c r="W537" s="195" t="str">
        <f>IF(V537=Setup!$C$30,"Grant",IF(V537=Setup!$C$31,"Local",IF(V537=Setup!$C$32,"Other",IF(ISBLANK(V537),"","Other"))))</f>
        <v/>
      </c>
      <c r="X537" s="255"/>
      <c r="Y537" s="259" t="str">
        <f>IF(X537&lt;&gt;"",X537/VLOOKUP($V537,Setup!$C$30:$D$41,2,0),"")</f>
        <v/>
      </c>
      <c r="Z537" s="262"/>
      <c r="AA537" s="256" t="str">
        <f t="shared" si="252"/>
        <v/>
      </c>
      <c r="AB537" s="262"/>
      <c r="AC537" s="258" t="str">
        <f t="shared" si="253"/>
        <v/>
      </c>
      <c r="AD537" s="262"/>
      <c r="AE537" s="258" t="str">
        <f t="shared" si="254"/>
        <v/>
      </c>
      <c r="AF537" s="262"/>
      <c r="AG537" s="256" t="str">
        <f t="shared" si="255"/>
        <v/>
      </c>
      <c r="AH537" s="256" t="str">
        <f t="shared" si="256"/>
        <v/>
      </c>
      <c r="AI537" s="256" t="str">
        <f t="shared" si="257"/>
        <v/>
      </c>
      <c r="AJ537" s="111"/>
      <c r="AK537" s="255"/>
      <c r="AL537" s="259" t="str">
        <f>IF(AK537&lt;&gt;"",AK537/VLOOKUP($V537,Setup!$C$30:$D$41,2,0),"")</f>
        <v/>
      </c>
      <c r="AM537" s="266"/>
      <c r="AN537" s="258" t="str">
        <f t="shared" si="258"/>
        <v/>
      </c>
      <c r="AO537" s="266"/>
      <c r="AP537" s="258" t="str">
        <f t="shared" si="259"/>
        <v/>
      </c>
      <c r="AQ537" s="266"/>
      <c r="AR537" s="258" t="str">
        <f t="shared" si="260"/>
        <v/>
      </c>
      <c r="AS537" s="266"/>
      <c r="AT537" s="256" t="str">
        <f t="shared" si="261"/>
        <v/>
      </c>
      <c r="AU537" s="256" t="str">
        <f t="shared" si="262"/>
        <v/>
      </c>
      <c r="AV537" s="256" t="str">
        <f t="shared" si="263"/>
        <v/>
      </c>
      <c r="AW537" s="267"/>
      <c r="AX537" s="255"/>
      <c r="AY537" s="259" t="str">
        <f>IF(AX537&lt;&gt;"",AX537/VLOOKUP($V537,Setup!$C$30:$D$41,2,0),"")</f>
        <v/>
      </c>
      <c r="AZ537" s="268"/>
      <c r="BA537" s="258" t="str">
        <f t="shared" si="264"/>
        <v/>
      </c>
      <c r="BB537" s="268"/>
      <c r="BC537" s="258" t="str">
        <f t="shared" si="265"/>
        <v/>
      </c>
      <c r="BD537" s="268"/>
      <c r="BE537" s="258" t="str">
        <f t="shared" si="266"/>
        <v/>
      </c>
      <c r="BF537" s="268"/>
      <c r="BG537" s="256" t="str">
        <f t="shared" si="267"/>
        <v/>
      </c>
      <c r="BH537" s="256" t="str">
        <f t="shared" si="268"/>
        <v/>
      </c>
      <c r="BI537" s="256" t="str">
        <f t="shared" si="269"/>
        <v/>
      </c>
      <c r="BJ537" s="267"/>
      <c r="BK537" s="255"/>
      <c r="BL537" s="259" t="str">
        <f>IF(BK537&lt;&gt;"",BK537/VLOOKUP($V537,Setup!$C$30:$D$41,2,0),"")</f>
        <v/>
      </c>
      <c r="BM537" s="268"/>
      <c r="BN537" s="258" t="str">
        <f t="shared" si="270"/>
        <v/>
      </c>
      <c r="BO537" s="268"/>
      <c r="BP537" s="258" t="str">
        <f t="shared" si="271"/>
        <v/>
      </c>
      <c r="BQ537" s="268"/>
      <c r="BR537" s="258" t="str">
        <f t="shared" si="272"/>
        <v/>
      </c>
      <c r="BS537" s="268"/>
      <c r="BT537" s="256" t="str">
        <f t="shared" si="273"/>
        <v/>
      </c>
      <c r="BU537" s="256" t="str">
        <f t="shared" si="274"/>
        <v/>
      </c>
      <c r="BV537" s="256" t="str">
        <f t="shared" si="275"/>
        <v/>
      </c>
      <c r="BW537" s="267"/>
      <c r="BX537" s="256" t="str">
        <f t="shared" si="276"/>
        <v/>
      </c>
      <c r="BY537" s="256" t="str">
        <f t="shared" si="277"/>
        <v/>
      </c>
      <c r="BZ537" s="281"/>
      <c r="CA537" s="282"/>
      <c r="CF537" s="284"/>
      <c r="CG537" s="284"/>
      <c r="CH537" s="284"/>
      <c r="CI537" s="284"/>
      <c r="CL537" s="356" t="str">
        <f>IFERROR(VLOOKUP(C537,'Data Sheet'!$A$3:$B$26,2,FALSE),"")</f>
        <v/>
      </c>
    </row>
    <row r="538" spans="1:90" ht="15.75" x14ac:dyDescent="0.2">
      <c r="A538" s="97"/>
      <c r="B538" s="105" t="str">
        <f t="shared" si="280"/>
        <v>--</v>
      </c>
      <c r="C538" s="276"/>
      <c r="D538" s="101" t="str">
        <f>IFERROR(IF(VLOOKUP(C538,'Data Sheet'!$A$3:$D$26,4,FALSE)=0,"",VLOOKUP(C538,'Data Sheet'!$A$3:$D$26,4,FALSE)),"")</f>
        <v/>
      </c>
      <c r="E538" s="279"/>
      <c r="F538" s="103" t="str">
        <f>IFERROR(IF(VLOOKUP(E538,'Data Sheet'!$C$29:$E$174,3,FALSE)=0,"",VLOOKUP(E538,'Data Sheet'!$C$29:$E$174,3,FALSE)),"")</f>
        <v/>
      </c>
      <c r="G538" s="106" t="str">
        <f t="shared" si="278"/>
        <v>-</v>
      </c>
      <c r="H538" s="273"/>
      <c r="I538" s="107"/>
      <c r="J538" s="249" t="e">
        <f t="shared" si="279"/>
        <v>#VALUE!</v>
      </c>
      <c r="K538" s="101" t="str">
        <f>IFERROR(INDEX('Data Sheet'!$C$198:$C$275,MATCH(I538,'Data Sheet'!$F$198:$F$275,0)),"")</f>
        <v/>
      </c>
      <c r="L538" s="250" t="str">
        <f>IFERROR(INDEX('Data Sheet'!$G$198:$G$275,MATCH(I538,'Data Sheet'!$F$198:$F$275,0)),"")</f>
        <v/>
      </c>
      <c r="M538" s="194"/>
      <c r="N538" s="248"/>
      <c r="O538" s="248"/>
      <c r="P538" s="108" t="str">
        <f>IFERROR(INDEX(Setup!$D$44:$D$70,MATCH(M538,Setup!$K$44:$K$70,0))&amp;"","")</f>
        <v/>
      </c>
      <c r="Q538" s="108" t="str">
        <f>IFERROR(INDEX(Setup!$E$44:$E$70,MATCH(M538,Setup!$K$44:$K$70,0))&amp;"","")</f>
        <v/>
      </c>
      <c r="R538" s="108" t="str">
        <f>IFERROR(INDEX(Setup!$L$44:$L$70,MATCH(M538,Setup!$K$44:$K$70,0))&amp;"","")</f>
        <v/>
      </c>
      <c r="S538" s="108" t="str">
        <f>Setup!$C$30</f>
        <v>USD</v>
      </c>
      <c r="T538" s="109" t="str">
        <f>IFERROR(INDEX('Data Sheet'!$B$198:$B$275,MATCH(I538,'Data Sheet'!$F$198:$F$275,0)),"")</f>
        <v/>
      </c>
      <c r="U538" s="110" t="str">
        <f>IFERROR(INDEX('Data Sheet'!$D$198:$D$275,MATCH(I538,'Data Sheet'!$F$198:$F$275,0)),"")</f>
        <v/>
      </c>
      <c r="V538" s="99"/>
      <c r="W538" s="195" t="str">
        <f>IF(V538=Setup!$C$30,"Grant",IF(V538=Setup!$C$31,"Local",IF(V538=Setup!$C$32,"Other",IF(ISBLANK(V538),"","Other"))))</f>
        <v/>
      </c>
      <c r="X538" s="255"/>
      <c r="Y538" s="259" t="str">
        <f>IF(X538&lt;&gt;"",X538/VLOOKUP($V538,Setup!$C$30:$D$41,2,0),"")</f>
        <v/>
      </c>
      <c r="Z538" s="262"/>
      <c r="AA538" s="256" t="str">
        <f t="shared" si="252"/>
        <v/>
      </c>
      <c r="AB538" s="262"/>
      <c r="AC538" s="258" t="str">
        <f t="shared" si="253"/>
        <v/>
      </c>
      <c r="AD538" s="262"/>
      <c r="AE538" s="258" t="str">
        <f t="shared" si="254"/>
        <v/>
      </c>
      <c r="AF538" s="262"/>
      <c r="AG538" s="256" t="str">
        <f t="shared" si="255"/>
        <v/>
      </c>
      <c r="AH538" s="256" t="str">
        <f t="shared" si="256"/>
        <v/>
      </c>
      <c r="AI538" s="256" t="str">
        <f t="shared" si="257"/>
        <v/>
      </c>
      <c r="AJ538" s="111"/>
      <c r="AK538" s="255"/>
      <c r="AL538" s="259" t="str">
        <f>IF(AK538&lt;&gt;"",AK538/VLOOKUP($V538,Setup!$C$30:$D$41,2,0),"")</f>
        <v/>
      </c>
      <c r="AM538" s="266"/>
      <c r="AN538" s="258" t="str">
        <f t="shared" si="258"/>
        <v/>
      </c>
      <c r="AO538" s="266"/>
      <c r="AP538" s="258" t="str">
        <f t="shared" si="259"/>
        <v/>
      </c>
      <c r="AQ538" s="266"/>
      <c r="AR538" s="258" t="str">
        <f t="shared" si="260"/>
        <v/>
      </c>
      <c r="AS538" s="266"/>
      <c r="AT538" s="256" t="str">
        <f t="shared" si="261"/>
        <v/>
      </c>
      <c r="AU538" s="256" t="str">
        <f t="shared" si="262"/>
        <v/>
      </c>
      <c r="AV538" s="256" t="str">
        <f t="shared" si="263"/>
        <v/>
      </c>
      <c r="AW538" s="267"/>
      <c r="AX538" s="255"/>
      <c r="AY538" s="259" t="str">
        <f>IF(AX538&lt;&gt;"",AX538/VLOOKUP($V538,Setup!$C$30:$D$41,2,0),"")</f>
        <v/>
      </c>
      <c r="AZ538" s="268"/>
      <c r="BA538" s="258" t="str">
        <f t="shared" si="264"/>
        <v/>
      </c>
      <c r="BB538" s="268"/>
      <c r="BC538" s="258" t="str">
        <f t="shared" si="265"/>
        <v/>
      </c>
      <c r="BD538" s="268"/>
      <c r="BE538" s="258" t="str">
        <f t="shared" si="266"/>
        <v/>
      </c>
      <c r="BF538" s="268"/>
      <c r="BG538" s="256" t="str">
        <f t="shared" si="267"/>
        <v/>
      </c>
      <c r="BH538" s="256" t="str">
        <f t="shared" si="268"/>
        <v/>
      </c>
      <c r="BI538" s="256" t="str">
        <f t="shared" si="269"/>
        <v/>
      </c>
      <c r="BJ538" s="267"/>
      <c r="BK538" s="255"/>
      <c r="BL538" s="259" t="str">
        <f>IF(BK538&lt;&gt;"",BK538/VLOOKUP($V538,Setup!$C$30:$D$41,2,0),"")</f>
        <v/>
      </c>
      <c r="BM538" s="268"/>
      <c r="BN538" s="258" t="str">
        <f t="shared" si="270"/>
        <v/>
      </c>
      <c r="BO538" s="268"/>
      <c r="BP538" s="258" t="str">
        <f t="shared" si="271"/>
        <v/>
      </c>
      <c r="BQ538" s="268"/>
      <c r="BR538" s="258" t="str">
        <f t="shared" si="272"/>
        <v/>
      </c>
      <c r="BS538" s="268"/>
      <c r="BT538" s="256" t="str">
        <f t="shared" si="273"/>
        <v/>
      </c>
      <c r="BU538" s="256" t="str">
        <f t="shared" si="274"/>
        <v/>
      </c>
      <c r="BV538" s="256" t="str">
        <f t="shared" si="275"/>
        <v/>
      </c>
      <c r="BW538" s="267"/>
      <c r="BX538" s="256" t="str">
        <f t="shared" si="276"/>
        <v/>
      </c>
      <c r="BY538" s="256" t="str">
        <f t="shared" si="277"/>
        <v/>
      </c>
      <c r="BZ538" s="281"/>
      <c r="CA538" s="282"/>
      <c r="CF538" s="284"/>
      <c r="CG538" s="284"/>
      <c r="CH538" s="284"/>
      <c r="CI538" s="284"/>
      <c r="CL538" s="356" t="str">
        <f>IFERROR(VLOOKUP(C538,'Data Sheet'!$A$3:$B$26,2,FALSE),"")</f>
        <v/>
      </c>
    </row>
    <row r="539" spans="1:90" ht="15.75" x14ac:dyDescent="0.2">
      <c r="A539" s="97"/>
      <c r="B539" s="105" t="str">
        <f t="shared" si="280"/>
        <v>--</v>
      </c>
      <c r="C539" s="276"/>
      <c r="D539" s="101" t="str">
        <f>IFERROR(IF(VLOOKUP(C539,'Data Sheet'!$A$3:$D$26,4,FALSE)=0,"",VLOOKUP(C539,'Data Sheet'!$A$3:$D$26,4,FALSE)),"")</f>
        <v/>
      </c>
      <c r="E539" s="279"/>
      <c r="F539" s="103" t="str">
        <f>IFERROR(IF(VLOOKUP(E539,'Data Sheet'!$C$29:$E$174,3,FALSE)=0,"",VLOOKUP(E539,'Data Sheet'!$C$29:$E$174,3,FALSE)),"")</f>
        <v/>
      </c>
      <c r="G539" s="106" t="str">
        <f t="shared" si="278"/>
        <v>-</v>
      </c>
      <c r="H539" s="273"/>
      <c r="I539" s="107"/>
      <c r="J539" s="249" t="e">
        <f t="shared" si="279"/>
        <v>#VALUE!</v>
      </c>
      <c r="K539" s="101" t="str">
        <f>IFERROR(INDEX('Data Sheet'!$C$198:$C$275,MATCH(I539,'Data Sheet'!$F$198:$F$275,0)),"")</f>
        <v/>
      </c>
      <c r="L539" s="250" t="str">
        <f>IFERROR(INDEX('Data Sheet'!$G$198:$G$275,MATCH(I539,'Data Sheet'!$F$198:$F$275,0)),"")</f>
        <v/>
      </c>
      <c r="M539" s="194"/>
      <c r="N539" s="248"/>
      <c r="O539" s="248"/>
      <c r="P539" s="108" t="str">
        <f>IFERROR(INDEX(Setup!$D$44:$D$70,MATCH(M539,Setup!$K$44:$K$70,0))&amp;"","")</f>
        <v/>
      </c>
      <c r="Q539" s="108" t="str">
        <f>IFERROR(INDEX(Setup!$E$44:$E$70,MATCH(M539,Setup!$K$44:$K$70,0))&amp;"","")</f>
        <v/>
      </c>
      <c r="R539" s="108" t="str">
        <f>IFERROR(INDEX(Setup!$L$44:$L$70,MATCH(M539,Setup!$K$44:$K$70,0))&amp;"","")</f>
        <v/>
      </c>
      <c r="S539" s="108" t="str">
        <f>Setup!$C$30</f>
        <v>USD</v>
      </c>
      <c r="T539" s="109" t="str">
        <f>IFERROR(INDEX('Data Sheet'!$B$198:$B$275,MATCH(I539,'Data Sheet'!$F$198:$F$275,0)),"")</f>
        <v/>
      </c>
      <c r="U539" s="110" t="str">
        <f>IFERROR(INDEX('Data Sheet'!$D$198:$D$275,MATCH(I539,'Data Sheet'!$F$198:$F$275,0)),"")</f>
        <v/>
      </c>
      <c r="V539" s="99"/>
      <c r="W539" s="195" t="str">
        <f>IF(V539=Setup!$C$30,"Grant",IF(V539=Setup!$C$31,"Local",IF(V539=Setup!$C$32,"Other",IF(ISBLANK(V539),"","Other"))))</f>
        <v/>
      </c>
      <c r="X539" s="255"/>
      <c r="Y539" s="259" t="str">
        <f>IF(X539&lt;&gt;"",X539/VLOOKUP($V539,Setup!$C$30:$D$41,2,0),"")</f>
        <v/>
      </c>
      <c r="Z539" s="262"/>
      <c r="AA539" s="256" t="str">
        <f t="shared" si="252"/>
        <v/>
      </c>
      <c r="AB539" s="262"/>
      <c r="AC539" s="258" t="str">
        <f t="shared" si="253"/>
        <v/>
      </c>
      <c r="AD539" s="262"/>
      <c r="AE539" s="258" t="str">
        <f t="shared" si="254"/>
        <v/>
      </c>
      <c r="AF539" s="262"/>
      <c r="AG539" s="256" t="str">
        <f t="shared" si="255"/>
        <v/>
      </c>
      <c r="AH539" s="256" t="str">
        <f t="shared" si="256"/>
        <v/>
      </c>
      <c r="AI539" s="256" t="str">
        <f t="shared" si="257"/>
        <v/>
      </c>
      <c r="AJ539" s="111"/>
      <c r="AK539" s="255"/>
      <c r="AL539" s="259" t="str">
        <f>IF(AK539&lt;&gt;"",AK539/VLOOKUP($V539,Setup!$C$30:$D$41,2,0),"")</f>
        <v/>
      </c>
      <c r="AM539" s="266"/>
      <c r="AN539" s="258" t="str">
        <f t="shared" si="258"/>
        <v/>
      </c>
      <c r="AO539" s="266"/>
      <c r="AP539" s="258" t="str">
        <f t="shared" si="259"/>
        <v/>
      </c>
      <c r="AQ539" s="266"/>
      <c r="AR539" s="258" t="str">
        <f t="shared" si="260"/>
        <v/>
      </c>
      <c r="AS539" s="266"/>
      <c r="AT539" s="256" t="str">
        <f t="shared" si="261"/>
        <v/>
      </c>
      <c r="AU539" s="256" t="str">
        <f t="shared" si="262"/>
        <v/>
      </c>
      <c r="AV539" s="256" t="str">
        <f t="shared" si="263"/>
        <v/>
      </c>
      <c r="AW539" s="267"/>
      <c r="AX539" s="255"/>
      <c r="AY539" s="259" t="str">
        <f>IF(AX539&lt;&gt;"",AX539/VLOOKUP($V539,Setup!$C$30:$D$41,2,0),"")</f>
        <v/>
      </c>
      <c r="AZ539" s="268"/>
      <c r="BA539" s="258" t="str">
        <f t="shared" si="264"/>
        <v/>
      </c>
      <c r="BB539" s="268"/>
      <c r="BC539" s="258" t="str">
        <f t="shared" si="265"/>
        <v/>
      </c>
      <c r="BD539" s="268"/>
      <c r="BE539" s="258" t="str">
        <f t="shared" si="266"/>
        <v/>
      </c>
      <c r="BF539" s="268"/>
      <c r="BG539" s="256" t="str">
        <f t="shared" si="267"/>
        <v/>
      </c>
      <c r="BH539" s="256" t="str">
        <f t="shared" si="268"/>
        <v/>
      </c>
      <c r="BI539" s="256" t="str">
        <f t="shared" si="269"/>
        <v/>
      </c>
      <c r="BJ539" s="267"/>
      <c r="BK539" s="255"/>
      <c r="BL539" s="259" t="str">
        <f>IF(BK539&lt;&gt;"",BK539/VLOOKUP($V539,Setup!$C$30:$D$41,2,0),"")</f>
        <v/>
      </c>
      <c r="BM539" s="268"/>
      <c r="BN539" s="258" t="str">
        <f t="shared" si="270"/>
        <v/>
      </c>
      <c r="BO539" s="268"/>
      <c r="BP539" s="258" t="str">
        <f t="shared" si="271"/>
        <v/>
      </c>
      <c r="BQ539" s="268"/>
      <c r="BR539" s="258" t="str">
        <f t="shared" si="272"/>
        <v/>
      </c>
      <c r="BS539" s="268"/>
      <c r="BT539" s="256" t="str">
        <f t="shared" si="273"/>
        <v/>
      </c>
      <c r="BU539" s="256" t="str">
        <f t="shared" si="274"/>
        <v/>
      </c>
      <c r="BV539" s="256" t="str">
        <f t="shared" si="275"/>
        <v/>
      </c>
      <c r="BW539" s="267"/>
      <c r="BX539" s="256" t="str">
        <f t="shared" si="276"/>
        <v/>
      </c>
      <c r="BY539" s="256" t="str">
        <f t="shared" si="277"/>
        <v/>
      </c>
      <c r="BZ539" s="281"/>
      <c r="CA539" s="282"/>
      <c r="CF539" s="284"/>
      <c r="CG539" s="284"/>
      <c r="CH539" s="284"/>
      <c r="CI539" s="284"/>
      <c r="CL539" s="356" t="str">
        <f>IFERROR(VLOOKUP(C539,'Data Sheet'!$A$3:$B$26,2,FALSE),"")</f>
        <v/>
      </c>
    </row>
    <row r="540" spans="1:90" ht="15.75" x14ac:dyDescent="0.2">
      <c r="A540" s="97"/>
      <c r="B540" s="105" t="str">
        <f t="shared" si="280"/>
        <v>--</v>
      </c>
      <c r="C540" s="276"/>
      <c r="D540" s="101" t="str">
        <f>IFERROR(IF(VLOOKUP(C540,'Data Sheet'!$A$3:$D$26,4,FALSE)=0,"",VLOOKUP(C540,'Data Sheet'!$A$3:$D$26,4,FALSE)),"")</f>
        <v/>
      </c>
      <c r="E540" s="279"/>
      <c r="F540" s="103" t="str">
        <f>IFERROR(IF(VLOOKUP(E540,'Data Sheet'!$C$29:$E$174,3,FALSE)=0,"",VLOOKUP(E540,'Data Sheet'!$C$29:$E$174,3,FALSE)),"")</f>
        <v/>
      </c>
      <c r="G540" s="106" t="str">
        <f t="shared" si="278"/>
        <v>-</v>
      </c>
      <c r="H540" s="273"/>
      <c r="I540" s="107"/>
      <c r="J540" s="249" t="e">
        <f t="shared" si="279"/>
        <v>#VALUE!</v>
      </c>
      <c r="K540" s="101" t="str">
        <f>IFERROR(INDEX('Data Sheet'!$C$198:$C$275,MATCH(I540,'Data Sheet'!$F$198:$F$275,0)),"")</f>
        <v/>
      </c>
      <c r="L540" s="250" t="str">
        <f>IFERROR(INDEX('Data Sheet'!$G$198:$G$275,MATCH(I540,'Data Sheet'!$F$198:$F$275,0)),"")</f>
        <v/>
      </c>
      <c r="M540" s="194"/>
      <c r="N540" s="248"/>
      <c r="O540" s="248"/>
      <c r="P540" s="108" t="str">
        <f>IFERROR(INDEX(Setup!$D$44:$D$70,MATCH(M540,Setup!$K$44:$K$70,0))&amp;"","")</f>
        <v/>
      </c>
      <c r="Q540" s="108" t="str">
        <f>IFERROR(INDEX(Setup!$E$44:$E$70,MATCH(M540,Setup!$K$44:$K$70,0))&amp;"","")</f>
        <v/>
      </c>
      <c r="R540" s="108" t="str">
        <f>IFERROR(INDEX(Setup!$L$44:$L$70,MATCH(M540,Setup!$K$44:$K$70,0))&amp;"","")</f>
        <v/>
      </c>
      <c r="S540" s="108" t="str">
        <f>Setup!$C$30</f>
        <v>USD</v>
      </c>
      <c r="T540" s="109" t="str">
        <f>IFERROR(INDEX('Data Sheet'!$B$198:$B$275,MATCH(I540,'Data Sheet'!$F$198:$F$275,0)),"")</f>
        <v/>
      </c>
      <c r="U540" s="110" t="str">
        <f>IFERROR(INDEX('Data Sheet'!$D$198:$D$275,MATCH(I540,'Data Sheet'!$F$198:$F$275,0)),"")</f>
        <v/>
      </c>
      <c r="V540" s="99"/>
      <c r="W540" s="195" t="str">
        <f>IF(V540=Setup!$C$30,"Grant",IF(V540=Setup!$C$31,"Local",IF(V540=Setup!$C$32,"Other",IF(ISBLANK(V540),"","Other"))))</f>
        <v/>
      </c>
      <c r="X540" s="255"/>
      <c r="Y540" s="259" t="str">
        <f>IF(X540&lt;&gt;"",X540/VLOOKUP($V540,Setup!$C$30:$D$41,2,0),"")</f>
        <v/>
      </c>
      <c r="Z540" s="262"/>
      <c r="AA540" s="256" t="str">
        <f t="shared" si="252"/>
        <v/>
      </c>
      <c r="AB540" s="262"/>
      <c r="AC540" s="258" t="str">
        <f t="shared" si="253"/>
        <v/>
      </c>
      <c r="AD540" s="262"/>
      <c r="AE540" s="258" t="str">
        <f t="shared" si="254"/>
        <v/>
      </c>
      <c r="AF540" s="262"/>
      <c r="AG540" s="256" t="str">
        <f t="shared" si="255"/>
        <v/>
      </c>
      <c r="AH540" s="256" t="str">
        <f t="shared" si="256"/>
        <v/>
      </c>
      <c r="AI540" s="256" t="str">
        <f t="shared" si="257"/>
        <v/>
      </c>
      <c r="AJ540" s="111"/>
      <c r="AK540" s="255"/>
      <c r="AL540" s="259" t="str">
        <f>IF(AK540&lt;&gt;"",AK540/VLOOKUP($V540,Setup!$C$30:$D$41,2,0),"")</f>
        <v/>
      </c>
      <c r="AM540" s="266"/>
      <c r="AN540" s="258" t="str">
        <f t="shared" si="258"/>
        <v/>
      </c>
      <c r="AO540" s="266"/>
      <c r="AP540" s="258" t="str">
        <f t="shared" si="259"/>
        <v/>
      </c>
      <c r="AQ540" s="266"/>
      <c r="AR540" s="258" t="str">
        <f t="shared" si="260"/>
        <v/>
      </c>
      <c r="AS540" s="266"/>
      <c r="AT540" s="256" t="str">
        <f t="shared" si="261"/>
        <v/>
      </c>
      <c r="AU540" s="256" t="str">
        <f t="shared" si="262"/>
        <v/>
      </c>
      <c r="AV540" s="256" t="str">
        <f t="shared" si="263"/>
        <v/>
      </c>
      <c r="AW540" s="267"/>
      <c r="AX540" s="255"/>
      <c r="AY540" s="259" t="str">
        <f>IF(AX540&lt;&gt;"",AX540/VLOOKUP($V540,Setup!$C$30:$D$41,2,0),"")</f>
        <v/>
      </c>
      <c r="AZ540" s="268"/>
      <c r="BA540" s="258" t="str">
        <f t="shared" si="264"/>
        <v/>
      </c>
      <c r="BB540" s="268"/>
      <c r="BC540" s="258" t="str">
        <f t="shared" si="265"/>
        <v/>
      </c>
      <c r="BD540" s="268"/>
      <c r="BE540" s="258" t="str">
        <f t="shared" si="266"/>
        <v/>
      </c>
      <c r="BF540" s="268"/>
      <c r="BG540" s="256" t="str">
        <f t="shared" si="267"/>
        <v/>
      </c>
      <c r="BH540" s="256" t="str">
        <f t="shared" si="268"/>
        <v/>
      </c>
      <c r="BI540" s="256" t="str">
        <f t="shared" si="269"/>
        <v/>
      </c>
      <c r="BJ540" s="267"/>
      <c r="BK540" s="255"/>
      <c r="BL540" s="259" t="str">
        <f>IF(BK540&lt;&gt;"",BK540/VLOOKUP($V540,Setup!$C$30:$D$41,2,0),"")</f>
        <v/>
      </c>
      <c r="BM540" s="268"/>
      <c r="BN540" s="258" t="str">
        <f t="shared" si="270"/>
        <v/>
      </c>
      <c r="BO540" s="268"/>
      <c r="BP540" s="258" t="str">
        <f t="shared" si="271"/>
        <v/>
      </c>
      <c r="BQ540" s="268"/>
      <c r="BR540" s="258" t="str">
        <f t="shared" si="272"/>
        <v/>
      </c>
      <c r="BS540" s="268"/>
      <c r="BT540" s="256" t="str">
        <f t="shared" si="273"/>
        <v/>
      </c>
      <c r="BU540" s="256" t="str">
        <f t="shared" si="274"/>
        <v/>
      </c>
      <c r="BV540" s="256" t="str">
        <f t="shared" si="275"/>
        <v/>
      </c>
      <c r="BW540" s="267"/>
      <c r="BX540" s="256" t="str">
        <f t="shared" si="276"/>
        <v/>
      </c>
      <c r="BY540" s="256" t="str">
        <f t="shared" si="277"/>
        <v/>
      </c>
      <c r="BZ540" s="281"/>
      <c r="CA540" s="282"/>
      <c r="CF540" s="284"/>
      <c r="CG540" s="284"/>
      <c r="CH540" s="284"/>
      <c r="CI540" s="284"/>
      <c r="CL540" s="356" t="str">
        <f>IFERROR(VLOOKUP(C540,'Data Sheet'!$A$3:$B$26,2,FALSE),"")</f>
        <v/>
      </c>
    </row>
    <row r="541" spans="1:90" ht="15.75" x14ac:dyDescent="0.2">
      <c r="A541" s="97"/>
      <c r="B541" s="105" t="str">
        <f t="shared" si="280"/>
        <v>--</v>
      </c>
      <c r="C541" s="276"/>
      <c r="D541" s="101" t="str">
        <f>IFERROR(IF(VLOOKUP(C541,'Data Sheet'!$A$3:$D$26,4,FALSE)=0,"",VLOOKUP(C541,'Data Sheet'!$A$3:$D$26,4,FALSE)),"")</f>
        <v/>
      </c>
      <c r="E541" s="279"/>
      <c r="F541" s="103" t="str">
        <f>IFERROR(IF(VLOOKUP(E541,'Data Sheet'!$C$29:$E$174,3,FALSE)=0,"",VLOOKUP(E541,'Data Sheet'!$C$29:$E$174,3,FALSE)),"")</f>
        <v/>
      </c>
      <c r="G541" s="106" t="str">
        <f t="shared" si="278"/>
        <v>-</v>
      </c>
      <c r="H541" s="273"/>
      <c r="I541" s="107"/>
      <c r="J541" s="249" t="e">
        <f t="shared" si="279"/>
        <v>#VALUE!</v>
      </c>
      <c r="K541" s="101" t="str">
        <f>IFERROR(INDEX('Data Sheet'!$C$198:$C$275,MATCH(I541,'Data Sheet'!$F$198:$F$275,0)),"")</f>
        <v/>
      </c>
      <c r="L541" s="250" t="str">
        <f>IFERROR(INDEX('Data Sheet'!$G$198:$G$275,MATCH(I541,'Data Sheet'!$F$198:$F$275,0)),"")</f>
        <v/>
      </c>
      <c r="M541" s="194"/>
      <c r="N541" s="248"/>
      <c r="O541" s="248"/>
      <c r="P541" s="108" t="str">
        <f>IFERROR(INDEX(Setup!$D$44:$D$70,MATCH(M541,Setup!$K$44:$K$70,0))&amp;"","")</f>
        <v/>
      </c>
      <c r="Q541" s="108" t="str">
        <f>IFERROR(INDEX(Setup!$E$44:$E$70,MATCH(M541,Setup!$K$44:$K$70,0))&amp;"","")</f>
        <v/>
      </c>
      <c r="R541" s="108" t="str">
        <f>IFERROR(INDEX(Setup!$L$44:$L$70,MATCH(M541,Setup!$K$44:$K$70,0))&amp;"","")</f>
        <v/>
      </c>
      <c r="S541" s="108" t="str">
        <f>Setup!$C$30</f>
        <v>USD</v>
      </c>
      <c r="T541" s="109" t="str">
        <f>IFERROR(INDEX('Data Sheet'!$B$198:$B$275,MATCH(I541,'Data Sheet'!$F$198:$F$275,0)),"")</f>
        <v/>
      </c>
      <c r="U541" s="110" t="str">
        <f>IFERROR(INDEX('Data Sheet'!$D$198:$D$275,MATCH(I541,'Data Sheet'!$F$198:$F$275,0)),"")</f>
        <v/>
      </c>
      <c r="V541" s="99"/>
      <c r="W541" s="195" t="str">
        <f>IF(V541=Setup!$C$30,"Grant",IF(V541=Setup!$C$31,"Local",IF(V541=Setup!$C$32,"Other",IF(ISBLANK(V541),"","Other"))))</f>
        <v/>
      </c>
      <c r="X541" s="255"/>
      <c r="Y541" s="259" t="str">
        <f>IF(X541&lt;&gt;"",X541/VLOOKUP($V541,Setup!$C$30:$D$41,2,0),"")</f>
        <v/>
      </c>
      <c r="Z541" s="262"/>
      <c r="AA541" s="256" t="str">
        <f t="shared" si="252"/>
        <v/>
      </c>
      <c r="AB541" s="262"/>
      <c r="AC541" s="258" t="str">
        <f t="shared" si="253"/>
        <v/>
      </c>
      <c r="AD541" s="262"/>
      <c r="AE541" s="258" t="str">
        <f t="shared" si="254"/>
        <v/>
      </c>
      <c r="AF541" s="262"/>
      <c r="AG541" s="256" t="str">
        <f t="shared" si="255"/>
        <v/>
      </c>
      <c r="AH541" s="256" t="str">
        <f t="shared" si="256"/>
        <v/>
      </c>
      <c r="AI541" s="256" t="str">
        <f t="shared" si="257"/>
        <v/>
      </c>
      <c r="AJ541" s="111"/>
      <c r="AK541" s="255"/>
      <c r="AL541" s="259" t="str">
        <f>IF(AK541&lt;&gt;"",AK541/VLOOKUP($V541,Setup!$C$30:$D$41,2,0),"")</f>
        <v/>
      </c>
      <c r="AM541" s="266"/>
      <c r="AN541" s="258" t="str">
        <f t="shared" si="258"/>
        <v/>
      </c>
      <c r="AO541" s="266"/>
      <c r="AP541" s="258" t="str">
        <f t="shared" si="259"/>
        <v/>
      </c>
      <c r="AQ541" s="266"/>
      <c r="AR541" s="258" t="str">
        <f t="shared" si="260"/>
        <v/>
      </c>
      <c r="AS541" s="266"/>
      <c r="AT541" s="256" t="str">
        <f t="shared" si="261"/>
        <v/>
      </c>
      <c r="AU541" s="256" t="str">
        <f t="shared" si="262"/>
        <v/>
      </c>
      <c r="AV541" s="256" t="str">
        <f t="shared" si="263"/>
        <v/>
      </c>
      <c r="AW541" s="267"/>
      <c r="AX541" s="255"/>
      <c r="AY541" s="259" t="str">
        <f>IF(AX541&lt;&gt;"",AX541/VLOOKUP($V541,Setup!$C$30:$D$41,2,0),"")</f>
        <v/>
      </c>
      <c r="AZ541" s="268"/>
      <c r="BA541" s="258" t="str">
        <f t="shared" si="264"/>
        <v/>
      </c>
      <c r="BB541" s="268"/>
      <c r="BC541" s="258" t="str">
        <f t="shared" si="265"/>
        <v/>
      </c>
      <c r="BD541" s="268"/>
      <c r="BE541" s="258" t="str">
        <f t="shared" si="266"/>
        <v/>
      </c>
      <c r="BF541" s="268"/>
      <c r="BG541" s="256" t="str">
        <f t="shared" si="267"/>
        <v/>
      </c>
      <c r="BH541" s="256" t="str">
        <f t="shared" si="268"/>
        <v/>
      </c>
      <c r="BI541" s="256" t="str">
        <f t="shared" si="269"/>
        <v/>
      </c>
      <c r="BJ541" s="267"/>
      <c r="BK541" s="255"/>
      <c r="BL541" s="259" t="str">
        <f>IF(BK541&lt;&gt;"",BK541/VLOOKUP($V541,Setup!$C$30:$D$41,2,0),"")</f>
        <v/>
      </c>
      <c r="BM541" s="268"/>
      <c r="BN541" s="258" t="str">
        <f t="shared" si="270"/>
        <v/>
      </c>
      <c r="BO541" s="268"/>
      <c r="BP541" s="258" t="str">
        <f t="shared" si="271"/>
        <v/>
      </c>
      <c r="BQ541" s="268"/>
      <c r="BR541" s="258" t="str">
        <f t="shared" si="272"/>
        <v/>
      </c>
      <c r="BS541" s="268"/>
      <c r="BT541" s="256" t="str">
        <f t="shared" si="273"/>
        <v/>
      </c>
      <c r="BU541" s="256" t="str">
        <f t="shared" si="274"/>
        <v/>
      </c>
      <c r="BV541" s="256" t="str">
        <f t="shared" si="275"/>
        <v/>
      </c>
      <c r="BW541" s="267"/>
      <c r="BX541" s="256" t="str">
        <f t="shared" si="276"/>
        <v/>
      </c>
      <c r="BY541" s="256" t="str">
        <f t="shared" si="277"/>
        <v/>
      </c>
      <c r="BZ541" s="281"/>
      <c r="CA541" s="282"/>
      <c r="CF541" s="284"/>
      <c r="CG541" s="284"/>
      <c r="CH541" s="284"/>
      <c r="CI541" s="284"/>
      <c r="CL541" s="356" t="str">
        <f>IFERROR(VLOOKUP(C541,'Data Sheet'!$A$3:$B$26,2,FALSE),"")</f>
        <v/>
      </c>
    </row>
    <row r="542" spans="1:90" ht="15.75" x14ac:dyDescent="0.2">
      <c r="A542" s="97"/>
      <c r="B542" s="105" t="str">
        <f t="shared" si="280"/>
        <v>--</v>
      </c>
      <c r="C542" s="276"/>
      <c r="D542" s="101" t="str">
        <f>IFERROR(IF(VLOOKUP(C542,'Data Sheet'!$A$3:$D$26,4,FALSE)=0,"",VLOOKUP(C542,'Data Sheet'!$A$3:$D$26,4,FALSE)),"")</f>
        <v/>
      </c>
      <c r="E542" s="279"/>
      <c r="F542" s="103" t="str">
        <f>IFERROR(IF(VLOOKUP(E542,'Data Sheet'!$C$29:$E$174,3,FALSE)=0,"",VLOOKUP(E542,'Data Sheet'!$C$29:$E$174,3,FALSE)),"")</f>
        <v/>
      </c>
      <c r="G542" s="106" t="str">
        <f t="shared" si="278"/>
        <v>-</v>
      </c>
      <c r="H542" s="273"/>
      <c r="I542" s="107"/>
      <c r="J542" s="249" t="e">
        <f t="shared" si="279"/>
        <v>#VALUE!</v>
      </c>
      <c r="K542" s="101" t="str">
        <f>IFERROR(INDEX('Data Sheet'!$C$198:$C$275,MATCH(I542,'Data Sheet'!$F$198:$F$275,0)),"")</f>
        <v/>
      </c>
      <c r="L542" s="250" t="str">
        <f>IFERROR(INDEX('Data Sheet'!$G$198:$G$275,MATCH(I542,'Data Sheet'!$F$198:$F$275,0)),"")</f>
        <v/>
      </c>
      <c r="M542" s="194"/>
      <c r="N542" s="248"/>
      <c r="O542" s="248"/>
      <c r="P542" s="108" t="str">
        <f>IFERROR(INDEX(Setup!$D$44:$D$70,MATCH(M542,Setup!$K$44:$K$70,0))&amp;"","")</f>
        <v/>
      </c>
      <c r="Q542" s="108" t="str">
        <f>IFERROR(INDEX(Setup!$E$44:$E$70,MATCH(M542,Setup!$K$44:$K$70,0))&amp;"","")</f>
        <v/>
      </c>
      <c r="R542" s="108" t="str">
        <f>IFERROR(INDEX(Setup!$L$44:$L$70,MATCH(M542,Setup!$K$44:$K$70,0))&amp;"","")</f>
        <v/>
      </c>
      <c r="S542" s="108" t="str">
        <f>Setup!$C$30</f>
        <v>USD</v>
      </c>
      <c r="T542" s="109" t="str">
        <f>IFERROR(INDEX('Data Sheet'!$B$198:$B$275,MATCH(I542,'Data Sheet'!$F$198:$F$275,0)),"")</f>
        <v/>
      </c>
      <c r="U542" s="110" t="str">
        <f>IFERROR(INDEX('Data Sheet'!$D$198:$D$275,MATCH(I542,'Data Sheet'!$F$198:$F$275,0)),"")</f>
        <v/>
      </c>
      <c r="V542" s="99"/>
      <c r="W542" s="195" t="str">
        <f>IF(V542=Setup!$C$30,"Grant",IF(V542=Setup!$C$31,"Local",IF(V542=Setup!$C$32,"Other",IF(ISBLANK(V542),"","Other"))))</f>
        <v/>
      </c>
      <c r="X542" s="255"/>
      <c r="Y542" s="259" t="str">
        <f>IF(X542&lt;&gt;"",X542/VLOOKUP($V542,Setup!$C$30:$D$41,2,0),"")</f>
        <v/>
      </c>
      <c r="Z542" s="262"/>
      <c r="AA542" s="256" t="str">
        <f t="shared" si="252"/>
        <v/>
      </c>
      <c r="AB542" s="262"/>
      <c r="AC542" s="258" t="str">
        <f t="shared" si="253"/>
        <v/>
      </c>
      <c r="AD542" s="262"/>
      <c r="AE542" s="258" t="str">
        <f t="shared" si="254"/>
        <v/>
      </c>
      <c r="AF542" s="262"/>
      <c r="AG542" s="256" t="str">
        <f t="shared" si="255"/>
        <v/>
      </c>
      <c r="AH542" s="256" t="str">
        <f t="shared" si="256"/>
        <v/>
      </c>
      <c r="AI542" s="256" t="str">
        <f t="shared" si="257"/>
        <v/>
      </c>
      <c r="AJ542" s="111"/>
      <c r="AK542" s="255"/>
      <c r="AL542" s="259" t="str">
        <f>IF(AK542&lt;&gt;"",AK542/VLOOKUP($V542,Setup!$C$30:$D$41,2,0),"")</f>
        <v/>
      </c>
      <c r="AM542" s="266"/>
      <c r="AN542" s="258" t="str">
        <f t="shared" si="258"/>
        <v/>
      </c>
      <c r="AO542" s="266"/>
      <c r="AP542" s="258" t="str">
        <f t="shared" si="259"/>
        <v/>
      </c>
      <c r="AQ542" s="266"/>
      <c r="AR542" s="258" t="str">
        <f t="shared" si="260"/>
        <v/>
      </c>
      <c r="AS542" s="266"/>
      <c r="AT542" s="256" t="str">
        <f t="shared" si="261"/>
        <v/>
      </c>
      <c r="AU542" s="256" t="str">
        <f t="shared" si="262"/>
        <v/>
      </c>
      <c r="AV542" s="256" t="str">
        <f t="shared" si="263"/>
        <v/>
      </c>
      <c r="AW542" s="267"/>
      <c r="AX542" s="255"/>
      <c r="AY542" s="259" t="str">
        <f>IF(AX542&lt;&gt;"",AX542/VLOOKUP($V542,Setup!$C$30:$D$41,2,0),"")</f>
        <v/>
      </c>
      <c r="AZ542" s="268"/>
      <c r="BA542" s="258" t="str">
        <f t="shared" si="264"/>
        <v/>
      </c>
      <c r="BB542" s="268"/>
      <c r="BC542" s="258" t="str">
        <f t="shared" si="265"/>
        <v/>
      </c>
      <c r="BD542" s="268"/>
      <c r="BE542" s="258" t="str">
        <f t="shared" si="266"/>
        <v/>
      </c>
      <c r="BF542" s="268"/>
      <c r="BG542" s="256" t="str">
        <f t="shared" si="267"/>
        <v/>
      </c>
      <c r="BH542" s="256" t="str">
        <f t="shared" si="268"/>
        <v/>
      </c>
      <c r="BI542" s="256" t="str">
        <f t="shared" si="269"/>
        <v/>
      </c>
      <c r="BJ542" s="267"/>
      <c r="BK542" s="255"/>
      <c r="BL542" s="259" t="str">
        <f>IF(BK542&lt;&gt;"",BK542/VLOOKUP($V542,Setup!$C$30:$D$41,2,0),"")</f>
        <v/>
      </c>
      <c r="BM542" s="268"/>
      <c r="BN542" s="258" t="str">
        <f t="shared" si="270"/>
        <v/>
      </c>
      <c r="BO542" s="268"/>
      <c r="BP542" s="258" t="str">
        <f t="shared" si="271"/>
        <v/>
      </c>
      <c r="BQ542" s="268"/>
      <c r="BR542" s="258" t="str">
        <f t="shared" si="272"/>
        <v/>
      </c>
      <c r="BS542" s="268"/>
      <c r="BT542" s="256" t="str">
        <f t="shared" si="273"/>
        <v/>
      </c>
      <c r="BU542" s="256" t="str">
        <f t="shared" si="274"/>
        <v/>
      </c>
      <c r="BV542" s="256" t="str">
        <f t="shared" si="275"/>
        <v/>
      </c>
      <c r="BW542" s="267"/>
      <c r="BX542" s="256" t="str">
        <f t="shared" si="276"/>
        <v/>
      </c>
      <c r="BY542" s="256" t="str">
        <f t="shared" si="277"/>
        <v/>
      </c>
      <c r="BZ542" s="281"/>
      <c r="CA542" s="282"/>
      <c r="CF542" s="284"/>
      <c r="CG542" s="284"/>
      <c r="CH542" s="284"/>
      <c r="CI542" s="284"/>
      <c r="CL542" s="356" t="str">
        <f>IFERROR(VLOOKUP(C542,'Data Sheet'!$A$3:$B$26,2,FALSE),"")</f>
        <v/>
      </c>
    </row>
    <row r="543" spans="1:90" ht="15.75" x14ac:dyDescent="0.2">
      <c r="A543" s="97"/>
      <c r="B543" s="105" t="str">
        <f t="shared" si="280"/>
        <v>--</v>
      </c>
      <c r="C543" s="276"/>
      <c r="D543" s="101" t="str">
        <f>IFERROR(IF(VLOOKUP(C543,'Data Sheet'!$A$3:$D$26,4,FALSE)=0,"",VLOOKUP(C543,'Data Sheet'!$A$3:$D$26,4,FALSE)),"")</f>
        <v/>
      </c>
      <c r="E543" s="279"/>
      <c r="F543" s="103" t="str">
        <f>IFERROR(IF(VLOOKUP(E543,'Data Sheet'!$C$29:$E$174,3,FALSE)=0,"",VLOOKUP(E543,'Data Sheet'!$C$29:$E$174,3,FALSE)),"")</f>
        <v/>
      </c>
      <c r="G543" s="106" t="str">
        <f t="shared" si="278"/>
        <v>-</v>
      </c>
      <c r="H543" s="273"/>
      <c r="I543" s="107"/>
      <c r="J543" s="249" t="e">
        <f t="shared" si="279"/>
        <v>#VALUE!</v>
      </c>
      <c r="K543" s="101" t="str">
        <f>IFERROR(INDEX('Data Sheet'!$C$198:$C$275,MATCH(I543,'Data Sheet'!$F$198:$F$275,0)),"")</f>
        <v/>
      </c>
      <c r="L543" s="250" t="str">
        <f>IFERROR(INDEX('Data Sheet'!$G$198:$G$275,MATCH(I543,'Data Sheet'!$F$198:$F$275,0)),"")</f>
        <v/>
      </c>
      <c r="M543" s="194"/>
      <c r="N543" s="248"/>
      <c r="O543" s="248"/>
      <c r="P543" s="108" t="str">
        <f>IFERROR(INDEX(Setup!$D$44:$D$70,MATCH(M543,Setup!$K$44:$K$70,0))&amp;"","")</f>
        <v/>
      </c>
      <c r="Q543" s="108" t="str">
        <f>IFERROR(INDEX(Setup!$E$44:$E$70,MATCH(M543,Setup!$K$44:$K$70,0))&amp;"","")</f>
        <v/>
      </c>
      <c r="R543" s="108" t="str">
        <f>IFERROR(INDEX(Setup!$L$44:$L$70,MATCH(M543,Setup!$K$44:$K$70,0))&amp;"","")</f>
        <v/>
      </c>
      <c r="S543" s="108" t="str">
        <f>Setup!$C$30</f>
        <v>USD</v>
      </c>
      <c r="T543" s="109" t="str">
        <f>IFERROR(INDEX('Data Sheet'!$B$198:$B$275,MATCH(I543,'Data Sheet'!$F$198:$F$275,0)),"")</f>
        <v/>
      </c>
      <c r="U543" s="110" t="str">
        <f>IFERROR(INDEX('Data Sheet'!$D$198:$D$275,MATCH(I543,'Data Sheet'!$F$198:$F$275,0)),"")</f>
        <v/>
      </c>
      <c r="V543" s="99"/>
      <c r="W543" s="195" t="str">
        <f>IF(V543=Setup!$C$30,"Grant",IF(V543=Setup!$C$31,"Local",IF(V543=Setup!$C$32,"Other",IF(ISBLANK(V543),"","Other"))))</f>
        <v/>
      </c>
      <c r="X543" s="255"/>
      <c r="Y543" s="259" t="str">
        <f>IF(X543&lt;&gt;"",X543/VLOOKUP($V543,Setup!$C$30:$D$41,2,0),"")</f>
        <v/>
      </c>
      <c r="Z543" s="262"/>
      <c r="AA543" s="256" t="str">
        <f t="shared" si="252"/>
        <v/>
      </c>
      <c r="AB543" s="262"/>
      <c r="AC543" s="258" t="str">
        <f t="shared" si="253"/>
        <v/>
      </c>
      <c r="AD543" s="262"/>
      <c r="AE543" s="258" t="str">
        <f t="shared" si="254"/>
        <v/>
      </c>
      <c r="AF543" s="262"/>
      <c r="AG543" s="256" t="str">
        <f t="shared" si="255"/>
        <v/>
      </c>
      <c r="AH543" s="256" t="str">
        <f t="shared" si="256"/>
        <v/>
      </c>
      <c r="AI543" s="256" t="str">
        <f t="shared" si="257"/>
        <v/>
      </c>
      <c r="AJ543" s="111"/>
      <c r="AK543" s="255"/>
      <c r="AL543" s="259" t="str">
        <f>IF(AK543&lt;&gt;"",AK543/VLOOKUP($V543,Setup!$C$30:$D$41,2,0),"")</f>
        <v/>
      </c>
      <c r="AM543" s="266"/>
      <c r="AN543" s="258" t="str">
        <f t="shared" si="258"/>
        <v/>
      </c>
      <c r="AO543" s="266"/>
      <c r="AP543" s="258" t="str">
        <f t="shared" si="259"/>
        <v/>
      </c>
      <c r="AQ543" s="266"/>
      <c r="AR543" s="258" t="str">
        <f t="shared" si="260"/>
        <v/>
      </c>
      <c r="AS543" s="266"/>
      <c r="AT543" s="256" t="str">
        <f t="shared" si="261"/>
        <v/>
      </c>
      <c r="AU543" s="256" t="str">
        <f t="shared" si="262"/>
        <v/>
      </c>
      <c r="AV543" s="256" t="str">
        <f t="shared" si="263"/>
        <v/>
      </c>
      <c r="AW543" s="267"/>
      <c r="AX543" s="255"/>
      <c r="AY543" s="259" t="str">
        <f>IF(AX543&lt;&gt;"",AX543/VLOOKUP($V543,Setup!$C$30:$D$41,2,0),"")</f>
        <v/>
      </c>
      <c r="AZ543" s="268"/>
      <c r="BA543" s="258" t="str">
        <f t="shared" si="264"/>
        <v/>
      </c>
      <c r="BB543" s="268"/>
      <c r="BC543" s="258" t="str">
        <f t="shared" si="265"/>
        <v/>
      </c>
      <c r="BD543" s="268"/>
      <c r="BE543" s="258" t="str">
        <f t="shared" si="266"/>
        <v/>
      </c>
      <c r="BF543" s="268"/>
      <c r="BG543" s="256" t="str">
        <f t="shared" si="267"/>
        <v/>
      </c>
      <c r="BH543" s="256" t="str">
        <f t="shared" si="268"/>
        <v/>
      </c>
      <c r="BI543" s="256" t="str">
        <f t="shared" si="269"/>
        <v/>
      </c>
      <c r="BJ543" s="267"/>
      <c r="BK543" s="255"/>
      <c r="BL543" s="259" t="str">
        <f>IF(BK543&lt;&gt;"",BK543/VLOOKUP($V543,Setup!$C$30:$D$41,2,0),"")</f>
        <v/>
      </c>
      <c r="BM543" s="268"/>
      <c r="BN543" s="258" t="str">
        <f t="shared" si="270"/>
        <v/>
      </c>
      <c r="BO543" s="268"/>
      <c r="BP543" s="258" t="str">
        <f t="shared" si="271"/>
        <v/>
      </c>
      <c r="BQ543" s="268"/>
      <c r="BR543" s="258" t="str">
        <f t="shared" si="272"/>
        <v/>
      </c>
      <c r="BS543" s="268"/>
      <c r="BT543" s="256" t="str">
        <f t="shared" si="273"/>
        <v/>
      </c>
      <c r="BU543" s="256" t="str">
        <f t="shared" si="274"/>
        <v/>
      </c>
      <c r="BV543" s="256" t="str">
        <f t="shared" si="275"/>
        <v/>
      </c>
      <c r="BW543" s="267"/>
      <c r="BX543" s="256" t="str">
        <f t="shared" si="276"/>
        <v/>
      </c>
      <c r="BY543" s="256" t="str">
        <f t="shared" si="277"/>
        <v/>
      </c>
      <c r="BZ543" s="281"/>
      <c r="CA543" s="282"/>
      <c r="CF543" s="284"/>
      <c r="CG543" s="284"/>
      <c r="CH543" s="284"/>
      <c r="CI543" s="284"/>
      <c r="CL543" s="356" t="str">
        <f>IFERROR(VLOOKUP(C543,'Data Sheet'!$A$3:$B$26,2,FALSE),"")</f>
        <v/>
      </c>
    </row>
    <row r="544" spans="1:90" ht="15.75" x14ac:dyDescent="0.2">
      <c r="A544" s="97"/>
      <c r="B544" s="105" t="str">
        <f t="shared" si="280"/>
        <v>--</v>
      </c>
      <c r="C544" s="276"/>
      <c r="D544" s="101" t="str">
        <f>IFERROR(IF(VLOOKUP(C544,'Data Sheet'!$A$3:$D$26,4,FALSE)=0,"",VLOOKUP(C544,'Data Sheet'!$A$3:$D$26,4,FALSE)),"")</f>
        <v/>
      </c>
      <c r="E544" s="279"/>
      <c r="F544" s="103" t="str">
        <f>IFERROR(IF(VLOOKUP(E544,'Data Sheet'!$C$29:$E$174,3,FALSE)=0,"",VLOOKUP(E544,'Data Sheet'!$C$29:$E$174,3,FALSE)),"")</f>
        <v/>
      </c>
      <c r="G544" s="106" t="str">
        <f t="shared" si="278"/>
        <v>-</v>
      </c>
      <c r="H544" s="273"/>
      <c r="I544" s="107"/>
      <c r="J544" s="249" t="e">
        <f t="shared" si="279"/>
        <v>#VALUE!</v>
      </c>
      <c r="K544" s="101" t="str">
        <f>IFERROR(INDEX('Data Sheet'!$C$198:$C$275,MATCH(I544,'Data Sheet'!$F$198:$F$275,0)),"")</f>
        <v/>
      </c>
      <c r="L544" s="250" t="str">
        <f>IFERROR(INDEX('Data Sheet'!$G$198:$G$275,MATCH(I544,'Data Sheet'!$F$198:$F$275,0)),"")</f>
        <v/>
      </c>
      <c r="M544" s="194"/>
      <c r="N544" s="248"/>
      <c r="O544" s="248"/>
      <c r="P544" s="108" t="str">
        <f>IFERROR(INDEX(Setup!$D$44:$D$70,MATCH(M544,Setup!$K$44:$K$70,0))&amp;"","")</f>
        <v/>
      </c>
      <c r="Q544" s="108" t="str">
        <f>IFERROR(INDEX(Setup!$E$44:$E$70,MATCH(M544,Setup!$K$44:$K$70,0))&amp;"","")</f>
        <v/>
      </c>
      <c r="R544" s="108" t="str">
        <f>IFERROR(INDEX(Setup!$L$44:$L$70,MATCH(M544,Setup!$K$44:$K$70,0))&amp;"","")</f>
        <v/>
      </c>
      <c r="S544" s="108" t="str">
        <f>Setup!$C$30</f>
        <v>USD</v>
      </c>
      <c r="T544" s="109" t="str">
        <f>IFERROR(INDEX('Data Sheet'!$B$198:$B$275,MATCH(I544,'Data Sheet'!$F$198:$F$275,0)),"")</f>
        <v/>
      </c>
      <c r="U544" s="110" t="str">
        <f>IFERROR(INDEX('Data Sheet'!$D$198:$D$275,MATCH(I544,'Data Sheet'!$F$198:$F$275,0)),"")</f>
        <v/>
      </c>
      <c r="V544" s="99"/>
      <c r="W544" s="195" t="str">
        <f>IF(V544=Setup!$C$30,"Grant",IF(V544=Setup!$C$31,"Local",IF(V544=Setup!$C$32,"Other",IF(ISBLANK(V544),"","Other"))))</f>
        <v/>
      </c>
      <c r="X544" s="255"/>
      <c r="Y544" s="259" t="str">
        <f>IF(X544&lt;&gt;"",X544/VLOOKUP($V544,Setup!$C$30:$D$41,2,0),"")</f>
        <v/>
      </c>
      <c r="Z544" s="262"/>
      <c r="AA544" s="256" t="str">
        <f t="shared" si="252"/>
        <v/>
      </c>
      <c r="AB544" s="262"/>
      <c r="AC544" s="258" t="str">
        <f t="shared" si="253"/>
        <v/>
      </c>
      <c r="AD544" s="262"/>
      <c r="AE544" s="258" t="str">
        <f t="shared" si="254"/>
        <v/>
      </c>
      <c r="AF544" s="262"/>
      <c r="AG544" s="256" t="str">
        <f t="shared" si="255"/>
        <v/>
      </c>
      <c r="AH544" s="256" t="str">
        <f t="shared" si="256"/>
        <v/>
      </c>
      <c r="AI544" s="256" t="str">
        <f t="shared" si="257"/>
        <v/>
      </c>
      <c r="AJ544" s="111"/>
      <c r="AK544" s="255"/>
      <c r="AL544" s="259" t="str">
        <f>IF(AK544&lt;&gt;"",AK544/VLOOKUP($V544,Setup!$C$30:$D$41,2,0),"")</f>
        <v/>
      </c>
      <c r="AM544" s="266"/>
      <c r="AN544" s="258" t="str">
        <f t="shared" si="258"/>
        <v/>
      </c>
      <c r="AO544" s="266"/>
      <c r="AP544" s="258" t="str">
        <f t="shared" si="259"/>
        <v/>
      </c>
      <c r="AQ544" s="266"/>
      <c r="AR544" s="258" t="str">
        <f t="shared" si="260"/>
        <v/>
      </c>
      <c r="AS544" s="266"/>
      <c r="AT544" s="256" t="str">
        <f t="shared" si="261"/>
        <v/>
      </c>
      <c r="AU544" s="256" t="str">
        <f t="shared" si="262"/>
        <v/>
      </c>
      <c r="AV544" s="256" t="str">
        <f t="shared" si="263"/>
        <v/>
      </c>
      <c r="AW544" s="267"/>
      <c r="AX544" s="255"/>
      <c r="AY544" s="259" t="str">
        <f>IF(AX544&lt;&gt;"",AX544/VLOOKUP($V544,Setup!$C$30:$D$41,2,0),"")</f>
        <v/>
      </c>
      <c r="AZ544" s="268"/>
      <c r="BA544" s="258" t="str">
        <f t="shared" si="264"/>
        <v/>
      </c>
      <c r="BB544" s="268"/>
      <c r="BC544" s="258" t="str">
        <f t="shared" si="265"/>
        <v/>
      </c>
      <c r="BD544" s="268"/>
      <c r="BE544" s="258" t="str">
        <f t="shared" si="266"/>
        <v/>
      </c>
      <c r="BF544" s="268"/>
      <c r="BG544" s="256" t="str">
        <f t="shared" si="267"/>
        <v/>
      </c>
      <c r="BH544" s="256" t="str">
        <f t="shared" si="268"/>
        <v/>
      </c>
      <c r="BI544" s="256" t="str">
        <f t="shared" si="269"/>
        <v/>
      </c>
      <c r="BJ544" s="267"/>
      <c r="BK544" s="255"/>
      <c r="BL544" s="259" t="str">
        <f>IF(BK544&lt;&gt;"",BK544/VLOOKUP($V544,Setup!$C$30:$D$41,2,0),"")</f>
        <v/>
      </c>
      <c r="BM544" s="268"/>
      <c r="BN544" s="258" t="str">
        <f t="shared" si="270"/>
        <v/>
      </c>
      <c r="BO544" s="268"/>
      <c r="BP544" s="258" t="str">
        <f t="shared" si="271"/>
        <v/>
      </c>
      <c r="BQ544" s="268"/>
      <c r="BR544" s="258" t="str">
        <f t="shared" si="272"/>
        <v/>
      </c>
      <c r="BS544" s="268"/>
      <c r="BT544" s="256" t="str">
        <f t="shared" si="273"/>
        <v/>
      </c>
      <c r="BU544" s="256" t="str">
        <f t="shared" si="274"/>
        <v/>
      </c>
      <c r="BV544" s="256" t="str">
        <f t="shared" si="275"/>
        <v/>
      </c>
      <c r="BW544" s="267"/>
      <c r="BX544" s="256" t="str">
        <f t="shared" si="276"/>
        <v/>
      </c>
      <c r="BY544" s="256" t="str">
        <f t="shared" si="277"/>
        <v/>
      </c>
      <c r="BZ544" s="281"/>
      <c r="CA544" s="282"/>
      <c r="CF544" s="284"/>
      <c r="CG544" s="284"/>
      <c r="CH544" s="284"/>
      <c r="CI544" s="284"/>
      <c r="CL544" s="356" t="str">
        <f>IFERROR(VLOOKUP(C544,'Data Sheet'!$A$3:$B$26,2,FALSE),"")</f>
        <v/>
      </c>
    </row>
    <row r="545" spans="1:90" ht="15.75" x14ac:dyDescent="0.2">
      <c r="A545" s="97"/>
      <c r="B545" s="105" t="str">
        <f t="shared" si="280"/>
        <v>--</v>
      </c>
      <c r="C545" s="276"/>
      <c r="D545" s="101" t="str">
        <f>IFERROR(IF(VLOOKUP(C545,'Data Sheet'!$A$3:$D$26,4,FALSE)=0,"",VLOOKUP(C545,'Data Sheet'!$A$3:$D$26,4,FALSE)),"")</f>
        <v/>
      </c>
      <c r="E545" s="279"/>
      <c r="F545" s="103" t="str">
        <f>IFERROR(IF(VLOOKUP(E545,'Data Sheet'!$C$29:$E$174,3,FALSE)=0,"",VLOOKUP(E545,'Data Sheet'!$C$29:$E$174,3,FALSE)),"")</f>
        <v/>
      </c>
      <c r="G545" s="106" t="str">
        <f t="shared" si="278"/>
        <v>-</v>
      </c>
      <c r="H545" s="273"/>
      <c r="I545" s="107"/>
      <c r="J545" s="249" t="e">
        <f t="shared" si="279"/>
        <v>#VALUE!</v>
      </c>
      <c r="K545" s="101" t="str">
        <f>IFERROR(INDEX('Data Sheet'!$C$198:$C$275,MATCH(I545,'Data Sheet'!$F$198:$F$275,0)),"")</f>
        <v/>
      </c>
      <c r="L545" s="250" t="str">
        <f>IFERROR(INDEX('Data Sheet'!$G$198:$G$275,MATCH(I545,'Data Sheet'!$F$198:$F$275,0)),"")</f>
        <v/>
      </c>
      <c r="M545" s="194"/>
      <c r="N545" s="248"/>
      <c r="O545" s="248"/>
      <c r="P545" s="108" t="str">
        <f>IFERROR(INDEX(Setup!$D$44:$D$70,MATCH(M545,Setup!$K$44:$K$70,0))&amp;"","")</f>
        <v/>
      </c>
      <c r="Q545" s="108" t="str">
        <f>IFERROR(INDEX(Setup!$E$44:$E$70,MATCH(M545,Setup!$K$44:$K$70,0))&amp;"","")</f>
        <v/>
      </c>
      <c r="R545" s="108" t="str">
        <f>IFERROR(INDEX(Setup!$L$44:$L$70,MATCH(M545,Setup!$K$44:$K$70,0))&amp;"","")</f>
        <v/>
      </c>
      <c r="S545" s="108" t="str">
        <f>Setup!$C$30</f>
        <v>USD</v>
      </c>
      <c r="T545" s="109" t="str">
        <f>IFERROR(INDEX('Data Sheet'!$B$198:$B$275,MATCH(I545,'Data Sheet'!$F$198:$F$275,0)),"")</f>
        <v/>
      </c>
      <c r="U545" s="110" t="str">
        <f>IFERROR(INDEX('Data Sheet'!$D$198:$D$275,MATCH(I545,'Data Sheet'!$F$198:$F$275,0)),"")</f>
        <v/>
      </c>
      <c r="V545" s="99"/>
      <c r="W545" s="195" t="str">
        <f>IF(V545=Setup!$C$30,"Grant",IF(V545=Setup!$C$31,"Local",IF(V545=Setup!$C$32,"Other",IF(ISBLANK(V545),"","Other"))))</f>
        <v/>
      </c>
      <c r="X545" s="255"/>
      <c r="Y545" s="259" t="str">
        <f>IF(X545&lt;&gt;"",X545/VLOOKUP($V545,Setup!$C$30:$D$41,2,0),"")</f>
        <v/>
      </c>
      <c r="Z545" s="262"/>
      <c r="AA545" s="256" t="str">
        <f t="shared" si="252"/>
        <v/>
      </c>
      <c r="AB545" s="262"/>
      <c r="AC545" s="258" t="str">
        <f t="shared" si="253"/>
        <v/>
      </c>
      <c r="AD545" s="262"/>
      <c r="AE545" s="258" t="str">
        <f t="shared" si="254"/>
        <v/>
      </c>
      <c r="AF545" s="262"/>
      <c r="AG545" s="256" t="str">
        <f t="shared" si="255"/>
        <v/>
      </c>
      <c r="AH545" s="256" t="str">
        <f t="shared" si="256"/>
        <v/>
      </c>
      <c r="AI545" s="256" t="str">
        <f t="shared" si="257"/>
        <v/>
      </c>
      <c r="AJ545" s="111"/>
      <c r="AK545" s="255"/>
      <c r="AL545" s="259" t="str">
        <f>IF(AK545&lt;&gt;"",AK545/VLOOKUP($V545,Setup!$C$30:$D$41,2,0),"")</f>
        <v/>
      </c>
      <c r="AM545" s="266"/>
      <c r="AN545" s="258" t="str">
        <f t="shared" si="258"/>
        <v/>
      </c>
      <c r="AO545" s="266"/>
      <c r="AP545" s="258" t="str">
        <f t="shared" si="259"/>
        <v/>
      </c>
      <c r="AQ545" s="266"/>
      <c r="AR545" s="258" t="str">
        <f t="shared" si="260"/>
        <v/>
      </c>
      <c r="AS545" s="266"/>
      <c r="AT545" s="256" t="str">
        <f t="shared" si="261"/>
        <v/>
      </c>
      <c r="AU545" s="256" t="str">
        <f t="shared" si="262"/>
        <v/>
      </c>
      <c r="AV545" s="256" t="str">
        <f t="shared" si="263"/>
        <v/>
      </c>
      <c r="AW545" s="267"/>
      <c r="AX545" s="255"/>
      <c r="AY545" s="259" t="str">
        <f>IF(AX545&lt;&gt;"",AX545/VLOOKUP($V545,Setup!$C$30:$D$41,2,0),"")</f>
        <v/>
      </c>
      <c r="AZ545" s="268"/>
      <c r="BA545" s="258" t="str">
        <f t="shared" si="264"/>
        <v/>
      </c>
      <c r="BB545" s="268"/>
      <c r="BC545" s="258" t="str">
        <f t="shared" si="265"/>
        <v/>
      </c>
      <c r="BD545" s="268"/>
      <c r="BE545" s="258" t="str">
        <f t="shared" si="266"/>
        <v/>
      </c>
      <c r="BF545" s="268"/>
      <c r="BG545" s="256" t="str">
        <f t="shared" si="267"/>
        <v/>
      </c>
      <c r="BH545" s="256" t="str">
        <f t="shared" si="268"/>
        <v/>
      </c>
      <c r="BI545" s="256" t="str">
        <f t="shared" si="269"/>
        <v/>
      </c>
      <c r="BJ545" s="267"/>
      <c r="BK545" s="255"/>
      <c r="BL545" s="259" t="str">
        <f>IF(BK545&lt;&gt;"",BK545/VLOOKUP($V545,Setup!$C$30:$D$41,2,0),"")</f>
        <v/>
      </c>
      <c r="BM545" s="268"/>
      <c r="BN545" s="258" t="str">
        <f t="shared" si="270"/>
        <v/>
      </c>
      <c r="BO545" s="268"/>
      <c r="BP545" s="258" t="str">
        <f t="shared" si="271"/>
        <v/>
      </c>
      <c r="BQ545" s="268"/>
      <c r="BR545" s="258" t="str">
        <f t="shared" si="272"/>
        <v/>
      </c>
      <c r="BS545" s="268"/>
      <c r="BT545" s="256" t="str">
        <f t="shared" si="273"/>
        <v/>
      </c>
      <c r="BU545" s="256" t="str">
        <f t="shared" si="274"/>
        <v/>
      </c>
      <c r="BV545" s="256" t="str">
        <f t="shared" si="275"/>
        <v/>
      </c>
      <c r="BW545" s="267"/>
      <c r="BX545" s="256" t="str">
        <f t="shared" si="276"/>
        <v/>
      </c>
      <c r="BY545" s="256" t="str">
        <f t="shared" si="277"/>
        <v/>
      </c>
      <c r="BZ545" s="281"/>
      <c r="CA545" s="282"/>
      <c r="CF545" s="284"/>
      <c r="CG545" s="284"/>
      <c r="CH545" s="284"/>
      <c r="CI545" s="284"/>
      <c r="CL545" s="356" t="str">
        <f>IFERROR(VLOOKUP(C545,'Data Sheet'!$A$3:$B$26,2,FALSE),"")</f>
        <v/>
      </c>
    </row>
    <row r="546" spans="1:90" ht="15.75" x14ac:dyDescent="0.2">
      <c r="A546" s="97"/>
      <c r="B546" s="105" t="str">
        <f t="shared" si="280"/>
        <v>--</v>
      </c>
      <c r="C546" s="276"/>
      <c r="D546" s="101" t="str">
        <f>IFERROR(IF(VLOOKUP(C546,'Data Sheet'!$A$3:$D$26,4,FALSE)=0,"",VLOOKUP(C546,'Data Sheet'!$A$3:$D$26,4,FALSE)),"")</f>
        <v/>
      </c>
      <c r="E546" s="279"/>
      <c r="F546" s="103" t="str">
        <f>IFERROR(IF(VLOOKUP(E546,'Data Sheet'!$C$29:$E$174,3,FALSE)=0,"",VLOOKUP(E546,'Data Sheet'!$C$29:$E$174,3,FALSE)),"")</f>
        <v/>
      </c>
      <c r="G546" s="106" t="str">
        <f t="shared" si="278"/>
        <v>-</v>
      </c>
      <c r="H546" s="273"/>
      <c r="I546" s="107"/>
      <c r="J546" s="249" t="e">
        <f t="shared" si="279"/>
        <v>#VALUE!</v>
      </c>
      <c r="K546" s="101" t="str">
        <f>IFERROR(INDEX('Data Sheet'!$C$198:$C$275,MATCH(I546,'Data Sheet'!$F$198:$F$275,0)),"")</f>
        <v/>
      </c>
      <c r="L546" s="250" t="str">
        <f>IFERROR(INDEX('Data Sheet'!$G$198:$G$275,MATCH(I546,'Data Sheet'!$F$198:$F$275,0)),"")</f>
        <v/>
      </c>
      <c r="M546" s="194"/>
      <c r="N546" s="248"/>
      <c r="O546" s="248"/>
      <c r="P546" s="108" t="str">
        <f>IFERROR(INDEX(Setup!$D$44:$D$70,MATCH(M546,Setup!$K$44:$K$70,0))&amp;"","")</f>
        <v/>
      </c>
      <c r="Q546" s="108" t="str">
        <f>IFERROR(INDEX(Setup!$E$44:$E$70,MATCH(M546,Setup!$K$44:$K$70,0))&amp;"","")</f>
        <v/>
      </c>
      <c r="R546" s="108" t="str">
        <f>IFERROR(INDEX(Setup!$L$44:$L$70,MATCH(M546,Setup!$K$44:$K$70,0))&amp;"","")</f>
        <v/>
      </c>
      <c r="S546" s="108" t="str">
        <f>Setup!$C$30</f>
        <v>USD</v>
      </c>
      <c r="T546" s="109" t="str">
        <f>IFERROR(INDEX('Data Sheet'!$B$198:$B$275,MATCH(I546,'Data Sheet'!$F$198:$F$275,0)),"")</f>
        <v/>
      </c>
      <c r="U546" s="110" t="str">
        <f>IFERROR(INDEX('Data Sheet'!$D$198:$D$275,MATCH(I546,'Data Sheet'!$F$198:$F$275,0)),"")</f>
        <v/>
      </c>
      <c r="V546" s="99"/>
      <c r="W546" s="195" t="str">
        <f>IF(V546=Setup!$C$30,"Grant",IF(V546=Setup!$C$31,"Local",IF(V546=Setup!$C$32,"Other",IF(ISBLANK(V546),"","Other"))))</f>
        <v/>
      </c>
      <c r="X546" s="255"/>
      <c r="Y546" s="259" t="str">
        <f>IF(X546&lt;&gt;"",X546/VLOOKUP($V546,Setup!$C$30:$D$41,2,0),"")</f>
        <v/>
      </c>
      <c r="Z546" s="262"/>
      <c r="AA546" s="256" t="str">
        <f t="shared" si="252"/>
        <v/>
      </c>
      <c r="AB546" s="262"/>
      <c r="AC546" s="258" t="str">
        <f t="shared" si="253"/>
        <v/>
      </c>
      <c r="AD546" s="262"/>
      <c r="AE546" s="258" t="str">
        <f t="shared" si="254"/>
        <v/>
      </c>
      <c r="AF546" s="262"/>
      <c r="AG546" s="256" t="str">
        <f t="shared" si="255"/>
        <v/>
      </c>
      <c r="AH546" s="256" t="str">
        <f t="shared" si="256"/>
        <v/>
      </c>
      <c r="AI546" s="256" t="str">
        <f t="shared" si="257"/>
        <v/>
      </c>
      <c r="AJ546" s="111"/>
      <c r="AK546" s="255"/>
      <c r="AL546" s="259" t="str">
        <f>IF(AK546&lt;&gt;"",AK546/VLOOKUP($V546,Setup!$C$30:$D$41,2,0),"")</f>
        <v/>
      </c>
      <c r="AM546" s="266"/>
      <c r="AN546" s="258" t="str">
        <f t="shared" si="258"/>
        <v/>
      </c>
      <c r="AO546" s="266"/>
      <c r="AP546" s="258" t="str">
        <f t="shared" si="259"/>
        <v/>
      </c>
      <c r="AQ546" s="266"/>
      <c r="AR546" s="258" t="str">
        <f t="shared" si="260"/>
        <v/>
      </c>
      <c r="AS546" s="266"/>
      <c r="AT546" s="256" t="str">
        <f t="shared" si="261"/>
        <v/>
      </c>
      <c r="AU546" s="256" t="str">
        <f t="shared" si="262"/>
        <v/>
      </c>
      <c r="AV546" s="256" t="str">
        <f t="shared" si="263"/>
        <v/>
      </c>
      <c r="AW546" s="267"/>
      <c r="AX546" s="255"/>
      <c r="AY546" s="259" t="str">
        <f>IF(AX546&lt;&gt;"",AX546/VLOOKUP($V546,Setup!$C$30:$D$41,2,0),"")</f>
        <v/>
      </c>
      <c r="AZ546" s="268"/>
      <c r="BA546" s="258" t="str">
        <f t="shared" si="264"/>
        <v/>
      </c>
      <c r="BB546" s="268"/>
      <c r="BC546" s="258" t="str">
        <f t="shared" si="265"/>
        <v/>
      </c>
      <c r="BD546" s="268"/>
      <c r="BE546" s="258" t="str">
        <f t="shared" si="266"/>
        <v/>
      </c>
      <c r="BF546" s="268"/>
      <c r="BG546" s="256" t="str">
        <f t="shared" si="267"/>
        <v/>
      </c>
      <c r="BH546" s="256" t="str">
        <f t="shared" si="268"/>
        <v/>
      </c>
      <c r="BI546" s="256" t="str">
        <f t="shared" si="269"/>
        <v/>
      </c>
      <c r="BJ546" s="267"/>
      <c r="BK546" s="255"/>
      <c r="BL546" s="259" t="str">
        <f>IF(BK546&lt;&gt;"",BK546/VLOOKUP($V546,Setup!$C$30:$D$41,2,0),"")</f>
        <v/>
      </c>
      <c r="BM546" s="268"/>
      <c r="BN546" s="258" t="str">
        <f t="shared" si="270"/>
        <v/>
      </c>
      <c r="BO546" s="268"/>
      <c r="BP546" s="258" t="str">
        <f t="shared" si="271"/>
        <v/>
      </c>
      <c r="BQ546" s="268"/>
      <c r="BR546" s="258" t="str">
        <f t="shared" si="272"/>
        <v/>
      </c>
      <c r="BS546" s="268"/>
      <c r="BT546" s="256" t="str">
        <f t="shared" si="273"/>
        <v/>
      </c>
      <c r="BU546" s="256" t="str">
        <f t="shared" si="274"/>
        <v/>
      </c>
      <c r="BV546" s="256" t="str">
        <f t="shared" si="275"/>
        <v/>
      </c>
      <c r="BW546" s="267"/>
      <c r="BX546" s="256" t="str">
        <f t="shared" si="276"/>
        <v/>
      </c>
      <c r="BY546" s="256" t="str">
        <f t="shared" si="277"/>
        <v/>
      </c>
      <c r="BZ546" s="281"/>
      <c r="CA546" s="282"/>
      <c r="CF546" s="284"/>
      <c r="CG546" s="284"/>
      <c r="CH546" s="284"/>
      <c r="CI546" s="284"/>
      <c r="CL546" s="356" t="str">
        <f>IFERROR(VLOOKUP(C546,'Data Sheet'!$A$3:$B$26,2,FALSE),"")</f>
        <v/>
      </c>
    </row>
    <row r="547" spans="1:90" ht="15.75" x14ac:dyDescent="0.2">
      <c r="A547" s="97"/>
      <c r="B547" s="105" t="str">
        <f t="shared" si="280"/>
        <v>--</v>
      </c>
      <c r="C547" s="276"/>
      <c r="D547" s="101" t="str">
        <f>IFERROR(IF(VLOOKUP(C547,'Data Sheet'!$A$3:$D$26,4,FALSE)=0,"",VLOOKUP(C547,'Data Sheet'!$A$3:$D$26,4,FALSE)),"")</f>
        <v/>
      </c>
      <c r="E547" s="279"/>
      <c r="F547" s="103" t="str">
        <f>IFERROR(IF(VLOOKUP(E547,'Data Sheet'!$C$29:$E$174,3,FALSE)=0,"",VLOOKUP(E547,'Data Sheet'!$C$29:$E$174,3,FALSE)),"")</f>
        <v/>
      </c>
      <c r="G547" s="106" t="str">
        <f t="shared" si="278"/>
        <v>-</v>
      </c>
      <c r="H547" s="273"/>
      <c r="I547" s="107"/>
      <c r="J547" s="249" t="e">
        <f t="shared" si="279"/>
        <v>#VALUE!</v>
      </c>
      <c r="K547" s="101" t="str">
        <f>IFERROR(INDEX('Data Sheet'!$C$198:$C$275,MATCH(I547,'Data Sheet'!$F$198:$F$275,0)),"")</f>
        <v/>
      </c>
      <c r="L547" s="250" t="str">
        <f>IFERROR(INDEX('Data Sheet'!$G$198:$G$275,MATCH(I547,'Data Sheet'!$F$198:$F$275,0)),"")</f>
        <v/>
      </c>
      <c r="M547" s="194"/>
      <c r="N547" s="248"/>
      <c r="O547" s="248"/>
      <c r="P547" s="108" t="str">
        <f>IFERROR(INDEX(Setup!$D$44:$D$70,MATCH(M547,Setup!$K$44:$K$70,0))&amp;"","")</f>
        <v/>
      </c>
      <c r="Q547" s="108" t="str">
        <f>IFERROR(INDEX(Setup!$E$44:$E$70,MATCH(M547,Setup!$K$44:$K$70,0))&amp;"","")</f>
        <v/>
      </c>
      <c r="R547" s="108" t="str">
        <f>IFERROR(INDEX(Setup!$L$44:$L$70,MATCH(M547,Setup!$K$44:$K$70,0))&amp;"","")</f>
        <v/>
      </c>
      <c r="S547" s="108" t="str">
        <f>Setup!$C$30</f>
        <v>USD</v>
      </c>
      <c r="T547" s="109" t="str">
        <f>IFERROR(INDEX('Data Sheet'!$B$198:$B$275,MATCH(I547,'Data Sheet'!$F$198:$F$275,0)),"")</f>
        <v/>
      </c>
      <c r="U547" s="110" t="str">
        <f>IFERROR(INDEX('Data Sheet'!$D$198:$D$275,MATCH(I547,'Data Sheet'!$F$198:$F$275,0)),"")</f>
        <v/>
      </c>
      <c r="V547" s="99"/>
      <c r="W547" s="195" t="str">
        <f>IF(V547=Setup!$C$30,"Grant",IF(V547=Setup!$C$31,"Local",IF(V547=Setup!$C$32,"Other",IF(ISBLANK(V547),"","Other"))))</f>
        <v/>
      </c>
      <c r="X547" s="255"/>
      <c r="Y547" s="259" t="str">
        <f>IF(X547&lt;&gt;"",X547/VLOOKUP($V547,Setup!$C$30:$D$41,2,0),"")</f>
        <v/>
      </c>
      <c r="Z547" s="262"/>
      <c r="AA547" s="256" t="str">
        <f t="shared" si="252"/>
        <v/>
      </c>
      <c r="AB547" s="262"/>
      <c r="AC547" s="258" t="str">
        <f t="shared" si="253"/>
        <v/>
      </c>
      <c r="AD547" s="262"/>
      <c r="AE547" s="258" t="str">
        <f t="shared" si="254"/>
        <v/>
      </c>
      <c r="AF547" s="262"/>
      <c r="AG547" s="256" t="str">
        <f t="shared" si="255"/>
        <v/>
      </c>
      <c r="AH547" s="256" t="str">
        <f t="shared" si="256"/>
        <v/>
      </c>
      <c r="AI547" s="256" t="str">
        <f t="shared" si="257"/>
        <v/>
      </c>
      <c r="AJ547" s="111"/>
      <c r="AK547" s="255"/>
      <c r="AL547" s="259" t="str">
        <f>IF(AK547&lt;&gt;"",AK547/VLOOKUP($V547,Setup!$C$30:$D$41,2,0),"")</f>
        <v/>
      </c>
      <c r="AM547" s="266"/>
      <c r="AN547" s="258" t="str">
        <f t="shared" si="258"/>
        <v/>
      </c>
      <c r="AO547" s="266"/>
      <c r="AP547" s="258" t="str">
        <f t="shared" si="259"/>
        <v/>
      </c>
      <c r="AQ547" s="266"/>
      <c r="AR547" s="258" t="str">
        <f t="shared" si="260"/>
        <v/>
      </c>
      <c r="AS547" s="266"/>
      <c r="AT547" s="256" t="str">
        <f t="shared" si="261"/>
        <v/>
      </c>
      <c r="AU547" s="256" t="str">
        <f t="shared" si="262"/>
        <v/>
      </c>
      <c r="AV547" s="256" t="str">
        <f t="shared" si="263"/>
        <v/>
      </c>
      <c r="AW547" s="267"/>
      <c r="AX547" s="255"/>
      <c r="AY547" s="259" t="str">
        <f>IF(AX547&lt;&gt;"",AX547/VLOOKUP($V547,Setup!$C$30:$D$41,2,0),"")</f>
        <v/>
      </c>
      <c r="AZ547" s="268"/>
      <c r="BA547" s="258" t="str">
        <f t="shared" si="264"/>
        <v/>
      </c>
      <c r="BB547" s="268"/>
      <c r="BC547" s="258" t="str">
        <f t="shared" si="265"/>
        <v/>
      </c>
      <c r="BD547" s="268"/>
      <c r="BE547" s="258" t="str">
        <f t="shared" si="266"/>
        <v/>
      </c>
      <c r="BF547" s="268"/>
      <c r="BG547" s="256" t="str">
        <f t="shared" si="267"/>
        <v/>
      </c>
      <c r="BH547" s="256" t="str">
        <f t="shared" si="268"/>
        <v/>
      </c>
      <c r="BI547" s="256" t="str">
        <f t="shared" si="269"/>
        <v/>
      </c>
      <c r="BJ547" s="267"/>
      <c r="BK547" s="255"/>
      <c r="BL547" s="259" t="str">
        <f>IF(BK547&lt;&gt;"",BK547/VLOOKUP($V547,Setup!$C$30:$D$41,2,0),"")</f>
        <v/>
      </c>
      <c r="BM547" s="268"/>
      <c r="BN547" s="258" t="str">
        <f t="shared" si="270"/>
        <v/>
      </c>
      <c r="BO547" s="268"/>
      <c r="BP547" s="258" t="str">
        <f t="shared" si="271"/>
        <v/>
      </c>
      <c r="BQ547" s="268"/>
      <c r="BR547" s="258" t="str">
        <f t="shared" si="272"/>
        <v/>
      </c>
      <c r="BS547" s="268"/>
      <c r="BT547" s="256" t="str">
        <f t="shared" si="273"/>
        <v/>
      </c>
      <c r="BU547" s="256" t="str">
        <f t="shared" si="274"/>
        <v/>
      </c>
      <c r="BV547" s="256" t="str">
        <f t="shared" si="275"/>
        <v/>
      </c>
      <c r="BW547" s="267"/>
      <c r="BX547" s="256" t="str">
        <f t="shared" si="276"/>
        <v/>
      </c>
      <c r="BY547" s="256" t="str">
        <f t="shared" si="277"/>
        <v/>
      </c>
      <c r="BZ547" s="281"/>
      <c r="CA547" s="282"/>
      <c r="CF547" s="284"/>
      <c r="CG547" s="284"/>
      <c r="CH547" s="284"/>
      <c r="CI547" s="284"/>
      <c r="CL547" s="356" t="str">
        <f>IFERROR(VLOOKUP(C547,'Data Sheet'!$A$3:$B$26,2,FALSE),"")</f>
        <v/>
      </c>
    </row>
    <row r="548" spans="1:90" ht="15.75" x14ac:dyDescent="0.2">
      <c r="A548" s="97"/>
      <c r="B548" s="105" t="str">
        <f t="shared" si="280"/>
        <v>--</v>
      </c>
      <c r="C548" s="276"/>
      <c r="D548" s="101" t="str">
        <f>IFERROR(IF(VLOOKUP(C548,'Data Sheet'!$A$3:$D$26,4,FALSE)=0,"",VLOOKUP(C548,'Data Sheet'!$A$3:$D$26,4,FALSE)),"")</f>
        <v/>
      </c>
      <c r="E548" s="279"/>
      <c r="F548" s="103" t="str">
        <f>IFERROR(IF(VLOOKUP(E548,'Data Sheet'!$C$29:$E$174,3,FALSE)=0,"",VLOOKUP(E548,'Data Sheet'!$C$29:$E$174,3,FALSE)),"")</f>
        <v/>
      </c>
      <c r="G548" s="106" t="str">
        <f t="shared" si="278"/>
        <v>-</v>
      </c>
      <c r="H548" s="273"/>
      <c r="I548" s="107"/>
      <c r="J548" s="249" t="e">
        <f t="shared" si="279"/>
        <v>#VALUE!</v>
      </c>
      <c r="K548" s="101" t="str">
        <f>IFERROR(INDEX('Data Sheet'!$C$198:$C$275,MATCH(I548,'Data Sheet'!$F$198:$F$275,0)),"")</f>
        <v/>
      </c>
      <c r="L548" s="250" t="str">
        <f>IFERROR(INDEX('Data Sheet'!$G$198:$G$275,MATCH(I548,'Data Sheet'!$F$198:$F$275,0)),"")</f>
        <v/>
      </c>
      <c r="M548" s="194"/>
      <c r="N548" s="248"/>
      <c r="O548" s="248"/>
      <c r="P548" s="108" t="str">
        <f>IFERROR(INDEX(Setup!$D$44:$D$70,MATCH(M548,Setup!$K$44:$K$70,0))&amp;"","")</f>
        <v/>
      </c>
      <c r="Q548" s="108" t="str">
        <f>IFERROR(INDEX(Setup!$E$44:$E$70,MATCH(M548,Setup!$K$44:$K$70,0))&amp;"","")</f>
        <v/>
      </c>
      <c r="R548" s="108" t="str">
        <f>IFERROR(INDEX(Setup!$L$44:$L$70,MATCH(M548,Setup!$K$44:$K$70,0))&amp;"","")</f>
        <v/>
      </c>
      <c r="S548" s="108" t="str">
        <f>Setup!$C$30</f>
        <v>USD</v>
      </c>
      <c r="T548" s="109" t="str">
        <f>IFERROR(INDEX('Data Sheet'!$B$198:$B$275,MATCH(I548,'Data Sheet'!$F$198:$F$275,0)),"")</f>
        <v/>
      </c>
      <c r="U548" s="110" t="str">
        <f>IFERROR(INDEX('Data Sheet'!$D$198:$D$275,MATCH(I548,'Data Sheet'!$F$198:$F$275,0)),"")</f>
        <v/>
      </c>
      <c r="V548" s="99"/>
      <c r="W548" s="195" t="str">
        <f>IF(V548=Setup!$C$30,"Grant",IF(V548=Setup!$C$31,"Local",IF(V548=Setup!$C$32,"Other",IF(ISBLANK(V548),"","Other"))))</f>
        <v/>
      </c>
      <c r="X548" s="255"/>
      <c r="Y548" s="259" t="str">
        <f>IF(X548&lt;&gt;"",X548/VLOOKUP($V548,Setup!$C$30:$D$41,2,0),"")</f>
        <v/>
      </c>
      <c r="Z548" s="262"/>
      <c r="AA548" s="256" t="str">
        <f t="shared" si="252"/>
        <v/>
      </c>
      <c r="AB548" s="262"/>
      <c r="AC548" s="258" t="str">
        <f t="shared" si="253"/>
        <v/>
      </c>
      <c r="AD548" s="262"/>
      <c r="AE548" s="258" t="str">
        <f t="shared" si="254"/>
        <v/>
      </c>
      <c r="AF548" s="262"/>
      <c r="AG548" s="256" t="str">
        <f t="shared" si="255"/>
        <v/>
      </c>
      <c r="AH548" s="256" t="str">
        <f t="shared" si="256"/>
        <v/>
      </c>
      <c r="AI548" s="256" t="str">
        <f t="shared" si="257"/>
        <v/>
      </c>
      <c r="AJ548" s="111"/>
      <c r="AK548" s="255"/>
      <c r="AL548" s="259" t="str">
        <f>IF(AK548&lt;&gt;"",AK548/VLOOKUP($V548,Setup!$C$30:$D$41,2,0),"")</f>
        <v/>
      </c>
      <c r="AM548" s="266"/>
      <c r="AN548" s="258" t="str">
        <f t="shared" si="258"/>
        <v/>
      </c>
      <c r="AO548" s="266"/>
      <c r="AP548" s="258" t="str">
        <f t="shared" si="259"/>
        <v/>
      </c>
      <c r="AQ548" s="266"/>
      <c r="AR548" s="258" t="str">
        <f t="shared" si="260"/>
        <v/>
      </c>
      <c r="AS548" s="266"/>
      <c r="AT548" s="256" t="str">
        <f t="shared" si="261"/>
        <v/>
      </c>
      <c r="AU548" s="256" t="str">
        <f t="shared" si="262"/>
        <v/>
      </c>
      <c r="AV548" s="256" t="str">
        <f t="shared" si="263"/>
        <v/>
      </c>
      <c r="AW548" s="267"/>
      <c r="AX548" s="255"/>
      <c r="AY548" s="259" t="str">
        <f>IF(AX548&lt;&gt;"",AX548/VLOOKUP($V548,Setup!$C$30:$D$41,2,0),"")</f>
        <v/>
      </c>
      <c r="AZ548" s="268"/>
      <c r="BA548" s="258" t="str">
        <f t="shared" si="264"/>
        <v/>
      </c>
      <c r="BB548" s="268"/>
      <c r="BC548" s="258" t="str">
        <f t="shared" si="265"/>
        <v/>
      </c>
      <c r="BD548" s="268"/>
      <c r="BE548" s="258" t="str">
        <f t="shared" si="266"/>
        <v/>
      </c>
      <c r="BF548" s="268"/>
      <c r="BG548" s="256" t="str">
        <f t="shared" si="267"/>
        <v/>
      </c>
      <c r="BH548" s="256" t="str">
        <f t="shared" si="268"/>
        <v/>
      </c>
      <c r="BI548" s="256" t="str">
        <f t="shared" si="269"/>
        <v/>
      </c>
      <c r="BJ548" s="267"/>
      <c r="BK548" s="255"/>
      <c r="BL548" s="259" t="str">
        <f>IF(BK548&lt;&gt;"",BK548/VLOOKUP($V548,Setup!$C$30:$D$41,2,0),"")</f>
        <v/>
      </c>
      <c r="BM548" s="268"/>
      <c r="BN548" s="258" t="str">
        <f t="shared" si="270"/>
        <v/>
      </c>
      <c r="BO548" s="268"/>
      <c r="BP548" s="258" t="str">
        <f t="shared" si="271"/>
        <v/>
      </c>
      <c r="BQ548" s="268"/>
      <c r="BR548" s="258" t="str">
        <f t="shared" si="272"/>
        <v/>
      </c>
      <c r="BS548" s="268"/>
      <c r="BT548" s="256" t="str">
        <f t="shared" si="273"/>
        <v/>
      </c>
      <c r="BU548" s="256" t="str">
        <f t="shared" si="274"/>
        <v/>
      </c>
      <c r="BV548" s="256" t="str">
        <f t="shared" si="275"/>
        <v/>
      </c>
      <c r="BW548" s="267"/>
      <c r="BX548" s="256" t="str">
        <f t="shared" si="276"/>
        <v/>
      </c>
      <c r="BY548" s="256" t="str">
        <f t="shared" si="277"/>
        <v/>
      </c>
      <c r="BZ548" s="281"/>
      <c r="CA548" s="282"/>
      <c r="CF548" s="284"/>
      <c r="CG548" s="284"/>
      <c r="CH548" s="284"/>
      <c r="CI548" s="284"/>
      <c r="CL548" s="356" t="str">
        <f>IFERROR(VLOOKUP(C548,'Data Sheet'!$A$3:$B$26,2,FALSE),"")</f>
        <v/>
      </c>
    </row>
    <row r="549" spans="1:90" ht="15.75" x14ac:dyDescent="0.2">
      <c r="A549" s="97"/>
      <c r="B549" s="105" t="str">
        <f t="shared" si="280"/>
        <v>--</v>
      </c>
      <c r="C549" s="276"/>
      <c r="D549" s="101" t="str">
        <f>IFERROR(IF(VLOOKUP(C549,'Data Sheet'!$A$3:$D$26,4,FALSE)=0,"",VLOOKUP(C549,'Data Sheet'!$A$3:$D$26,4,FALSE)),"")</f>
        <v/>
      </c>
      <c r="E549" s="279"/>
      <c r="F549" s="103" t="str">
        <f>IFERROR(IF(VLOOKUP(E549,'Data Sheet'!$C$29:$E$174,3,FALSE)=0,"",VLOOKUP(E549,'Data Sheet'!$C$29:$E$174,3,FALSE)),"")</f>
        <v/>
      </c>
      <c r="G549" s="106" t="str">
        <f t="shared" si="278"/>
        <v>-</v>
      </c>
      <c r="H549" s="273"/>
      <c r="I549" s="107"/>
      <c r="J549" s="249" t="e">
        <f t="shared" si="279"/>
        <v>#VALUE!</v>
      </c>
      <c r="K549" s="101" t="str">
        <f>IFERROR(INDEX('Data Sheet'!$C$198:$C$275,MATCH(I549,'Data Sheet'!$F$198:$F$275,0)),"")</f>
        <v/>
      </c>
      <c r="L549" s="250" t="str">
        <f>IFERROR(INDEX('Data Sheet'!$G$198:$G$275,MATCH(I549,'Data Sheet'!$F$198:$F$275,0)),"")</f>
        <v/>
      </c>
      <c r="M549" s="194"/>
      <c r="N549" s="248"/>
      <c r="O549" s="248"/>
      <c r="P549" s="108" t="str">
        <f>IFERROR(INDEX(Setup!$D$44:$D$70,MATCH(M549,Setup!$K$44:$K$70,0))&amp;"","")</f>
        <v/>
      </c>
      <c r="Q549" s="108" t="str">
        <f>IFERROR(INDEX(Setup!$E$44:$E$70,MATCH(M549,Setup!$K$44:$K$70,0))&amp;"","")</f>
        <v/>
      </c>
      <c r="R549" s="108" t="str">
        <f>IFERROR(INDEX(Setup!$L$44:$L$70,MATCH(M549,Setup!$K$44:$K$70,0))&amp;"","")</f>
        <v/>
      </c>
      <c r="S549" s="108" t="str">
        <f>Setup!$C$30</f>
        <v>USD</v>
      </c>
      <c r="T549" s="109" t="str">
        <f>IFERROR(INDEX('Data Sheet'!$B$198:$B$275,MATCH(I549,'Data Sheet'!$F$198:$F$275,0)),"")</f>
        <v/>
      </c>
      <c r="U549" s="110" t="str">
        <f>IFERROR(INDEX('Data Sheet'!$D$198:$D$275,MATCH(I549,'Data Sheet'!$F$198:$F$275,0)),"")</f>
        <v/>
      </c>
      <c r="V549" s="99"/>
      <c r="W549" s="195" t="str">
        <f>IF(V549=Setup!$C$30,"Grant",IF(V549=Setup!$C$31,"Local",IF(V549=Setup!$C$32,"Other",IF(ISBLANK(V549),"","Other"))))</f>
        <v/>
      </c>
      <c r="X549" s="255"/>
      <c r="Y549" s="259" t="str">
        <f>IF(X549&lt;&gt;"",X549/VLOOKUP($V549,Setup!$C$30:$D$41,2,0),"")</f>
        <v/>
      </c>
      <c r="Z549" s="262"/>
      <c r="AA549" s="256" t="str">
        <f t="shared" si="252"/>
        <v/>
      </c>
      <c r="AB549" s="262"/>
      <c r="AC549" s="258" t="str">
        <f t="shared" si="253"/>
        <v/>
      </c>
      <c r="AD549" s="262"/>
      <c r="AE549" s="258" t="str">
        <f t="shared" si="254"/>
        <v/>
      </c>
      <c r="AF549" s="262"/>
      <c r="AG549" s="256" t="str">
        <f t="shared" si="255"/>
        <v/>
      </c>
      <c r="AH549" s="256" t="str">
        <f t="shared" si="256"/>
        <v/>
      </c>
      <c r="AI549" s="256" t="str">
        <f t="shared" si="257"/>
        <v/>
      </c>
      <c r="AJ549" s="111"/>
      <c r="AK549" s="255"/>
      <c r="AL549" s="259" t="str">
        <f>IF(AK549&lt;&gt;"",AK549/VLOOKUP($V549,Setup!$C$30:$D$41,2,0),"")</f>
        <v/>
      </c>
      <c r="AM549" s="266"/>
      <c r="AN549" s="258" t="str">
        <f t="shared" si="258"/>
        <v/>
      </c>
      <c r="AO549" s="266"/>
      <c r="AP549" s="258" t="str">
        <f t="shared" si="259"/>
        <v/>
      </c>
      <c r="AQ549" s="266"/>
      <c r="AR549" s="258" t="str">
        <f t="shared" si="260"/>
        <v/>
      </c>
      <c r="AS549" s="266"/>
      <c r="AT549" s="256" t="str">
        <f t="shared" si="261"/>
        <v/>
      </c>
      <c r="AU549" s="256" t="str">
        <f t="shared" si="262"/>
        <v/>
      </c>
      <c r="AV549" s="256" t="str">
        <f t="shared" si="263"/>
        <v/>
      </c>
      <c r="AW549" s="267"/>
      <c r="AX549" s="255"/>
      <c r="AY549" s="259" t="str">
        <f>IF(AX549&lt;&gt;"",AX549/VLOOKUP($V549,Setup!$C$30:$D$41,2,0),"")</f>
        <v/>
      </c>
      <c r="AZ549" s="268"/>
      <c r="BA549" s="258" t="str">
        <f t="shared" si="264"/>
        <v/>
      </c>
      <c r="BB549" s="268"/>
      <c r="BC549" s="258" t="str">
        <f t="shared" si="265"/>
        <v/>
      </c>
      <c r="BD549" s="268"/>
      <c r="BE549" s="258" t="str">
        <f t="shared" si="266"/>
        <v/>
      </c>
      <c r="BF549" s="268"/>
      <c r="BG549" s="256" t="str">
        <f t="shared" si="267"/>
        <v/>
      </c>
      <c r="BH549" s="256" t="str">
        <f t="shared" si="268"/>
        <v/>
      </c>
      <c r="BI549" s="256" t="str">
        <f t="shared" si="269"/>
        <v/>
      </c>
      <c r="BJ549" s="267"/>
      <c r="BK549" s="255"/>
      <c r="BL549" s="259" t="str">
        <f>IF(BK549&lt;&gt;"",BK549/VLOOKUP($V549,Setup!$C$30:$D$41,2,0),"")</f>
        <v/>
      </c>
      <c r="BM549" s="268"/>
      <c r="BN549" s="258" t="str">
        <f t="shared" si="270"/>
        <v/>
      </c>
      <c r="BO549" s="268"/>
      <c r="BP549" s="258" t="str">
        <f t="shared" si="271"/>
        <v/>
      </c>
      <c r="BQ549" s="268"/>
      <c r="BR549" s="258" t="str">
        <f t="shared" si="272"/>
        <v/>
      </c>
      <c r="BS549" s="268"/>
      <c r="BT549" s="256" t="str">
        <f t="shared" si="273"/>
        <v/>
      </c>
      <c r="BU549" s="256" t="str">
        <f t="shared" si="274"/>
        <v/>
      </c>
      <c r="BV549" s="256" t="str">
        <f t="shared" si="275"/>
        <v/>
      </c>
      <c r="BW549" s="267"/>
      <c r="BX549" s="256" t="str">
        <f t="shared" si="276"/>
        <v/>
      </c>
      <c r="BY549" s="256" t="str">
        <f t="shared" si="277"/>
        <v/>
      </c>
      <c r="BZ549" s="281"/>
      <c r="CA549" s="282"/>
      <c r="CF549" s="284"/>
      <c r="CG549" s="284"/>
      <c r="CH549" s="284"/>
      <c r="CI549" s="284"/>
      <c r="CL549" s="356" t="str">
        <f>IFERROR(VLOOKUP(C549,'Data Sheet'!$A$3:$B$26,2,FALSE),"")</f>
        <v/>
      </c>
    </row>
    <row r="550" spans="1:90" ht="15.75" x14ac:dyDescent="0.2">
      <c r="A550" s="97"/>
      <c r="B550" s="105" t="str">
        <f t="shared" si="280"/>
        <v>--</v>
      </c>
      <c r="C550" s="276"/>
      <c r="D550" s="101" t="str">
        <f>IFERROR(IF(VLOOKUP(C550,'Data Sheet'!$A$3:$D$26,4,FALSE)=0,"",VLOOKUP(C550,'Data Sheet'!$A$3:$D$26,4,FALSE)),"")</f>
        <v/>
      </c>
      <c r="E550" s="279"/>
      <c r="F550" s="103" t="str">
        <f>IFERROR(IF(VLOOKUP(E550,'Data Sheet'!$C$29:$E$174,3,FALSE)=0,"",VLOOKUP(E550,'Data Sheet'!$C$29:$E$174,3,FALSE)),"")</f>
        <v/>
      </c>
      <c r="G550" s="106" t="str">
        <f t="shared" si="278"/>
        <v>-</v>
      </c>
      <c r="H550" s="273"/>
      <c r="I550" s="107"/>
      <c r="J550" s="249" t="e">
        <f t="shared" si="279"/>
        <v>#VALUE!</v>
      </c>
      <c r="K550" s="101" t="str">
        <f>IFERROR(INDEX('Data Sheet'!$C$198:$C$275,MATCH(I550,'Data Sheet'!$F$198:$F$275,0)),"")</f>
        <v/>
      </c>
      <c r="L550" s="250" t="str">
        <f>IFERROR(INDEX('Data Sheet'!$G$198:$G$275,MATCH(I550,'Data Sheet'!$F$198:$F$275,0)),"")</f>
        <v/>
      </c>
      <c r="M550" s="194"/>
      <c r="N550" s="248"/>
      <c r="O550" s="248"/>
      <c r="P550" s="108" t="str">
        <f>IFERROR(INDEX(Setup!$D$44:$D$70,MATCH(M550,Setup!$K$44:$K$70,0))&amp;"","")</f>
        <v/>
      </c>
      <c r="Q550" s="108" t="str">
        <f>IFERROR(INDEX(Setup!$E$44:$E$70,MATCH(M550,Setup!$K$44:$K$70,0))&amp;"","")</f>
        <v/>
      </c>
      <c r="R550" s="108" t="str">
        <f>IFERROR(INDEX(Setup!$L$44:$L$70,MATCH(M550,Setup!$K$44:$K$70,0))&amp;"","")</f>
        <v/>
      </c>
      <c r="S550" s="108" t="str">
        <f>Setup!$C$30</f>
        <v>USD</v>
      </c>
      <c r="T550" s="109" t="str">
        <f>IFERROR(INDEX('Data Sheet'!$B$198:$B$275,MATCH(I550,'Data Sheet'!$F$198:$F$275,0)),"")</f>
        <v/>
      </c>
      <c r="U550" s="110" t="str">
        <f>IFERROR(INDEX('Data Sheet'!$D$198:$D$275,MATCH(I550,'Data Sheet'!$F$198:$F$275,0)),"")</f>
        <v/>
      </c>
      <c r="V550" s="99"/>
      <c r="W550" s="195" t="str">
        <f>IF(V550=Setup!$C$30,"Grant",IF(V550=Setup!$C$31,"Local",IF(V550=Setup!$C$32,"Other",IF(ISBLANK(V550),"","Other"))))</f>
        <v/>
      </c>
      <c r="X550" s="255"/>
      <c r="Y550" s="259" t="str">
        <f>IF(X550&lt;&gt;"",X550/VLOOKUP($V550,Setup!$C$30:$D$41,2,0),"")</f>
        <v/>
      </c>
      <c r="Z550" s="262"/>
      <c r="AA550" s="256" t="str">
        <f t="shared" si="252"/>
        <v/>
      </c>
      <c r="AB550" s="262"/>
      <c r="AC550" s="258" t="str">
        <f t="shared" si="253"/>
        <v/>
      </c>
      <c r="AD550" s="262"/>
      <c r="AE550" s="258" t="str">
        <f t="shared" si="254"/>
        <v/>
      </c>
      <c r="AF550" s="262"/>
      <c r="AG550" s="256" t="str">
        <f t="shared" si="255"/>
        <v/>
      </c>
      <c r="AH550" s="256" t="str">
        <f t="shared" si="256"/>
        <v/>
      </c>
      <c r="AI550" s="256" t="str">
        <f t="shared" si="257"/>
        <v/>
      </c>
      <c r="AJ550" s="111"/>
      <c r="AK550" s="255"/>
      <c r="AL550" s="259" t="str">
        <f>IF(AK550&lt;&gt;"",AK550/VLOOKUP($V550,Setup!$C$30:$D$41,2,0),"")</f>
        <v/>
      </c>
      <c r="AM550" s="266"/>
      <c r="AN550" s="258" t="str">
        <f t="shared" si="258"/>
        <v/>
      </c>
      <c r="AO550" s="266"/>
      <c r="AP550" s="258" t="str">
        <f t="shared" si="259"/>
        <v/>
      </c>
      <c r="AQ550" s="266"/>
      <c r="AR550" s="258" t="str">
        <f t="shared" si="260"/>
        <v/>
      </c>
      <c r="AS550" s="266"/>
      <c r="AT550" s="256" t="str">
        <f t="shared" si="261"/>
        <v/>
      </c>
      <c r="AU550" s="256" t="str">
        <f t="shared" si="262"/>
        <v/>
      </c>
      <c r="AV550" s="256" t="str">
        <f t="shared" si="263"/>
        <v/>
      </c>
      <c r="AW550" s="267"/>
      <c r="AX550" s="255"/>
      <c r="AY550" s="259" t="str">
        <f>IF(AX550&lt;&gt;"",AX550/VLOOKUP($V550,Setup!$C$30:$D$41,2,0),"")</f>
        <v/>
      </c>
      <c r="AZ550" s="268"/>
      <c r="BA550" s="258" t="str">
        <f t="shared" si="264"/>
        <v/>
      </c>
      <c r="BB550" s="268"/>
      <c r="BC550" s="258" t="str">
        <f t="shared" si="265"/>
        <v/>
      </c>
      <c r="BD550" s="268"/>
      <c r="BE550" s="258" t="str">
        <f t="shared" si="266"/>
        <v/>
      </c>
      <c r="BF550" s="268"/>
      <c r="BG550" s="256" t="str">
        <f t="shared" si="267"/>
        <v/>
      </c>
      <c r="BH550" s="256" t="str">
        <f t="shared" si="268"/>
        <v/>
      </c>
      <c r="BI550" s="256" t="str">
        <f t="shared" si="269"/>
        <v/>
      </c>
      <c r="BJ550" s="267"/>
      <c r="BK550" s="255"/>
      <c r="BL550" s="259" t="str">
        <f>IF(BK550&lt;&gt;"",BK550/VLOOKUP($V550,Setup!$C$30:$D$41,2,0),"")</f>
        <v/>
      </c>
      <c r="BM550" s="268"/>
      <c r="BN550" s="258" t="str">
        <f t="shared" si="270"/>
        <v/>
      </c>
      <c r="BO550" s="268"/>
      <c r="BP550" s="258" t="str">
        <f t="shared" si="271"/>
        <v/>
      </c>
      <c r="BQ550" s="268"/>
      <c r="BR550" s="258" t="str">
        <f t="shared" si="272"/>
        <v/>
      </c>
      <c r="BS550" s="268"/>
      <c r="BT550" s="256" t="str">
        <f t="shared" si="273"/>
        <v/>
      </c>
      <c r="BU550" s="256" t="str">
        <f t="shared" si="274"/>
        <v/>
      </c>
      <c r="BV550" s="256" t="str">
        <f t="shared" si="275"/>
        <v/>
      </c>
      <c r="BW550" s="267"/>
      <c r="BX550" s="256" t="str">
        <f t="shared" si="276"/>
        <v/>
      </c>
      <c r="BY550" s="256" t="str">
        <f t="shared" si="277"/>
        <v/>
      </c>
      <c r="BZ550" s="281"/>
      <c r="CA550" s="282"/>
      <c r="CF550" s="284"/>
      <c r="CG550" s="284"/>
      <c r="CH550" s="284"/>
      <c r="CI550" s="284"/>
      <c r="CL550" s="356" t="str">
        <f>IFERROR(VLOOKUP(C550,'Data Sheet'!$A$3:$B$26,2,FALSE),"")</f>
        <v/>
      </c>
    </row>
    <row r="551" spans="1:90" ht="15.75" x14ac:dyDescent="0.2">
      <c r="A551" s="97"/>
      <c r="B551" s="105" t="str">
        <f t="shared" si="280"/>
        <v>--</v>
      </c>
      <c r="C551" s="276"/>
      <c r="D551" s="101" t="str">
        <f>IFERROR(IF(VLOOKUP(C551,'Data Sheet'!$A$3:$D$26,4,FALSE)=0,"",VLOOKUP(C551,'Data Sheet'!$A$3:$D$26,4,FALSE)),"")</f>
        <v/>
      </c>
      <c r="E551" s="279"/>
      <c r="F551" s="103" t="str">
        <f>IFERROR(IF(VLOOKUP(E551,'Data Sheet'!$C$29:$E$174,3,FALSE)=0,"",VLOOKUP(E551,'Data Sheet'!$C$29:$E$174,3,FALSE)),"")</f>
        <v/>
      </c>
      <c r="G551" s="106" t="str">
        <f t="shared" si="278"/>
        <v>-</v>
      </c>
      <c r="H551" s="273"/>
      <c r="I551" s="107"/>
      <c r="J551" s="249" t="e">
        <f t="shared" si="279"/>
        <v>#VALUE!</v>
      </c>
      <c r="K551" s="101" t="str">
        <f>IFERROR(INDEX('Data Sheet'!$C$198:$C$275,MATCH(I551,'Data Sheet'!$F$198:$F$275,0)),"")</f>
        <v/>
      </c>
      <c r="L551" s="250" t="str">
        <f>IFERROR(INDEX('Data Sheet'!$G$198:$G$275,MATCH(I551,'Data Sheet'!$F$198:$F$275,0)),"")</f>
        <v/>
      </c>
      <c r="M551" s="194"/>
      <c r="N551" s="248"/>
      <c r="O551" s="248"/>
      <c r="P551" s="108" t="str">
        <f>IFERROR(INDEX(Setup!$D$44:$D$70,MATCH(M551,Setup!$K$44:$K$70,0))&amp;"","")</f>
        <v/>
      </c>
      <c r="Q551" s="108" t="str">
        <f>IFERROR(INDEX(Setup!$E$44:$E$70,MATCH(M551,Setup!$K$44:$K$70,0))&amp;"","")</f>
        <v/>
      </c>
      <c r="R551" s="108" t="str">
        <f>IFERROR(INDEX(Setup!$L$44:$L$70,MATCH(M551,Setup!$K$44:$K$70,0))&amp;"","")</f>
        <v/>
      </c>
      <c r="S551" s="108" t="str">
        <f>Setup!$C$30</f>
        <v>USD</v>
      </c>
      <c r="T551" s="109" t="str">
        <f>IFERROR(INDEX('Data Sheet'!$B$198:$B$275,MATCH(I551,'Data Sheet'!$F$198:$F$275,0)),"")</f>
        <v/>
      </c>
      <c r="U551" s="110" t="str">
        <f>IFERROR(INDEX('Data Sheet'!$D$198:$D$275,MATCH(I551,'Data Sheet'!$F$198:$F$275,0)),"")</f>
        <v/>
      </c>
      <c r="V551" s="99"/>
      <c r="W551" s="195" t="str">
        <f>IF(V551=Setup!$C$30,"Grant",IF(V551=Setup!$C$31,"Local",IF(V551=Setup!$C$32,"Other",IF(ISBLANK(V551),"","Other"))))</f>
        <v/>
      </c>
      <c r="X551" s="255"/>
      <c r="Y551" s="259" t="str">
        <f>IF(X551&lt;&gt;"",X551/VLOOKUP($V551,Setup!$C$30:$D$41,2,0),"")</f>
        <v/>
      </c>
      <c r="Z551" s="262"/>
      <c r="AA551" s="256" t="str">
        <f t="shared" si="252"/>
        <v/>
      </c>
      <c r="AB551" s="262"/>
      <c r="AC551" s="258" t="str">
        <f t="shared" si="253"/>
        <v/>
      </c>
      <c r="AD551" s="262"/>
      <c r="AE551" s="258" t="str">
        <f t="shared" si="254"/>
        <v/>
      </c>
      <c r="AF551" s="262"/>
      <c r="AG551" s="256" t="str">
        <f t="shared" si="255"/>
        <v/>
      </c>
      <c r="AH551" s="256" t="str">
        <f t="shared" si="256"/>
        <v/>
      </c>
      <c r="AI551" s="256" t="str">
        <f t="shared" si="257"/>
        <v/>
      </c>
      <c r="AJ551" s="111"/>
      <c r="AK551" s="255"/>
      <c r="AL551" s="259" t="str">
        <f>IF(AK551&lt;&gt;"",AK551/VLOOKUP($V551,Setup!$C$30:$D$41,2,0),"")</f>
        <v/>
      </c>
      <c r="AM551" s="266"/>
      <c r="AN551" s="258" t="str">
        <f t="shared" si="258"/>
        <v/>
      </c>
      <c r="AO551" s="266"/>
      <c r="AP551" s="258" t="str">
        <f t="shared" si="259"/>
        <v/>
      </c>
      <c r="AQ551" s="266"/>
      <c r="AR551" s="258" t="str">
        <f t="shared" si="260"/>
        <v/>
      </c>
      <c r="AS551" s="266"/>
      <c r="AT551" s="256" t="str">
        <f t="shared" si="261"/>
        <v/>
      </c>
      <c r="AU551" s="256" t="str">
        <f t="shared" si="262"/>
        <v/>
      </c>
      <c r="AV551" s="256" t="str">
        <f t="shared" si="263"/>
        <v/>
      </c>
      <c r="AW551" s="267"/>
      <c r="AX551" s="255"/>
      <c r="AY551" s="259" t="str">
        <f>IF(AX551&lt;&gt;"",AX551/VLOOKUP($V551,Setup!$C$30:$D$41,2,0),"")</f>
        <v/>
      </c>
      <c r="AZ551" s="268"/>
      <c r="BA551" s="258" t="str">
        <f t="shared" si="264"/>
        <v/>
      </c>
      <c r="BB551" s="268"/>
      <c r="BC551" s="258" t="str">
        <f t="shared" si="265"/>
        <v/>
      </c>
      <c r="BD551" s="268"/>
      <c r="BE551" s="258" t="str">
        <f t="shared" si="266"/>
        <v/>
      </c>
      <c r="BF551" s="268"/>
      <c r="BG551" s="256" t="str">
        <f t="shared" si="267"/>
        <v/>
      </c>
      <c r="BH551" s="256" t="str">
        <f t="shared" si="268"/>
        <v/>
      </c>
      <c r="BI551" s="256" t="str">
        <f t="shared" si="269"/>
        <v/>
      </c>
      <c r="BJ551" s="267"/>
      <c r="BK551" s="255"/>
      <c r="BL551" s="259" t="str">
        <f>IF(BK551&lt;&gt;"",BK551/VLOOKUP($V551,Setup!$C$30:$D$41,2,0),"")</f>
        <v/>
      </c>
      <c r="BM551" s="268"/>
      <c r="BN551" s="258" t="str">
        <f t="shared" si="270"/>
        <v/>
      </c>
      <c r="BO551" s="268"/>
      <c r="BP551" s="258" t="str">
        <f t="shared" si="271"/>
        <v/>
      </c>
      <c r="BQ551" s="268"/>
      <c r="BR551" s="258" t="str">
        <f t="shared" si="272"/>
        <v/>
      </c>
      <c r="BS551" s="268"/>
      <c r="BT551" s="256" t="str">
        <f t="shared" si="273"/>
        <v/>
      </c>
      <c r="BU551" s="256" t="str">
        <f t="shared" si="274"/>
        <v/>
      </c>
      <c r="BV551" s="256" t="str">
        <f t="shared" si="275"/>
        <v/>
      </c>
      <c r="BW551" s="267"/>
      <c r="BX551" s="256" t="str">
        <f t="shared" si="276"/>
        <v/>
      </c>
      <c r="BY551" s="256" t="str">
        <f t="shared" si="277"/>
        <v/>
      </c>
      <c r="BZ551" s="281"/>
      <c r="CA551" s="282"/>
      <c r="CF551" s="284"/>
      <c r="CG551" s="284"/>
      <c r="CH551" s="284"/>
      <c r="CI551" s="284"/>
      <c r="CL551" s="356" t="str">
        <f>IFERROR(VLOOKUP(C551,'Data Sheet'!$A$3:$B$26,2,FALSE),"")</f>
        <v/>
      </c>
    </row>
    <row r="552" spans="1:90" ht="15.75" x14ac:dyDescent="0.2">
      <c r="A552" s="97"/>
      <c r="B552" s="105" t="str">
        <f t="shared" si="280"/>
        <v>--</v>
      </c>
      <c r="C552" s="276"/>
      <c r="D552" s="101" t="str">
        <f>IFERROR(IF(VLOOKUP(C552,'Data Sheet'!$A$3:$D$26,4,FALSE)=0,"",VLOOKUP(C552,'Data Sheet'!$A$3:$D$26,4,FALSE)),"")</f>
        <v/>
      </c>
      <c r="E552" s="279"/>
      <c r="F552" s="103" t="str">
        <f>IFERROR(IF(VLOOKUP(E552,'Data Sheet'!$C$29:$E$174,3,FALSE)=0,"",VLOOKUP(E552,'Data Sheet'!$C$29:$E$174,3,FALSE)),"")</f>
        <v/>
      </c>
      <c r="G552" s="106" t="str">
        <f t="shared" si="278"/>
        <v>-</v>
      </c>
      <c r="H552" s="273"/>
      <c r="I552" s="107"/>
      <c r="J552" s="249" t="e">
        <f t="shared" si="279"/>
        <v>#VALUE!</v>
      </c>
      <c r="K552" s="101" t="str">
        <f>IFERROR(INDEX('Data Sheet'!$C$198:$C$275,MATCH(I552,'Data Sheet'!$F$198:$F$275,0)),"")</f>
        <v/>
      </c>
      <c r="L552" s="250" t="str">
        <f>IFERROR(INDEX('Data Sheet'!$G$198:$G$275,MATCH(I552,'Data Sheet'!$F$198:$F$275,0)),"")</f>
        <v/>
      </c>
      <c r="M552" s="194"/>
      <c r="N552" s="248"/>
      <c r="O552" s="248"/>
      <c r="P552" s="108" t="str">
        <f>IFERROR(INDEX(Setup!$D$44:$D$70,MATCH(M552,Setup!$K$44:$K$70,0))&amp;"","")</f>
        <v/>
      </c>
      <c r="Q552" s="108" t="str">
        <f>IFERROR(INDEX(Setup!$E$44:$E$70,MATCH(M552,Setup!$K$44:$K$70,0))&amp;"","")</f>
        <v/>
      </c>
      <c r="R552" s="108" t="str">
        <f>IFERROR(INDEX(Setup!$L$44:$L$70,MATCH(M552,Setup!$K$44:$K$70,0))&amp;"","")</f>
        <v/>
      </c>
      <c r="S552" s="108" t="str">
        <f>Setup!$C$30</f>
        <v>USD</v>
      </c>
      <c r="T552" s="109" t="str">
        <f>IFERROR(INDEX('Data Sheet'!$B$198:$B$275,MATCH(I552,'Data Sheet'!$F$198:$F$275,0)),"")</f>
        <v/>
      </c>
      <c r="U552" s="110" t="str">
        <f>IFERROR(INDEX('Data Sheet'!$D$198:$D$275,MATCH(I552,'Data Sheet'!$F$198:$F$275,0)),"")</f>
        <v/>
      </c>
      <c r="V552" s="99"/>
      <c r="W552" s="195" t="str">
        <f>IF(V552=Setup!$C$30,"Grant",IF(V552=Setup!$C$31,"Local",IF(V552=Setup!$C$32,"Other",IF(ISBLANK(V552),"","Other"))))</f>
        <v/>
      </c>
      <c r="X552" s="255"/>
      <c r="Y552" s="259" t="str">
        <f>IF(X552&lt;&gt;"",X552/VLOOKUP($V552,Setup!$C$30:$D$41,2,0),"")</f>
        <v/>
      </c>
      <c r="Z552" s="262"/>
      <c r="AA552" s="256" t="str">
        <f t="shared" si="252"/>
        <v/>
      </c>
      <c r="AB552" s="262"/>
      <c r="AC552" s="258" t="str">
        <f t="shared" si="253"/>
        <v/>
      </c>
      <c r="AD552" s="262"/>
      <c r="AE552" s="258" t="str">
        <f t="shared" si="254"/>
        <v/>
      </c>
      <c r="AF552" s="262"/>
      <c r="AG552" s="256" t="str">
        <f t="shared" si="255"/>
        <v/>
      </c>
      <c r="AH552" s="256" t="str">
        <f t="shared" si="256"/>
        <v/>
      </c>
      <c r="AI552" s="256" t="str">
        <f t="shared" si="257"/>
        <v/>
      </c>
      <c r="AJ552" s="111"/>
      <c r="AK552" s="255"/>
      <c r="AL552" s="259" t="str">
        <f>IF(AK552&lt;&gt;"",AK552/VLOOKUP($V552,Setup!$C$30:$D$41,2,0),"")</f>
        <v/>
      </c>
      <c r="AM552" s="266"/>
      <c r="AN552" s="258" t="str">
        <f t="shared" si="258"/>
        <v/>
      </c>
      <c r="AO552" s="266"/>
      <c r="AP552" s="258" t="str">
        <f t="shared" si="259"/>
        <v/>
      </c>
      <c r="AQ552" s="266"/>
      <c r="AR552" s="258" t="str">
        <f t="shared" si="260"/>
        <v/>
      </c>
      <c r="AS552" s="266"/>
      <c r="AT552" s="256" t="str">
        <f t="shared" si="261"/>
        <v/>
      </c>
      <c r="AU552" s="256" t="str">
        <f t="shared" si="262"/>
        <v/>
      </c>
      <c r="AV552" s="256" t="str">
        <f t="shared" si="263"/>
        <v/>
      </c>
      <c r="AW552" s="267"/>
      <c r="AX552" s="255"/>
      <c r="AY552" s="259" t="str">
        <f>IF(AX552&lt;&gt;"",AX552/VLOOKUP($V552,Setup!$C$30:$D$41,2,0),"")</f>
        <v/>
      </c>
      <c r="AZ552" s="268"/>
      <c r="BA552" s="258" t="str">
        <f t="shared" si="264"/>
        <v/>
      </c>
      <c r="BB552" s="268"/>
      <c r="BC552" s="258" t="str">
        <f t="shared" si="265"/>
        <v/>
      </c>
      <c r="BD552" s="268"/>
      <c r="BE552" s="258" t="str">
        <f t="shared" si="266"/>
        <v/>
      </c>
      <c r="BF552" s="268"/>
      <c r="BG552" s="256" t="str">
        <f t="shared" si="267"/>
        <v/>
      </c>
      <c r="BH552" s="256" t="str">
        <f t="shared" si="268"/>
        <v/>
      </c>
      <c r="BI552" s="256" t="str">
        <f t="shared" si="269"/>
        <v/>
      </c>
      <c r="BJ552" s="267"/>
      <c r="BK552" s="255"/>
      <c r="BL552" s="259" t="str">
        <f>IF(BK552&lt;&gt;"",BK552/VLOOKUP($V552,Setup!$C$30:$D$41,2,0),"")</f>
        <v/>
      </c>
      <c r="BM552" s="268"/>
      <c r="BN552" s="258" t="str">
        <f t="shared" si="270"/>
        <v/>
      </c>
      <c r="BO552" s="268"/>
      <c r="BP552" s="258" t="str">
        <f t="shared" si="271"/>
        <v/>
      </c>
      <c r="BQ552" s="268"/>
      <c r="BR552" s="258" t="str">
        <f t="shared" si="272"/>
        <v/>
      </c>
      <c r="BS552" s="268"/>
      <c r="BT552" s="256" t="str">
        <f t="shared" si="273"/>
        <v/>
      </c>
      <c r="BU552" s="256" t="str">
        <f t="shared" si="274"/>
        <v/>
      </c>
      <c r="BV552" s="256" t="str">
        <f t="shared" si="275"/>
        <v/>
      </c>
      <c r="BW552" s="267"/>
      <c r="BX552" s="256" t="str">
        <f t="shared" si="276"/>
        <v/>
      </c>
      <c r="BY552" s="256" t="str">
        <f t="shared" si="277"/>
        <v/>
      </c>
      <c r="BZ552" s="281"/>
      <c r="CA552" s="282"/>
      <c r="CF552" s="284"/>
      <c r="CG552" s="284"/>
      <c r="CH552" s="284"/>
      <c r="CI552" s="284"/>
      <c r="CL552" s="356" t="str">
        <f>IFERROR(VLOOKUP(C552,'Data Sheet'!$A$3:$B$26,2,FALSE),"")</f>
        <v/>
      </c>
    </row>
    <row r="553" spans="1:90" ht="15.75" x14ac:dyDescent="0.2">
      <c r="A553" s="97"/>
      <c r="B553" s="105" t="str">
        <f t="shared" si="280"/>
        <v>--</v>
      </c>
      <c r="C553" s="276"/>
      <c r="D553" s="101" t="str">
        <f>IFERROR(IF(VLOOKUP(C553,'Data Sheet'!$A$3:$D$26,4,FALSE)=0,"",VLOOKUP(C553,'Data Sheet'!$A$3:$D$26,4,FALSE)),"")</f>
        <v/>
      </c>
      <c r="E553" s="279"/>
      <c r="F553" s="103" t="str">
        <f>IFERROR(IF(VLOOKUP(E553,'Data Sheet'!$C$29:$E$174,3,FALSE)=0,"",VLOOKUP(E553,'Data Sheet'!$C$29:$E$174,3,FALSE)),"")</f>
        <v/>
      </c>
      <c r="G553" s="106" t="str">
        <f t="shared" si="278"/>
        <v>-</v>
      </c>
      <c r="H553" s="273"/>
      <c r="I553" s="107"/>
      <c r="J553" s="249" t="e">
        <f t="shared" si="279"/>
        <v>#VALUE!</v>
      </c>
      <c r="K553" s="101" t="str">
        <f>IFERROR(INDEX('Data Sheet'!$C$198:$C$275,MATCH(I553,'Data Sheet'!$F$198:$F$275,0)),"")</f>
        <v/>
      </c>
      <c r="L553" s="250" t="str">
        <f>IFERROR(INDEX('Data Sheet'!$G$198:$G$275,MATCH(I553,'Data Sheet'!$F$198:$F$275,0)),"")</f>
        <v/>
      </c>
      <c r="M553" s="194"/>
      <c r="N553" s="248"/>
      <c r="O553" s="248"/>
      <c r="P553" s="108" t="str">
        <f>IFERROR(INDEX(Setup!$D$44:$D$70,MATCH(M553,Setup!$K$44:$K$70,0))&amp;"","")</f>
        <v/>
      </c>
      <c r="Q553" s="108" t="str">
        <f>IFERROR(INDEX(Setup!$E$44:$E$70,MATCH(M553,Setup!$K$44:$K$70,0))&amp;"","")</f>
        <v/>
      </c>
      <c r="R553" s="108" t="str">
        <f>IFERROR(INDEX(Setup!$L$44:$L$70,MATCH(M553,Setup!$K$44:$K$70,0))&amp;"","")</f>
        <v/>
      </c>
      <c r="S553" s="108" t="str">
        <f>Setup!$C$30</f>
        <v>USD</v>
      </c>
      <c r="T553" s="109" t="str">
        <f>IFERROR(INDEX('Data Sheet'!$B$198:$B$275,MATCH(I553,'Data Sheet'!$F$198:$F$275,0)),"")</f>
        <v/>
      </c>
      <c r="U553" s="110" t="str">
        <f>IFERROR(INDEX('Data Sheet'!$D$198:$D$275,MATCH(I553,'Data Sheet'!$F$198:$F$275,0)),"")</f>
        <v/>
      </c>
      <c r="V553" s="99"/>
      <c r="W553" s="195" t="str">
        <f>IF(V553=Setup!$C$30,"Grant",IF(V553=Setup!$C$31,"Local",IF(V553=Setup!$C$32,"Other",IF(ISBLANK(V553),"","Other"))))</f>
        <v/>
      </c>
      <c r="X553" s="255"/>
      <c r="Y553" s="259" t="str">
        <f>IF(X553&lt;&gt;"",X553/VLOOKUP($V553,Setup!$C$30:$D$41,2,0),"")</f>
        <v/>
      </c>
      <c r="Z553" s="262"/>
      <c r="AA553" s="256" t="str">
        <f t="shared" si="252"/>
        <v/>
      </c>
      <c r="AB553" s="262"/>
      <c r="AC553" s="258" t="str">
        <f t="shared" si="253"/>
        <v/>
      </c>
      <c r="AD553" s="262"/>
      <c r="AE553" s="258" t="str">
        <f t="shared" si="254"/>
        <v/>
      </c>
      <c r="AF553" s="262"/>
      <c r="AG553" s="256" t="str">
        <f t="shared" si="255"/>
        <v/>
      </c>
      <c r="AH553" s="256" t="str">
        <f t="shared" si="256"/>
        <v/>
      </c>
      <c r="AI553" s="256" t="str">
        <f t="shared" si="257"/>
        <v/>
      </c>
      <c r="AJ553" s="111"/>
      <c r="AK553" s="255"/>
      <c r="AL553" s="259" t="str">
        <f>IF(AK553&lt;&gt;"",AK553/VLOOKUP($V553,Setup!$C$30:$D$41,2,0),"")</f>
        <v/>
      </c>
      <c r="AM553" s="266"/>
      <c r="AN553" s="258" t="str">
        <f t="shared" si="258"/>
        <v/>
      </c>
      <c r="AO553" s="266"/>
      <c r="AP553" s="258" t="str">
        <f t="shared" si="259"/>
        <v/>
      </c>
      <c r="AQ553" s="266"/>
      <c r="AR553" s="258" t="str">
        <f t="shared" si="260"/>
        <v/>
      </c>
      <c r="AS553" s="266"/>
      <c r="AT553" s="256" t="str">
        <f t="shared" si="261"/>
        <v/>
      </c>
      <c r="AU553" s="256" t="str">
        <f t="shared" si="262"/>
        <v/>
      </c>
      <c r="AV553" s="256" t="str">
        <f t="shared" si="263"/>
        <v/>
      </c>
      <c r="AW553" s="267"/>
      <c r="AX553" s="255"/>
      <c r="AY553" s="259" t="str">
        <f>IF(AX553&lt;&gt;"",AX553/VLOOKUP($V553,Setup!$C$30:$D$41,2,0),"")</f>
        <v/>
      </c>
      <c r="AZ553" s="268"/>
      <c r="BA553" s="258" t="str">
        <f t="shared" si="264"/>
        <v/>
      </c>
      <c r="BB553" s="268"/>
      <c r="BC553" s="258" t="str">
        <f t="shared" si="265"/>
        <v/>
      </c>
      <c r="BD553" s="268"/>
      <c r="BE553" s="258" t="str">
        <f t="shared" si="266"/>
        <v/>
      </c>
      <c r="BF553" s="268"/>
      <c r="BG553" s="256" t="str">
        <f t="shared" si="267"/>
        <v/>
      </c>
      <c r="BH553" s="256" t="str">
        <f t="shared" si="268"/>
        <v/>
      </c>
      <c r="BI553" s="256" t="str">
        <f t="shared" si="269"/>
        <v/>
      </c>
      <c r="BJ553" s="267"/>
      <c r="BK553" s="255"/>
      <c r="BL553" s="259" t="str">
        <f>IF(BK553&lt;&gt;"",BK553/VLOOKUP($V553,Setup!$C$30:$D$41,2,0),"")</f>
        <v/>
      </c>
      <c r="BM553" s="268"/>
      <c r="BN553" s="258" t="str">
        <f t="shared" si="270"/>
        <v/>
      </c>
      <c r="BO553" s="268"/>
      <c r="BP553" s="258" t="str">
        <f t="shared" si="271"/>
        <v/>
      </c>
      <c r="BQ553" s="268"/>
      <c r="BR553" s="258" t="str">
        <f t="shared" si="272"/>
        <v/>
      </c>
      <c r="BS553" s="268"/>
      <c r="BT553" s="256" t="str">
        <f t="shared" si="273"/>
        <v/>
      </c>
      <c r="BU553" s="256" t="str">
        <f t="shared" si="274"/>
        <v/>
      </c>
      <c r="BV553" s="256" t="str">
        <f t="shared" si="275"/>
        <v/>
      </c>
      <c r="BW553" s="267"/>
      <c r="BX553" s="256" t="str">
        <f t="shared" si="276"/>
        <v/>
      </c>
      <c r="BY553" s="256" t="str">
        <f t="shared" si="277"/>
        <v/>
      </c>
      <c r="BZ553" s="281"/>
      <c r="CA553" s="282"/>
      <c r="CF553" s="284"/>
      <c r="CG553" s="284"/>
      <c r="CH553" s="284"/>
      <c r="CI553" s="284"/>
      <c r="CL553" s="356" t="str">
        <f>IFERROR(VLOOKUP(C553,'Data Sheet'!$A$3:$B$26,2,FALSE),"")</f>
        <v/>
      </c>
    </row>
    <row r="554" spans="1:90" ht="15.75" x14ac:dyDescent="0.2">
      <c r="A554" s="97"/>
      <c r="B554" s="105" t="str">
        <f t="shared" si="280"/>
        <v>--</v>
      </c>
      <c r="C554" s="276"/>
      <c r="D554" s="101" t="str">
        <f>IFERROR(IF(VLOOKUP(C554,'Data Sheet'!$A$3:$D$26,4,FALSE)=0,"",VLOOKUP(C554,'Data Sheet'!$A$3:$D$26,4,FALSE)),"")</f>
        <v/>
      </c>
      <c r="E554" s="279"/>
      <c r="F554" s="103" t="str">
        <f>IFERROR(IF(VLOOKUP(E554,'Data Sheet'!$C$29:$E$174,3,FALSE)=0,"",VLOOKUP(E554,'Data Sheet'!$C$29:$E$174,3,FALSE)),"")</f>
        <v/>
      </c>
      <c r="G554" s="106" t="str">
        <f t="shared" si="278"/>
        <v>-</v>
      </c>
      <c r="H554" s="273"/>
      <c r="I554" s="107"/>
      <c r="J554" s="249" t="e">
        <f t="shared" si="279"/>
        <v>#VALUE!</v>
      </c>
      <c r="K554" s="101" t="str">
        <f>IFERROR(INDEX('Data Sheet'!$C$198:$C$275,MATCH(I554,'Data Sheet'!$F$198:$F$275,0)),"")</f>
        <v/>
      </c>
      <c r="L554" s="250" t="str">
        <f>IFERROR(INDEX('Data Sheet'!$G$198:$G$275,MATCH(I554,'Data Sheet'!$F$198:$F$275,0)),"")</f>
        <v/>
      </c>
      <c r="M554" s="194"/>
      <c r="N554" s="248"/>
      <c r="O554" s="248"/>
      <c r="P554" s="108" t="str">
        <f>IFERROR(INDEX(Setup!$D$44:$D$70,MATCH(M554,Setup!$K$44:$K$70,0))&amp;"","")</f>
        <v/>
      </c>
      <c r="Q554" s="108" t="str">
        <f>IFERROR(INDEX(Setup!$E$44:$E$70,MATCH(M554,Setup!$K$44:$K$70,0))&amp;"","")</f>
        <v/>
      </c>
      <c r="R554" s="108" t="str">
        <f>IFERROR(INDEX(Setup!$L$44:$L$70,MATCH(M554,Setup!$K$44:$K$70,0))&amp;"","")</f>
        <v/>
      </c>
      <c r="S554" s="108" t="str">
        <f>Setup!$C$30</f>
        <v>USD</v>
      </c>
      <c r="T554" s="109" t="str">
        <f>IFERROR(INDEX('Data Sheet'!$B$198:$B$275,MATCH(I554,'Data Sheet'!$F$198:$F$275,0)),"")</f>
        <v/>
      </c>
      <c r="U554" s="110" t="str">
        <f>IFERROR(INDEX('Data Sheet'!$D$198:$D$275,MATCH(I554,'Data Sheet'!$F$198:$F$275,0)),"")</f>
        <v/>
      </c>
      <c r="V554" s="99"/>
      <c r="W554" s="195" t="str">
        <f>IF(V554=Setup!$C$30,"Grant",IF(V554=Setup!$C$31,"Local",IF(V554=Setup!$C$32,"Other",IF(ISBLANK(V554),"","Other"))))</f>
        <v/>
      </c>
      <c r="X554" s="255"/>
      <c r="Y554" s="259" t="str">
        <f>IF(X554&lt;&gt;"",X554/VLOOKUP($V554,Setup!$C$30:$D$41,2,0),"")</f>
        <v/>
      </c>
      <c r="Z554" s="262"/>
      <c r="AA554" s="256" t="str">
        <f t="shared" si="252"/>
        <v/>
      </c>
      <c r="AB554" s="262"/>
      <c r="AC554" s="258" t="str">
        <f t="shared" si="253"/>
        <v/>
      </c>
      <c r="AD554" s="262"/>
      <c r="AE554" s="258" t="str">
        <f t="shared" si="254"/>
        <v/>
      </c>
      <c r="AF554" s="262"/>
      <c r="AG554" s="256" t="str">
        <f t="shared" si="255"/>
        <v/>
      </c>
      <c r="AH554" s="256" t="str">
        <f t="shared" si="256"/>
        <v/>
      </c>
      <c r="AI554" s="256" t="str">
        <f t="shared" si="257"/>
        <v/>
      </c>
      <c r="AJ554" s="111"/>
      <c r="AK554" s="255"/>
      <c r="AL554" s="259" t="str">
        <f>IF(AK554&lt;&gt;"",AK554/VLOOKUP($V554,Setup!$C$30:$D$41,2,0),"")</f>
        <v/>
      </c>
      <c r="AM554" s="266"/>
      <c r="AN554" s="258" t="str">
        <f t="shared" si="258"/>
        <v/>
      </c>
      <c r="AO554" s="266"/>
      <c r="AP554" s="258" t="str">
        <f t="shared" si="259"/>
        <v/>
      </c>
      <c r="AQ554" s="266"/>
      <c r="AR554" s="258" t="str">
        <f t="shared" si="260"/>
        <v/>
      </c>
      <c r="AS554" s="266"/>
      <c r="AT554" s="256" t="str">
        <f t="shared" si="261"/>
        <v/>
      </c>
      <c r="AU554" s="256" t="str">
        <f t="shared" si="262"/>
        <v/>
      </c>
      <c r="AV554" s="256" t="str">
        <f t="shared" si="263"/>
        <v/>
      </c>
      <c r="AW554" s="267"/>
      <c r="AX554" s="255"/>
      <c r="AY554" s="259" t="str">
        <f>IF(AX554&lt;&gt;"",AX554/VLOOKUP($V554,Setup!$C$30:$D$41,2,0),"")</f>
        <v/>
      </c>
      <c r="AZ554" s="268"/>
      <c r="BA554" s="258" t="str">
        <f t="shared" si="264"/>
        <v/>
      </c>
      <c r="BB554" s="268"/>
      <c r="BC554" s="258" t="str">
        <f t="shared" si="265"/>
        <v/>
      </c>
      <c r="BD554" s="268"/>
      <c r="BE554" s="258" t="str">
        <f t="shared" si="266"/>
        <v/>
      </c>
      <c r="BF554" s="268"/>
      <c r="BG554" s="256" t="str">
        <f t="shared" si="267"/>
        <v/>
      </c>
      <c r="BH554" s="256" t="str">
        <f t="shared" si="268"/>
        <v/>
      </c>
      <c r="BI554" s="256" t="str">
        <f t="shared" si="269"/>
        <v/>
      </c>
      <c r="BJ554" s="267"/>
      <c r="BK554" s="255"/>
      <c r="BL554" s="259" t="str">
        <f>IF(BK554&lt;&gt;"",BK554/VLOOKUP($V554,Setup!$C$30:$D$41,2,0),"")</f>
        <v/>
      </c>
      <c r="BM554" s="268"/>
      <c r="BN554" s="258" t="str">
        <f t="shared" si="270"/>
        <v/>
      </c>
      <c r="BO554" s="268"/>
      <c r="BP554" s="258" t="str">
        <f t="shared" si="271"/>
        <v/>
      </c>
      <c r="BQ554" s="268"/>
      <c r="BR554" s="258" t="str">
        <f t="shared" si="272"/>
        <v/>
      </c>
      <c r="BS554" s="268"/>
      <c r="BT554" s="256" t="str">
        <f t="shared" si="273"/>
        <v/>
      </c>
      <c r="BU554" s="256" t="str">
        <f t="shared" si="274"/>
        <v/>
      </c>
      <c r="BV554" s="256" t="str">
        <f t="shared" si="275"/>
        <v/>
      </c>
      <c r="BW554" s="267"/>
      <c r="BX554" s="256" t="str">
        <f t="shared" si="276"/>
        <v/>
      </c>
      <c r="BY554" s="256" t="str">
        <f t="shared" si="277"/>
        <v/>
      </c>
      <c r="BZ554" s="281"/>
      <c r="CA554" s="282"/>
      <c r="CF554" s="284"/>
      <c r="CG554" s="284"/>
      <c r="CH554" s="284"/>
      <c r="CI554" s="284"/>
      <c r="CL554" s="356" t="str">
        <f>IFERROR(VLOOKUP(C554,'Data Sheet'!$A$3:$B$26,2,FALSE),"")</f>
        <v/>
      </c>
    </row>
    <row r="555" spans="1:90" ht="15.75" x14ac:dyDescent="0.2">
      <c r="A555" s="97"/>
      <c r="B555" s="105" t="str">
        <f t="shared" si="280"/>
        <v>--</v>
      </c>
      <c r="C555" s="276"/>
      <c r="D555" s="101" t="str">
        <f>IFERROR(IF(VLOOKUP(C555,'Data Sheet'!$A$3:$D$26,4,FALSE)=0,"",VLOOKUP(C555,'Data Sheet'!$A$3:$D$26,4,FALSE)),"")</f>
        <v/>
      </c>
      <c r="E555" s="279"/>
      <c r="F555" s="103" t="str">
        <f>IFERROR(IF(VLOOKUP(E555,'Data Sheet'!$C$29:$E$174,3,FALSE)=0,"",VLOOKUP(E555,'Data Sheet'!$C$29:$E$174,3,FALSE)),"")</f>
        <v/>
      </c>
      <c r="G555" s="106" t="str">
        <f t="shared" si="278"/>
        <v>-</v>
      </c>
      <c r="H555" s="273"/>
      <c r="I555" s="107"/>
      <c r="J555" s="249" t="e">
        <f t="shared" si="279"/>
        <v>#VALUE!</v>
      </c>
      <c r="K555" s="101" t="str">
        <f>IFERROR(INDEX('Data Sheet'!$C$198:$C$275,MATCH(I555,'Data Sheet'!$F$198:$F$275,0)),"")</f>
        <v/>
      </c>
      <c r="L555" s="250" t="str">
        <f>IFERROR(INDEX('Data Sheet'!$G$198:$G$275,MATCH(I555,'Data Sheet'!$F$198:$F$275,0)),"")</f>
        <v/>
      </c>
      <c r="M555" s="194"/>
      <c r="N555" s="248"/>
      <c r="O555" s="248"/>
      <c r="P555" s="108" t="str">
        <f>IFERROR(INDEX(Setup!$D$44:$D$70,MATCH(M555,Setup!$K$44:$K$70,0))&amp;"","")</f>
        <v/>
      </c>
      <c r="Q555" s="108" t="str">
        <f>IFERROR(INDEX(Setup!$E$44:$E$70,MATCH(M555,Setup!$K$44:$K$70,0))&amp;"","")</f>
        <v/>
      </c>
      <c r="R555" s="108" t="str">
        <f>IFERROR(INDEX(Setup!$L$44:$L$70,MATCH(M555,Setup!$K$44:$K$70,0))&amp;"","")</f>
        <v/>
      </c>
      <c r="S555" s="108" t="str">
        <f>Setup!$C$30</f>
        <v>USD</v>
      </c>
      <c r="T555" s="109" t="str">
        <f>IFERROR(INDEX('Data Sheet'!$B$198:$B$275,MATCH(I555,'Data Sheet'!$F$198:$F$275,0)),"")</f>
        <v/>
      </c>
      <c r="U555" s="110" t="str">
        <f>IFERROR(INDEX('Data Sheet'!$D$198:$D$275,MATCH(I555,'Data Sheet'!$F$198:$F$275,0)),"")</f>
        <v/>
      </c>
      <c r="V555" s="99"/>
      <c r="W555" s="195" t="str">
        <f>IF(V555=Setup!$C$30,"Grant",IF(V555=Setup!$C$31,"Local",IF(V555=Setup!$C$32,"Other",IF(ISBLANK(V555),"","Other"))))</f>
        <v/>
      </c>
      <c r="X555" s="255"/>
      <c r="Y555" s="259" t="str">
        <f>IF(X555&lt;&gt;"",X555/VLOOKUP($V555,Setup!$C$30:$D$41,2,0),"")</f>
        <v/>
      </c>
      <c r="Z555" s="262"/>
      <c r="AA555" s="256" t="str">
        <f t="shared" si="252"/>
        <v/>
      </c>
      <c r="AB555" s="262"/>
      <c r="AC555" s="258" t="str">
        <f t="shared" si="253"/>
        <v/>
      </c>
      <c r="AD555" s="262"/>
      <c r="AE555" s="258" t="str">
        <f t="shared" si="254"/>
        <v/>
      </c>
      <c r="AF555" s="262"/>
      <c r="AG555" s="256" t="str">
        <f t="shared" si="255"/>
        <v/>
      </c>
      <c r="AH555" s="256" t="str">
        <f t="shared" si="256"/>
        <v/>
      </c>
      <c r="AI555" s="256" t="str">
        <f t="shared" si="257"/>
        <v/>
      </c>
      <c r="AJ555" s="111"/>
      <c r="AK555" s="255"/>
      <c r="AL555" s="259" t="str">
        <f>IF(AK555&lt;&gt;"",AK555/VLOOKUP($V555,Setup!$C$30:$D$41,2,0),"")</f>
        <v/>
      </c>
      <c r="AM555" s="266"/>
      <c r="AN555" s="258" t="str">
        <f t="shared" si="258"/>
        <v/>
      </c>
      <c r="AO555" s="266"/>
      <c r="AP555" s="258" t="str">
        <f t="shared" si="259"/>
        <v/>
      </c>
      <c r="AQ555" s="266"/>
      <c r="AR555" s="258" t="str">
        <f t="shared" si="260"/>
        <v/>
      </c>
      <c r="AS555" s="266"/>
      <c r="AT555" s="256" t="str">
        <f t="shared" si="261"/>
        <v/>
      </c>
      <c r="AU555" s="256" t="str">
        <f t="shared" si="262"/>
        <v/>
      </c>
      <c r="AV555" s="256" t="str">
        <f t="shared" si="263"/>
        <v/>
      </c>
      <c r="AW555" s="267"/>
      <c r="AX555" s="255"/>
      <c r="AY555" s="259" t="str">
        <f>IF(AX555&lt;&gt;"",AX555/VLOOKUP($V555,Setup!$C$30:$D$41,2,0),"")</f>
        <v/>
      </c>
      <c r="AZ555" s="268"/>
      <c r="BA555" s="258" t="str">
        <f t="shared" si="264"/>
        <v/>
      </c>
      <c r="BB555" s="268"/>
      <c r="BC555" s="258" t="str">
        <f t="shared" si="265"/>
        <v/>
      </c>
      <c r="BD555" s="268"/>
      <c r="BE555" s="258" t="str">
        <f t="shared" si="266"/>
        <v/>
      </c>
      <c r="BF555" s="268"/>
      <c r="BG555" s="256" t="str">
        <f t="shared" si="267"/>
        <v/>
      </c>
      <c r="BH555" s="256" t="str">
        <f t="shared" si="268"/>
        <v/>
      </c>
      <c r="BI555" s="256" t="str">
        <f t="shared" si="269"/>
        <v/>
      </c>
      <c r="BJ555" s="267"/>
      <c r="BK555" s="255"/>
      <c r="BL555" s="259" t="str">
        <f>IF(BK555&lt;&gt;"",BK555/VLOOKUP($V555,Setup!$C$30:$D$41,2,0),"")</f>
        <v/>
      </c>
      <c r="BM555" s="268"/>
      <c r="BN555" s="258" t="str">
        <f t="shared" si="270"/>
        <v/>
      </c>
      <c r="BO555" s="268"/>
      <c r="BP555" s="258" t="str">
        <f t="shared" si="271"/>
        <v/>
      </c>
      <c r="BQ555" s="268"/>
      <c r="BR555" s="258" t="str">
        <f t="shared" si="272"/>
        <v/>
      </c>
      <c r="BS555" s="268"/>
      <c r="BT555" s="256" t="str">
        <f t="shared" si="273"/>
        <v/>
      </c>
      <c r="BU555" s="256" t="str">
        <f t="shared" si="274"/>
        <v/>
      </c>
      <c r="BV555" s="256" t="str">
        <f t="shared" si="275"/>
        <v/>
      </c>
      <c r="BW555" s="267"/>
      <c r="BX555" s="256" t="str">
        <f t="shared" si="276"/>
        <v/>
      </c>
      <c r="BY555" s="256" t="str">
        <f t="shared" si="277"/>
        <v/>
      </c>
      <c r="BZ555" s="281"/>
      <c r="CA555" s="282"/>
      <c r="CF555" s="284"/>
      <c r="CG555" s="284"/>
      <c r="CH555" s="284"/>
      <c r="CI555" s="284"/>
      <c r="CL555" s="356" t="str">
        <f>IFERROR(VLOOKUP(C555,'Data Sheet'!$A$3:$B$26,2,FALSE),"")</f>
        <v/>
      </c>
    </row>
    <row r="556" spans="1:90" ht="15.75" x14ac:dyDescent="0.2">
      <c r="A556" s="97"/>
      <c r="B556" s="105" t="str">
        <f t="shared" si="280"/>
        <v>--</v>
      </c>
      <c r="C556" s="276"/>
      <c r="D556" s="101" t="str">
        <f>IFERROR(IF(VLOOKUP(C556,'Data Sheet'!$A$3:$D$26,4,FALSE)=0,"",VLOOKUP(C556,'Data Sheet'!$A$3:$D$26,4,FALSE)),"")</f>
        <v/>
      </c>
      <c r="E556" s="279"/>
      <c r="F556" s="103" t="str">
        <f>IFERROR(IF(VLOOKUP(E556,'Data Sheet'!$C$29:$E$174,3,FALSE)=0,"",VLOOKUP(E556,'Data Sheet'!$C$29:$E$174,3,FALSE)),"")</f>
        <v/>
      </c>
      <c r="G556" s="106" t="str">
        <f t="shared" si="278"/>
        <v>-</v>
      </c>
      <c r="H556" s="273"/>
      <c r="I556" s="107"/>
      <c r="J556" s="249" t="e">
        <f t="shared" si="279"/>
        <v>#VALUE!</v>
      </c>
      <c r="K556" s="101" t="str">
        <f>IFERROR(INDEX('Data Sheet'!$C$198:$C$275,MATCH(I556,'Data Sheet'!$F$198:$F$275,0)),"")</f>
        <v/>
      </c>
      <c r="L556" s="250" t="str">
        <f>IFERROR(INDEX('Data Sheet'!$G$198:$G$275,MATCH(I556,'Data Sheet'!$F$198:$F$275,0)),"")</f>
        <v/>
      </c>
      <c r="M556" s="194"/>
      <c r="N556" s="248"/>
      <c r="O556" s="248"/>
      <c r="P556" s="108" t="str">
        <f>IFERROR(INDEX(Setup!$D$44:$D$70,MATCH(M556,Setup!$K$44:$K$70,0))&amp;"","")</f>
        <v/>
      </c>
      <c r="Q556" s="108" t="str">
        <f>IFERROR(INDEX(Setup!$E$44:$E$70,MATCH(M556,Setup!$K$44:$K$70,0))&amp;"","")</f>
        <v/>
      </c>
      <c r="R556" s="108" t="str">
        <f>IFERROR(INDEX(Setup!$L$44:$L$70,MATCH(M556,Setup!$K$44:$K$70,0))&amp;"","")</f>
        <v/>
      </c>
      <c r="S556" s="108" t="str">
        <f>Setup!$C$30</f>
        <v>USD</v>
      </c>
      <c r="T556" s="109" t="str">
        <f>IFERROR(INDEX('Data Sheet'!$B$198:$B$275,MATCH(I556,'Data Sheet'!$F$198:$F$275,0)),"")</f>
        <v/>
      </c>
      <c r="U556" s="110" t="str">
        <f>IFERROR(INDEX('Data Sheet'!$D$198:$D$275,MATCH(I556,'Data Sheet'!$F$198:$F$275,0)),"")</f>
        <v/>
      </c>
      <c r="V556" s="99"/>
      <c r="W556" s="195" t="str">
        <f>IF(V556=Setup!$C$30,"Grant",IF(V556=Setup!$C$31,"Local",IF(V556=Setup!$C$32,"Other",IF(ISBLANK(V556),"","Other"))))</f>
        <v/>
      </c>
      <c r="X556" s="255"/>
      <c r="Y556" s="259" t="str">
        <f>IF(X556&lt;&gt;"",X556/VLOOKUP($V556,Setup!$C$30:$D$41,2,0),"")</f>
        <v/>
      </c>
      <c r="Z556" s="262"/>
      <c r="AA556" s="256" t="str">
        <f t="shared" si="252"/>
        <v/>
      </c>
      <c r="AB556" s="262"/>
      <c r="AC556" s="258" t="str">
        <f t="shared" si="253"/>
        <v/>
      </c>
      <c r="AD556" s="262"/>
      <c r="AE556" s="258" t="str">
        <f t="shared" si="254"/>
        <v/>
      </c>
      <c r="AF556" s="262"/>
      <c r="AG556" s="256" t="str">
        <f t="shared" si="255"/>
        <v/>
      </c>
      <c r="AH556" s="256" t="str">
        <f t="shared" si="256"/>
        <v/>
      </c>
      <c r="AI556" s="256" t="str">
        <f t="shared" si="257"/>
        <v/>
      </c>
      <c r="AJ556" s="111"/>
      <c r="AK556" s="255"/>
      <c r="AL556" s="259" t="str">
        <f>IF(AK556&lt;&gt;"",AK556/VLOOKUP($V556,Setup!$C$30:$D$41,2,0),"")</f>
        <v/>
      </c>
      <c r="AM556" s="266"/>
      <c r="AN556" s="258" t="str">
        <f t="shared" si="258"/>
        <v/>
      </c>
      <c r="AO556" s="266"/>
      <c r="AP556" s="258" t="str">
        <f t="shared" si="259"/>
        <v/>
      </c>
      <c r="AQ556" s="266"/>
      <c r="AR556" s="258" t="str">
        <f t="shared" si="260"/>
        <v/>
      </c>
      <c r="AS556" s="266"/>
      <c r="AT556" s="256" t="str">
        <f t="shared" si="261"/>
        <v/>
      </c>
      <c r="AU556" s="256" t="str">
        <f t="shared" si="262"/>
        <v/>
      </c>
      <c r="AV556" s="256" t="str">
        <f t="shared" si="263"/>
        <v/>
      </c>
      <c r="AW556" s="267"/>
      <c r="AX556" s="255"/>
      <c r="AY556" s="259" t="str">
        <f>IF(AX556&lt;&gt;"",AX556/VLOOKUP($V556,Setup!$C$30:$D$41,2,0),"")</f>
        <v/>
      </c>
      <c r="AZ556" s="268"/>
      <c r="BA556" s="258" t="str">
        <f t="shared" si="264"/>
        <v/>
      </c>
      <c r="BB556" s="268"/>
      <c r="BC556" s="258" t="str">
        <f t="shared" si="265"/>
        <v/>
      </c>
      <c r="BD556" s="268"/>
      <c r="BE556" s="258" t="str">
        <f t="shared" si="266"/>
        <v/>
      </c>
      <c r="BF556" s="268"/>
      <c r="BG556" s="256" t="str">
        <f t="shared" si="267"/>
        <v/>
      </c>
      <c r="BH556" s="256" t="str">
        <f t="shared" si="268"/>
        <v/>
      </c>
      <c r="BI556" s="256" t="str">
        <f t="shared" si="269"/>
        <v/>
      </c>
      <c r="BJ556" s="267"/>
      <c r="BK556" s="255"/>
      <c r="BL556" s="259" t="str">
        <f>IF(BK556&lt;&gt;"",BK556/VLOOKUP($V556,Setup!$C$30:$D$41,2,0),"")</f>
        <v/>
      </c>
      <c r="BM556" s="268"/>
      <c r="BN556" s="258" t="str">
        <f t="shared" si="270"/>
        <v/>
      </c>
      <c r="BO556" s="268"/>
      <c r="BP556" s="258" t="str">
        <f t="shared" si="271"/>
        <v/>
      </c>
      <c r="BQ556" s="268"/>
      <c r="BR556" s="258" t="str">
        <f t="shared" si="272"/>
        <v/>
      </c>
      <c r="BS556" s="268"/>
      <c r="BT556" s="256" t="str">
        <f t="shared" si="273"/>
        <v/>
      </c>
      <c r="BU556" s="256" t="str">
        <f t="shared" si="274"/>
        <v/>
      </c>
      <c r="BV556" s="256" t="str">
        <f t="shared" si="275"/>
        <v/>
      </c>
      <c r="BW556" s="267"/>
      <c r="BX556" s="256" t="str">
        <f t="shared" si="276"/>
        <v/>
      </c>
      <c r="BY556" s="256" t="str">
        <f t="shared" si="277"/>
        <v/>
      </c>
      <c r="BZ556" s="281"/>
      <c r="CA556" s="282"/>
      <c r="CF556" s="284"/>
      <c r="CG556" s="284"/>
      <c r="CH556" s="284"/>
      <c r="CI556" s="284"/>
      <c r="CL556" s="356" t="str">
        <f>IFERROR(VLOOKUP(C556,'Data Sheet'!$A$3:$B$26,2,FALSE),"")</f>
        <v/>
      </c>
    </row>
    <row r="557" spans="1:90" ht="15.75" x14ac:dyDescent="0.2">
      <c r="A557" s="97"/>
      <c r="B557" s="105" t="str">
        <f t="shared" si="280"/>
        <v>--</v>
      </c>
      <c r="C557" s="276"/>
      <c r="D557" s="101" t="str">
        <f>IFERROR(IF(VLOOKUP(C557,'Data Sheet'!$A$3:$D$26,4,FALSE)=0,"",VLOOKUP(C557,'Data Sheet'!$A$3:$D$26,4,FALSE)),"")</f>
        <v/>
      </c>
      <c r="E557" s="279"/>
      <c r="F557" s="103" t="str">
        <f>IFERROR(IF(VLOOKUP(E557,'Data Sheet'!$C$29:$E$174,3,FALSE)=0,"",VLOOKUP(E557,'Data Sheet'!$C$29:$E$174,3,FALSE)),"")</f>
        <v/>
      </c>
      <c r="G557" s="106" t="str">
        <f t="shared" si="278"/>
        <v>-</v>
      </c>
      <c r="H557" s="273"/>
      <c r="I557" s="107"/>
      <c r="J557" s="249" t="e">
        <f t="shared" si="279"/>
        <v>#VALUE!</v>
      </c>
      <c r="K557" s="101" t="str">
        <f>IFERROR(INDEX('Data Sheet'!$C$198:$C$275,MATCH(I557,'Data Sheet'!$F$198:$F$275,0)),"")</f>
        <v/>
      </c>
      <c r="L557" s="250" t="str">
        <f>IFERROR(INDEX('Data Sheet'!$G$198:$G$275,MATCH(I557,'Data Sheet'!$F$198:$F$275,0)),"")</f>
        <v/>
      </c>
      <c r="M557" s="194"/>
      <c r="N557" s="248"/>
      <c r="O557" s="248"/>
      <c r="P557" s="108" t="str">
        <f>IFERROR(INDEX(Setup!$D$44:$D$70,MATCH(M557,Setup!$K$44:$K$70,0))&amp;"","")</f>
        <v/>
      </c>
      <c r="Q557" s="108" t="str">
        <f>IFERROR(INDEX(Setup!$E$44:$E$70,MATCH(M557,Setup!$K$44:$K$70,0))&amp;"","")</f>
        <v/>
      </c>
      <c r="R557" s="108" t="str">
        <f>IFERROR(INDEX(Setup!$L$44:$L$70,MATCH(M557,Setup!$K$44:$K$70,0))&amp;"","")</f>
        <v/>
      </c>
      <c r="S557" s="108" t="str">
        <f>Setup!$C$30</f>
        <v>USD</v>
      </c>
      <c r="T557" s="109" t="str">
        <f>IFERROR(INDEX('Data Sheet'!$B$198:$B$275,MATCH(I557,'Data Sheet'!$F$198:$F$275,0)),"")</f>
        <v/>
      </c>
      <c r="U557" s="110" t="str">
        <f>IFERROR(INDEX('Data Sheet'!$D$198:$D$275,MATCH(I557,'Data Sheet'!$F$198:$F$275,0)),"")</f>
        <v/>
      </c>
      <c r="V557" s="99"/>
      <c r="W557" s="195" t="str">
        <f>IF(V557=Setup!$C$30,"Grant",IF(V557=Setup!$C$31,"Local",IF(V557=Setup!$C$32,"Other",IF(ISBLANK(V557),"","Other"))))</f>
        <v/>
      </c>
      <c r="X557" s="255"/>
      <c r="Y557" s="259" t="str">
        <f>IF(X557&lt;&gt;"",X557/VLOOKUP($V557,Setup!$C$30:$D$41,2,0),"")</f>
        <v/>
      </c>
      <c r="Z557" s="262"/>
      <c r="AA557" s="256" t="str">
        <f t="shared" si="252"/>
        <v/>
      </c>
      <c r="AB557" s="262"/>
      <c r="AC557" s="258" t="str">
        <f t="shared" si="253"/>
        <v/>
      </c>
      <c r="AD557" s="262"/>
      <c r="AE557" s="258" t="str">
        <f t="shared" si="254"/>
        <v/>
      </c>
      <c r="AF557" s="262"/>
      <c r="AG557" s="256" t="str">
        <f t="shared" si="255"/>
        <v/>
      </c>
      <c r="AH557" s="256" t="str">
        <f t="shared" si="256"/>
        <v/>
      </c>
      <c r="AI557" s="256" t="str">
        <f t="shared" si="257"/>
        <v/>
      </c>
      <c r="AJ557" s="111"/>
      <c r="AK557" s="255"/>
      <c r="AL557" s="259" t="str">
        <f>IF(AK557&lt;&gt;"",AK557/VLOOKUP($V557,Setup!$C$30:$D$41,2,0),"")</f>
        <v/>
      </c>
      <c r="AM557" s="266"/>
      <c r="AN557" s="258" t="str">
        <f t="shared" si="258"/>
        <v/>
      </c>
      <c r="AO557" s="266"/>
      <c r="AP557" s="258" t="str">
        <f t="shared" si="259"/>
        <v/>
      </c>
      <c r="AQ557" s="266"/>
      <c r="AR557" s="258" t="str">
        <f t="shared" si="260"/>
        <v/>
      </c>
      <c r="AS557" s="266"/>
      <c r="AT557" s="256" t="str">
        <f t="shared" si="261"/>
        <v/>
      </c>
      <c r="AU557" s="256" t="str">
        <f t="shared" si="262"/>
        <v/>
      </c>
      <c r="AV557" s="256" t="str">
        <f t="shared" si="263"/>
        <v/>
      </c>
      <c r="AW557" s="267"/>
      <c r="AX557" s="255"/>
      <c r="AY557" s="259" t="str">
        <f>IF(AX557&lt;&gt;"",AX557/VLOOKUP($V557,Setup!$C$30:$D$41,2,0),"")</f>
        <v/>
      </c>
      <c r="AZ557" s="268"/>
      <c r="BA557" s="258" t="str">
        <f t="shared" si="264"/>
        <v/>
      </c>
      <c r="BB557" s="268"/>
      <c r="BC557" s="258" t="str">
        <f t="shared" si="265"/>
        <v/>
      </c>
      <c r="BD557" s="268"/>
      <c r="BE557" s="258" t="str">
        <f t="shared" si="266"/>
        <v/>
      </c>
      <c r="BF557" s="268"/>
      <c r="BG557" s="256" t="str">
        <f t="shared" si="267"/>
        <v/>
      </c>
      <c r="BH557" s="256" t="str">
        <f t="shared" si="268"/>
        <v/>
      </c>
      <c r="BI557" s="256" t="str">
        <f t="shared" si="269"/>
        <v/>
      </c>
      <c r="BJ557" s="267"/>
      <c r="BK557" s="255"/>
      <c r="BL557" s="259" t="str">
        <f>IF(BK557&lt;&gt;"",BK557/VLOOKUP($V557,Setup!$C$30:$D$41,2,0),"")</f>
        <v/>
      </c>
      <c r="BM557" s="268"/>
      <c r="BN557" s="258" t="str">
        <f t="shared" si="270"/>
        <v/>
      </c>
      <c r="BO557" s="268"/>
      <c r="BP557" s="258" t="str">
        <f t="shared" si="271"/>
        <v/>
      </c>
      <c r="BQ557" s="268"/>
      <c r="BR557" s="258" t="str">
        <f t="shared" si="272"/>
        <v/>
      </c>
      <c r="BS557" s="268"/>
      <c r="BT557" s="256" t="str">
        <f t="shared" si="273"/>
        <v/>
      </c>
      <c r="BU557" s="256" t="str">
        <f t="shared" si="274"/>
        <v/>
      </c>
      <c r="BV557" s="256" t="str">
        <f t="shared" si="275"/>
        <v/>
      </c>
      <c r="BW557" s="267"/>
      <c r="BX557" s="256" t="str">
        <f t="shared" si="276"/>
        <v/>
      </c>
      <c r="BY557" s="256" t="str">
        <f t="shared" si="277"/>
        <v/>
      </c>
      <c r="BZ557" s="281"/>
      <c r="CA557" s="282"/>
      <c r="CF557" s="284"/>
      <c r="CG557" s="284"/>
      <c r="CH557" s="284"/>
      <c r="CI557" s="284"/>
      <c r="CL557" s="356" t="str">
        <f>IFERROR(VLOOKUP(C557,'Data Sheet'!$A$3:$B$26,2,FALSE),"")</f>
        <v/>
      </c>
    </row>
    <row r="558" spans="1:90" ht="15.75" x14ac:dyDescent="0.2">
      <c r="A558" s="97"/>
      <c r="B558" s="105" t="str">
        <f t="shared" si="280"/>
        <v>--</v>
      </c>
      <c r="C558" s="276"/>
      <c r="D558" s="101" t="str">
        <f>IFERROR(IF(VLOOKUP(C558,'Data Sheet'!$A$3:$D$26,4,FALSE)=0,"",VLOOKUP(C558,'Data Sheet'!$A$3:$D$26,4,FALSE)),"")</f>
        <v/>
      </c>
      <c r="E558" s="279"/>
      <c r="F558" s="103" t="str">
        <f>IFERROR(IF(VLOOKUP(E558,'Data Sheet'!$C$29:$E$174,3,FALSE)=0,"",VLOOKUP(E558,'Data Sheet'!$C$29:$E$174,3,FALSE)),"")</f>
        <v/>
      </c>
      <c r="G558" s="106" t="str">
        <f t="shared" si="278"/>
        <v>-</v>
      </c>
      <c r="H558" s="273"/>
      <c r="I558" s="107"/>
      <c r="J558" s="249" t="e">
        <f t="shared" si="279"/>
        <v>#VALUE!</v>
      </c>
      <c r="K558" s="101" t="str">
        <f>IFERROR(INDEX('Data Sheet'!$C$198:$C$275,MATCH(I558,'Data Sheet'!$F$198:$F$275,0)),"")</f>
        <v/>
      </c>
      <c r="L558" s="250" t="str">
        <f>IFERROR(INDEX('Data Sheet'!$G$198:$G$275,MATCH(I558,'Data Sheet'!$F$198:$F$275,0)),"")</f>
        <v/>
      </c>
      <c r="M558" s="194"/>
      <c r="N558" s="248"/>
      <c r="O558" s="248"/>
      <c r="P558" s="108" t="str">
        <f>IFERROR(INDEX(Setup!$D$44:$D$70,MATCH(M558,Setup!$K$44:$K$70,0))&amp;"","")</f>
        <v/>
      </c>
      <c r="Q558" s="108" t="str">
        <f>IFERROR(INDEX(Setup!$E$44:$E$70,MATCH(M558,Setup!$K$44:$K$70,0))&amp;"","")</f>
        <v/>
      </c>
      <c r="R558" s="108" t="str">
        <f>IFERROR(INDEX(Setup!$L$44:$L$70,MATCH(M558,Setup!$K$44:$K$70,0))&amp;"","")</f>
        <v/>
      </c>
      <c r="S558" s="108" t="str">
        <f>Setup!$C$30</f>
        <v>USD</v>
      </c>
      <c r="T558" s="109" t="str">
        <f>IFERROR(INDEX('Data Sheet'!$B$198:$B$275,MATCH(I558,'Data Sheet'!$F$198:$F$275,0)),"")</f>
        <v/>
      </c>
      <c r="U558" s="110" t="str">
        <f>IFERROR(INDEX('Data Sheet'!$D$198:$D$275,MATCH(I558,'Data Sheet'!$F$198:$F$275,0)),"")</f>
        <v/>
      </c>
      <c r="V558" s="99"/>
      <c r="W558" s="195" t="str">
        <f>IF(V558=Setup!$C$30,"Grant",IF(V558=Setup!$C$31,"Local",IF(V558=Setup!$C$32,"Other",IF(ISBLANK(V558),"","Other"))))</f>
        <v/>
      </c>
      <c r="X558" s="255"/>
      <c r="Y558" s="259" t="str">
        <f>IF(X558&lt;&gt;"",X558/VLOOKUP($V558,Setup!$C$30:$D$41,2,0),"")</f>
        <v/>
      </c>
      <c r="Z558" s="262"/>
      <c r="AA558" s="256" t="str">
        <f t="shared" si="252"/>
        <v/>
      </c>
      <c r="AB558" s="262"/>
      <c r="AC558" s="258" t="str">
        <f t="shared" si="253"/>
        <v/>
      </c>
      <c r="AD558" s="262"/>
      <c r="AE558" s="258" t="str">
        <f t="shared" si="254"/>
        <v/>
      </c>
      <c r="AF558" s="262"/>
      <c r="AG558" s="256" t="str">
        <f t="shared" si="255"/>
        <v/>
      </c>
      <c r="AH558" s="256" t="str">
        <f t="shared" si="256"/>
        <v/>
      </c>
      <c r="AI558" s="256" t="str">
        <f t="shared" si="257"/>
        <v/>
      </c>
      <c r="AJ558" s="111"/>
      <c r="AK558" s="255"/>
      <c r="AL558" s="259" t="str">
        <f>IF(AK558&lt;&gt;"",AK558/VLOOKUP($V558,Setup!$C$30:$D$41,2,0),"")</f>
        <v/>
      </c>
      <c r="AM558" s="266"/>
      <c r="AN558" s="258" t="str">
        <f t="shared" si="258"/>
        <v/>
      </c>
      <c r="AO558" s="266"/>
      <c r="AP558" s="258" t="str">
        <f t="shared" si="259"/>
        <v/>
      </c>
      <c r="AQ558" s="266"/>
      <c r="AR558" s="258" t="str">
        <f t="shared" si="260"/>
        <v/>
      </c>
      <c r="AS558" s="266"/>
      <c r="AT558" s="256" t="str">
        <f t="shared" si="261"/>
        <v/>
      </c>
      <c r="AU558" s="256" t="str">
        <f t="shared" si="262"/>
        <v/>
      </c>
      <c r="AV558" s="256" t="str">
        <f t="shared" si="263"/>
        <v/>
      </c>
      <c r="AW558" s="267"/>
      <c r="AX558" s="255"/>
      <c r="AY558" s="259" t="str">
        <f>IF(AX558&lt;&gt;"",AX558/VLOOKUP($V558,Setup!$C$30:$D$41,2,0),"")</f>
        <v/>
      </c>
      <c r="AZ558" s="268"/>
      <c r="BA558" s="258" t="str">
        <f t="shared" si="264"/>
        <v/>
      </c>
      <c r="BB558" s="268"/>
      <c r="BC558" s="258" t="str">
        <f t="shared" si="265"/>
        <v/>
      </c>
      <c r="BD558" s="268"/>
      <c r="BE558" s="258" t="str">
        <f t="shared" si="266"/>
        <v/>
      </c>
      <c r="BF558" s="268"/>
      <c r="BG558" s="256" t="str">
        <f t="shared" si="267"/>
        <v/>
      </c>
      <c r="BH558" s="256" t="str">
        <f t="shared" si="268"/>
        <v/>
      </c>
      <c r="BI558" s="256" t="str">
        <f t="shared" si="269"/>
        <v/>
      </c>
      <c r="BJ558" s="267"/>
      <c r="BK558" s="255"/>
      <c r="BL558" s="259" t="str">
        <f>IF(BK558&lt;&gt;"",BK558/VLOOKUP($V558,Setup!$C$30:$D$41,2,0),"")</f>
        <v/>
      </c>
      <c r="BM558" s="268"/>
      <c r="BN558" s="258" t="str">
        <f t="shared" si="270"/>
        <v/>
      </c>
      <c r="BO558" s="268"/>
      <c r="BP558" s="258" t="str">
        <f t="shared" si="271"/>
        <v/>
      </c>
      <c r="BQ558" s="268"/>
      <c r="BR558" s="258" t="str">
        <f t="shared" si="272"/>
        <v/>
      </c>
      <c r="BS558" s="268"/>
      <c r="BT558" s="256" t="str">
        <f t="shared" si="273"/>
        <v/>
      </c>
      <c r="BU558" s="256" t="str">
        <f t="shared" si="274"/>
        <v/>
      </c>
      <c r="BV558" s="256" t="str">
        <f t="shared" si="275"/>
        <v/>
      </c>
      <c r="BW558" s="267"/>
      <c r="BX558" s="256" t="str">
        <f t="shared" si="276"/>
        <v/>
      </c>
      <c r="BY558" s="256" t="str">
        <f t="shared" si="277"/>
        <v/>
      </c>
      <c r="BZ558" s="281"/>
      <c r="CA558" s="282"/>
      <c r="CF558" s="284"/>
      <c r="CG558" s="284"/>
      <c r="CH558" s="284"/>
      <c r="CI558" s="284"/>
      <c r="CL558" s="356" t="str">
        <f>IFERROR(VLOOKUP(C558,'Data Sheet'!$A$3:$B$26,2,FALSE),"")</f>
        <v/>
      </c>
    </row>
    <row r="559" spans="1:90" ht="15.75" x14ac:dyDescent="0.2">
      <c r="A559" s="97"/>
      <c r="B559" s="105" t="str">
        <f t="shared" si="280"/>
        <v>--</v>
      </c>
      <c r="C559" s="276"/>
      <c r="D559" s="101" t="str">
        <f>IFERROR(IF(VLOOKUP(C559,'Data Sheet'!$A$3:$D$26,4,FALSE)=0,"",VLOOKUP(C559,'Data Sheet'!$A$3:$D$26,4,FALSE)),"")</f>
        <v/>
      </c>
      <c r="E559" s="279"/>
      <c r="F559" s="103" t="str">
        <f>IFERROR(IF(VLOOKUP(E559,'Data Sheet'!$C$29:$E$174,3,FALSE)=0,"",VLOOKUP(E559,'Data Sheet'!$C$29:$E$174,3,FALSE)),"")</f>
        <v/>
      </c>
      <c r="G559" s="106" t="str">
        <f t="shared" si="278"/>
        <v>-</v>
      </c>
      <c r="H559" s="273"/>
      <c r="I559" s="107"/>
      <c r="J559" s="249" t="e">
        <f t="shared" si="279"/>
        <v>#VALUE!</v>
      </c>
      <c r="K559" s="101" t="str">
        <f>IFERROR(INDEX('Data Sheet'!$C$198:$C$275,MATCH(I559,'Data Sheet'!$F$198:$F$275,0)),"")</f>
        <v/>
      </c>
      <c r="L559" s="250" t="str">
        <f>IFERROR(INDEX('Data Sheet'!$G$198:$G$275,MATCH(I559,'Data Sheet'!$F$198:$F$275,0)),"")</f>
        <v/>
      </c>
      <c r="M559" s="194"/>
      <c r="N559" s="248"/>
      <c r="O559" s="248"/>
      <c r="P559" s="108" t="str">
        <f>IFERROR(INDEX(Setup!$D$44:$D$70,MATCH(M559,Setup!$K$44:$K$70,0))&amp;"","")</f>
        <v/>
      </c>
      <c r="Q559" s="108" t="str">
        <f>IFERROR(INDEX(Setup!$E$44:$E$70,MATCH(M559,Setup!$K$44:$K$70,0))&amp;"","")</f>
        <v/>
      </c>
      <c r="R559" s="108" t="str">
        <f>IFERROR(INDEX(Setup!$L$44:$L$70,MATCH(M559,Setup!$K$44:$K$70,0))&amp;"","")</f>
        <v/>
      </c>
      <c r="S559" s="108" t="str">
        <f>Setup!$C$30</f>
        <v>USD</v>
      </c>
      <c r="T559" s="109" t="str">
        <f>IFERROR(INDEX('Data Sheet'!$B$198:$B$275,MATCH(I559,'Data Sheet'!$F$198:$F$275,0)),"")</f>
        <v/>
      </c>
      <c r="U559" s="110" t="str">
        <f>IFERROR(INDEX('Data Sheet'!$D$198:$D$275,MATCH(I559,'Data Sheet'!$F$198:$F$275,0)),"")</f>
        <v/>
      </c>
      <c r="V559" s="99"/>
      <c r="W559" s="195" t="str">
        <f>IF(V559=Setup!$C$30,"Grant",IF(V559=Setup!$C$31,"Local",IF(V559=Setup!$C$32,"Other",IF(ISBLANK(V559),"","Other"))))</f>
        <v/>
      </c>
      <c r="X559" s="255"/>
      <c r="Y559" s="259" t="str">
        <f>IF(X559&lt;&gt;"",X559/VLOOKUP($V559,Setup!$C$30:$D$41,2,0),"")</f>
        <v/>
      </c>
      <c r="Z559" s="262"/>
      <c r="AA559" s="256" t="str">
        <f t="shared" si="252"/>
        <v/>
      </c>
      <c r="AB559" s="262"/>
      <c r="AC559" s="258" t="str">
        <f t="shared" si="253"/>
        <v/>
      </c>
      <c r="AD559" s="262"/>
      <c r="AE559" s="258" t="str">
        <f t="shared" si="254"/>
        <v/>
      </c>
      <c r="AF559" s="262"/>
      <c r="AG559" s="256" t="str">
        <f t="shared" si="255"/>
        <v/>
      </c>
      <c r="AH559" s="256" t="str">
        <f t="shared" si="256"/>
        <v/>
      </c>
      <c r="AI559" s="256" t="str">
        <f t="shared" si="257"/>
        <v/>
      </c>
      <c r="AJ559" s="111"/>
      <c r="AK559" s="255"/>
      <c r="AL559" s="259" t="str">
        <f>IF(AK559&lt;&gt;"",AK559/VLOOKUP($V559,Setup!$C$30:$D$41,2,0),"")</f>
        <v/>
      </c>
      <c r="AM559" s="266"/>
      <c r="AN559" s="258" t="str">
        <f t="shared" si="258"/>
        <v/>
      </c>
      <c r="AO559" s="266"/>
      <c r="AP559" s="258" t="str">
        <f t="shared" si="259"/>
        <v/>
      </c>
      <c r="AQ559" s="266"/>
      <c r="AR559" s="258" t="str">
        <f t="shared" si="260"/>
        <v/>
      </c>
      <c r="AS559" s="266"/>
      <c r="AT559" s="256" t="str">
        <f t="shared" si="261"/>
        <v/>
      </c>
      <c r="AU559" s="256" t="str">
        <f t="shared" si="262"/>
        <v/>
      </c>
      <c r="AV559" s="256" t="str">
        <f t="shared" si="263"/>
        <v/>
      </c>
      <c r="AW559" s="267"/>
      <c r="AX559" s="255"/>
      <c r="AY559" s="259" t="str">
        <f>IF(AX559&lt;&gt;"",AX559/VLOOKUP($V559,Setup!$C$30:$D$41,2,0),"")</f>
        <v/>
      </c>
      <c r="AZ559" s="268"/>
      <c r="BA559" s="258" t="str">
        <f t="shared" si="264"/>
        <v/>
      </c>
      <c r="BB559" s="268"/>
      <c r="BC559" s="258" t="str">
        <f t="shared" si="265"/>
        <v/>
      </c>
      <c r="BD559" s="268"/>
      <c r="BE559" s="258" t="str">
        <f t="shared" si="266"/>
        <v/>
      </c>
      <c r="BF559" s="268"/>
      <c r="BG559" s="256" t="str">
        <f t="shared" si="267"/>
        <v/>
      </c>
      <c r="BH559" s="256" t="str">
        <f t="shared" si="268"/>
        <v/>
      </c>
      <c r="BI559" s="256" t="str">
        <f t="shared" si="269"/>
        <v/>
      </c>
      <c r="BJ559" s="267"/>
      <c r="BK559" s="255"/>
      <c r="BL559" s="259" t="str">
        <f>IF(BK559&lt;&gt;"",BK559/VLOOKUP($V559,Setup!$C$30:$D$41,2,0),"")</f>
        <v/>
      </c>
      <c r="BM559" s="268"/>
      <c r="BN559" s="258" t="str">
        <f t="shared" si="270"/>
        <v/>
      </c>
      <c r="BO559" s="268"/>
      <c r="BP559" s="258" t="str">
        <f t="shared" si="271"/>
        <v/>
      </c>
      <c r="BQ559" s="268"/>
      <c r="BR559" s="258" t="str">
        <f t="shared" si="272"/>
        <v/>
      </c>
      <c r="BS559" s="268"/>
      <c r="BT559" s="256" t="str">
        <f t="shared" si="273"/>
        <v/>
      </c>
      <c r="BU559" s="256" t="str">
        <f t="shared" si="274"/>
        <v/>
      </c>
      <c r="BV559" s="256" t="str">
        <f t="shared" si="275"/>
        <v/>
      </c>
      <c r="BW559" s="267"/>
      <c r="BX559" s="256" t="str">
        <f t="shared" si="276"/>
        <v/>
      </c>
      <c r="BY559" s="256" t="str">
        <f t="shared" si="277"/>
        <v/>
      </c>
      <c r="BZ559" s="281"/>
      <c r="CA559" s="282"/>
      <c r="CF559" s="284"/>
      <c r="CG559" s="284"/>
      <c r="CH559" s="284"/>
      <c r="CI559" s="284"/>
      <c r="CL559" s="356" t="str">
        <f>IFERROR(VLOOKUP(C559,'Data Sheet'!$A$3:$B$26,2,FALSE),"")</f>
        <v/>
      </c>
    </row>
    <row r="560" spans="1:90" ht="15.75" x14ac:dyDescent="0.2">
      <c r="A560" s="97"/>
      <c r="B560" s="105" t="str">
        <f t="shared" si="280"/>
        <v>--</v>
      </c>
      <c r="C560" s="276"/>
      <c r="D560" s="101" t="str">
        <f>IFERROR(IF(VLOOKUP(C560,'Data Sheet'!$A$3:$D$26,4,FALSE)=0,"",VLOOKUP(C560,'Data Sheet'!$A$3:$D$26,4,FALSE)),"")</f>
        <v/>
      </c>
      <c r="E560" s="279"/>
      <c r="F560" s="103" t="str">
        <f>IFERROR(IF(VLOOKUP(E560,'Data Sheet'!$C$29:$E$174,3,FALSE)=0,"",VLOOKUP(E560,'Data Sheet'!$C$29:$E$174,3,FALSE)),"")</f>
        <v/>
      </c>
      <c r="G560" s="106" t="str">
        <f t="shared" si="278"/>
        <v>-</v>
      </c>
      <c r="H560" s="273"/>
      <c r="I560" s="107"/>
      <c r="J560" s="249" t="e">
        <f t="shared" si="279"/>
        <v>#VALUE!</v>
      </c>
      <c r="K560" s="101" t="str">
        <f>IFERROR(INDEX('Data Sheet'!$C$198:$C$275,MATCH(I560,'Data Sheet'!$F$198:$F$275,0)),"")</f>
        <v/>
      </c>
      <c r="L560" s="250" t="str">
        <f>IFERROR(INDEX('Data Sheet'!$G$198:$G$275,MATCH(I560,'Data Sheet'!$F$198:$F$275,0)),"")</f>
        <v/>
      </c>
      <c r="M560" s="194"/>
      <c r="N560" s="248"/>
      <c r="O560" s="248"/>
      <c r="P560" s="108" t="str">
        <f>IFERROR(INDEX(Setup!$D$44:$D$70,MATCH(M560,Setup!$K$44:$K$70,0))&amp;"","")</f>
        <v/>
      </c>
      <c r="Q560" s="108" t="str">
        <f>IFERROR(INDEX(Setup!$E$44:$E$70,MATCH(M560,Setup!$K$44:$K$70,0))&amp;"","")</f>
        <v/>
      </c>
      <c r="R560" s="108" t="str">
        <f>IFERROR(INDEX(Setup!$L$44:$L$70,MATCH(M560,Setup!$K$44:$K$70,0))&amp;"","")</f>
        <v/>
      </c>
      <c r="S560" s="108" t="str">
        <f>Setup!$C$30</f>
        <v>USD</v>
      </c>
      <c r="T560" s="109" t="str">
        <f>IFERROR(INDEX('Data Sheet'!$B$198:$B$275,MATCH(I560,'Data Sheet'!$F$198:$F$275,0)),"")</f>
        <v/>
      </c>
      <c r="U560" s="110" t="str">
        <f>IFERROR(INDEX('Data Sheet'!$D$198:$D$275,MATCH(I560,'Data Sheet'!$F$198:$F$275,0)),"")</f>
        <v/>
      </c>
      <c r="V560" s="99"/>
      <c r="W560" s="195" t="str">
        <f>IF(V560=Setup!$C$30,"Grant",IF(V560=Setup!$C$31,"Local",IF(V560=Setup!$C$32,"Other",IF(ISBLANK(V560),"","Other"))))</f>
        <v/>
      </c>
      <c r="X560" s="255"/>
      <c r="Y560" s="259" t="str">
        <f>IF(X560&lt;&gt;"",X560/VLOOKUP($V560,Setup!$C$30:$D$41,2,0),"")</f>
        <v/>
      </c>
      <c r="Z560" s="262"/>
      <c r="AA560" s="256" t="str">
        <f t="shared" si="252"/>
        <v/>
      </c>
      <c r="AB560" s="262"/>
      <c r="AC560" s="258" t="str">
        <f t="shared" si="253"/>
        <v/>
      </c>
      <c r="AD560" s="262"/>
      <c r="AE560" s="258" t="str">
        <f t="shared" si="254"/>
        <v/>
      </c>
      <c r="AF560" s="262"/>
      <c r="AG560" s="256" t="str">
        <f t="shared" si="255"/>
        <v/>
      </c>
      <c r="AH560" s="256" t="str">
        <f t="shared" si="256"/>
        <v/>
      </c>
      <c r="AI560" s="256" t="str">
        <f t="shared" si="257"/>
        <v/>
      </c>
      <c r="AJ560" s="111"/>
      <c r="AK560" s="255"/>
      <c r="AL560" s="259" t="str">
        <f>IF(AK560&lt;&gt;"",AK560/VLOOKUP($V560,Setup!$C$30:$D$41,2,0),"")</f>
        <v/>
      </c>
      <c r="AM560" s="266"/>
      <c r="AN560" s="258" t="str">
        <f t="shared" si="258"/>
        <v/>
      </c>
      <c r="AO560" s="266"/>
      <c r="AP560" s="258" t="str">
        <f t="shared" si="259"/>
        <v/>
      </c>
      <c r="AQ560" s="266"/>
      <c r="AR560" s="258" t="str">
        <f t="shared" si="260"/>
        <v/>
      </c>
      <c r="AS560" s="266"/>
      <c r="AT560" s="256" t="str">
        <f t="shared" si="261"/>
        <v/>
      </c>
      <c r="AU560" s="256" t="str">
        <f t="shared" si="262"/>
        <v/>
      </c>
      <c r="AV560" s="256" t="str">
        <f t="shared" si="263"/>
        <v/>
      </c>
      <c r="AW560" s="267"/>
      <c r="AX560" s="255"/>
      <c r="AY560" s="259" t="str">
        <f>IF(AX560&lt;&gt;"",AX560/VLOOKUP($V560,Setup!$C$30:$D$41,2,0),"")</f>
        <v/>
      </c>
      <c r="AZ560" s="268"/>
      <c r="BA560" s="258" t="str">
        <f t="shared" si="264"/>
        <v/>
      </c>
      <c r="BB560" s="268"/>
      <c r="BC560" s="258" t="str">
        <f t="shared" si="265"/>
        <v/>
      </c>
      <c r="BD560" s="268"/>
      <c r="BE560" s="258" t="str">
        <f t="shared" si="266"/>
        <v/>
      </c>
      <c r="BF560" s="268"/>
      <c r="BG560" s="256" t="str">
        <f t="shared" si="267"/>
        <v/>
      </c>
      <c r="BH560" s="256" t="str">
        <f t="shared" si="268"/>
        <v/>
      </c>
      <c r="BI560" s="256" t="str">
        <f t="shared" si="269"/>
        <v/>
      </c>
      <c r="BJ560" s="267"/>
      <c r="BK560" s="255"/>
      <c r="BL560" s="259" t="str">
        <f>IF(BK560&lt;&gt;"",BK560/VLOOKUP($V560,Setup!$C$30:$D$41,2,0),"")</f>
        <v/>
      </c>
      <c r="BM560" s="268"/>
      <c r="BN560" s="258" t="str">
        <f t="shared" si="270"/>
        <v/>
      </c>
      <c r="BO560" s="268"/>
      <c r="BP560" s="258" t="str">
        <f t="shared" si="271"/>
        <v/>
      </c>
      <c r="BQ560" s="268"/>
      <c r="BR560" s="258" t="str">
        <f t="shared" si="272"/>
        <v/>
      </c>
      <c r="BS560" s="268"/>
      <c r="BT560" s="256" t="str">
        <f t="shared" si="273"/>
        <v/>
      </c>
      <c r="BU560" s="256" t="str">
        <f t="shared" si="274"/>
        <v/>
      </c>
      <c r="BV560" s="256" t="str">
        <f t="shared" si="275"/>
        <v/>
      </c>
      <c r="BW560" s="267"/>
      <c r="BX560" s="256" t="str">
        <f t="shared" si="276"/>
        <v/>
      </c>
      <c r="BY560" s="256" t="str">
        <f t="shared" si="277"/>
        <v/>
      </c>
      <c r="BZ560" s="281"/>
      <c r="CA560" s="282"/>
      <c r="CF560" s="284"/>
      <c r="CG560" s="284"/>
      <c r="CH560" s="284"/>
      <c r="CI560" s="284"/>
      <c r="CL560" s="356" t="str">
        <f>IFERROR(VLOOKUP(C560,'Data Sheet'!$A$3:$B$26,2,FALSE),"")</f>
        <v/>
      </c>
    </row>
    <row r="561" spans="1:90" ht="15.75" x14ac:dyDescent="0.2">
      <c r="A561" s="97"/>
      <c r="B561" s="105" t="str">
        <f t="shared" si="280"/>
        <v>--</v>
      </c>
      <c r="C561" s="276"/>
      <c r="D561" s="101" t="str">
        <f>IFERROR(IF(VLOOKUP(C561,'Data Sheet'!$A$3:$D$26,4,FALSE)=0,"",VLOOKUP(C561,'Data Sheet'!$A$3:$D$26,4,FALSE)),"")</f>
        <v/>
      </c>
      <c r="E561" s="279"/>
      <c r="F561" s="103" t="str">
        <f>IFERROR(IF(VLOOKUP(E561,'Data Sheet'!$C$29:$E$174,3,FALSE)=0,"",VLOOKUP(E561,'Data Sheet'!$C$29:$E$174,3,FALSE)),"")</f>
        <v/>
      </c>
      <c r="G561" s="106" t="str">
        <f t="shared" si="278"/>
        <v>-</v>
      </c>
      <c r="H561" s="273"/>
      <c r="I561" s="107"/>
      <c r="J561" s="249" t="e">
        <f t="shared" si="279"/>
        <v>#VALUE!</v>
      </c>
      <c r="K561" s="101" t="str">
        <f>IFERROR(INDEX('Data Sheet'!$C$198:$C$275,MATCH(I561,'Data Sheet'!$F$198:$F$275,0)),"")</f>
        <v/>
      </c>
      <c r="L561" s="250" t="str">
        <f>IFERROR(INDEX('Data Sheet'!$G$198:$G$275,MATCH(I561,'Data Sheet'!$F$198:$F$275,0)),"")</f>
        <v/>
      </c>
      <c r="M561" s="194"/>
      <c r="N561" s="248"/>
      <c r="O561" s="248"/>
      <c r="P561" s="108" t="str">
        <f>IFERROR(INDEX(Setup!$D$44:$D$70,MATCH(M561,Setup!$K$44:$K$70,0))&amp;"","")</f>
        <v/>
      </c>
      <c r="Q561" s="108" t="str">
        <f>IFERROR(INDEX(Setup!$E$44:$E$70,MATCH(M561,Setup!$K$44:$K$70,0))&amp;"","")</f>
        <v/>
      </c>
      <c r="R561" s="108" t="str">
        <f>IFERROR(INDEX(Setup!$L$44:$L$70,MATCH(M561,Setup!$K$44:$K$70,0))&amp;"","")</f>
        <v/>
      </c>
      <c r="S561" s="108" t="str">
        <f>Setup!$C$30</f>
        <v>USD</v>
      </c>
      <c r="T561" s="109" t="str">
        <f>IFERROR(INDEX('Data Sheet'!$B$198:$B$275,MATCH(I561,'Data Sheet'!$F$198:$F$275,0)),"")</f>
        <v/>
      </c>
      <c r="U561" s="110" t="str">
        <f>IFERROR(INDEX('Data Sheet'!$D$198:$D$275,MATCH(I561,'Data Sheet'!$F$198:$F$275,0)),"")</f>
        <v/>
      </c>
      <c r="V561" s="99"/>
      <c r="W561" s="195" t="str">
        <f>IF(V561=Setup!$C$30,"Grant",IF(V561=Setup!$C$31,"Local",IF(V561=Setup!$C$32,"Other",IF(ISBLANK(V561),"","Other"))))</f>
        <v/>
      </c>
      <c r="X561" s="255"/>
      <c r="Y561" s="259" t="str">
        <f>IF(X561&lt;&gt;"",X561/VLOOKUP($V561,Setup!$C$30:$D$41,2,0),"")</f>
        <v/>
      </c>
      <c r="Z561" s="262"/>
      <c r="AA561" s="256" t="str">
        <f t="shared" si="252"/>
        <v/>
      </c>
      <c r="AB561" s="262"/>
      <c r="AC561" s="258" t="str">
        <f t="shared" si="253"/>
        <v/>
      </c>
      <c r="AD561" s="262"/>
      <c r="AE561" s="258" t="str">
        <f t="shared" si="254"/>
        <v/>
      </c>
      <c r="AF561" s="262"/>
      <c r="AG561" s="256" t="str">
        <f t="shared" si="255"/>
        <v/>
      </c>
      <c r="AH561" s="256" t="str">
        <f t="shared" si="256"/>
        <v/>
      </c>
      <c r="AI561" s="256" t="str">
        <f t="shared" si="257"/>
        <v/>
      </c>
      <c r="AJ561" s="111"/>
      <c r="AK561" s="255"/>
      <c r="AL561" s="259" t="str">
        <f>IF(AK561&lt;&gt;"",AK561/VLOOKUP($V561,Setup!$C$30:$D$41,2,0),"")</f>
        <v/>
      </c>
      <c r="AM561" s="266"/>
      <c r="AN561" s="258" t="str">
        <f t="shared" si="258"/>
        <v/>
      </c>
      <c r="AO561" s="266"/>
      <c r="AP561" s="258" t="str">
        <f t="shared" si="259"/>
        <v/>
      </c>
      <c r="AQ561" s="266"/>
      <c r="AR561" s="258" t="str">
        <f t="shared" si="260"/>
        <v/>
      </c>
      <c r="AS561" s="266"/>
      <c r="AT561" s="256" t="str">
        <f t="shared" si="261"/>
        <v/>
      </c>
      <c r="AU561" s="256" t="str">
        <f t="shared" si="262"/>
        <v/>
      </c>
      <c r="AV561" s="256" t="str">
        <f t="shared" si="263"/>
        <v/>
      </c>
      <c r="AW561" s="267"/>
      <c r="AX561" s="255"/>
      <c r="AY561" s="259" t="str">
        <f>IF(AX561&lt;&gt;"",AX561/VLOOKUP($V561,Setup!$C$30:$D$41,2,0),"")</f>
        <v/>
      </c>
      <c r="AZ561" s="268"/>
      <c r="BA561" s="258" t="str">
        <f t="shared" si="264"/>
        <v/>
      </c>
      <c r="BB561" s="268"/>
      <c r="BC561" s="258" t="str">
        <f t="shared" si="265"/>
        <v/>
      </c>
      <c r="BD561" s="268"/>
      <c r="BE561" s="258" t="str">
        <f t="shared" si="266"/>
        <v/>
      </c>
      <c r="BF561" s="268"/>
      <c r="BG561" s="256" t="str">
        <f t="shared" si="267"/>
        <v/>
      </c>
      <c r="BH561" s="256" t="str">
        <f t="shared" si="268"/>
        <v/>
      </c>
      <c r="BI561" s="256" t="str">
        <f t="shared" si="269"/>
        <v/>
      </c>
      <c r="BJ561" s="267"/>
      <c r="BK561" s="255"/>
      <c r="BL561" s="259" t="str">
        <f>IF(BK561&lt;&gt;"",BK561/VLOOKUP($V561,Setup!$C$30:$D$41,2,0),"")</f>
        <v/>
      </c>
      <c r="BM561" s="268"/>
      <c r="BN561" s="258" t="str">
        <f t="shared" si="270"/>
        <v/>
      </c>
      <c r="BO561" s="268"/>
      <c r="BP561" s="258" t="str">
        <f t="shared" si="271"/>
        <v/>
      </c>
      <c r="BQ561" s="268"/>
      <c r="BR561" s="258" t="str">
        <f t="shared" si="272"/>
        <v/>
      </c>
      <c r="BS561" s="268"/>
      <c r="BT561" s="256" t="str">
        <f t="shared" si="273"/>
        <v/>
      </c>
      <c r="BU561" s="256" t="str">
        <f t="shared" si="274"/>
        <v/>
      </c>
      <c r="BV561" s="256" t="str">
        <f t="shared" si="275"/>
        <v/>
      </c>
      <c r="BW561" s="267"/>
      <c r="BX561" s="256" t="str">
        <f t="shared" si="276"/>
        <v/>
      </c>
      <c r="BY561" s="256" t="str">
        <f t="shared" si="277"/>
        <v/>
      </c>
      <c r="BZ561" s="281"/>
      <c r="CA561" s="282"/>
      <c r="CF561" s="284"/>
      <c r="CG561" s="284"/>
      <c r="CH561" s="284"/>
      <c r="CI561" s="284"/>
      <c r="CL561" s="356" t="str">
        <f>IFERROR(VLOOKUP(C561,'Data Sheet'!$A$3:$B$26,2,FALSE),"")</f>
        <v/>
      </c>
    </row>
    <row r="562" spans="1:90" ht="15.75" x14ac:dyDescent="0.2">
      <c r="A562" s="97"/>
      <c r="B562" s="105" t="str">
        <f t="shared" si="280"/>
        <v>--</v>
      </c>
      <c r="C562" s="276"/>
      <c r="D562" s="101" t="str">
        <f>IFERROR(IF(VLOOKUP(C562,'Data Sheet'!$A$3:$D$26,4,FALSE)=0,"",VLOOKUP(C562,'Data Sheet'!$A$3:$D$26,4,FALSE)),"")</f>
        <v/>
      </c>
      <c r="E562" s="279"/>
      <c r="F562" s="103" t="str">
        <f>IFERROR(IF(VLOOKUP(E562,'Data Sheet'!$C$29:$E$174,3,FALSE)=0,"",VLOOKUP(E562,'Data Sheet'!$C$29:$E$174,3,FALSE)),"")</f>
        <v/>
      </c>
      <c r="G562" s="106" t="str">
        <f t="shared" si="278"/>
        <v>-</v>
      </c>
      <c r="H562" s="273"/>
      <c r="I562" s="107"/>
      <c r="J562" s="249" t="e">
        <f t="shared" si="279"/>
        <v>#VALUE!</v>
      </c>
      <c r="K562" s="101" t="str">
        <f>IFERROR(INDEX('Data Sheet'!$C$198:$C$275,MATCH(I562,'Data Sheet'!$F$198:$F$275,0)),"")</f>
        <v/>
      </c>
      <c r="L562" s="250" t="str">
        <f>IFERROR(INDEX('Data Sheet'!$G$198:$G$275,MATCH(I562,'Data Sheet'!$F$198:$F$275,0)),"")</f>
        <v/>
      </c>
      <c r="M562" s="194"/>
      <c r="N562" s="248"/>
      <c r="O562" s="248"/>
      <c r="P562" s="108" t="str">
        <f>IFERROR(INDEX(Setup!$D$44:$D$70,MATCH(M562,Setup!$K$44:$K$70,0))&amp;"","")</f>
        <v/>
      </c>
      <c r="Q562" s="108" t="str">
        <f>IFERROR(INDEX(Setup!$E$44:$E$70,MATCH(M562,Setup!$K$44:$K$70,0))&amp;"","")</f>
        <v/>
      </c>
      <c r="R562" s="108" t="str">
        <f>IFERROR(INDEX(Setup!$L$44:$L$70,MATCH(M562,Setup!$K$44:$K$70,0))&amp;"","")</f>
        <v/>
      </c>
      <c r="S562" s="108" t="str">
        <f>Setup!$C$30</f>
        <v>USD</v>
      </c>
      <c r="T562" s="109" t="str">
        <f>IFERROR(INDEX('Data Sheet'!$B$198:$B$275,MATCH(I562,'Data Sheet'!$F$198:$F$275,0)),"")</f>
        <v/>
      </c>
      <c r="U562" s="110" t="str">
        <f>IFERROR(INDEX('Data Sheet'!$D$198:$D$275,MATCH(I562,'Data Sheet'!$F$198:$F$275,0)),"")</f>
        <v/>
      </c>
      <c r="V562" s="99"/>
      <c r="W562" s="195" t="str">
        <f>IF(V562=Setup!$C$30,"Grant",IF(V562=Setup!$C$31,"Local",IF(V562=Setup!$C$32,"Other",IF(ISBLANK(V562),"","Other"))))</f>
        <v/>
      </c>
      <c r="X562" s="255"/>
      <c r="Y562" s="259" t="str">
        <f>IF(X562&lt;&gt;"",X562/VLOOKUP($V562,Setup!$C$30:$D$41,2,0),"")</f>
        <v/>
      </c>
      <c r="Z562" s="262"/>
      <c r="AA562" s="256" t="str">
        <f t="shared" si="252"/>
        <v/>
      </c>
      <c r="AB562" s="262"/>
      <c r="AC562" s="258" t="str">
        <f t="shared" si="253"/>
        <v/>
      </c>
      <c r="AD562" s="262"/>
      <c r="AE562" s="258" t="str">
        <f t="shared" si="254"/>
        <v/>
      </c>
      <c r="AF562" s="262"/>
      <c r="AG562" s="256" t="str">
        <f t="shared" si="255"/>
        <v/>
      </c>
      <c r="AH562" s="256" t="str">
        <f t="shared" si="256"/>
        <v/>
      </c>
      <c r="AI562" s="256" t="str">
        <f t="shared" si="257"/>
        <v/>
      </c>
      <c r="AJ562" s="111"/>
      <c r="AK562" s="255"/>
      <c r="AL562" s="259" t="str">
        <f>IF(AK562&lt;&gt;"",AK562/VLOOKUP($V562,Setup!$C$30:$D$41,2,0),"")</f>
        <v/>
      </c>
      <c r="AM562" s="266"/>
      <c r="AN562" s="258" t="str">
        <f t="shared" si="258"/>
        <v/>
      </c>
      <c r="AO562" s="266"/>
      <c r="AP562" s="258" t="str">
        <f t="shared" si="259"/>
        <v/>
      </c>
      <c r="AQ562" s="266"/>
      <c r="AR562" s="258" t="str">
        <f t="shared" si="260"/>
        <v/>
      </c>
      <c r="AS562" s="266"/>
      <c r="AT562" s="256" t="str">
        <f t="shared" si="261"/>
        <v/>
      </c>
      <c r="AU562" s="256" t="str">
        <f t="shared" si="262"/>
        <v/>
      </c>
      <c r="AV562" s="256" t="str">
        <f t="shared" si="263"/>
        <v/>
      </c>
      <c r="AW562" s="267"/>
      <c r="AX562" s="255"/>
      <c r="AY562" s="259" t="str">
        <f>IF(AX562&lt;&gt;"",AX562/VLOOKUP($V562,Setup!$C$30:$D$41,2,0),"")</f>
        <v/>
      </c>
      <c r="AZ562" s="268"/>
      <c r="BA562" s="258" t="str">
        <f t="shared" si="264"/>
        <v/>
      </c>
      <c r="BB562" s="268"/>
      <c r="BC562" s="258" t="str">
        <f t="shared" si="265"/>
        <v/>
      </c>
      <c r="BD562" s="268"/>
      <c r="BE562" s="258" t="str">
        <f t="shared" si="266"/>
        <v/>
      </c>
      <c r="BF562" s="268"/>
      <c r="BG562" s="256" t="str">
        <f t="shared" si="267"/>
        <v/>
      </c>
      <c r="BH562" s="256" t="str">
        <f t="shared" si="268"/>
        <v/>
      </c>
      <c r="BI562" s="256" t="str">
        <f t="shared" si="269"/>
        <v/>
      </c>
      <c r="BJ562" s="267"/>
      <c r="BK562" s="255"/>
      <c r="BL562" s="259" t="str">
        <f>IF(BK562&lt;&gt;"",BK562/VLOOKUP($V562,Setup!$C$30:$D$41,2,0),"")</f>
        <v/>
      </c>
      <c r="BM562" s="268"/>
      <c r="BN562" s="258" t="str">
        <f t="shared" si="270"/>
        <v/>
      </c>
      <c r="BO562" s="268"/>
      <c r="BP562" s="258" t="str">
        <f t="shared" si="271"/>
        <v/>
      </c>
      <c r="BQ562" s="268"/>
      <c r="BR562" s="258" t="str">
        <f t="shared" si="272"/>
        <v/>
      </c>
      <c r="BS562" s="268"/>
      <c r="BT562" s="256" t="str">
        <f t="shared" si="273"/>
        <v/>
      </c>
      <c r="BU562" s="256" t="str">
        <f t="shared" si="274"/>
        <v/>
      </c>
      <c r="BV562" s="256" t="str">
        <f t="shared" si="275"/>
        <v/>
      </c>
      <c r="BW562" s="267"/>
      <c r="BX562" s="256" t="str">
        <f t="shared" si="276"/>
        <v/>
      </c>
      <c r="BY562" s="256" t="str">
        <f t="shared" si="277"/>
        <v/>
      </c>
      <c r="BZ562" s="281"/>
      <c r="CA562" s="282"/>
      <c r="CF562" s="284"/>
      <c r="CG562" s="284"/>
      <c r="CH562" s="284"/>
      <c r="CI562" s="284"/>
      <c r="CL562" s="356" t="str">
        <f>IFERROR(VLOOKUP(C562,'Data Sheet'!$A$3:$B$26,2,FALSE),"")</f>
        <v/>
      </c>
    </row>
    <row r="563" spans="1:90" ht="15.75" x14ac:dyDescent="0.2">
      <c r="A563" s="97"/>
      <c r="B563" s="105" t="str">
        <f t="shared" si="280"/>
        <v>--</v>
      </c>
      <c r="C563" s="276"/>
      <c r="D563" s="101" t="str">
        <f>IFERROR(IF(VLOOKUP(C563,'Data Sheet'!$A$3:$D$26,4,FALSE)=0,"",VLOOKUP(C563,'Data Sheet'!$A$3:$D$26,4,FALSE)),"")</f>
        <v/>
      </c>
      <c r="E563" s="279"/>
      <c r="F563" s="103" t="str">
        <f>IFERROR(IF(VLOOKUP(E563,'Data Sheet'!$C$29:$E$174,3,FALSE)=0,"",VLOOKUP(E563,'Data Sheet'!$C$29:$E$174,3,FALSE)),"")</f>
        <v/>
      </c>
      <c r="G563" s="106" t="str">
        <f t="shared" si="278"/>
        <v>-</v>
      </c>
      <c r="H563" s="273"/>
      <c r="I563" s="107"/>
      <c r="J563" s="249" t="e">
        <f t="shared" si="279"/>
        <v>#VALUE!</v>
      </c>
      <c r="K563" s="101" t="str">
        <f>IFERROR(INDEX('Data Sheet'!$C$198:$C$275,MATCH(I563,'Data Sheet'!$F$198:$F$275,0)),"")</f>
        <v/>
      </c>
      <c r="L563" s="250" t="str">
        <f>IFERROR(INDEX('Data Sheet'!$G$198:$G$275,MATCH(I563,'Data Sheet'!$F$198:$F$275,0)),"")</f>
        <v/>
      </c>
      <c r="M563" s="194"/>
      <c r="N563" s="248"/>
      <c r="O563" s="248"/>
      <c r="P563" s="108" t="str">
        <f>IFERROR(INDEX(Setup!$D$44:$D$70,MATCH(M563,Setup!$K$44:$K$70,0))&amp;"","")</f>
        <v/>
      </c>
      <c r="Q563" s="108" t="str">
        <f>IFERROR(INDEX(Setup!$E$44:$E$70,MATCH(M563,Setup!$K$44:$K$70,0))&amp;"","")</f>
        <v/>
      </c>
      <c r="R563" s="108" t="str">
        <f>IFERROR(INDEX(Setup!$L$44:$L$70,MATCH(M563,Setup!$K$44:$K$70,0))&amp;"","")</f>
        <v/>
      </c>
      <c r="S563" s="108" t="str">
        <f>Setup!$C$30</f>
        <v>USD</v>
      </c>
      <c r="T563" s="109" t="str">
        <f>IFERROR(INDEX('Data Sheet'!$B$198:$B$275,MATCH(I563,'Data Sheet'!$F$198:$F$275,0)),"")</f>
        <v/>
      </c>
      <c r="U563" s="110" t="str">
        <f>IFERROR(INDEX('Data Sheet'!$D$198:$D$275,MATCH(I563,'Data Sheet'!$F$198:$F$275,0)),"")</f>
        <v/>
      </c>
      <c r="V563" s="99"/>
      <c r="W563" s="195" t="str">
        <f>IF(V563=Setup!$C$30,"Grant",IF(V563=Setup!$C$31,"Local",IF(V563=Setup!$C$32,"Other",IF(ISBLANK(V563),"","Other"))))</f>
        <v/>
      </c>
      <c r="X563" s="255"/>
      <c r="Y563" s="259" t="str">
        <f>IF(X563&lt;&gt;"",X563/VLOOKUP($V563,Setup!$C$30:$D$41,2,0),"")</f>
        <v/>
      </c>
      <c r="Z563" s="262"/>
      <c r="AA563" s="256" t="str">
        <f t="shared" si="252"/>
        <v/>
      </c>
      <c r="AB563" s="262"/>
      <c r="AC563" s="258" t="str">
        <f t="shared" si="253"/>
        <v/>
      </c>
      <c r="AD563" s="262"/>
      <c r="AE563" s="258" t="str">
        <f t="shared" si="254"/>
        <v/>
      </c>
      <c r="AF563" s="262"/>
      <c r="AG563" s="256" t="str">
        <f t="shared" si="255"/>
        <v/>
      </c>
      <c r="AH563" s="256" t="str">
        <f t="shared" si="256"/>
        <v/>
      </c>
      <c r="AI563" s="256" t="str">
        <f t="shared" si="257"/>
        <v/>
      </c>
      <c r="AJ563" s="111"/>
      <c r="AK563" s="255"/>
      <c r="AL563" s="259" t="str">
        <f>IF(AK563&lt;&gt;"",AK563/VLOOKUP($V563,Setup!$C$30:$D$41,2,0),"")</f>
        <v/>
      </c>
      <c r="AM563" s="266"/>
      <c r="AN563" s="258" t="str">
        <f t="shared" si="258"/>
        <v/>
      </c>
      <c r="AO563" s="266"/>
      <c r="AP563" s="258" t="str">
        <f t="shared" si="259"/>
        <v/>
      </c>
      <c r="AQ563" s="266"/>
      <c r="AR563" s="258" t="str">
        <f t="shared" si="260"/>
        <v/>
      </c>
      <c r="AS563" s="266"/>
      <c r="AT563" s="256" t="str">
        <f t="shared" si="261"/>
        <v/>
      </c>
      <c r="AU563" s="256" t="str">
        <f t="shared" si="262"/>
        <v/>
      </c>
      <c r="AV563" s="256" t="str">
        <f t="shared" si="263"/>
        <v/>
      </c>
      <c r="AW563" s="267"/>
      <c r="AX563" s="255"/>
      <c r="AY563" s="259" t="str">
        <f>IF(AX563&lt;&gt;"",AX563/VLOOKUP($V563,Setup!$C$30:$D$41,2,0),"")</f>
        <v/>
      </c>
      <c r="AZ563" s="268"/>
      <c r="BA563" s="258" t="str">
        <f t="shared" si="264"/>
        <v/>
      </c>
      <c r="BB563" s="268"/>
      <c r="BC563" s="258" t="str">
        <f t="shared" si="265"/>
        <v/>
      </c>
      <c r="BD563" s="268"/>
      <c r="BE563" s="258" t="str">
        <f t="shared" si="266"/>
        <v/>
      </c>
      <c r="BF563" s="268"/>
      <c r="BG563" s="256" t="str">
        <f t="shared" si="267"/>
        <v/>
      </c>
      <c r="BH563" s="256" t="str">
        <f t="shared" si="268"/>
        <v/>
      </c>
      <c r="BI563" s="256" t="str">
        <f t="shared" si="269"/>
        <v/>
      </c>
      <c r="BJ563" s="267"/>
      <c r="BK563" s="255"/>
      <c r="BL563" s="259" t="str">
        <f>IF(BK563&lt;&gt;"",BK563/VLOOKUP($V563,Setup!$C$30:$D$41,2,0),"")</f>
        <v/>
      </c>
      <c r="BM563" s="268"/>
      <c r="BN563" s="258" t="str">
        <f t="shared" si="270"/>
        <v/>
      </c>
      <c r="BO563" s="268"/>
      <c r="BP563" s="258" t="str">
        <f t="shared" si="271"/>
        <v/>
      </c>
      <c r="BQ563" s="268"/>
      <c r="BR563" s="258" t="str">
        <f t="shared" si="272"/>
        <v/>
      </c>
      <c r="BS563" s="268"/>
      <c r="BT563" s="256" t="str">
        <f t="shared" si="273"/>
        <v/>
      </c>
      <c r="BU563" s="256" t="str">
        <f t="shared" si="274"/>
        <v/>
      </c>
      <c r="BV563" s="256" t="str">
        <f t="shared" si="275"/>
        <v/>
      </c>
      <c r="BW563" s="267"/>
      <c r="BX563" s="256" t="str">
        <f t="shared" si="276"/>
        <v/>
      </c>
      <c r="BY563" s="256" t="str">
        <f t="shared" si="277"/>
        <v/>
      </c>
      <c r="BZ563" s="281"/>
      <c r="CA563" s="282"/>
      <c r="CF563" s="284"/>
      <c r="CG563" s="284"/>
      <c r="CH563" s="284"/>
      <c r="CI563" s="284"/>
      <c r="CL563" s="356" t="str">
        <f>IFERROR(VLOOKUP(C563,'Data Sheet'!$A$3:$B$26,2,FALSE),"")</f>
        <v/>
      </c>
    </row>
    <row r="564" spans="1:90" ht="15.75" x14ac:dyDescent="0.2">
      <c r="A564" s="97"/>
      <c r="B564" s="105" t="str">
        <f t="shared" si="280"/>
        <v>--</v>
      </c>
      <c r="C564" s="276"/>
      <c r="D564" s="101" t="str">
        <f>IFERROR(IF(VLOOKUP(C564,'Data Sheet'!$A$3:$D$26,4,FALSE)=0,"",VLOOKUP(C564,'Data Sheet'!$A$3:$D$26,4,FALSE)),"")</f>
        <v/>
      </c>
      <c r="E564" s="279"/>
      <c r="F564" s="103" t="str">
        <f>IFERROR(IF(VLOOKUP(E564,'Data Sheet'!$C$29:$E$174,3,FALSE)=0,"",VLOOKUP(E564,'Data Sheet'!$C$29:$E$174,3,FALSE)),"")</f>
        <v/>
      </c>
      <c r="G564" s="106" t="str">
        <f t="shared" si="278"/>
        <v>-</v>
      </c>
      <c r="H564" s="273"/>
      <c r="I564" s="107"/>
      <c r="J564" s="249" t="e">
        <f t="shared" si="279"/>
        <v>#VALUE!</v>
      </c>
      <c r="K564" s="101" t="str">
        <f>IFERROR(INDEX('Data Sheet'!$C$198:$C$275,MATCH(I564,'Data Sheet'!$F$198:$F$275,0)),"")</f>
        <v/>
      </c>
      <c r="L564" s="250" t="str">
        <f>IFERROR(INDEX('Data Sheet'!$G$198:$G$275,MATCH(I564,'Data Sheet'!$F$198:$F$275,0)),"")</f>
        <v/>
      </c>
      <c r="M564" s="194"/>
      <c r="N564" s="248"/>
      <c r="O564" s="248"/>
      <c r="P564" s="108" t="str">
        <f>IFERROR(INDEX(Setup!$D$44:$D$70,MATCH(M564,Setup!$K$44:$K$70,0))&amp;"","")</f>
        <v/>
      </c>
      <c r="Q564" s="108" t="str">
        <f>IFERROR(INDEX(Setup!$E$44:$E$70,MATCH(M564,Setup!$K$44:$K$70,0))&amp;"","")</f>
        <v/>
      </c>
      <c r="R564" s="108" t="str">
        <f>IFERROR(INDEX(Setup!$L$44:$L$70,MATCH(M564,Setup!$K$44:$K$70,0))&amp;"","")</f>
        <v/>
      </c>
      <c r="S564" s="108" t="str">
        <f>Setup!$C$30</f>
        <v>USD</v>
      </c>
      <c r="T564" s="109" t="str">
        <f>IFERROR(INDEX('Data Sheet'!$B$198:$B$275,MATCH(I564,'Data Sheet'!$F$198:$F$275,0)),"")</f>
        <v/>
      </c>
      <c r="U564" s="110" t="str">
        <f>IFERROR(INDEX('Data Sheet'!$D$198:$D$275,MATCH(I564,'Data Sheet'!$F$198:$F$275,0)),"")</f>
        <v/>
      </c>
      <c r="V564" s="99"/>
      <c r="W564" s="195" t="str">
        <f>IF(V564=Setup!$C$30,"Grant",IF(V564=Setup!$C$31,"Local",IF(V564=Setup!$C$32,"Other",IF(ISBLANK(V564),"","Other"))))</f>
        <v/>
      </c>
      <c r="X564" s="255"/>
      <c r="Y564" s="259" t="str">
        <f>IF(X564&lt;&gt;"",X564/VLOOKUP($V564,Setup!$C$30:$D$41,2,0),"")</f>
        <v/>
      </c>
      <c r="Z564" s="262"/>
      <c r="AA564" s="256" t="str">
        <f t="shared" si="252"/>
        <v/>
      </c>
      <c r="AB564" s="262"/>
      <c r="AC564" s="258" t="str">
        <f t="shared" si="253"/>
        <v/>
      </c>
      <c r="AD564" s="262"/>
      <c r="AE564" s="258" t="str">
        <f t="shared" si="254"/>
        <v/>
      </c>
      <c r="AF564" s="262"/>
      <c r="AG564" s="256" t="str">
        <f t="shared" si="255"/>
        <v/>
      </c>
      <c r="AH564" s="256" t="str">
        <f t="shared" si="256"/>
        <v/>
      </c>
      <c r="AI564" s="256" t="str">
        <f t="shared" si="257"/>
        <v/>
      </c>
      <c r="AJ564" s="111"/>
      <c r="AK564" s="255"/>
      <c r="AL564" s="259" t="str">
        <f>IF(AK564&lt;&gt;"",AK564/VLOOKUP($V564,Setup!$C$30:$D$41,2,0),"")</f>
        <v/>
      </c>
      <c r="AM564" s="266"/>
      <c r="AN564" s="258" t="str">
        <f t="shared" si="258"/>
        <v/>
      </c>
      <c r="AO564" s="266"/>
      <c r="AP564" s="258" t="str">
        <f t="shared" si="259"/>
        <v/>
      </c>
      <c r="AQ564" s="266"/>
      <c r="AR564" s="258" t="str">
        <f t="shared" si="260"/>
        <v/>
      </c>
      <c r="AS564" s="266"/>
      <c r="AT564" s="256" t="str">
        <f t="shared" si="261"/>
        <v/>
      </c>
      <c r="AU564" s="256" t="str">
        <f t="shared" si="262"/>
        <v/>
      </c>
      <c r="AV564" s="256" t="str">
        <f t="shared" si="263"/>
        <v/>
      </c>
      <c r="AW564" s="267"/>
      <c r="AX564" s="255"/>
      <c r="AY564" s="259" t="str">
        <f>IF(AX564&lt;&gt;"",AX564/VLOOKUP($V564,Setup!$C$30:$D$41,2,0),"")</f>
        <v/>
      </c>
      <c r="AZ564" s="268"/>
      <c r="BA564" s="258" t="str">
        <f t="shared" si="264"/>
        <v/>
      </c>
      <c r="BB564" s="268"/>
      <c r="BC564" s="258" t="str">
        <f t="shared" si="265"/>
        <v/>
      </c>
      <c r="BD564" s="268"/>
      <c r="BE564" s="258" t="str">
        <f t="shared" si="266"/>
        <v/>
      </c>
      <c r="BF564" s="268"/>
      <c r="BG564" s="256" t="str">
        <f t="shared" si="267"/>
        <v/>
      </c>
      <c r="BH564" s="256" t="str">
        <f t="shared" si="268"/>
        <v/>
      </c>
      <c r="BI564" s="256" t="str">
        <f t="shared" si="269"/>
        <v/>
      </c>
      <c r="BJ564" s="267"/>
      <c r="BK564" s="255"/>
      <c r="BL564" s="259" t="str">
        <f>IF(BK564&lt;&gt;"",BK564/VLOOKUP($V564,Setup!$C$30:$D$41,2,0),"")</f>
        <v/>
      </c>
      <c r="BM564" s="268"/>
      <c r="BN564" s="258" t="str">
        <f t="shared" si="270"/>
        <v/>
      </c>
      <c r="BO564" s="268"/>
      <c r="BP564" s="258" t="str">
        <f t="shared" si="271"/>
        <v/>
      </c>
      <c r="BQ564" s="268"/>
      <c r="BR564" s="258" t="str">
        <f t="shared" si="272"/>
        <v/>
      </c>
      <c r="BS564" s="268"/>
      <c r="BT564" s="256" t="str">
        <f t="shared" si="273"/>
        <v/>
      </c>
      <c r="BU564" s="256" t="str">
        <f t="shared" si="274"/>
        <v/>
      </c>
      <c r="BV564" s="256" t="str">
        <f t="shared" si="275"/>
        <v/>
      </c>
      <c r="BW564" s="267"/>
      <c r="BX564" s="256" t="str">
        <f t="shared" si="276"/>
        <v/>
      </c>
      <c r="BY564" s="256" t="str">
        <f t="shared" si="277"/>
        <v/>
      </c>
      <c r="BZ564" s="281"/>
      <c r="CA564" s="282"/>
      <c r="CF564" s="284"/>
      <c r="CG564" s="284"/>
      <c r="CH564" s="284"/>
      <c r="CI564" s="284"/>
      <c r="CL564" s="356" t="str">
        <f>IFERROR(VLOOKUP(C564,'Data Sheet'!$A$3:$B$26,2,FALSE),"")</f>
        <v/>
      </c>
    </row>
    <row r="565" spans="1:90" ht="15.75" x14ac:dyDescent="0.2">
      <c r="A565" s="97"/>
      <c r="B565" s="105" t="str">
        <f t="shared" si="280"/>
        <v>--</v>
      </c>
      <c r="C565" s="276"/>
      <c r="D565" s="101" t="str">
        <f>IFERROR(IF(VLOOKUP(C565,'Data Sheet'!$A$3:$D$26,4,FALSE)=0,"",VLOOKUP(C565,'Data Sheet'!$A$3:$D$26,4,FALSE)),"")</f>
        <v/>
      </c>
      <c r="E565" s="279"/>
      <c r="F565" s="103" t="str">
        <f>IFERROR(IF(VLOOKUP(E565,'Data Sheet'!$C$29:$E$174,3,FALSE)=0,"",VLOOKUP(E565,'Data Sheet'!$C$29:$E$174,3,FALSE)),"")</f>
        <v/>
      </c>
      <c r="G565" s="106" t="str">
        <f t="shared" si="278"/>
        <v>-</v>
      </c>
      <c r="H565" s="273"/>
      <c r="I565" s="107"/>
      <c r="J565" s="249" t="e">
        <f t="shared" si="279"/>
        <v>#VALUE!</v>
      </c>
      <c r="K565" s="101" t="str">
        <f>IFERROR(INDEX('Data Sheet'!$C$198:$C$275,MATCH(I565,'Data Sheet'!$F$198:$F$275,0)),"")</f>
        <v/>
      </c>
      <c r="L565" s="250" t="str">
        <f>IFERROR(INDEX('Data Sheet'!$G$198:$G$275,MATCH(I565,'Data Sheet'!$F$198:$F$275,0)),"")</f>
        <v/>
      </c>
      <c r="M565" s="194"/>
      <c r="N565" s="248"/>
      <c r="O565" s="248"/>
      <c r="P565" s="108" t="str">
        <f>IFERROR(INDEX(Setup!$D$44:$D$70,MATCH(M565,Setup!$K$44:$K$70,0))&amp;"","")</f>
        <v/>
      </c>
      <c r="Q565" s="108" t="str">
        <f>IFERROR(INDEX(Setup!$E$44:$E$70,MATCH(M565,Setup!$K$44:$K$70,0))&amp;"","")</f>
        <v/>
      </c>
      <c r="R565" s="108" t="str">
        <f>IFERROR(INDEX(Setup!$L$44:$L$70,MATCH(M565,Setup!$K$44:$K$70,0))&amp;"","")</f>
        <v/>
      </c>
      <c r="S565" s="108" t="str">
        <f>Setup!$C$30</f>
        <v>USD</v>
      </c>
      <c r="T565" s="109" t="str">
        <f>IFERROR(INDEX('Data Sheet'!$B$198:$B$275,MATCH(I565,'Data Sheet'!$F$198:$F$275,0)),"")</f>
        <v/>
      </c>
      <c r="U565" s="110" t="str">
        <f>IFERROR(INDEX('Data Sheet'!$D$198:$D$275,MATCH(I565,'Data Sheet'!$F$198:$F$275,0)),"")</f>
        <v/>
      </c>
      <c r="V565" s="99"/>
      <c r="W565" s="195" t="str">
        <f>IF(V565=Setup!$C$30,"Grant",IF(V565=Setup!$C$31,"Local",IF(V565=Setup!$C$32,"Other",IF(ISBLANK(V565),"","Other"))))</f>
        <v/>
      </c>
      <c r="X565" s="255"/>
      <c r="Y565" s="259" t="str">
        <f>IF(X565&lt;&gt;"",X565/VLOOKUP($V565,Setup!$C$30:$D$41,2,0),"")</f>
        <v/>
      </c>
      <c r="Z565" s="262"/>
      <c r="AA565" s="256" t="str">
        <f t="shared" si="252"/>
        <v/>
      </c>
      <c r="AB565" s="262"/>
      <c r="AC565" s="258" t="str">
        <f t="shared" si="253"/>
        <v/>
      </c>
      <c r="AD565" s="262"/>
      <c r="AE565" s="258" t="str">
        <f t="shared" si="254"/>
        <v/>
      </c>
      <c r="AF565" s="262"/>
      <c r="AG565" s="256" t="str">
        <f t="shared" si="255"/>
        <v/>
      </c>
      <c r="AH565" s="256" t="str">
        <f t="shared" si="256"/>
        <v/>
      </c>
      <c r="AI565" s="256" t="str">
        <f t="shared" si="257"/>
        <v/>
      </c>
      <c r="AJ565" s="111"/>
      <c r="AK565" s="255"/>
      <c r="AL565" s="259" t="str">
        <f>IF(AK565&lt;&gt;"",AK565/VLOOKUP($V565,Setup!$C$30:$D$41,2,0),"")</f>
        <v/>
      </c>
      <c r="AM565" s="266"/>
      <c r="AN565" s="258" t="str">
        <f t="shared" si="258"/>
        <v/>
      </c>
      <c r="AO565" s="266"/>
      <c r="AP565" s="258" t="str">
        <f t="shared" si="259"/>
        <v/>
      </c>
      <c r="AQ565" s="266"/>
      <c r="AR565" s="258" t="str">
        <f t="shared" si="260"/>
        <v/>
      </c>
      <c r="AS565" s="266"/>
      <c r="AT565" s="256" t="str">
        <f t="shared" si="261"/>
        <v/>
      </c>
      <c r="AU565" s="256" t="str">
        <f t="shared" si="262"/>
        <v/>
      </c>
      <c r="AV565" s="256" t="str">
        <f t="shared" si="263"/>
        <v/>
      </c>
      <c r="AW565" s="267"/>
      <c r="AX565" s="255"/>
      <c r="AY565" s="259" t="str">
        <f>IF(AX565&lt;&gt;"",AX565/VLOOKUP($V565,Setup!$C$30:$D$41,2,0),"")</f>
        <v/>
      </c>
      <c r="AZ565" s="268"/>
      <c r="BA565" s="258" t="str">
        <f t="shared" si="264"/>
        <v/>
      </c>
      <c r="BB565" s="268"/>
      <c r="BC565" s="258" t="str">
        <f t="shared" si="265"/>
        <v/>
      </c>
      <c r="BD565" s="268"/>
      <c r="BE565" s="258" t="str">
        <f t="shared" si="266"/>
        <v/>
      </c>
      <c r="BF565" s="268"/>
      <c r="BG565" s="256" t="str">
        <f t="shared" si="267"/>
        <v/>
      </c>
      <c r="BH565" s="256" t="str">
        <f t="shared" si="268"/>
        <v/>
      </c>
      <c r="BI565" s="256" t="str">
        <f t="shared" si="269"/>
        <v/>
      </c>
      <c r="BJ565" s="267"/>
      <c r="BK565" s="255"/>
      <c r="BL565" s="259" t="str">
        <f>IF(BK565&lt;&gt;"",BK565/VLOOKUP($V565,Setup!$C$30:$D$41,2,0),"")</f>
        <v/>
      </c>
      <c r="BM565" s="268"/>
      <c r="BN565" s="258" t="str">
        <f t="shared" si="270"/>
        <v/>
      </c>
      <c r="BO565" s="268"/>
      <c r="BP565" s="258" t="str">
        <f t="shared" si="271"/>
        <v/>
      </c>
      <c r="BQ565" s="268"/>
      <c r="BR565" s="258" t="str">
        <f t="shared" si="272"/>
        <v/>
      </c>
      <c r="BS565" s="268"/>
      <c r="BT565" s="256" t="str">
        <f t="shared" si="273"/>
        <v/>
      </c>
      <c r="BU565" s="256" t="str">
        <f t="shared" si="274"/>
        <v/>
      </c>
      <c r="BV565" s="256" t="str">
        <f t="shared" si="275"/>
        <v/>
      </c>
      <c r="BW565" s="267"/>
      <c r="BX565" s="256" t="str">
        <f t="shared" si="276"/>
        <v/>
      </c>
      <c r="BY565" s="256" t="str">
        <f t="shared" si="277"/>
        <v/>
      </c>
      <c r="BZ565" s="281"/>
      <c r="CA565" s="282"/>
      <c r="CF565" s="284"/>
      <c r="CG565" s="284"/>
      <c r="CH565" s="284"/>
      <c r="CI565" s="284"/>
      <c r="CL565" s="356" t="str">
        <f>IFERROR(VLOOKUP(C565,'Data Sheet'!$A$3:$B$26,2,FALSE),"")</f>
        <v/>
      </c>
    </row>
    <row r="566" spans="1:90" ht="15.75" x14ac:dyDescent="0.2">
      <c r="A566" s="97"/>
      <c r="B566" s="105" t="str">
        <f t="shared" si="280"/>
        <v>--</v>
      </c>
      <c r="C566" s="276"/>
      <c r="D566" s="101" t="str">
        <f>IFERROR(IF(VLOOKUP(C566,'Data Sheet'!$A$3:$D$26,4,FALSE)=0,"",VLOOKUP(C566,'Data Sheet'!$A$3:$D$26,4,FALSE)),"")</f>
        <v/>
      </c>
      <c r="E566" s="279"/>
      <c r="F566" s="103" t="str">
        <f>IFERROR(IF(VLOOKUP(E566,'Data Sheet'!$C$29:$E$174,3,FALSE)=0,"",VLOOKUP(E566,'Data Sheet'!$C$29:$E$174,3,FALSE)),"")</f>
        <v/>
      </c>
      <c r="G566" s="106" t="str">
        <f t="shared" si="278"/>
        <v>-</v>
      </c>
      <c r="H566" s="273"/>
      <c r="I566" s="107"/>
      <c r="J566" s="249" t="e">
        <f t="shared" si="279"/>
        <v>#VALUE!</v>
      </c>
      <c r="K566" s="101" t="str">
        <f>IFERROR(INDEX('Data Sheet'!$C$198:$C$275,MATCH(I566,'Data Sheet'!$F$198:$F$275,0)),"")</f>
        <v/>
      </c>
      <c r="L566" s="250" t="str">
        <f>IFERROR(INDEX('Data Sheet'!$G$198:$G$275,MATCH(I566,'Data Sheet'!$F$198:$F$275,0)),"")</f>
        <v/>
      </c>
      <c r="M566" s="194"/>
      <c r="N566" s="248"/>
      <c r="O566" s="248"/>
      <c r="P566" s="108" t="str">
        <f>IFERROR(INDEX(Setup!$D$44:$D$70,MATCH(M566,Setup!$K$44:$K$70,0))&amp;"","")</f>
        <v/>
      </c>
      <c r="Q566" s="108" t="str">
        <f>IFERROR(INDEX(Setup!$E$44:$E$70,MATCH(M566,Setup!$K$44:$K$70,0))&amp;"","")</f>
        <v/>
      </c>
      <c r="R566" s="108" t="str">
        <f>IFERROR(INDEX(Setup!$L$44:$L$70,MATCH(M566,Setup!$K$44:$K$70,0))&amp;"","")</f>
        <v/>
      </c>
      <c r="S566" s="108" t="str">
        <f>Setup!$C$30</f>
        <v>USD</v>
      </c>
      <c r="T566" s="109" t="str">
        <f>IFERROR(INDEX('Data Sheet'!$B$198:$B$275,MATCH(I566,'Data Sheet'!$F$198:$F$275,0)),"")</f>
        <v/>
      </c>
      <c r="U566" s="110" t="str">
        <f>IFERROR(INDEX('Data Sheet'!$D$198:$D$275,MATCH(I566,'Data Sheet'!$F$198:$F$275,0)),"")</f>
        <v/>
      </c>
      <c r="V566" s="99"/>
      <c r="W566" s="195" t="str">
        <f>IF(V566=Setup!$C$30,"Grant",IF(V566=Setup!$C$31,"Local",IF(V566=Setup!$C$32,"Other",IF(ISBLANK(V566),"","Other"))))</f>
        <v/>
      </c>
      <c r="X566" s="255"/>
      <c r="Y566" s="259" t="str">
        <f>IF(X566&lt;&gt;"",X566/VLOOKUP($V566,Setup!$C$30:$D$41,2,0),"")</f>
        <v/>
      </c>
      <c r="Z566" s="262"/>
      <c r="AA566" s="256" t="str">
        <f t="shared" si="252"/>
        <v/>
      </c>
      <c r="AB566" s="262"/>
      <c r="AC566" s="258" t="str">
        <f t="shared" si="253"/>
        <v/>
      </c>
      <c r="AD566" s="262"/>
      <c r="AE566" s="258" t="str">
        <f t="shared" si="254"/>
        <v/>
      </c>
      <c r="AF566" s="262"/>
      <c r="AG566" s="256" t="str">
        <f t="shared" si="255"/>
        <v/>
      </c>
      <c r="AH566" s="256" t="str">
        <f t="shared" si="256"/>
        <v/>
      </c>
      <c r="AI566" s="256" t="str">
        <f t="shared" si="257"/>
        <v/>
      </c>
      <c r="AJ566" s="111"/>
      <c r="AK566" s="255"/>
      <c r="AL566" s="259" t="str">
        <f>IF(AK566&lt;&gt;"",AK566/VLOOKUP($V566,Setup!$C$30:$D$41,2,0),"")</f>
        <v/>
      </c>
      <c r="AM566" s="266"/>
      <c r="AN566" s="258" t="str">
        <f t="shared" si="258"/>
        <v/>
      </c>
      <c r="AO566" s="266"/>
      <c r="AP566" s="258" t="str">
        <f t="shared" si="259"/>
        <v/>
      </c>
      <c r="AQ566" s="266"/>
      <c r="AR566" s="258" t="str">
        <f t="shared" si="260"/>
        <v/>
      </c>
      <c r="AS566" s="266"/>
      <c r="AT566" s="256" t="str">
        <f t="shared" si="261"/>
        <v/>
      </c>
      <c r="AU566" s="256" t="str">
        <f t="shared" si="262"/>
        <v/>
      </c>
      <c r="AV566" s="256" t="str">
        <f t="shared" si="263"/>
        <v/>
      </c>
      <c r="AW566" s="267"/>
      <c r="AX566" s="255"/>
      <c r="AY566" s="259" t="str">
        <f>IF(AX566&lt;&gt;"",AX566/VLOOKUP($V566,Setup!$C$30:$D$41,2,0),"")</f>
        <v/>
      </c>
      <c r="AZ566" s="268"/>
      <c r="BA566" s="258" t="str">
        <f t="shared" si="264"/>
        <v/>
      </c>
      <c r="BB566" s="268"/>
      <c r="BC566" s="258" t="str">
        <f t="shared" si="265"/>
        <v/>
      </c>
      <c r="BD566" s="268"/>
      <c r="BE566" s="258" t="str">
        <f t="shared" si="266"/>
        <v/>
      </c>
      <c r="BF566" s="268"/>
      <c r="BG566" s="256" t="str">
        <f t="shared" si="267"/>
        <v/>
      </c>
      <c r="BH566" s="256" t="str">
        <f t="shared" si="268"/>
        <v/>
      </c>
      <c r="BI566" s="256" t="str">
        <f t="shared" si="269"/>
        <v/>
      </c>
      <c r="BJ566" s="267"/>
      <c r="BK566" s="255"/>
      <c r="BL566" s="259" t="str">
        <f>IF(BK566&lt;&gt;"",BK566/VLOOKUP($V566,Setup!$C$30:$D$41,2,0),"")</f>
        <v/>
      </c>
      <c r="BM566" s="268"/>
      <c r="BN566" s="258" t="str">
        <f t="shared" si="270"/>
        <v/>
      </c>
      <c r="BO566" s="268"/>
      <c r="BP566" s="258" t="str">
        <f t="shared" si="271"/>
        <v/>
      </c>
      <c r="BQ566" s="268"/>
      <c r="BR566" s="258" t="str">
        <f t="shared" si="272"/>
        <v/>
      </c>
      <c r="BS566" s="268"/>
      <c r="BT566" s="256" t="str">
        <f t="shared" si="273"/>
        <v/>
      </c>
      <c r="BU566" s="256" t="str">
        <f t="shared" si="274"/>
        <v/>
      </c>
      <c r="BV566" s="256" t="str">
        <f t="shared" si="275"/>
        <v/>
      </c>
      <c r="BW566" s="267"/>
      <c r="BX566" s="256" t="str">
        <f t="shared" si="276"/>
        <v/>
      </c>
      <c r="BY566" s="256" t="str">
        <f t="shared" si="277"/>
        <v/>
      </c>
      <c r="BZ566" s="281"/>
      <c r="CA566" s="282"/>
      <c r="CF566" s="284"/>
      <c r="CG566" s="284"/>
      <c r="CH566" s="284"/>
      <c r="CI566" s="284"/>
      <c r="CL566" s="356" t="str">
        <f>IFERROR(VLOOKUP(C566,'Data Sheet'!$A$3:$B$26,2,FALSE),"")</f>
        <v/>
      </c>
    </row>
    <row r="567" spans="1:90" ht="15.75" x14ac:dyDescent="0.2">
      <c r="A567" s="97"/>
      <c r="B567" s="105" t="str">
        <f t="shared" si="280"/>
        <v>--</v>
      </c>
      <c r="C567" s="276"/>
      <c r="D567" s="101" t="str">
        <f>IFERROR(IF(VLOOKUP(C567,'Data Sheet'!$A$3:$D$26,4,FALSE)=0,"",VLOOKUP(C567,'Data Sheet'!$A$3:$D$26,4,FALSE)),"")</f>
        <v/>
      </c>
      <c r="E567" s="279"/>
      <c r="F567" s="103" t="str">
        <f>IFERROR(IF(VLOOKUP(E567,'Data Sheet'!$C$29:$E$174,3,FALSE)=0,"",VLOOKUP(E567,'Data Sheet'!$C$29:$E$174,3,FALSE)),"")</f>
        <v/>
      </c>
      <c r="G567" s="106" t="str">
        <f t="shared" si="278"/>
        <v>-</v>
      </c>
      <c r="H567" s="273"/>
      <c r="I567" s="107"/>
      <c r="J567" s="249" t="e">
        <f t="shared" si="279"/>
        <v>#VALUE!</v>
      </c>
      <c r="K567" s="101" t="str">
        <f>IFERROR(INDEX('Data Sheet'!$C$198:$C$275,MATCH(I567,'Data Sheet'!$F$198:$F$275,0)),"")</f>
        <v/>
      </c>
      <c r="L567" s="250" t="str">
        <f>IFERROR(INDEX('Data Sheet'!$G$198:$G$275,MATCH(I567,'Data Sheet'!$F$198:$F$275,0)),"")</f>
        <v/>
      </c>
      <c r="M567" s="194"/>
      <c r="N567" s="248"/>
      <c r="O567" s="248"/>
      <c r="P567" s="108" t="str">
        <f>IFERROR(INDEX(Setup!$D$44:$D$70,MATCH(M567,Setup!$K$44:$K$70,0))&amp;"","")</f>
        <v/>
      </c>
      <c r="Q567" s="108" t="str">
        <f>IFERROR(INDEX(Setup!$E$44:$E$70,MATCH(M567,Setup!$K$44:$K$70,0))&amp;"","")</f>
        <v/>
      </c>
      <c r="R567" s="108" t="str">
        <f>IFERROR(INDEX(Setup!$L$44:$L$70,MATCH(M567,Setup!$K$44:$K$70,0))&amp;"","")</f>
        <v/>
      </c>
      <c r="S567" s="108" t="str">
        <f>Setup!$C$30</f>
        <v>USD</v>
      </c>
      <c r="T567" s="109" t="str">
        <f>IFERROR(INDEX('Data Sheet'!$B$198:$B$275,MATCH(I567,'Data Sheet'!$F$198:$F$275,0)),"")</f>
        <v/>
      </c>
      <c r="U567" s="110" t="str">
        <f>IFERROR(INDEX('Data Sheet'!$D$198:$D$275,MATCH(I567,'Data Sheet'!$F$198:$F$275,0)),"")</f>
        <v/>
      </c>
      <c r="V567" s="99"/>
      <c r="W567" s="195" t="str">
        <f>IF(V567=Setup!$C$30,"Grant",IF(V567=Setup!$C$31,"Local",IF(V567=Setup!$C$32,"Other",IF(ISBLANK(V567),"","Other"))))</f>
        <v/>
      </c>
      <c r="X567" s="255"/>
      <c r="Y567" s="259" t="str">
        <f>IF(X567&lt;&gt;"",X567/VLOOKUP($V567,Setup!$C$30:$D$41,2,0),"")</f>
        <v/>
      </c>
      <c r="Z567" s="262"/>
      <c r="AA567" s="256" t="str">
        <f t="shared" si="252"/>
        <v/>
      </c>
      <c r="AB567" s="262"/>
      <c r="AC567" s="258" t="str">
        <f t="shared" si="253"/>
        <v/>
      </c>
      <c r="AD567" s="262"/>
      <c r="AE567" s="258" t="str">
        <f t="shared" si="254"/>
        <v/>
      </c>
      <c r="AF567" s="262"/>
      <c r="AG567" s="256" t="str">
        <f t="shared" si="255"/>
        <v/>
      </c>
      <c r="AH567" s="256" t="str">
        <f t="shared" si="256"/>
        <v/>
      </c>
      <c r="AI567" s="256" t="str">
        <f t="shared" si="257"/>
        <v/>
      </c>
      <c r="AJ567" s="111"/>
      <c r="AK567" s="255"/>
      <c r="AL567" s="259" t="str">
        <f>IF(AK567&lt;&gt;"",AK567/VLOOKUP($V567,Setup!$C$30:$D$41,2,0),"")</f>
        <v/>
      </c>
      <c r="AM567" s="266"/>
      <c r="AN567" s="258" t="str">
        <f t="shared" si="258"/>
        <v/>
      </c>
      <c r="AO567" s="266"/>
      <c r="AP567" s="258" t="str">
        <f t="shared" si="259"/>
        <v/>
      </c>
      <c r="AQ567" s="266"/>
      <c r="AR567" s="258" t="str">
        <f t="shared" si="260"/>
        <v/>
      </c>
      <c r="AS567" s="266"/>
      <c r="AT567" s="256" t="str">
        <f t="shared" si="261"/>
        <v/>
      </c>
      <c r="AU567" s="256" t="str">
        <f t="shared" si="262"/>
        <v/>
      </c>
      <c r="AV567" s="256" t="str">
        <f t="shared" si="263"/>
        <v/>
      </c>
      <c r="AW567" s="267"/>
      <c r="AX567" s="255"/>
      <c r="AY567" s="259" t="str">
        <f>IF(AX567&lt;&gt;"",AX567/VLOOKUP($V567,Setup!$C$30:$D$41,2,0),"")</f>
        <v/>
      </c>
      <c r="AZ567" s="268"/>
      <c r="BA567" s="258" t="str">
        <f t="shared" si="264"/>
        <v/>
      </c>
      <c r="BB567" s="268"/>
      <c r="BC567" s="258" t="str">
        <f t="shared" si="265"/>
        <v/>
      </c>
      <c r="BD567" s="268"/>
      <c r="BE567" s="258" t="str">
        <f t="shared" si="266"/>
        <v/>
      </c>
      <c r="BF567" s="268"/>
      <c r="BG567" s="256" t="str">
        <f t="shared" si="267"/>
        <v/>
      </c>
      <c r="BH567" s="256" t="str">
        <f t="shared" si="268"/>
        <v/>
      </c>
      <c r="BI567" s="256" t="str">
        <f t="shared" si="269"/>
        <v/>
      </c>
      <c r="BJ567" s="267"/>
      <c r="BK567" s="255"/>
      <c r="BL567" s="259" t="str">
        <f>IF(BK567&lt;&gt;"",BK567/VLOOKUP($V567,Setup!$C$30:$D$41,2,0),"")</f>
        <v/>
      </c>
      <c r="BM567" s="268"/>
      <c r="BN567" s="258" t="str">
        <f t="shared" si="270"/>
        <v/>
      </c>
      <c r="BO567" s="268"/>
      <c r="BP567" s="258" t="str">
        <f t="shared" si="271"/>
        <v/>
      </c>
      <c r="BQ567" s="268"/>
      <c r="BR567" s="258" t="str">
        <f t="shared" si="272"/>
        <v/>
      </c>
      <c r="BS567" s="268"/>
      <c r="BT567" s="256" t="str">
        <f t="shared" si="273"/>
        <v/>
      </c>
      <c r="BU567" s="256" t="str">
        <f t="shared" si="274"/>
        <v/>
      </c>
      <c r="BV567" s="256" t="str">
        <f t="shared" si="275"/>
        <v/>
      </c>
      <c r="BW567" s="267"/>
      <c r="BX567" s="256" t="str">
        <f t="shared" si="276"/>
        <v/>
      </c>
      <c r="BY567" s="256" t="str">
        <f t="shared" si="277"/>
        <v/>
      </c>
      <c r="BZ567" s="281"/>
      <c r="CA567" s="282"/>
      <c r="CF567" s="284"/>
      <c r="CG567" s="284"/>
      <c r="CH567" s="284"/>
      <c r="CI567" s="284"/>
      <c r="CL567" s="356" t="str">
        <f>IFERROR(VLOOKUP(C567,'Data Sheet'!$A$3:$B$26,2,FALSE),"")</f>
        <v/>
      </c>
    </row>
    <row r="568" spans="1:90" ht="15.75" x14ac:dyDescent="0.2">
      <c r="A568" s="97"/>
      <c r="B568" s="105" t="str">
        <f t="shared" si="280"/>
        <v>--</v>
      </c>
      <c r="C568" s="276"/>
      <c r="D568" s="101" t="str">
        <f>IFERROR(IF(VLOOKUP(C568,'Data Sheet'!$A$3:$D$26,4,FALSE)=0,"",VLOOKUP(C568,'Data Sheet'!$A$3:$D$26,4,FALSE)),"")</f>
        <v/>
      </c>
      <c r="E568" s="279"/>
      <c r="F568" s="103" t="str">
        <f>IFERROR(IF(VLOOKUP(E568,'Data Sheet'!$C$29:$E$174,3,FALSE)=0,"",VLOOKUP(E568,'Data Sheet'!$C$29:$E$174,3,FALSE)),"")</f>
        <v/>
      </c>
      <c r="G568" s="106" t="str">
        <f t="shared" si="278"/>
        <v>-</v>
      </c>
      <c r="H568" s="273"/>
      <c r="I568" s="107"/>
      <c r="J568" s="249" t="e">
        <f t="shared" si="279"/>
        <v>#VALUE!</v>
      </c>
      <c r="K568" s="101" t="str">
        <f>IFERROR(INDEX('Data Sheet'!$C$198:$C$275,MATCH(I568,'Data Sheet'!$F$198:$F$275,0)),"")</f>
        <v/>
      </c>
      <c r="L568" s="250" t="str">
        <f>IFERROR(INDEX('Data Sheet'!$G$198:$G$275,MATCH(I568,'Data Sheet'!$F$198:$F$275,0)),"")</f>
        <v/>
      </c>
      <c r="M568" s="194"/>
      <c r="N568" s="248"/>
      <c r="O568" s="248"/>
      <c r="P568" s="108" t="str">
        <f>IFERROR(INDEX(Setup!$D$44:$D$70,MATCH(M568,Setup!$K$44:$K$70,0))&amp;"","")</f>
        <v/>
      </c>
      <c r="Q568" s="108" t="str">
        <f>IFERROR(INDEX(Setup!$E$44:$E$70,MATCH(M568,Setup!$K$44:$K$70,0))&amp;"","")</f>
        <v/>
      </c>
      <c r="R568" s="108" t="str">
        <f>IFERROR(INDEX(Setup!$L$44:$L$70,MATCH(M568,Setup!$K$44:$K$70,0))&amp;"","")</f>
        <v/>
      </c>
      <c r="S568" s="108" t="str">
        <f>Setup!$C$30</f>
        <v>USD</v>
      </c>
      <c r="T568" s="109" t="str">
        <f>IFERROR(INDEX('Data Sheet'!$B$198:$B$275,MATCH(I568,'Data Sheet'!$F$198:$F$275,0)),"")</f>
        <v/>
      </c>
      <c r="U568" s="110" t="str">
        <f>IFERROR(INDEX('Data Sheet'!$D$198:$D$275,MATCH(I568,'Data Sheet'!$F$198:$F$275,0)),"")</f>
        <v/>
      </c>
      <c r="V568" s="99"/>
      <c r="W568" s="195" t="str">
        <f>IF(V568=Setup!$C$30,"Grant",IF(V568=Setup!$C$31,"Local",IF(V568=Setup!$C$32,"Other",IF(ISBLANK(V568),"","Other"))))</f>
        <v/>
      </c>
      <c r="X568" s="255"/>
      <c r="Y568" s="259" t="str">
        <f>IF(X568&lt;&gt;"",X568/VLOOKUP($V568,Setup!$C$30:$D$41,2,0),"")</f>
        <v/>
      </c>
      <c r="Z568" s="262"/>
      <c r="AA568" s="256" t="str">
        <f t="shared" si="252"/>
        <v/>
      </c>
      <c r="AB568" s="262"/>
      <c r="AC568" s="258" t="str">
        <f t="shared" si="253"/>
        <v/>
      </c>
      <c r="AD568" s="262"/>
      <c r="AE568" s="258" t="str">
        <f t="shared" si="254"/>
        <v/>
      </c>
      <c r="AF568" s="262"/>
      <c r="AG568" s="256" t="str">
        <f t="shared" si="255"/>
        <v/>
      </c>
      <c r="AH568" s="256" t="str">
        <f t="shared" si="256"/>
        <v/>
      </c>
      <c r="AI568" s="256" t="str">
        <f t="shared" si="257"/>
        <v/>
      </c>
      <c r="AJ568" s="111"/>
      <c r="AK568" s="255"/>
      <c r="AL568" s="259" t="str">
        <f>IF(AK568&lt;&gt;"",AK568/VLOOKUP($V568,Setup!$C$30:$D$41,2,0),"")</f>
        <v/>
      </c>
      <c r="AM568" s="266"/>
      <c r="AN568" s="258" t="str">
        <f t="shared" si="258"/>
        <v/>
      </c>
      <c r="AO568" s="266"/>
      <c r="AP568" s="258" t="str">
        <f t="shared" si="259"/>
        <v/>
      </c>
      <c r="AQ568" s="266"/>
      <c r="AR568" s="258" t="str">
        <f t="shared" si="260"/>
        <v/>
      </c>
      <c r="AS568" s="266"/>
      <c r="AT568" s="256" t="str">
        <f t="shared" si="261"/>
        <v/>
      </c>
      <c r="AU568" s="256" t="str">
        <f t="shared" si="262"/>
        <v/>
      </c>
      <c r="AV568" s="256" t="str">
        <f t="shared" si="263"/>
        <v/>
      </c>
      <c r="AW568" s="267"/>
      <c r="AX568" s="255"/>
      <c r="AY568" s="259" t="str">
        <f>IF(AX568&lt;&gt;"",AX568/VLOOKUP($V568,Setup!$C$30:$D$41,2,0),"")</f>
        <v/>
      </c>
      <c r="AZ568" s="268"/>
      <c r="BA568" s="258" t="str">
        <f t="shared" si="264"/>
        <v/>
      </c>
      <c r="BB568" s="268"/>
      <c r="BC568" s="258" t="str">
        <f t="shared" si="265"/>
        <v/>
      </c>
      <c r="BD568" s="268"/>
      <c r="BE568" s="258" t="str">
        <f t="shared" si="266"/>
        <v/>
      </c>
      <c r="BF568" s="268"/>
      <c r="BG568" s="256" t="str">
        <f t="shared" si="267"/>
        <v/>
      </c>
      <c r="BH568" s="256" t="str">
        <f t="shared" si="268"/>
        <v/>
      </c>
      <c r="BI568" s="256" t="str">
        <f t="shared" si="269"/>
        <v/>
      </c>
      <c r="BJ568" s="267"/>
      <c r="BK568" s="255"/>
      <c r="BL568" s="259" t="str">
        <f>IF(BK568&lt;&gt;"",BK568/VLOOKUP($V568,Setup!$C$30:$D$41,2,0),"")</f>
        <v/>
      </c>
      <c r="BM568" s="268"/>
      <c r="BN568" s="258" t="str">
        <f t="shared" si="270"/>
        <v/>
      </c>
      <c r="BO568" s="268"/>
      <c r="BP568" s="258" t="str">
        <f t="shared" si="271"/>
        <v/>
      </c>
      <c r="BQ568" s="268"/>
      <c r="BR568" s="258" t="str">
        <f t="shared" si="272"/>
        <v/>
      </c>
      <c r="BS568" s="268"/>
      <c r="BT568" s="256" t="str">
        <f t="shared" si="273"/>
        <v/>
      </c>
      <c r="BU568" s="256" t="str">
        <f t="shared" si="274"/>
        <v/>
      </c>
      <c r="BV568" s="256" t="str">
        <f t="shared" si="275"/>
        <v/>
      </c>
      <c r="BW568" s="267"/>
      <c r="BX568" s="256" t="str">
        <f t="shared" si="276"/>
        <v/>
      </c>
      <c r="BY568" s="256" t="str">
        <f t="shared" si="277"/>
        <v/>
      </c>
      <c r="BZ568" s="281"/>
      <c r="CA568" s="282"/>
      <c r="CF568" s="284"/>
      <c r="CG568" s="284"/>
      <c r="CH568" s="284"/>
      <c r="CI568" s="284"/>
      <c r="CL568" s="356" t="str">
        <f>IFERROR(VLOOKUP(C568,'Data Sheet'!$A$3:$B$26,2,FALSE),"")</f>
        <v/>
      </c>
    </row>
    <row r="569" spans="1:90" ht="15.75" x14ac:dyDescent="0.2">
      <c r="A569" s="97"/>
      <c r="B569" s="105" t="str">
        <f t="shared" si="280"/>
        <v>--</v>
      </c>
      <c r="C569" s="276"/>
      <c r="D569" s="101" t="str">
        <f>IFERROR(IF(VLOOKUP(C569,'Data Sheet'!$A$3:$D$26,4,FALSE)=0,"",VLOOKUP(C569,'Data Sheet'!$A$3:$D$26,4,FALSE)),"")</f>
        <v/>
      </c>
      <c r="E569" s="279"/>
      <c r="F569" s="103" t="str">
        <f>IFERROR(IF(VLOOKUP(E569,'Data Sheet'!$C$29:$E$174,3,FALSE)=0,"",VLOOKUP(E569,'Data Sheet'!$C$29:$E$174,3,FALSE)),"")</f>
        <v/>
      </c>
      <c r="G569" s="106" t="str">
        <f t="shared" si="278"/>
        <v>-</v>
      </c>
      <c r="H569" s="273"/>
      <c r="I569" s="107"/>
      <c r="J569" s="249" t="e">
        <f t="shared" si="279"/>
        <v>#VALUE!</v>
      </c>
      <c r="K569" s="101" t="str">
        <f>IFERROR(INDEX('Data Sheet'!$C$198:$C$275,MATCH(I569,'Data Sheet'!$F$198:$F$275,0)),"")</f>
        <v/>
      </c>
      <c r="L569" s="250" t="str">
        <f>IFERROR(INDEX('Data Sheet'!$G$198:$G$275,MATCH(I569,'Data Sheet'!$F$198:$F$275,0)),"")</f>
        <v/>
      </c>
      <c r="M569" s="194"/>
      <c r="N569" s="248"/>
      <c r="O569" s="248"/>
      <c r="P569" s="108" t="str">
        <f>IFERROR(INDEX(Setup!$D$44:$D$70,MATCH(M569,Setup!$K$44:$K$70,0))&amp;"","")</f>
        <v/>
      </c>
      <c r="Q569" s="108" t="str">
        <f>IFERROR(INDEX(Setup!$E$44:$E$70,MATCH(M569,Setup!$K$44:$K$70,0))&amp;"","")</f>
        <v/>
      </c>
      <c r="R569" s="108" t="str">
        <f>IFERROR(INDEX(Setup!$L$44:$L$70,MATCH(M569,Setup!$K$44:$K$70,0))&amp;"","")</f>
        <v/>
      </c>
      <c r="S569" s="108" t="str">
        <f>Setup!$C$30</f>
        <v>USD</v>
      </c>
      <c r="T569" s="109" t="str">
        <f>IFERROR(INDEX('Data Sheet'!$B$198:$B$275,MATCH(I569,'Data Sheet'!$F$198:$F$275,0)),"")</f>
        <v/>
      </c>
      <c r="U569" s="110" t="str">
        <f>IFERROR(INDEX('Data Sheet'!$D$198:$D$275,MATCH(I569,'Data Sheet'!$F$198:$F$275,0)),"")</f>
        <v/>
      </c>
      <c r="V569" s="99"/>
      <c r="W569" s="195" t="str">
        <f>IF(V569=Setup!$C$30,"Grant",IF(V569=Setup!$C$31,"Local",IF(V569=Setup!$C$32,"Other",IF(ISBLANK(V569),"","Other"))))</f>
        <v/>
      </c>
      <c r="X569" s="255"/>
      <c r="Y569" s="259" t="str">
        <f>IF(X569&lt;&gt;"",X569/VLOOKUP($V569,Setup!$C$30:$D$41,2,0),"")</f>
        <v/>
      </c>
      <c r="Z569" s="262"/>
      <c r="AA569" s="256" t="str">
        <f t="shared" si="252"/>
        <v/>
      </c>
      <c r="AB569" s="262"/>
      <c r="AC569" s="258" t="str">
        <f t="shared" si="253"/>
        <v/>
      </c>
      <c r="AD569" s="262"/>
      <c r="AE569" s="258" t="str">
        <f t="shared" si="254"/>
        <v/>
      </c>
      <c r="AF569" s="262"/>
      <c r="AG569" s="256" t="str">
        <f t="shared" si="255"/>
        <v/>
      </c>
      <c r="AH569" s="256" t="str">
        <f t="shared" si="256"/>
        <v/>
      </c>
      <c r="AI569" s="256" t="str">
        <f t="shared" si="257"/>
        <v/>
      </c>
      <c r="AJ569" s="111"/>
      <c r="AK569" s="255"/>
      <c r="AL569" s="259" t="str">
        <f>IF(AK569&lt;&gt;"",AK569/VLOOKUP($V569,Setup!$C$30:$D$41,2,0),"")</f>
        <v/>
      </c>
      <c r="AM569" s="266"/>
      <c r="AN569" s="258" t="str">
        <f t="shared" si="258"/>
        <v/>
      </c>
      <c r="AO569" s="266"/>
      <c r="AP569" s="258" t="str">
        <f t="shared" si="259"/>
        <v/>
      </c>
      <c r="AQ569" s="266"/>
      <c r="AR569" s="258" t="str">
        <f t="shared" si="260"/>
        <v/>
      </c>
      <c r="AS569" s="266"/>
      <c r="AT569" s="256" t="str">
        <f t="shared" si="261"/>
        <v/>
      </c>
      <c r="AU569" s="256" t="str">
        <f t="shared" si="262"/>
        <v/>
      </c>
      <c r="AV569" s="256" t="str">
        <f t="shared" si="263"/>
        <v/>
      </c>
      <c r="AW569" s="267"/>
      <c r="AX569" s="255"/>
      <c r="AY569" s="259" t="str">
        <f>IF(AX569&lt;&gt;"",AX569/VLOOKUP($V569,Setup!$C$30:$D$41,2,0),"")</f>
        <v/>
      </c>
      <c r="AZ569" s="268"/>
      <c r="BA569" s="258" t="str">
        <f t="shared" si="264"/>
        <v/>
      </c>
      <c r="BB569" s="268"/>
      <c r="BC569" s="258" t="str">
        <f t="shared" si="265"/>
        <v/>
      </c>
      <c r="BD569" s="268"/>
      <c r="BE569" s="258" t="str">
        <f t="shared" si="266"/>
        <v/>
      </c>
      <c r="BF569" s="268"/>
      <c r="BG569" s="256" t="str">
        <f t="shared" si="267"/>
        <v/>
      </c>
      <c r="BH569" s="256" t="str">
        <f t="shared" si="268"/>
        <v/>
      </c>
      <c r="BI569" s="256" t="str">
        <f t="shared" si="269"/>
        <v/>
      </c>
      <c r="BJ569" s="267"/>
      <c r="BK569" s="255"/>
      <c r="BL569" s="259" t="str">
        <f>IF(BK569&lt;&gt;"",BK569/VLOOKUP($V569,Setup!$C$30:$D$41,2,0),"")</f>
        <v/>
      </c>
      <c r="BM569" s="268"/>
      <c r="BN569" s="258" t="str">
        <f t="shared" si="270"/>
        <v/>
      </c>
      <c r="BO569" s="268"/>
      <c r="BP569" s="258" t="str">
        <f t="shared" si="271"/>
        <v/>
      </c>
      <c r="BQ569" s="268"/>
      <c r="BR569" s="258" t="str">
        <f t="shared" si="272"/>
        <v/>
      </c>
      <c r="BS569" s="268"/>
      <c r="BT569" s="256" t="str">
        <f t="shared" si="273"/>
        <v/>
      </c>
      <c r="BU569" s="256" t="str">
        <f t="shared" si="274"/>
        <v/>
      </c>
      <c r="BV569" s="256" t="str">
        <f t="shared" si="275"/>
        <v/>
      </c>
      <c r="BW569" s="267"/>
      <c r="BX569" s="256" t="str">
        <f t="shared" si="276"/>
        <v/>
      </c>
      <c r="BY569" s="256" t="str">
        <f t="shared" si="277"/>
        <v/>
      </c>
      <c r="BZ569" s="281"/>
      <c r="CA569" s="282"/>
      <c r="CF569" s="284"/>
      <c r="CG569" s="284"/>
      <c r="CH569" s="284"/>
      <c r="CI569" s="284"/>
      <c r="CL569" s="356" t="str">
        <f>IFERROR(VLOOKUP(C569,'Data Sheet'!$A$3:$B$26,2,FALSE),"")</f>
        <v/>
      </c>
    </row>
    <row r="570" spans="1:90" ht="15.75" x14ac:dyDescent="0.2">
      <c r="A570" s="97"/>
      <c r="B570" s="105" t="str">
        <f t="shared" si="280"/>
        <v>--</v>
      </c>
      <c r="C570" s="276"/>
      <c r="D570" s="101" t="str">
        <f>IFERROR(IF(VLOOKUP(C570,'Data Sheet'!$A$3:$D$26,4,FALSE)=0,"",VLOOKUP(C570,'Data Sheet'!$A$3:$D$26,4,FALSE)),"")</f>
        <v/>
      </c>
      <c r="E570" s="279"/>
      <c r="F570" s="103" t="str">
        <f>IFERROR(IF(VLOOKUP(E570,'Data Sheet'!$C$29:$E$174,3,FALSE)=0,"",VLOOKUP(E570,'Data Sheet'!$C$29:$E$174,3,FALSE)),"")</f>
        <v/>
      </c>
      <c r="G570" s="106" t="str">
        <f t="shared" si="278"/>
        <v>-</v>
      </c>
      <c r="H570" s="273"/>
      <c r="I570" s="107"/>
      <c r="J570" s="249" t="e">
        <f t="shared" si="279"/>
        <v>#VALUE!</v>
      </c>
      <c r="K570" s="101" t="str">
        <f>IFERROR(INDEX('Data Sheet'!$C$198:$C$275,MATCH(I570,'Data Sheet'!$F$198:$F$275,0)),"")</f>
        <v/>
      </c>
      <c r="L570" s="250" t="str">
        <f>IFERROR(INDEX('Data Sheet'!$G$198:$G$275,MATCH(I570,'Data Sheet'!$F$198:$F$275,0)),"")</f>
        <v/>
      </c>
      <c r="M570" s="194"/>
      <c r="N570" s="248"/>
      <c r="O570" s="248"/>
      <c r="P570" s="108" t="str">
        <f>IFERROR(INDEX(Setup!$D$44:$D$70,MATCH(M570,Setup!$K$44:$K$70,0))&amp;"","")</f>
        <v/>
      </c>
      <c r="Q570" s="108" t="str">
        <f>IFERROR(INDEX(Setup!$E$44:$E$70,MATCH(M570,Setup!$K$44:$K$70,0))&amp;"","")</f>
        <v/>
      </c>
      <c r="R570" s="108" t="str">
        <f>IFERROR(INDEX(Setup!$L$44:$L$70,MATCH(M570,Setup!$K$44:$K$70,0))&amp;"","")</f>
        <v/>
      </c>
      <c r="S570" s="108" t="str">
        <f>Setup!$C$30</f>
        <v>USD</v>
      </c>
      <c r="T570" s="109" t="str">
        <f>IFERROR(INDEX('Data Sheet'!$B$198:$B$275,MATCH(I570,'Data Sheet'!$F$198:$F$275,0)),"")</f>
        <v/>
      </c>
      <c r="U570" s="110" t="str">
        <f>IFERROR(INDEX('Data Sheet'!$D$198:$D$275,MATCH(I570,'Data Sheet'!$F$198:$F$275,0)),"")</f>
        <v/>
      </c>
      <c r="V570" s="99"/>
      <c r="W570" s="195" t="str">
        <f>IF(V570=Setup!$C$30,"Grant",IF(V570=Setup!$C$31,"Local",IF(V570=Setup!$C$32,"Other",IF(ISBLANK(V570),"","Other"))))</f>
        <v/>
      </c>
      <c r="X570" s="255"/>
      <c r="Y570" s="259" t="str">
        <f>IF(X570&lt;&gt;"",X570/VLOOKUP($V570,Setup!$C$30:$D$41,2,0),"")</f>
        <v/>
      </c>
      <c r="Z570" s="262"/>
      <c r="AA570" s="256" t="str">
        <f t="shared" si="252"/>
        <v/>
      </c>
      <c r="AB570" s="262"/>
      <c r="AC570" s="258" t="str">
        <f t="shared" si="253"/>
        <v/>
      </c>
      <c r="AD570" s="262"/>
      <c r="AE570" s="258" t="str">
        <f t="shared" si="254"/>
        <v/>
      </c>
      <c r="AF570" s="262"/>
      <c r="AG570" s="256" t="str">
        <f t="shared" si="255"/>
        <v/>
      </c>
      <c r="AH570" s="256" t="str">
        <f t="shared" si="256"/>
        <v/>
      </c>
      <c r="AI570" s="256" t="str">
        <f t="shared" si="257"/>
        <v/>
      </c>
      <c r="AJ570" s="111"/>
      <c r="AK570" s="255"/>
      <c r="AL570" s="259" t="str">
        <f>IF(AK570&lt;&gt;"",AK570/VLOOKUP($V570,Setup!$C$30:$D$41,2,0),"")</f>
        <v/>
      </c>
      <c r="AM570" s="266"/>
      <c r="AN570" s="258" t="str">
        <f t="shared" si="258"/>
        <v/>
      </c>
      <c r="AO570" s="266"/>
      <c r="AP570" s="258" t="str">
        <f t="shared" si="259"/>
        <v/>
      </c>
      <c r="AQ570" s="266"/>
      <c r="AR570" s="258" t="str">
        <f t="shared" si="260"/>
        <v/>
      </c>
      <c r="AS570" s="266"/>
      <c r="AT570" s="256" t="str">
        <f t="shared" si="261"/>
        <v/>
      </c>
      <c r="AU570" s="256" t="str">
        <f t="shared" si="262"/>
        <v/>
      </c>
      <c r="AV570" s="256" t="str">
        <f t="shared" si="263"/>
        <v/>
      </c>
      <c r="AW570" s="267"/>
      <c r="AX570" s="255"/>
      <c r="AY570" s="259" t="str">
        <f>IF(AX570&lt;&gt;"",AX570/VLOOKUP($V570,Setup!$C$30:$D$41,2,0),"")</f>
        <v/>
      </c>
      <c r="AZ570" s="268"/>
      <c r="BA570" s="258" t="str">
        <f t="shared" si="264"/>
        <v/>
      </c>
      <c r="BB570" s="268"/>
      <c r="BC570" s="258" t="str">
        <f t="shared" si="265"/>
        <v/>
      </c>
      <c r="BD570" s="268"/>
      <c r="BE570" s="258" t="str">
        <f t="shared" si="266"/>
        <v/>
      </c>
      <c r="BF570" s="268"/>
      <c r="BG570" s="256" t="str">
        <f t="shared" si="267"/>
        <v/>
      </c>
      <c r="BH570" s="256" t="str">
        <f t="shared" si="268"/>
        <v/>
      </c>
      <c r="BI570" s="256" t="str">
        <f t="shared" si="269"/>
        <v/>
      </c>
      <c r="BJ570" s="267"/>
      <c r="BK570" s="255"/>
      <c r="BL570" s="259" t="str">
        <f>IF(BK570&lt;&gt;"",BK570/VLOOKUP($V570,Setup!$C$30:$D$41,2,0),"")</f>
        <v/>
      </c>
      <c r="BM570" s="268"/>
      <c r="BN570" s="258" t="str">
        <f t="shared" si="270"/>
        <v/>
      </c>
      <c r="BO570" s="268"/>
      <c r="BP570" s="258" t="str">
        <f t="shared" si="271"/>
        <v/>
      </c>
      <c r="BQ570" s="268"/>
      <c r="BR570" s="258" t="str">
        <f t="shared" si="272"/>
        <v/>
      </c>
      <c r="BS570" s="268"/>
      <c r="BT570" s="256" t="str">
        <f t="shared" si="273"/>
        <v/>
      </c>
      <c r="BU570" s="256" t="str">
        <f t="shared" si="274"/>
        <v/>
      </c>
      <c r="BV570" s="256" t="str">
        <f t="shared" si="275"/>
        <v/>
      </c>
      <c r="BW570" s="267"/>
      <c r="BX570" s="256" t="str">
        <f t="shared" si="276"/>
        <v/>
      </c>
      <c r="BY570" s="256" t="str">
        <f t="shared" si="277"/>
        <v/>
      </c>
      <c r="BZ570" s="281"/>
      <c r="CA570" s="282"/>
      <c r="CF570" s="284"/>
      <c r="CG570" s="284"/>
      <c r="CH570" s="284"/>
      <c r="CI570" s="284"/>
      <c r="CL570" s="356" t="str">
        <f>IFERROR(VLOOKUP(C570,'Data Sheet'!$A$3:$B$26,2,FALSE),"")</f>
        <v/>
      </c>
    </row>
    <row r="571" spans="1:90" ht="15.75" x14ac:dyDescent="0.2">
      <c r="A571" s="97"/>
      <c r="B571" s="105" t="str">
        <f t="shared" si="280"/>
        <v>--</v>
      </c>
      <c r="C571" s="276"/>
      <c r="D571" s="101" t="str">
        <f>IFERROR(IF(VLOOKUP(C571,'Data Sheet'!$A$3:$D$26,4,FALSE)=0,"",VLOOKUP(C571,'Data Sheet'!$A$3:$D$26,4,FALSE)),"")</f>
        <v/>
      </c>
      <c r="E571" s="279"/>
      <c r="F571" s="103" t="str">
        <f>IFERROR(IF(VLOOKUP(E571,'Data Sheet'!$C$29:$E$174,3,FALSE)=0,"",VLOOKUP(E571,'Data Sheet'!$C$29:$E$174,3,FALSE)),"")</f>
        <v/>
      </c>
      <c r="G571" s="106" t="str">
        <f t="shared" si="278"/>
        <v>-</v>
      </c>
      <c r="H571" s="273"/>
      <c r="I571" s="107"/>
      <c r="J571" s="249" t="e">
        <f t="shared" si="279"/>
        <v>#VALUE!</v>
      </c>
      <c r="K571" s="101" t="str">
        <f>IFERROR(INDEX('Data Sheet'!$C$198:$C$275,MATCH(I571,'Data Sheet'!$F$198:$F$275,0)),"")</f>
        <v/>
      </c>
      <c r="L571" s="250" t="str">
        <f>IFERROR(INDEX('Data Sheet'!$G$198:$G$275,MATCH(I571,'Data Sheet'!$F$198:$F$275,0)),"")</f>
        <v/>
      </c>
      <c r="M571" s="194"/>
      <c r="N571" s="248"/>
      <c r="O571" s="248"/>
      <c r="P571" s="108" t="str">
        <f>IFERROR(INDEX(Setup!$D$44:$D$70,MATCH(M571,Setup!$K$44:$K$70,0))&amp;"","")</f>
        <v/>
      </c>
      <c r="Q571" s="108" t="str">
        <f>IFERROR(INDEX(Setup!$E$44:$E$70,MATCH(M571,Setup!$K$44:$K$70,0))&amp;"","")</f>
        <v/>
      </c>
      <c r="R571" s="108" t="str">
        <f>IFERROR(INDEX(Setup!$L$44:$L$70,MATCH(M571,Setup!$K$44:$K$70,0))&amp;"","")</f>
        <v/>
      </c>
      <c r="S571" s="108" t="str">
        <f>Setup!$C$30</f>
        <v>USD</v>
      </c>
      <c r="T571" s="109" t="str">
        <f>IFERROR(INDEX('Data Sheet'!$B$198:$B$275,MATCH(I571,'Data Sheet'!$F$198:$F$275,0)),"")</f>
        <v/>
      </c>
      <c r="U571" s="110" t="str">
        <f>IFERROR(INDEX('Data Sheet'!$D$198:$D$275,MATCH(I571,'Data Sheet'!$F$198:$F$275,0)),"")</f>
        <v/>
      </c>
      <c r="V571" s="99"/>
      <c r="W571" s="195" t="str">
        <f>IF(V571=Setup!$C$30,"Grant",IF(V571=Setup!$C$31,"Local",IF(V571=Setup!$C$32,"Other",IF(ISBLANK(V571),"","Other"))))</f>
        <v/>
      </c>
      <c r="X571" s="255"/>
      <c r="Y571" s="259" t="str">
        <f>IF(X571&lt;&gt;"",X571/VLOOKUP($V571,Setup!$C$30:$D$41,2,0),"")</f>
        <v/>
      </c>
      <c r="Z571" s="262"/>
      <c r="AA571" s="256" t="str">
        <f t="shared" si="252"/>
        <v/>
      </c>
      <c r="AB571" s="262"/>
      <c r="AC571" s="258" t="str">
        <f t="shared" si="253"/>
        <v/>
      </c>
      <c r="AD571" s="262"/>
      <c r="AE571" s="258" t="str">
        <f t="shared" si="254"/>
        <v/>
      </c>
      <c r="AF571" s="262"/>
      <c r="AG571" s="256" t="str">
        <f t="shared" si="255"/>
        <v/>
      </c>
      <c r="AH571" s="256" t="str">
        <f t="shared" si="256"/>
        <v/>
      </c>
      <c r="AI571" s="256" t="str">
        <f t="shared" si="257"/>
        <v/>
      </c>
      <c r="AJ571" s="111"/>
      <c r="AK571" s="255"/>
      <c r="AL571" s="259" t="str">
        <f>IF(AK571&lt;&gt;"",AK571/VLOOKUP($V571,Setup!$C$30:$D$41,2,0),"")</f>
        <v/>
      </c>
      <c r="AM571" s="266"/>
      <c r="AN571" s="258" t="str">
        <f t="shared" si="258"/>
        <v/>
      </c>
      <c r="AO571" s="266"/>
      <c r="AP571" s="258" t="str">
        <f t="shared" si="259"/>
        <v/>
      </c>
      <c r="AQ571" s="266"/>
      <c r="AR571" s="258" t="str">
        <f t="shared" si="260"/>
        <v/>
      </c>
      <c r="AS571" s="266"/>
      <c r="AT571" s="256" t="str">
        <f t="shared" si="261"/>
        <v/>
      </c>
      <c r="AU571" s="256" t="str">
        <f t="shared" si="262"/>
        <v/>
      </c>
      <c r="AV571" s="256" t="str">
        <f t="shared" si="263"/>
        <v/>
      </c>
      <c r="AW571" s="267"/>
      <c r="AX571" s="255"/>
      <c r="AY571" s="259" t="str">
        <f>IF(AX571&lt;&gt;"",AX571/VLOOKUP($V571,Setup!$C$30:$D$41,2,0),"")</f>
        <v/>
      </c>
      <c r="AZ571" s="268"/>
      <c r="BA571" s="258" t="str">
        <f t="shared" si="264"/>
        <v/>
      </c>
      <c r="BB571" s="268"/>
      <c r="BC571" s="258" t="str">
        <f t="shared" si="265"/>
        <v/>
      </c>
      <c r="BD571" s="268"/>
      <c r="BE571" s="258" t="str">
        <f t="shared" si="266"/>
        <v/>
      </c>
      <c r="BF571" s="268"/>
      <c r="BG571" s="256" t="str">
        <f t="shared" si="267"/>
        <v/>
      </c>
      <c r="BH571" s="256" t="str">
        <f t="shared" si="268"/>
        <v/>
      </c>
      <c r="BI571" s="256" t="str">
        <f t="shared" si="269"/>
        <v/>
      </c>
      <c r="BJ571" s="267"/>
      <c r="BK571" s="255"/>
      <c r="BL571" s="259" t="str">
        <f>IF(BK571&lt;&gt;"",BK571/VLOOKUP($V571,Setup!$C$30:$D$41,2,0),"")</f>
        <v/>
      </c>
      <c r="BM571" s="268"/>
      <c r="BN571" s="258" t="str">
        <f t="shared" si="270"/>
        <v/>
      </c>
      <c r="BO571" s="268"/>
      <c r="BP571" s="258" t="str">
        <f t="shared" si="271"/>
        <v/>
      </c>
      <c r="BQ571" s="268"/>
      <c r="BR571" s="258" t="str">
        <f t="shared" si="272"/>
        <v/>
      </c>
      <c r="BS571" s="268"/>
      <c r="BT571" s="256" t="str">
        <f t="shared" si="273"/>
        <v/>
      </c>
      <c r="BU571" s="256" t="str">
        <f t="shared" si="274"/>
        <v/>
      </c>
      <c r="BV571" s="256" t="str">
        <f t="shared" si="275"/>
        <v/>
      </c>
      <c r="BW571" s="267"/>
      <c r="BX571" s="256" t="str">
        <f t="shared" si="276"/>
        <v/>
      </c>
      <c r="BY571" s="256" t="str">
        <f t="shared" si="277"/>
        <v/>
      </c>
      <c r="BZ571" s="281"/>
      <c r="CA571" s="282"/>
      <c r="CF571" s="284"/>
      <c r="CG571" s="284"/>
      <c r="CH571" s="284"/>
      <c r="CI571" s="284"/>
      <c r="CL571" s="356" t="str">
        <f>IFERROR(VLOOKUP(C571,'Data Sheet'!$A$3:$B$26,2,FALSE),"")</f>
        <v/>
      </c>
    </row>
    <row r="572" spans="1:90" ht="15.75" x14ac:dyDescent="0.2">
      <c r="A572" s="97"/>
      <c r="B572" s="105" t="str">
        <f t="shared" si="280"/>
        <v>--</v>
      </c>
      <c r="C572" s="276"/>
      <c r="D572" s="101" t="str">
        <f>IFERROR(IF(VLOOKUP(C572,'Data Sheet'!$A$3:$D$26,4,FALSE)=0,"",VLOOKUP(C572,'Data Sheet'!$A$3:$D$26,4,FALSE)),"")</f>
        <v/>
      </c>
      <c r="E572" s="279"/>
      <c r="F572" s="103" t="str">
        <f>IFERROR(IF(VLOOKUP(E572,'Data Sheet'!$C$29:$E$174,3,FALSE)=0,"",VLOOKUP(E572,'Data Sheet'!$C$29:$E$174,3,FALSE)),"")</f>
        <v/>
      </c>
      <c r="G572" s="106" t="str">
        <f t="shared" si="278"/>
        <v>-</v>
      </c>
      <c r="H572" s="273"/>
      <c r="I572" s="107"/>
      <c r="J572" s="249" t="e">
        <f t="shared" si="279"/>
        <v>#VALUE!</v>
      </c>
      <c r="K572" s="101" t="str">
        <f>IFERROR(INDEX('Data Sheet'!$C$198:$C$275,MATCH(I572,'Data Sheet'!$F$198:$F$275,0)),"")</f>
        <v/>
      </c>
      <c r="L572" s="250" t="str">
        <f>IFERROR(INDEX('Data Sheet'!$G$198:$G$275,MATCH(I572,'Data Sheet'!$F$198:$F$275,0)),"")</f>
        <v/>
      </c>
      <c r="M572" s="194"/>
      <c r="N572" s="248"/>
      <c r="O572" s="248"/>
      <c r="P572" s="108" t="str">
        <f>IFERROR(INDEX(Setup!$D$44:$D$70,MATCH(M572,Setup!$K$44:$K$70,0))&amp;"","")</f>
        <v/>
      </c>
      <c r="Q572" s="108" t="str">
        <f>IFERROR(INDEX(Setup!$E$44:$E$70,MATCH(M572,Setup!$K$44:$K$70,0))&amp;"","")</f>
        <v/>
      </c>
      <c r="R572" s="108" t="str">
        <f>IFERROR(INDEX(Setup!$L$44:$L$70,MATCH(M572,Setup!$K$44:$K$70,0))&amp;"","")</f>
        <v/>
      </c>
      <c r="S572" s="108" t="str">
        <f>Setup!$C$30</f>
        <v>USD</v>
      </c>
      <c r="T572" s="109" t="str">
        <f>IFERROR(INDEX('Data Sheet'!$B$198:$B$275,MATCH(I572,'Data Sheet'!$F$198:$F$275,0)),"")</f>
        <v/>
      </c>
      <c r="U572" s="110" t="str">
        <f>IFERROR(INDEX('Data Sheet'!$D$198:$D$275,MATCH(I572,'Data Sheet'!$F$198:$F$275,0)),"")</f>
        <v/>
      </c>
      <c r="V572" s="99"/>
      <c r="W572" s="195" t="str">
        <f>IF(V572=Setup!$C$30,"Grant",IF(V572=Setup!$C$31,"Local",IF(V572=Setup!$C$32,"Other",IF(ISBLANK(V572),"","Other"))))</f>
        <v/>
      </c>
      <c r="X572" s="255"/>
      <c r="Y572" s="259" t="str">
        <f>IF(X572&lt;&gt;"",X572/VLOOKUP($V572,Setup!$C$30:$D$41,2,0),"")</f>
        <v/>
      </c>
      <c r="Z572" s="262"/>
      <c r="AA572" s="256" t="str">
        <f t="shared" si="252"/>
        <v/>
      </c>
      <c r="AB572" s="262"/>
      <c r="AC572" s="258" t="str">
        <f t="shared" si="253"/>
        <v/>
      </c>
      <c r="AD572" s="262"/>
      <c r="AE572" s="258" t="str">
        <f t="shared" si="254"/>
        <v/>
      </c>
      <c r="AF572" s="262"/>
      <c r="AG572" s="256" t="str">
        <f t="shared" si="255"/>
        <v/>
      </c>
      <c r="AH572" s="256" t="str">
        <f t="shared" si="256"/>
        <v/>
      </c>
      <c r="AI572" s="256" t="str">
        <f t="shared" si="257"/>
        <v/>
      </c>
      <c r="AJ572" s="111"/>
      <c r="AK572" s="255"/>
      <c r="AL572" s="259" t="str">
        <f>IF(AK572&lt;&gt;"",AK572/VLOOKUP($V572,Setup!$C$30:$D$41,2,0),"")</f>
        <v/>
      </c>
      <c r="AM572" s="266"/>
      <c r="AN572" s="258" t="str">
        <f t="shared" si="258"/>
        <v/>
      </c>
      <c r="AO572" s="266"/>
      <c r="AP572" s="258" t="str">
        <f t="shared" si="259"/>
        <v/>
      </c>
      <c r="AQ572" s="266"/>
      <c r="AR572" s="258" t="str">
        <f t="shared" si="260"/>
        <v/>
      </c>
      <c r="AS572" s="266"/>
      <c r="AT572" s="256" t="str">
        <f t="shared" si="261"/>
        <v/>
      </c>
      <c r="AU572" s="256" t="str">
        <f t="shared" si="262"/>
        <v/>
      </c>
      <c r="AV572" s="256" t="str">
        <f t="shared" si="263"/>
        <v/>
      </c>
      <c r="AW572" s="267"/>
      <c r="AX572" s="255"/>
      <c r="AY572" s="259" t="str">
        <f>IF(AX572&lt;&gt;"",AX572/VLOOKUP($V572,Setup!$C$30:$D$41,2,0),"")</f>
        <v/>
      </c>
      <c r="AZ572" s="268"/>
      <c r="BA572" s="258" t="str">
        <f t="shared" si="264"/>
        <v/>
      </c>
      <c r="BB572" s="268"/>
      <c r="BC572" s="258" t="str">
        <f t="shared" si="265"/>
        <v/>
      </c>
      <c r="BD572" s="268"/>
      <c r="BE572" s="258" t="str">
        <f t="shared" si="266"/>
        <v/>
      </c>
      <c r="BF572" s="268"/>
      <c r="BG572" s="256" t="str">
        <f t="shared" si="267"/>
        <v/>
      </c>
      <c r="BH572" s="256" t="str">
        <f t="shared" si="268"/>
        <v/>
      </c>
      <c r="BI572" s="256" t="str">
        <f t="shared" si="269"/>
        <v/>
      </c>
      <c r="BJ572" s="267"/>
      <c r="BK572" s="255"/>
      <c r="BL572" s="259" t="str">
        <f>IF(BK572&lt;&gt;"",BK572/VLOOKUP($V572,Setup!$C$30:$D$41,2,0),"")</f>
        <v/>
      </c>
      <c r="BM572" s="268"/>
      <c r="BN572" s="258" t="str">
        <f t="shared" si="270"/>
        <v/>
      </c>
      <c r="BO572" s="268"/>
      <c r="BP572" s="258" t="str">
        <f t="shared" si="271"/>
        <v/>
      </c>
      <c r="BQ572" s="268"/>
      <c r="BR572" s="258" t="str">
        <f t="shared" si="272"/>
        <v/>
      </c>
      <c r="BS572" s="268"/>
      <c r="BT572" s="256" t="str">
        <f t="shared" si="273"/>
        <v/>
      </c>
      <c r="BU572" s="256" t="str">
        <f t="shared" si="274"/>
        <v/>
      </c>
      <c r="BV572" s="256" t="str">
        <f t="shared" si="275"/>
        <v/>
      </c>
      <c r="BW572" s="267"/>
      <c r="BX572" s="256" t="str">
        <f t="shared" si="276"/>
        <v/>
      </c>
      <c r="BY572" s="256" t="str">
        <f t="shared" si="277"/>
        <v/>
      </c>
      <c r="BZ572" s="281"/>
      <c r="CA572" s="282"/>
      <c r="CF572" s="284"/>
      <c r="CG572" s="284"/>
      <c r="CH572" s="284"/>
      <c r="CI572" s="284"/>
      <c r="CL572" s="356" t="str">
        <f>IFERROR(VLOOKUP(C572,'Data Sheet'!$A$3:$B$26,2,FALSE),"")</f>
        <v/>
      </c>
    </row>
    <row r="573" spans="1:90" ht="15.75" x14ac:dyDescent="0.2">
      <c r="A573" s="97"/>
      <c r="B573" s="105" t="str">
        <f t="shared" si="280"/>
        <v>--</v>
      </c>
      <c r="C573" s="276"/>
      <c r="D573" s="101" t="str">
        <f>IFERROR(IF(VLOOKUP(C573,'Data Sheet'!$A$3:$D$26,4,FALSE)=0,"",VLOOKUP(C573,'Data Sheet'!$A$3:$D$26,4,FALSE)),"")</f>
        <v/>
      </c>
      <c r="E573" s="279"/>
      <c r="F573" s="103" t="str">
        <f>IFERROR(IF(VLOOKUP(E573,'Data Sheet'!$C$29:$E$174,3,FALSE)=0,"",VLOOKUP(E573,'Data Sheet'!$C$29:$E$174,3,FALSE)),"")</f>
        <v/>
      </c>
      <c r="G573" s="106" t="str">
        <f t="shared" si="278"/>
        <v>-</v>
      </c>
      <c r="H573" s="273"/>
      <c r="I573" s="107"/>
      <c r="J573" s="249" t="e">
        <f t="shared" si="279"/>
        <v>#VALUE!</v>
      </c>
      <c r="K573" s="101" t="str">
        <f>IFERROR(INDEX('Data Sheet'!$C$198:$C$275,MATCH(I573,'Data Sheet'!$F$198:$F$275,0)),"")</f>
        <v/>
      </c>
      <c r="L573" s="250" t="str">
        <f>IFERROR(INDEX('Data Sheet'!$G$198:$G$275,MATCH(I573,'Data Sheet'!$F$198:$F$275,0)),"")</f>
        <v/>
      </c>
      <c r="M573" s="194"/>
      <c r="N573" s="248"/>
      <c r="O573" s="248"/>
      <c r="P573" s="108" t="str">
        <f>IFERROR(INDEX(Setup!$D$44:$D$70,MATCH(M573,Setup!$K$44:$K$70,0))&amp;"","")</f>
        <v/>
      </c>
      <c r="Q573" s="108" t="str">
        <f>IFERROR(INDEX(Setup!$E$44:$E$70,MATCH(M573,Setup!$K$44:$K$70,0))&amp;"","")</f>
        <v/>
      </c>
      <c r="R573" s="108" t="str">
        <f>IFERROR(INDEX(Setup!$L$44:$L$70,MATCH(M573,Setup!$K$44:$K$70,0))&amp;"","")</f>
        <v/>
      </c>
      <c r="S573" s="108" t="str">
        <f>Setup!$C$30</f>
        <v>USD</v>
      </c>
      <c r="T573" s="109" t="str">
        <f>IFERROR(INDEX('Data Sheet'!$B$198:$B$275,MATCH(I573,'Data Sheet'!$F$198:$F$275,0)),"")</f>
        <v/>
      </c>
      <c r="U573" s="110" t="str">
        <f>IFERROR(INDEX('Data Sheet'!$D$198:$D$275,MATCH(I573,'Data Sheet'!$F$198:$F$275,0)),"")</f>
        <v/>
      </c>
      <c r="V573" s="99"/>
      <c r="W573" s="195" t="str">
        <f>IF(V573=Setup!$C$30,"Grant",IF(V573=Setup!$C$31,"Local",IF(V573=Setup!$C$32,"Other",IF(ISBLANK(V573),"","Other"))))</f>
        <v/>
      </c>
      <c r="X573" s="255"/>
      <c r="Y573" s="259" t="str">
        <f>IF(X573&lt;&gt;"",X573/VLOOKUP($V573,Setup!$C$30:$D$41,2,0),"")</f>
        <v/>
      </c>
      <c r="Z573" s="262"/>
      <c r="AA573" s="256" t="str">
        <f t="shared" si="252"/>
        <v/>
      </c>
      <c r="AB573" s="262"/>
      <c r="AC573" s="258" t="str">
        <f t="shared" si="253"/>
        <v/>
      </c>
      <c r="AD573" s="262"/>
      <c r="AE573" s="258" t="str">
        <f t="shared" si="254"/>
        <v/>
      </c>
      <c r="AF573" s="262"/>
      <c r="AG573" s="256" t="str">
        <f t="shared" si="255"/>
        <v/>
      </c>
      <c r="AH573" s="256" t="str">
        <f t="shared" si="256"/>
        <v/>
      </c>
      <c r="AI573" s="256" t="str">
        <f t="shared" si="257"/>
        <v/>
      </c>
      <c r="AJ573" s="111"/>
      <c r="AK573" s="255"/>
      <c r="AL573" s="259" t="str">
        <f>IF(AK573&lt;&gt;"",AK573/VLOOKUP($V573,Setup!$C$30:$D$41,2,0),"")</f>
        <v/>
      </c>
      <c r="AM573" s="266"/>
      <c r="AN573" s="258" t="str">
        <f t="shared" si="258"/>
        <v/>
      </c>
      <c r="AO573" s="266"/>
      <c r="AP573" s="258" t="str">
        <f t="shared" si="259"/>
        <v/>
      </c>
      <c r="AQ573" s="266"/>
      <c r="AR573" s="258" t="str">
        <f t="shared" si="260"/>
        <v/>
      </c>
      <c r="AS573" s="266"/>
      <c r="AT573" s="256" t="str">
        <f t="shared" si="261"/>
        <v/>
      </c>
      <c r="AU573" s="256" t="str">
        <f t="shared" si="262"/>
        <v/>
      </c>
      <c r="AV573" s="256" t="str">
        <f t="shared" si="263"/>
        <v/>
      </c>
      <c r="AW573" s="267"/>
      <c r="AX573" s="255"/>
      <c r="AY573" s="259" t="str">
        <f>IF(AX573&lt;&gt;"",AX573/VLOOKUP($V573,Setup!$C$30:$D$41,2,0),"")</f>
        <v/>
      </c>
      <c r="AZ573" s="268"/>
      <c r="BA573" s="258" t="str">
        <f t="shared" si="264"/>
        <v/>
      </c>
      <c r="BB573" s="268"/>
      <c r="BC573" s="258" t="str">
        <f t="shared" si="265"/>
        <v/>
      </c>
      <c r="BD573" s="268"/>
      <c r="BE573" s="258" t="str">
        <f t="shared" si="266"/>
        <v/>
      </c>
      <c r="BF573" s="268"/>
      <c r="BG573" s="256" t="str">
        <f t="shared" si="267"/>
        <v/>
      </c>
      <c r="BH573" s="256" t="str">
        <f t="shared" si="268"/>
        <v/>
      </c>
      <c r="BI573" s="256" t="str">
        <f t="shared" si="269"/>
        <v/>
      </c>
      <c r="BJ573" s="267"/>
      <c r="BK573" s="255"/>
      <c r="BL573" s="259" t="str">
        <f>IF(BK573&lt;&gt;"",BK573/VLOOKUP($V573,Setup!$C$30:$D$41,2,0),"")</f>
        <v/>
      </c>
      <c r="BM573" s="268"/>
      <c r="BN573" s="258" t="str">
        <f t="shared" si="270"/>
        <v/>
      </c>
      <c r="BO573" s="268"/>
      <c r="BP573" s="258" t="str">
        <f t="shared" si="271"/>
        <v/>
      </c>
      <c r="BQ573" s="268"/>
      <c r="BR573" s="258" t="str">
        <f t="shared" si="272"/>
        <v/>
      </c>
      <c r="BS573" s="268"/>
      <c r="BT573" s="256" t="str">
        <f t="shared" si="273"/>
        <v/>
      </c>
      <c r="BU573" s="256" t="str">
        <f t="shared" si="274"/>
        <v/>
      </c>
      <c r="BV573" s="256" t="str">
        <f t="shared" si="275"/>
        <v/>
      </c>
      <c r="BW573" s="267"/>
      <c r="BX573" s="256" t="str">
        <f t="shared" si="276"/>
        <v/>
      </c>
      <c r="BY573" s="256" t="str">
        <f t="shared" si="277"/>
        <v/>
      </c>
      <c r="BZ573" s="281"/>
      <c r="CA573" s="282"/>
      <c r="CF573" s="284"/>
      <c r="CG573" s="284"/>
      <c r="CH573" s="284"/>
      <c r="CI573" s="284"/>
      <c r="CL573" s="356" t="str">
        <f>IFERROR(VLOOKUP(C573,'Data Sheet'!$A$3:$B$26,2,FALSE),"")</f>
        <v/>
      </c>
    </row>
    <row r="574" spans="1:90" ht="15.75" x14ac:dyDescent="0.2">
      <c r="A574" s="97"/>
      <c r="B574" s="105" t="str">
        <f t="shared" si="280"/>
        <v>--</v>
      </c>
      <c r="C574" s="276"/>
      <c r="D574" s="101" t="str">
        <f>IFERROR(IF(VLOOKUP(C574,'Data Sheet'!$A$3:$D$26,4,FALSE)=0,"",VLOOKUP(C574,'Data Sheet'!$A$3:$D$26,4,FALSE)),"")</f>
        <v/>
      </c>
      <c r="E574" s="279"/>
      <c r="F574" s="103" t="str">
        <f>IFERROR(IF(VLOOKUP(E574,'Data Sheet'!$C$29:$E$174,3,FALSE)=0,"",VLOOKUP(E574,'Data Sheet'!$C$29:$E$174,3,FALSE)),"")</f>
        <v/>
      </c>
      <c r="G574" s="106" t="str">
        <f t="shared" si="278"/>
        <v>-</v>
      </c>
      <c r="H574" s="273"/>
      <c r="I574" s="107"/>
      <c r="J574" s="249" t="e">
        <f t="shared" si="279"/>
        <v>#VALUE!</v>
      </c>
      <c r="K574" s="101" t="str">
        <f>IFERROR(INDEX('Data Sheet'!$C$198:$C$275,MATCH(I574,'Data Sheet'!$F$198:$F$275,0)),"")</f>
        <v/>
      </c>
      <c r="L574" s="250" t="str">
        <f>IFERROR(INDEX('Data Sheet'!$G$198:$G$275,MATCH(I574,'Data Sheet'!$F$198:$F$275,0)),"")</f>
        <v/>
      </c>
      <c r="M574" s="194"/>
      <c r="N574" s="248"/>
      <c r="O574" s="248"/>
      <c r="P574" s="108" t="str">
        <f>IFERROR(INDEX(Setup!$D$44:$D$70,MATCH(M574,Setup!$K$44:$K$70,0))&amp;"","")</f>
        <v/>
      </c>
      <c r="Q574" s="108" t="str">
        <f>IFERROR(INDEX(Setup!$E$44:$E$70,MATCH(M574,Setup!$K$44:$K$70,0))&amp;"","")</f>
        <v/>
      </c>
      <c r="R574" s="108" t="str">
        <f>IFERROR(INDEX(Setup!$L$44:$L$70,MATCH(M574,Setup!$K$44:$K$70,0))&amp;"","")</f>
        <v/>
      </c>
      <c r="S574" s="108" t="str">
        <f>Setup!$C$30</f>
        <v>USD</v>
      </c>
      <c r="T574" s="109" t="str">
        <f>IFERROR(INDEX('Data Sheet'!$B$198:$B$275,MATCH(I574,'Data Sheet'!$F$198:$F$275,0)),"")</f>
        <v/>
      </c>
      <c r="U574" s="110" t="str">
        <f>IFERROR(INDEX('Data Sheet'!$D$198:$D$275,MATCH(I574,'Data Sheet'!$F$198:$F$275,0)),"")</f>
        <v/>
      </c>
      <c r="V574" s="99"/>
      <c r="W574" s="195" t="str">
        <f>IF(V574=Setup!$C$30,"Grant",IF(V574=Setup!$C$31,"Local",IF(V574=Setup!$C$32,"Other",IF(ISBLANK(V574),"","Other"))))</f>
        <v/>
      </c>
      <c r="X574" s="255"/>
      <c r="Y574" s="259" t="str">
        <f>IF(X574&lt;&gt;"",X574/VLOOKUP($V574,Setup!$C$30:$D$41,2,0),"")</f>
        <v/>
      </c>
      <c r="Z574" s="262"/>
      <c r="AA574" s="256" t="str">
        <f t="shared" si="252"/>
        <v/>
      </c>
      <c r="AB574" s="262"/>
      <c r="AC574" s="258" t="str">
        <f t="shared" si="253"/>
        <v/>
      </c>
      <c r="AD574" s="262"/>
      <c r="AE574" s="258" t="str">
        <f t="shared" si="254"/>
        <v/>
      </c>
      <c r="AF574" s="262"/>
      <c r="AG574" s="256" t="str">
        <f t="shared" si="255"/>
        <v/>
      </c>
      <c r="AH574" s="256" t="str">
        <f t="shared" si="256"/>
        <v/>
      </c>
      <c r="AI574" s="256" t="str">
        <f t="shared" si="257"/>
        <v/>
      </c>
      <c r="AJ574" s="111"/>
      <c r="AK574" s="255"/>
      <c r="AL574" s="259" t="str">
        <f>IF(AK574&lt;&gt;"",AK574/VLOOKUP($V574,Setup!$C$30:$D$41,2,0),"")</f>
        <v/>
      </c>
      <c r="AM574" s="266"/>
      <c r="AN574" s="258" t="str">
        <f t="shared" si="258"/>
        <v/>
      </c>
      <c r="AO574" s="266"/>
      <c r="AP574" s="258" t="str">
        <f t="shared" si="259"/>
        <v/>
      </c>
      <c r="AQ574" s="266"/>
      <c r="AR574" s="258" t="str">
        <f t="shared" si="260"/>
        <v/>
      </c>
      <c r="AS574" s="266"/>
      <c r="AT574" s="256" t="str">
        <f t="shared" si="261"/>
        <v/>
      </c>
      <c r="AU574" s="256" t="str">
        <f t="shared" si="262"/>
        <v/>
      </c>
      <c r="AV574" s="256" t="str">
        <f t="shared" si="263"/>
        <v/>
      </c>
      <c r="AW574" s="267"/>
      <c r="AX574" s="255"/>
      <c r="AY574" s="259" t="str">
        <f>IF(AX574&lt;&gt;"",AX574/VLOOKUP($V574,Setup!$C$30:$D$41,2,0),"")</f>
        <v/>
      </c>
      <c r="AZ574" s="268"/>
      <c r="BA574" s="258" t="str">
        <f t="shared" si="264"/>
        <v/>
      </c>
      <c r="BB574" s="268"/>
      <c r="BC574" s="258" t="str">
        <f t="shared" si="265"/>
        <v/>
      </c>
      <c r="BD574" s="268"/>
      <c r="BE574" s="258" t="str">
        <f t="shared" si="266"/>
        <v/>
      </c>
      <c r="BF574" s="268"/>
      <c r="BG574" s="256" t="str">
        <f t="shared" si="267"/>
        <v/>
      </c>
      <c r="BH574" s="256" t="str">
        <f t="shared" si="268"/>
        <v/>
      </c>
      <c r="BI574" s="256" t="str">
        <f t="shared" si="269"/>
        <v/>
      </c>
      <c r="BJ574" s="267"/>
      <c r="BK574" s="255"/>
      <c r="BL574" s="259" t="str">
        <f>IF(BK574&lt;&gt;"",BK574/VLOOKUP($V574,Setup!$C$30:$D$41,2,0),"")</f>
        <v/>
      </c>
      <c r="BM574" s="268"/>
      <c r="BN574" s="258" t="str">
        <f t="shared" si="270"/>
        <v/>
      </c>
      <c r="BO574" s="268"/>
      <c r="BP574" s="258" t="str">
        <f t="shared" si="271"/>
        <v/>
      </c>
      <c r="BQ574" s="268"/>
      <c r="BR574" s="258" t="str">
        <f t="shared" si="272"/>
        <v/>
      </c>
      <c r="BS574" s="268"/>
      <c r="BT574" s="256" t="str">
        <f t="shared" si="273"/>
        <v/>
      </c>
      <c r="BU574" s="256" t="str">
        <f t="shared" si="274"/>
        <v/>
      </c>
      <c r="BV574" s="256" t="str">
        <f t="shared" si="275"/>
        <v/>
      </c>
      <c r="BW574" s="267"/>
      <c r="BX574" s="256" t="str">
        <f t="shared" si="276"/>
        <v/>
      </c>
      <c r="BY574" s="256" t="str">
        <f t="shared" si="277"/>
        <v/>
      </c>
      <c r="BZ574" s="281"/>
      <c r="CA574" s="282"/>
      <c r="CF574" s="284"/>
      <c r="CG574" s="284"/>
      <c r="CH574" s="284"/>
      <c r="CI574" s="284"/>
      <c r="CL574" s="356" t="str">
        <f>IFERROR(VLOOKUP(C574,'Data Sheet'!$A$3:$B$26,2,FALSE),"")</f>
        <v/>
      </c>
    </row>
    <row r="575" spans="1:90" ht="15.75" x14ac:dyDescent="0.2">
      <c r="A575" s="97"/>
      <c r="B575" s="105" t="str">
        <f t="shared" si="280"/>
        <v>--</v>
      </c>
      <c r="C575" s="276"/>
      <c r="D575" s="101" t="str">
        <f>IFERROR(IF(VLOOKUP(C575,'Data Sheet'!$A$3:$D$26,4,FALSE)=0,"",VLOOKUP(C575,'Data Sheet'!$A$3:$D$26,4,FALSE)),"")</f>
        <v/>
      </c>
      <c r="E575" s="279"/>
      <c r="F575" s="103" t="str">
        <f>IFERROR(IF(VLOOKUP(E575,'Data Sheet'!$C$29:$E$174,3,FALSE)=0,"",VLOOKUP(E575,'Data Sheet'!$C$29:$E$174,3,FALSE)),"")</f>
        <v/>
      </c>
      <c r="G575" s="106" t="str">
        <f t="shared" si="278"/>
        <v>-</v>
      </c>
      <c r="H575" s="273"/>
      <c r="I575" s="107"/>
      <c r="J575" s="249" t="e">
        <f t="shared" si="279"/>
        <v>#VALUE!</v>
      </c>
      <c r="K575" s="101" t="str">
        <f>IFERROR(INDEX('Data Sheet'!$C$198:$C$275,MATCH(I575,'Data Sheet'!$F$198:$F$275,0)),"")</f>
        <v/>
      </c>
      <c r="L575" s="250" t="str">
        <f>IFERROR(INDEX('Data Sheet'!$G$198:$G$275,MATCH(I575,'Data Sheet'!$F$198:$F$275,0)),"")</f>
        <v/>
      </c>
      <c r="M575" s="194"/>
      <c r="N575" s="248"/>
      <c r="O575" s="248"/>
      <c r="P575" s="108" t="str">
        <f>IFERROR(INDEX(Setup!$D$44:$D$70,MATCH(M575,Setup!$K$44:$K$70,0))&amp;"","")</f>
        <v/>
      </c>
      <c r="Q575" s="108" t="str">
        <f>IFERROR(INDEX(Setup!$E$44:$E$70,MATCH(M575,Setup!$K$44:$K$70,0))&amp;"","")</f>
        <v/>
      </c>
      <c r="R575" s="108" t="str">
        <f>IFERROR(INDEX(Setup!$L$44:$L$70,MATCH(M575,Setup!$K$44:$K$70,0))&amp;"","")</f>
        <v/>
      </c>
      <c r="S575" s="108" t="str">
        <f>Setup!$C$30</f>
        <v>USD</v>
      </c>
      <c r="T575" s="109" t="str">
        <f>IFERROR(INDEX('Data Sheet'!$B$198:$B$275,MATCH(I575,'Data Sheet'!$F$198:$F$275,0)),"")</f>
        <v/>
      </c>
      <c r="U575" s="110" t="str">
        <f>IFERROR(INDEX('Data Sheet'!$D$198:$D$275,MATCH(I575,'Data Sheet'!$F$198:$F$275,0)),"")</f>
        <v/>
      </c>
      <c r="V575" s="99"/>
      <c r="W575" s="195" t="str">
        <f>IF(V575=Setup!$C$30,"Grant",IF(V575=Setup!$C$31,"Local",IF(V575=Setup!$C$32,"Other",IF(ISBLANK(V575),"","Other"))))</f>
        <v/>
      </c>
      <c r="X575" s="255"/>
      <c r="Y575" s="259" t="str">
        <f>IF(X575&lt;&gt;"",X575/VLOOKUP($V575,Setup!$C$30:$D$41,2,0),"")</f>
        <v/>
      </c>
      <c r="Z575" s="262"/>
      <c r="AA575" s="256" t="str">
        <f t="shared" si="252"/>
        <v/>
      </c>
      <c r="AB575" s="262"/>
      <c r="AC575" s="258" t="str">
        <f t="shared" si="253"/>
        <v/>
      </c>
      <c r="AD575" s="262"/>
      <c r="AE575" s="258" t="str">
        <f t="shared" si="254"/>
        <v/>
      </c>
      <c r="AF575" s="262"/>
      <c r="AG575" s="256" t="str">
        <f t="shared" si="255"/>
        <v/>
      </c>
      <c r="AH575" s="256" t="str">
        <f t="shared" si="256"/>
        <v/>
      </c>
      <c r="AI575" s="256" t="str">
        <f t="shared" si="257"/>
        <v/>
      </c>
      <c r="AJ575" s="111"/>
      <c r="AK575" s="255"/>
      <c r="AL575" s="259" t="str">
        <f>IF(AK575&lt;&gt;"",AK575/VLOOKUP($V575,Setup!$C$30:$D$41,2,0),"")</f>
        <v/>
      </c>
      <c r="AM575" s="266"/>
      <c r="AN575" s="258" t="str">
        <f t="shared" si="258"/>
        <v/>
      </c>
      <c r="AO575" s="266"/>
      <c r="AP575" s="258" t="str">
        <f t="shared" si="259"/>
        <v/>
      </c>
      <c r="AQ575" s="266"/>
      <c r="AR575" s="258" t="str">
        <f t="shared" si="260"/>
        <v/>
      </c>
      <c r="AS575" s="266"/>
      <c r="AT575" s="256" t="str">
        <f t="shared" si="261"/>
        <v/>
      </c>
      <c r="AU575" s="256" t="str">
        <f t="shared" si="262"/>
        <v/>
      </c>
      <c r="AV575" s="256" t="str">
        <f t="shared" si="263"/>
        <v/>
      </c>
      <c r="AW575" s="267"/>
      <c r="AX575" s="255"/>
      <c r="AY575" s="259" t="str">
        <f>IF(AX575&lt;&gt;"",AX575/VLOOKUP($V575,Setup!$C$30:$D$41,2,0),"")</f>
        <v/>
      </c>
      <c r="AZ575" s="268"/>
      <c r="BA575" s="258" t="str">
        <f t="shared" si="264"/>
        <v/>
      </c>
      <c r="BB575" s="268"/>
      <c r="BC575" s="258" t="str">
        <f t="shared" si="265"/>
        <v/>
      </c>
      <c r="BD575" s="268"/>
      <c r="BE575" s="258" t="str">
        <f t="shared" si="266"/>
        <v/>
      </c>
      <c r="BF575" s="268"/>
      <c r="BG575" s="256" t="str">
        <f t="shared" si="267"/>
        <v/>
      </c>
      <c r="BH575" s="256" t="str">
        <f t="shared" si="268"/>
        <v/>
      </c>
      <c r="BI575" s="256" t="str">
        <f t="shared" si="269"/>
        <v/>
      </c>
      <c r="BJ575" s="267"/>
      <c r="BK575" s="255"/>
      <c r="BL575" s="259" t="str">
        <f>IF(BK575&lt;&gt;"",BK575/VLOOKUP($V575,Setup!$C$30:$D$41,2,0),"")</f>
        <v/>
      </c>
      <c r="BM575" s="268"/>
      <c r="BN575" s="258" t="str">
        <f t="shared" si="270"/>
        <v/>
      </c>
      <c r="BO575" s="268"/>
      <c r="BP575" s="258" t="str">
        <f t="shared" si="271"/>
        <v/>
      </c>
      <c r="BQ575" s="268"/>
      <c r="BR575" s="258" t="str">
        <f t="shared" si="272"/>
        <v/>
      </c>
      <c r="BS575" s="268"/>
      <c r="BT575" s="256" t="str">
        <f t="shared" si="273"/>
        <v/>
      </c>
      <c r="BU575" s="256" t="str">
        <f t="shared" si="274"/>
        <v/>
      </c>
      <c r="BV575" s="256" t="str">
        <f t="shared" si="275"/>
        <v/>
      </c>
      <c r="BW575" s="267"/>
      <c r="BX575" s="256" t="str">
        <f t="shared" si="276"/>
        <v/>
      </c>
      <c r="BY575" s="256" t="str">
        <f t="shared" si="277"/>
        <v/>
      </c>
      <c r="BZ575" s="281"/>
      <c r="CA575" s="282"/>
      <c r="CF575" s="284"/>
      <c r="CG575" s="284"/>
      <c r="CH575" s="284"/>
      <c r="CI575" s="284"/>
      <c r="CL575" s="356" t="str">
        <f>IFERROR(VLOOKUP(C575,'Data Sheet'!$A$3:$B$26,2,FALSE),"")</f>
        <v/>
      </c>
    </row>
    <row r="576" spans="1:90" ht="15.75" x14ac:dyDescent="0.2">
      <c r="A576" s="97"/>
      <c r="B576" s="105" t="str">
        <f t="shared" si="280"/>
        <v>--</v>
      </c>
      <c r="C576" s="276"/>
      <c r="D576" s="101" t="str">
        <f>IFERROR(IF(VLOOKUP(C576,'Data Sheet'!$A$3:$D$26,4,FALSE)=0,"",VLOOKUP(C576,'Data Sheet'!$A$3:$D$26,4,FALSE)),"")</f>
        <v/>
      </c>
      <c r="E576" s="279"/>
      <c r="F576" s="103" t="str">
        <f>IFERROR(IF(VLOOKUP(E576,'Data Sheet'!$C$29:$E$174,3,FALSE)=0,"",VLOOKUP(E576,'Data Sheet'!$C$29:$E$174,3,FALSE)),"")</f>
        <v/>
      </c>
      <c r="G576" s="106" t="str">
        <f t="shared" si="278"/>
        <v>-</v>
      </c>
      <c r="H576" s="273"/>
      <c r="I576" s="107"/>
      <c r="J576" s="249" t="e">
        <f t="shared" si="279"/>
        <v>#VALUE!</v>
      </c>
      <c r="K576" s="101" t="str">
        <f>IFERROR(INDEX('Data Sheet'!$C$198:$C$275,MATCH(I576,'Data Sheet'!$F$198:$F$275,0)),"")</f>
        <v/>
      </c>
      <c r="L576" s="250" t="str">
        <f>IFERROR(INDEX('Data Sheet'!$G$198:$G$275,MATCH(I576,'Data Sheet'!$F$198:$F$275,0)),"")</f>
        <v/>
      </c>
      <c r="M576" s="194"/>
      <c r="N576" s="248"/>
      <c r="O576" s="248"/>
      <c r="P576" s="108" t="str">
        <f>IFERROR(INDEX(Setup!$D$44:$D$70,MATCH(M576,Setup!$K$44:$K$70,0))&amp;"","")</f>
        <v/>
      </c>
      <c r="Q576" s="108" t="str">
        <f>IFERROR(INDEX(Setup!$E$44:$E$70,MATCH(M576,Setup!$K$44:$K$70,0))&amp;"","")</f>
        <v/>
      </c>
      <c r="R576" s="108" t="str">
        <f>IFERROR(INDEX(Setup!$L$44:$L$70,MATCH(M576,Setup!$K$44:$K$70,0))&amp;"","")</f>
        <v/>
      </c>
      <c r="S576" s="108" t="str">
        <f>Setup!$C$30</f>
        <v>USD</v>
      </c>
      <c r="T576" s="109" t="str">
        <f>IFERROR(INDEX('Data Sheet'!$B$198:$B$275,MATCH(I576,'Data Sheet'!$F$198:$F$275,0)),"")</f>
        <v/>
      </c>
      <c r="U576" s="110" t="str">
        <f>IFERROR(INDEX('Data Sheet'!$D$198:$D$275,MATCH(I576,'Data Sheet'!$F$198:$F$275,0)),"")</f>
        <v/>
      </c>
      <c r="V576" s="99"/>
      <c r="W576" s="195" t="str">
        <f>IF(V576=Setup!$C$30,"Grant",IF(V576=Setup!$C$31,"Local",IF(V576=Setup!$C$32,"Other",IF(ISBLANK(V576),"","Other"))))</f>
        <v/>
      </c>
      <c r="X576" s="255"/>
      <c r="Y576" s="259" t="str">
        <f>IF(X576&lt;&gt;"",X576/VLOOKUP($V576,Setup!$C$30:$D$41,2,0),"")</f>
        <v/>
      </c>
      <c r="Z576" s="262"/>
      <c r="AA576" s="256" t="str">
        <f t="shared" si="252"/>
        <v/>
      </c>
      <c r="AB576" s="262"/>
      <c r="AC576" s="258" t="str">
        <f t="shared" si="253"/>
        <v/>
      </c>
      <c r="AD576" s="262"/>
      <c r="AE576" s="258" t="str">
        <f t="shared" si="254"/>
        <v/>
      </c>
      <c r="AF576" s="262"/>
      <c r="AG576" s="256" t="str">
        <f t="shared" si="255"/>
        <v/>
      </c>
      <c r="AH576" s="256" t="str">
        <f t="shared" si="256"/>
        <v/>
      </c>
      <c r="AI576" s="256" t="str">
        <f t="shared" si="257"/>
        <v/>
      </c>
      <c r="AJ576" s="111"/>
      <c r="AK576" s="255"/>
      <c r="AL576" s="259" t="str">
        <f>IF(AK576&lt;&gt;"",AK576/VLOOKUP($V576,Setup!$C$30:$D$41,2,0),"")</f>
        <v/>
      </c>
      <c r="AM576" s="266"/>
      <c r="AN576" s="258" t="str">
        <f t="shared" si="258"/>
        <v/>
      </c>
      <c r="AO576" s="266"/>
      <c r="AP576" s="258" t="str">
        <f t="shared" si="259"/>
        <v/>
      </c>
      <c r="AQ576" s="266"/>
      <c r="AR576" s="258" t="str">
        <f t="shared" si="260"/>
        <v/>
      </c>
      <c r="AS576" s="266"/>
      <c r="AT576" s="256" t="str">
        <f t="shared" si="261"/>
        <v/>
      </c>
      <c r="AU576" s="256" t="str">
        <f t="shared" si="262"/>
        <v/>
      </c>
      <c r="AV576" s="256" t="str">
        <f t="shared" si="263"/>
        <v/>
      </c>
      <c r="AW576" s="267"/>
      <c r="AX576" s="255"/>
      <c r="AY576" s="259" t="str">
        <f>IF(AX576&lt;&gt;"",AX576/VLOOKUP($V576,Setup!$C$30:$D$41,2,0),"")</f>
        <v/>
      </c>
      <c r="AZ576" s="268"/>
      <c r="BA576" s="258" t="str">
        <f t="shared" si="264"/>
        <v/>
      </c>
      <c r="BB576" s="268"/>
      <c r="BC576" s="258" t="str">
        <f t="shared" si="265"/>
        <v/>
      </c>
      <c r="BD576" s="268"/>
      <c r="BE576" s="258" t="str">
        <f t="shared" si="266"/>
        <v/>
      </c>
      <c r="BF576" s="268"/>
      <c r="BG576" s="256" t="str">
        <f t="shared" si="267"/>
        <v/>
      </c>
      <c r="BH576" s="256" t="str">
        <f t="shared" si="268"/>
        <v/>
      </c>
      <c r="BI576" s="256" t="str">
        <f t="shared" si="269"/>
        <v/>
      </c>
      <c r="BJ576" s="267"/>
      <c r="BK576" s="255"/>
      <c r="BL576" s="259" t="str">
        <f>IF(BK576&lt;&gt;"",BK576/VLOOKUP($V576,Setup!$C$30:$D$41,2,0),"")</f>
        <v/>
      </c>
      <c r="BM576" s="268"/>
      <c r="BN576" s="258" t="str">
        <f t="shared" si="270"/>
        <v/>
      </c>
      <c r="BO576" s="268"/>
      <c r="BP576" s="258" t="str">
        <f t="shared" si="271"/>
        <v/>
      </c>
      <c r="BQ576" s="268"/>
      <c r="BR576" s="258" t="str">
        <f t="shared" si="272"/>
        <v/>
      </c>
      <c r="BS576" s="268"/>
      <c r="BT576" s="256" t="str">
        <f t="shared" si="273"/>
        <v/>
      </c>
      <c r="BU576" s="256" t="str">
        <f t="shared" si="274"/>
        <v/>
      </c>
      <c r="BV576" s="256" t="str">
        <f t="shared" si="275"/>
        <v/>
      </c>
      <c r="BW576" s="267"/>
      <c r="BX576" s="256" t="str">
        <f t="shared" si="276"/>
        <v/>
      </c>
      <c r="BY576" s="256" t="str">
        <f t="shared" si="277"/>
        <v/>
      </c>
      <c r="BZ576" s="281"/>
      <c r="CA576" s="282"/>
      <c r="CF576" s="284"/>
      <c r="CG576" s="284"/>
      <c r="CH576" s="284"/>
      <c r="CI576" s="284"/>
      <c r="CL576" s="356" t="str">
        <f>IFERROR(VLOOKUP(C576,'Data Sheet'!$A$3:$B$26,2,FALSE),"")</f>
        <v/>
      </c>
    </row>
    <row r="577" spans="1:90" ht="15.75" x14ac:dyDescent="0.2">
      <c r="A577" s="97"/>
      <c r="B577" s="105" t="str">
        <f t="shared" si="280"/>
        <v>--</v>
      </c>
      <c r="C577" s="276"/>
      <c r="D577" s="101" t="str">
        <f>IFERROR(IF(VLOOKUP(C577,'Data Sheet'!$A$3:$D$26,4,FALSE)=0,"",VLOOKUP(C577,'Data Sheet'!$A$3:$D$26,4,FALSE)),"")</f>
        <v/>
      </c>
      <c r="E577" s="279"/>
      <c r="F577" s="103" t="str">
        <f>IFERROR(IF(VLOOKUP(E577,'Data Sheet'!$C$29:$E$174,3,FALSE)=0,"",VLOOKUP(E577,'Data Sheet'!$C$29:$E$174,3,FALSE)),"")</f>
        <v/>
      </c>
      <c r="G577" s="106" t="str">
        <f t="shared" si="278"/>
        <v>-</v>
      </c>
      <c r="H577" s="273"/>
      <c r="I577" s="107"/>
      <c r="J577" s="249" t="e">
        <f t="shared" si="279"/>
        <v>#VALUE!</v>
      </c>
      <c r="K577" s="101" t="str">
        <f>IFERROR(INDEX('Data Sheet'!$C$198:$C$275,MATCH(I577,'Data Sheet'!$F$198:$F$275,0)),"")</f>
        <v/>
      </c>
      <c r="L577" s="250" t="str">
        <f>IFERROR(INDEX('Data Sheet'!$G$198:$G$275,MATCH(I577,'Data Sheet'!$F$198:$F$275,0)),"")</f>
        <v/>
      </c>
      <c r="M577" s="194"/>
      <c r="N577" s="248"/>
      <c r="O577" s="248"/>
      <c r="P577" s="108" t="str">
        <f>IFERROR(INDEX(Setup!$D$44:$D$70,MATCH(M577,Setup!$K$44:$K$70,0))&amp;"","")</f>
        <v/>
      </c>
      <c r="Q577" s="108" t="str">
        <f>IFERROR(INDEX(Setup!$E$44:$E$70,MATCH(M577,Setup!$K$44:$K$70,0))&amp;"","")</f>
        <v/>
      </c>
      <c r="R577" s="108" t="str">
        <f>IFERROR(INDEX(Setup!$L$44:$L$70,MATCH(M577,Setup!$K$44:$K$70,0))&amp;"","")</f>
        <v/>
      </c>
      <c r="S577" s="108" t="str">
        <f>Setup!$C$30</f>
        <v>USD</v>
      </c>
      <c r="T577" s="109" t="str">
        <f>IFERROR(INDEX('Data Sheet'!$B$198:$B$275,MATCH(I577,'Data Sheet'!$F$198:$F$275,0)),"")</f>
        <v/>
      </c>
      <c r="U577" s="110" t="str">
        <f>IFERROR(INDEX('Data Sheet'!$D$198:$D$275,MATCH(I577,'Data Sheet'!$F$198:$F$275,0)),"")</f>
        <v/>
      </c>
      <c r="V577" s="99"/>
      <c r="W577" s="195" t="str">
        <f>IF(V577=Setup!$C$30,"Grant",IF(V577=Setup!$C$31,"Local",IF(V577=Setup!$C$32,"Other",IF(ISBLANK(V577),"","Other"))))</f>
        <v/>
      </c>
      <c r="X577" s="255"/>
      <c r="Y577" s="259" t="str">
        <f>IF(X577&lt;&gt;"",X577/VLOOKUP($V577,Setup!$C$30:$D$41,2,0),"")</f>
        <v/>
      </c>
      <c r="Z577" s="262"/>
      <c r="AA577" s="256" t="str">
        <f t="shared" si="252"/>
        <v/>
      </c>
      <c r="AB577" s="262"/>
      <c r="AC577" s="258" t="str">
        <f t="shared" si="253"/>
        <v/>
      </c>
      <c r="AD577" s="262"/>
      <c r="AE577" s="258" t="str">
        <f t="shared" si="254"/>
        <v/>
      </c>
      <c r="AF577" s="262"/>
      <c r="AG577" s="256" t="str">
        <f t="shared" si="255"/>
        <v/>
      </c>
      <c r="AH577" s="256" t="str">
        <f t="shared" si="256"/>
        <v/>
      </c>
      <c r="AI577" s="256" t="str">
        <f t="shared" si="257"/>
        <v/>
      </c>
      <c r="AJ577" s="111"/>
      <c r="AK577" s="255"/>
      <c r="AL577" s="259" t="str">
        <f>IF(AK577&lt;&gt;"",AK577/VLOOKUP($V577,Setup!$C$30:$D$41,2,0),"")</f>
        <v/>
      </c>
      <c r="AM577" s="266"/>
      <c r="AN577" s="258" t="str">
        <f t="shared" si="258"/>
        <v/>
      </c>
      <c r="AO577" s="266"/>
      <c r="AP577" s="258" t="str">
        <f t="shared" si="259"/>
        <v/>
      </c>
      <c r="AQ577" s="266"/>
      <c r="AR577" s="258" t="str">
        <f t="shared" si="260"/>
        <v/>
      </c>
      <c r="AS577" s="266"/>
      <c r="AT577" s="256" t="str">
        <f t="shared" si="261"/>
        <v/>
      </c>
      <c r="AU577" s="256" t="str">
        <f t="shared" si="262"/>
        <v/>
      </c>
      <c r="AV577" s="256" t="str">
        <f t="shared" si="263"/>
        <v/>
      </c>
      <c r="AW577" s="267"/>
      <c r="AX577" s="255"/>
      <c r="AY577" s="259" t="str">
        <f>IF(AX577&lt;&gt;"",AX577/VLOOKUP($V577,Setup!$C$30:$D$41,2,0),"")</f>
        <v/>
      </c>
      <c r="AZ577" s="268"/>
      <c r="BA577" s="258" t="str">
        <f t="shared" si="264"/>
        <v/>
      </c>
      <c r="BB577" s="268"/>
      <c r="BC577" s="258" t="str">
        <f t="shared" si="265"/>
        <v/>
      </c>
      <c r="BD577" s="268"/>
      <c r="BE577" s="258" t="str">
        <f t="shared" si="266"/>
        <v/>
      </c>
      <c r="BF577" s="268"/>
      <c r="BG577" s="256" t="str">
        <f t="shared" si="267"/>
        <v/>
      </c>
      <c r="BH577" s="256" t="str">
        <f t="shared" si="268"/>
        <v/>
      </c>
      <c r="BI577" s="256" t="str">
        <f t="shared" si="269"/>
        <v/>
      </c>
      <c r="BJ577" s="267"/>
      <c r="BK577" s="255"/>
      <c r="BL577" s="259" t="str">
        <f>IF(BK577&lt;&gt;"",BK577/VLOOKUP($V577,Setup!$C$30:$D$41,2,0),"")</f>
        <v/>
      </c>
      <c r="BM577" s="268"/>
      <c r="BN577" s="258" t="str">
        <f t="shared" si="270"/>
        <v/>
      </c>
      <c r="BO577" s="268"/>
      <c r="BP577" s="258" t="str">
        <f t="shared" si="271"/>
        <v/>
      </c>
      <c r="BQ577" s="268"/>
      <c r="BR577" s="258" t="str">
        <f t="shared" si="272"/>
        <v/>
      </c>
      <c r="BS577" s="268"/>
      <c r="BT577" s="256" t="str">
        <f t="shared" si="273"/>
        <v/>
      </c>
      <c r="BU577" s="256" t="str">
        <f t="shared" si="274"/>
        <v/>
      </c>
      <c r="BV577" s="256" t="str">
        <f t="shared" si="275"/>
        <v/>
      </c>
      <c r="BW577" s="267"/>
      <c r="BX577" s="256" t="str">
        <f t="shared" si="276"/>
        <v/>
      </c>
      <c r="BY577" s="256" t="str">
        <f t="shared" si="277"/>
        <v/>
      </c>
      <c r="BZ577" s="281"/>
      <c r="CA577" s="282"/>
      <c r="CF577" s="284"/>
      <c r="CG577" s="284"/>
      <c r="CH577" s="284"/>
      <c r="CI577" s="284"/>
      <c r="CL577" s="356" t="str">
        <f>IFERROR(VLOOKUP(C577,'Data Sheet'!$A$3:$B$26,2,FALSE),"")</f>
        <v/>
      </c>
    </row>
    <row r="578" spans="1:90" ht="15.75" x14ac:dyDescent="0.2">
      <c r="A578" s="97"/>
      <c r="B578" s="105" t="str">
        <f t="shared" si="280"/>
        <v>--</v>
      </c>
      <c r="C578" s="276"/>
      <c r="D578" s="101" t="str">
        <f>IFERROR(IF(VLOOKUP(C578,'Data Sheet'!$A$3:$D$26,4,FALSE)=0,"",VLOOKUP(C578,'Data Sheet'!$A$3:$D$26,4,FALSE)),"")</f>
        <v/>
      </c>
      <c r="E578" s="279"/>
      <c r="F578" s="103" t="str">
        <f>IFERROR(IF(VLOOKUP(E578,'Data Sheet'!$C$29:$E$174,3,FALSE)=0,"",VLOOKUP(E578,'Data Sheet'!$C$29:$E$174,3,FALSE)),"")</f>
        <v/>
      </c>
      <c r="G578" s="106" t="str">
        <f t="shared" si="278"/>
        <v>-</v>
      </c>
      <c r="H578" s="273"/>
      <c r="I578" s="107"/>
      <c r="J578" s="249" t="e">
        <f t="shared" si="279"/>
        <v>#VALUE!</v>
      </c>
      <c r="K578" s="101" t="str">
        <f>IFERROR(INDEX('Data Sheet'!$C$198:$C$275,MATCH(I578,'Data Sheet'!$F$198:$F$275,0)),"")</f>
        <v/>
      </c>
      <c r="L578" s="250" t="str">
        <f>IFERROR(INDEX('Data Sheet'!$G$198:$G$275,MATCH(I578,'Data Sheet'!$F$198:$F$275,0)),"")</f>
        <v/>
      </c>
      <c r="M578" s="194"/>
      <c r="N578" s="248"/>
      <c r="O578" s="248"/>
      <c r="P578" s="108" t="str">
        <f>IFERROR(INDEX(Setup!$D$44:$D$70,MATCH(M578,Setup!$K$44:$K$70,0))&amp;"","")</f>
        <v/>
      </c>
      <c r="Q578" s="108" t="str">
        <f>IFERROR(INDEX(Setup!$E$44:$E$70,MATCH(M578,Setup!$K$44:$K$70,0))&amp;"","")</f>
        <v/>
      </c>
      <c r="R578" s="108" t="str">
        <f>IFERROR(INDEX(Setup!$L$44:$L$70,MATCH(M578,Setup!$K$44:$K$70,0))&amp;"","")</f>
        <v/>
      </c>
      <c r="S578" s="108" t="str">
        <f>Setup!$C$30</f>
        <v>USD</v>
      </c>
      <c r="T578" s="109" t="str">
        <f>IFERROR(INDEX('Data Sheet'!$B$198:$B$275,MATCH(I578,'Data Sheet'!$F$198:$F$275,0)),"")</f>
        <v/>
      </c>
      <c r="U578" s="110" t="str">
        <f>IFERROR(INDEX('Data Sheet'!$D$198:$D$275,MATCH(I578,'Data Sheet'!$F$198:$F$275,0)),"")</f>
        <v/>
      </c>
      <c r="V578" s="99"/>
      <c r="W578" s="195" t="str">
        <f>IF(V578=Setup!$C$30,"Grant",IF(V578=Setup!$C$31,"Local",IF(V578=Setup!$C$32,"Other",IF(ISBLANK(V578),"","Other"))))</f>
        <v/>
      </c>
      <c r="X578" s="255"/>
      <c r="Y578" s="259" t="str">
        <f>IF(X578&lt;&gt;"",X578/VLOOKUP($V578,Setup!$C$30:$D$41,2,0),"")</f>
        <v/>
      </c>
      <c r="Z578" s="262"/>
      <c r="AA578" s="256" t="str">
        <f t="shared" si="252"/>
        <v/>
      </c>
      <c r="AB578" s="262"/>
      <c r="AC578" s="258" t="str">
        <f t="shared" si="253"/>
        <v/>
      </c>
      <c r="AD578" s="262"/>
      <c r="AE578" s="258" t="str">
        <f t="shared" si="254"/>
        <v/>
      </c>
      <c r="AF578" s="262"/>
      <c r="AG578" s="256" t="str">
        <f t="shared" si="255"/>
        <v/>
      </c>
      <c r="AH578" s="256" t="str">
        <f t="shared" si="256"/>
        <v/>
      </c>
      <c r="AI578" s="256" t="str">
        <f t="shared" si="257"/>
        <v/>
      </c>
      <c r="AJ578" s="111"/>
      <c r="AK578" s="255"/>
      <c r="AL578" s="259" t="str">
        <f>IF(AK578&lt;&gt;"",AK578/VLOOKUP($V578,Setup!$C$30:$D$41,2,0),"")</f>
        <v/>
      </c>
      <c r="AM578" s="266"/>
      <c r="AN578" s="258" t="str">
        <f t="shared" si="258"/>
        <v/>
      </c>
      <c r="AO578" s="266"/>
      <c r="AP578" s="258" t="str">
        <f t="shared" si="259"/>
        <v/>
      </c>
      <c r="AQ578" s="266"/>
      <c r="AR578" s="258" t="str">
        <f t="shared" si="260"/>
        <v/>
      </c>
      <c r="AS578" s="266"/>
      <c r="AT578" s="256" t="str">
        <f t="shared" si="261"/>
        <v/>
      </c>
      <c r="AU578" s="256" t="str">
        <f t="shared" si="262"/>
        <v/>
      </c>
      <c r="AV578" s="256" t="str">
        <f t="shared" si="263"/>
        <v/>
      </c>
      <c r="AW578" s="267"/>
      <c r="AX578" s="255"/>
      <c r="AY578" s="259" t="str">
        <f>IF(AX578&lt;&gt;"",AX578/VLOOKUP($V578,Setup!$C$30:$D$41,2,0),"")</f>
        <v/>
      </c>
      <c r="AZ578" s="268"/>
      <c r="BA578" s="258" t="str">
        <f t="shared" si="264"/>
        <v/>
      </c>
      <c r="BB578" s="268"/>
      <c r="BC578" s="258" t="str">
        <f t="shared" si="265"/>
        <v/>
      </c>
      <c r="BD578" s="268"/>
      <c r="BE578" s="258" t="str">
        <f t="shared" si="266"/>
        <v/>
      </c>
      <c r="BF578" s="268"/>
      <c r="BG578" s="256" t="str">
        <f t="shared" si="267"/>
        <v/>
      </c>
      <c r="BH578" s="256" t="str">
        <f t="shared" si="268"/>
        <v/>
      </c>
      <c r="BI578" s="256" t="str">
        <f t="shared" si="269"/>
        <v/>
      </c>
      <c r="BJ578" s="267"/>
      <c r="BK578" s="255"/>
      <c r="BL578" s="259" t="str">
        <f>IF(BK578&lt;&gt;"",BK578/VLOOKUP($V578,Setup!$C$30:$D$41,2,0),"")</f>
        <v/>
      </c>
      <c r="BM578" s="268"/>
      <c r="BN578" s="258" t="str">
        <f t="shared" si="270"/>
        <v/>
      </c>
      <c r="BO578" s="268"/>
      <c r="BP578" s="258" t="str">
        <f t="shared" si="271"/>
        <v/>
      </c>
      <c r="BQ578" s="268"/>
      <c r="BR578" s="258" t="str">
        <f t="shared" si="272"/>
        <v/>
      </c>
      <c r="BS578" s="268"/>
      <c r="BT578" s="256" t="str">
        <f t="shared" si="273"/>
        <v/>
      </c>
      <c r="BU578" s="256" t="str">
        <f t="shared" si="274"/>
        <v/>
      </c>
      <c r="BV578" s="256" t="str">
        <f t="shared" si="275"/>
        <v/>
      </c>
      <c r="BW578" s="267"/>
      <c r="BX578" s="256" t="str">
        <f t="shared" si="276"/>
        <v/>
      </c>
      <c r="BY578" s="256" t="str">
        <f t="shared" si="277"/>
        <v/>
      </c>
      <c r="BZ578" s="281"/>
      <c r="CA578" s="282"/>
      <c r="CF578" s="284"/>
      <c r="CG578" s="284"/>
      <c r="CH578" s="284"/>
      <c r="CI578" s="284"/>
      <c r="CL578" s="356" t="str">
        <f>IFERROR(VLOOKUP(C578,'Data Sheet'!$A$3:$B$26,2,FALSE),"")</f>
        <v/>
      </c>
    </row>
    <row r="579" spans="1:90" ht="15.75" x14ac:dyDescent="0.2">
      <c r="A579" s="97"/>
      <c r="B579" s="105" t="str">
        <f t="shared" si="280"/>
        <v>--</v>
      </c>
      <c r="C579" s="276"/>
      <c r="D579" s="101" t="str">
        <f>IFERROR(IF(VLOOKUP(C579,'Data Sheet'!$A$3:$D$26,4,FALSE)=0,"",VLOOKUP(C579,'Data Sheet'!$A$3:$D$26,4,FALSE)),"")</f>
        <v/>
      </c>
      <c r="E579" s="279"/>
      <c r="F579" s="103" t="str">
        <f>IFERROR(IF(VLOOKUP(E579,'Data Sheet'!$C$29:$E$174,3,FALSE)=0,"",VLOOKUP(E579,'Data Sheet'!$C$29:$E$174,3,FALSE)),"")</f>
        <v/>
      </c>
      <c r="G579" s="106" t="str">
        <f t="shared" si="278"/>
        <v>-</v>
      </c>
      <c r="H579" s="273"/>
      <c r="I579" s="107"/>
      <c r="J579" s="249" t="e">
        <f t="shared" si="279"/>
        <v>#VALUE!</v>
      </c>
      <c r="K579" s="101" t="str">
        <f>IFERROR(INDEX('Data Sheet'!$C$198:$C$275,MATCH(I579,'Data Sheet'!$F$198:$F$275,0)),"")</f>
        <v/>
      </c>
      <c r="L579" s="250" t="str">
        <f>IFERROR(INDEX('Data Sheet'!$G$198:$G$275,MATCH(I579,'Data Sheet'!$F$198:$F$275,0)),"")</f>
        <v/>
      </c>
      <c r="M579" s="194"/>
      <c r="N579" s="248"/>
      <c r="O579" s="248"/>
      <c r="P579" s="108" t="str">
        <f>IFERROR(INDEX(Setup!$D$44:$D$70,MATCH(M579,Setup!$K$44:$K$70,0))&amp;"","")</f>
        <v/>
      </c>
      <c r="Q579" s="108" t="str">
        <f>IFERROR(INDEX(Setup!$E$44:$E$70,MATCH(M579,Setup!$K$44:$K$70,0))&amp;"","")</f>
        <v/>
      </c>
      <c r="R579" s="108" t="str">
        <f>IFERROR(INDEX(Setup!$L$44:$L$70,MATCH(M579,Setup!$K$44:$K$70,0))&amp;"","")</f>
        <v/>
      </c>
      <c r="S579" s="108" t="str">
        <f>Setup!$C$30</f>
        <v>USD</v>
      </c>
      <c r="T579" s="109" t="str">
        <f>IFERROR(INDEX('Data Sheet'!$B$198:$B$275,MATCH(I579,'Data Sheet'!$F$198:$F$275,0)),"")</f>
        <v/>
      </c>
      <c r="U579" s="110" t="str">
        <f>IFERROR(INDEX('Data Sheet'!$D$198:$D$275,MATCH(I579,'Data Sheet'!$F$198:$F$275,0)),"")</f>
        <v/>
      </c>
      <c r="V579" s="99"/>
      <c r="W579" s="195" t="str">
        <f>IF(V579=Setup!$C$30,"Grant",IF(V579=Setup!$C$31,"Local",IF(V579=Setup!$C$32,"Other",IF(ISBLANK(V579),"","Other"))))</f>
        <v/>
      </c>
      <c r="X579" s="255"/>
      <c r="Y579" s="259" t="str">
        <f>IF(X579&lt;&gt;"",X579/VLOOKUP($V579,Setup!$C$30:$D$41,2,0),"")</f>
        <v/>
      </c>
      <c r="Z579" s="262"/>
      <c r="AA579" s="256" t="str">
        <f t="shared" si="252"/>
        <v/>
      </c>
      <c r="AB579" s="262"/>
      <c r="AC579" s="258" t="str">
        <f t="shared" si="253"/>
        <v/>
      </c>
      <c r="AD579" s="262"/>
      <c r="AE579" s="258" t="str">
        <f t="shared" si="254"/>
        <v/>
      </c>
      <c r="AF579" s="262"/>
      <c r="AG579" s="256" t="str">
        <f t="shared" si="255"/>
        <v/>
      </c>
      <c r="AH579" s="256" t="str">
        <f t="shared" si="256"/>
        <v/>
      </c>
      <c r="AI579" s="256" t="str">
        <f t="shared" si="257"/>
        <v/>
      </c>
      <c r="AJ579" s="111"/>
      <c r="AK579" s="255"/>
      <c r="AL579" s="259" t="str">
        <f>IF(AK579&lt;&gt;"",AK579/VLOOKUP($V579,Setup!$C$30:$D$41,2,0),"")</f>
        <v/>
      </c>
      <c r="AM579" s="266"/>
      <c r="AN579" s="258" t="str">
        <f t="shared" si="258"/>
        <v/>
      </c>
      <c r="AO579" s="266"/>
      <c r="AP579" s="258" t="str">
        <f t="shared" si="259"/>
        <v/>
      </c>
      <c r="AQ579" s="266"/>
      <c r="AR579" s="258" t="str">
        <f t="shared" si="260"/>
        <v/>
      </c>
      <c r="AS579" s="266"/>
      <c r="AT579" s="256" t="str">
        <f t="shared" si="261"/>
        <v/>
      </c>
      <c r="AU579" s="256" t="str">
        <f t="shared" si="262"/>
        <v/>
      </c>
      <c r="AV579" s="256" t="str">
        <f t="shared" si="263"/>
        <v/>
      </c>
      <c r="AW579" s="267"/>
      <c r="AX579" s="255"/>
      <c r="AY579" s="259" t="str">
        <f>IF(AX579&lt;&gt;"",AX579/VLOOKUP($V579,Setup!$C$30:$D$41,2,0),"")</f>
        <v/>
      </c>
      <c r="AZ579" s="268"/>
      <c r="BA579" s="258" t="str">
        <f t="shared" si="264"/>
        <v/>
      </c>
      <c r="BB579" s="268"/>
      <c r="BC579" s="258" t="str">
        <f t="shared" si="265"/>
        <v/>
      </c>
      <c r="BD579" s="268"/>
      <c r="BE579" s="258" t="str">
        <f t="shared" si="266"/>
        <v/>
      </c>
      <c r="BF579" s="268"/>
      <c r="BG579" s="256" t="str">
        <f t="shared" si="267"/>
        <v/>
      </c>
      <c r="BH579" s="256" t="str">
        <f t="shared" si="268"/>
        <v/>
      </c>
      <c r="BI579" s="256" t="str">
        <f t="shared" si="269"/>
        <v/>
      </c>
      <c r="BJ579" s="267"/>
      <c r="BK579" s="255"/>
      <c r="BL579" s="259" t="str">
        <f>IF(BK579&lt;&gt;"",BK579/VLOOKUP($V579,Setup!$C$30:$D$41,2,0),"")</f>
        <v/>
      </c>
      <c r="BM579" s="268"/>
      <c r="BN579" s="258" t="str">
        <f t="shared" si="270"/>
        <v/>
      </c>
      <c r="BO579" s="268"/>
      <c r="BP579" s="258" t="str">
        <f t="shared" si="271"/>
        <v/>
      </c>
      <c r="BQ579" s="268"/>
      <c r="BR579" s="258" t="str">
        <f t="shared" si="272"/>
        <v/>
      </c>
      <c r="BS579" s="268"/>
      <c r="BT579" s="256" t="str">
        <f t="shared" si="273"/>
        <v/>
      </c>
      <c r="BU579" s="256" t="str">
        <f t="shared" si="274"/>
        <v/>
      </c>
      <c r="BV579" s="256" t="str">
        <f t="shared" si="275"/>
        <v/>
      </c>
      <c r="BW579" s="267"/>
      <c r="BX579" s="256" t="str">
        <f t="shared" si="276"/>
        <v/>
      </c>
      <c r="BY579" s="256" t="str">
        <f t="shared" si="277"/>
        <v/>
      </c>
      <c r="BZ579" s="281"/>
      <c r="CA579" s="282"/>
      <c r="CF579" s="284"/>
      <c r="CG579" s="284"/>
      <c r="CH579" s="284"/>
      <c r="CI579" s="284"/>
      <c r="CL579" s="356" t="str">
        <f>IFERROR(VLOOKUP(C579,'Data Sheet'!$A$3:$B$26,2,FALSE),"")</f>
        <v/>
      </c>
    </row>
    <row r="580" spans="1:90" ht="15.75" x14ac:dyDescent="0.2">
      <c r="A580" s="97"/>
      <c r="B580" s="105" t="str">
        <f t="shared" si="280"/>
        <v>--</v>
      </c>
      <c r="C580" s="276"/>
      <c r="D580" s="101" t="str">
        <f>IFERROR(IF(VLOOKUP(C580,'Data Sheet'!$A$3:$D$26,4,FALSE)=0,"",VLOOKUP(C580,'Data Sheet'!$A$3:$D$26,4,FALSE)),"")</f>
        <v/>
      </c>
      <c r="E580" s="279"/>
      <c r="F580" s="103" t="str">
        <f>IFERROR(IF(VLOOKUP(E580,'Data Sheet'!$C$29:$E$174,3,FALSE)=0,"",VLOOKUP(E580,'Data Sheet'!$C$29:$E$174,3,FALSE)),"")</f>
        <v/>
      </c>
      <c r="G580" s="106" t="str">
        <f t="shared" si="278"/>
        <v>-</v>
      </c>
      <c r="H580" s="273"/>
      <c r="I580" s="107"/>
      <c r="J580" s="249" t="e">
        <f t="shared" si="279"/>
        <v>#VALUE!</v>
      </c>
      <c r="K580" s="101" t="str">
        <f>IFERROR(INDEX('Data Sheet'!$C$198:$C$275,MATCH(I580,'Data Sheet'!$F$198:$F$275,0)),"")</f>
        <v/>
      </c>
      <c r="L580" s="250" t="str">
        <f>IFERROR(INDEX('Data Sheet'!$G$198:$G$275,MATCH(I580,'Data Sheet'!$F$198:$F$275,0)),"")</f>
        <v/>
      </c>
      <c r="M580" s="194"/>
      <c r="N580" s="248"/>
      <c r="O580" s="248"/>
      <c r="P580" s="108" t="str">
        <f>IFERROR(INDEX(Setup!$D$44:$D$70,MATCH(M580,Setup!$K$44:$K$70,0))&amp;"","")</f>
        <v/>
      </c>
      <c r="Q580" s="108" t="str">
        <f>IFERROR(INDEX(Setup!$E$44:$E$70,MATCH(M580,Setup!$K$44:$K$70,0))&amp;"","")</f>
        <v/>
      </c>
      <c r="R580" s="108" t="str">
        <f>IFERROR(INDEX(Setup!$L$44:$L$70,MATCH(M580,Setup!$K$44:$K$70,0))&amp;"","")</f>
        <v/>
      </c>
      <c r="S580" s="108" t="str">
        <f>Setup!$C$30</f>
        <v>USD</v>
      </c>
      <c r="T580" s="109" t="str">
        <f>IFERROR(INDEX('Data Sheet'!$B$198:$B$275,MATCH(I580,'Data Sheet'!$F$198:$F$275,0)),"")</f>
        <v/>
      </c>
      <c r="U580" s="110" t="str">
        <f>IFERROR(INDEX('Data Sheet'!$D$198:$D$275,MATCH(I580,'Data Sheet'!$F$198:$F$275,0)),"")</f>
        <v/>
      </c>
      <c r="V580" s="99"/>
      <c r="W580" s="195" t="str">
        <f>IF(V580=Setup!$C$30,"Grant",IF(V580=Setup!$C$31,"Local",IF(V580=Setup!$C$32,"Other",IF(ISBLANK(V580),"","Other"))))</f>
        <v/>
      </c>
      <c r="X580" s="255"/>
      <c r="Y580" s="259" t="str">
        <f>IF(X580&lt;&gt;"",X580/VLOOKUP($V580,Setup!$C$30:$D$41,2,0),"")</f>
        <v/>
      </c>
      <c r="Z580" s="262"/>
      <c r="AA580" s="256" t="str">
        <f t="shared" si="252"/>
        <v/>
      </c>
      <c r="AB580" s="262"/>
      <c r="AC580" s="258" t="str">
        <f t="shared" si="253"/>
        <v/>
      </c>
      <c r="AD580" s="262"/>
      <c r="AE580" s="258" t="str">
        <f t="shared" si="254"/>
        <v/>
      </c>
      <c r="AF580" s="262"/>
      <c r="AG580" s="256" t="str">
        <f t="shared" si="255"/>
        <v/>
      </c>
      <c r="AH580" s="256" t="str">
        <f t="shared" si="256"/>
        <v/>
      </c>
      <c r="AI580" s="256" t="str">
        <f t="shared" si="257"/>
        <v/>
      </c>
      <c r="AJ580" s="111"/>
      <c r="AK580" s="255"/>
      <c r="AL580" s="259" t="str">
        <f>IF(AK580&lt;&gt;"",AK580/VLOOKUP($V580,Setup!$C$30:$D$41,2,0),"")</f>
        <v/>
      </c>
      <c r="AM580" s="266"/>
      <c r="AN580" s="258" t="str">
        <f t="shared" si="258"/>
        <v/>
      </c>
      <c r="AO580" s="266"/>
      <c r="AP580" s="258" t="str">
        <f t="shared" si="259"/>
        <v/>
      </c>
      <c r="AQ580" s="266"/>
      <c r="AR580" s="258" t="str">
        <f t="shared" si="260"/>
        <v/>
      </c>
      <c r="AS580" s="266"/>
      <c r="AT580" s="256" t="str">
        <f t="shared" si="261"/>
        <v/>
      </c>
      <c r="AU580" s="256" t="str">
        <f t="shared" si="262"/>
        <v/>
      </c>
      <c r="AV580" s="256" t="str">
        <f t="shared" si="263"/>
        <v/>
      </c>
      <c r="AW580" s="267"/>
      <c r="AX580" s="255"/>
      <c r="AY580" s="259" t="str">
        <f>IF(AX580&lt;&gt;"",AX580/VLOOKUP($V580,Setup!$C$30:$D$41,2,0),"")</f>
        <v/>
      </c>
      <c r="AZ580" s="268"/>
      <c r="BA580" s="258" t="str">
        <f t="shared" si="264"/>
        <v/>
      </c>
      <c r="BB580" s="268"/>
      <c r="BC580" s="258" t="str">
        <f t="shared" si="265"/>
        <v/>
      </c>
      <c r="BD580" s="268"/>
      <c r="BE580" s="258" t="str">
        <f t="shared" si="266"/>
        <v/>
      </c>
      <c r="BF580" s="268"/>
      <c r="BG580" s="256" t="str">
        <f t="shared" si="267"/>
        <v/>
      </c>
      <c r="BH580" s="256" t="str">
        <f t="shared" si="268"/>
        <v/>
      </c>
      <c r="BI580" s="256" t="str">
        <f t="shared" si="269"/>
        <v/>
      </c>
      <c r="BJ580" s="267"/>
      <c r="BK580" s="255"/>
      <c r="BL580" s="259" t="str">
        <f>IF(BK580&lt;&gt;"",BK580/VLOOKUP($V580,Setup!$C$30:$D$41,2,0),"")</f>
        <v/>
      </c>
      <c r="BM580" s="268"/>
      <c r="BN580" s="258" t="str">
        <f t="shared" si="270"/>
        <v/>
      </c>
      <c r="BO580" s="268"/>
      <c r="BP580" s="258" t="str">
        <f t="shared" si="271"/>
        <v/>
      </c>
      <c r="BQ580" s="268"/>
      <c r="BR580" s="258" t="str">
        <f t="shared" si="272"/>
        <v/>
      </c>
      <c r="BS580" s="268"/>
      <c r="BT580" s="256" t="str">
        <f t="shared" si="273"/>
        <v/>
      </c>
      <c r="BU580" s="256" t="str">
        <f t="shared" si="274"/>
        <v/>
      </c>
      <c r="BV580" s="256" t="str">
        <f t="shared" si="275"/>
        <v/>
      </c>
      <c r="BW580" s="267"/>
      <c r="BX580" s="256" t="str">
        <f t="shared" si="276"/>
        <v/>
      </c>
      <c r="BY580" s="256" t="str">
        <f t="shared" si="277"/>
        <v/>
      </c>
      <c r="BZ580" s="281"/>
      <c r="CA580" s="282"/>
      <c r="CF580" s="284"/>
      <c r="CG580" s="284"/>
      <c r="CH580" s="284"/>
      <c r="CI580" s="284"/>
      <c r="CL580" s="356" t="str">
        <f>IFERROR(VLOOKUP(C580,'Data Sheet'!$A$3:$B$26,2,FALSE),"")</f>
        <v/>
      </c>
    </row>
    <row r="581" spans="1:90" ht="15.75" x14ac:dyDescent="0.2">
      <c r="A581" s="97"/>
      <c r="B581" s="105" t="str">
        <f t="shared" si="280"/>
        <v>--</v>
      </c>
      <c r="C581" s="276"/>
      <c r="D581" s="101" t="str">
        <f>IFERROR(IF(VLOOKUP(C581,'Data Sheet'!$A$3:$D$26,4,FALSE)=0,"",VLOOKUP(C581,'Data Sheet'!$A$3:$D$26,4,FALSE)),"")</f>
        <v/>
      </c>
      <c r="E581" s="279"/>
      <c r="F581" s="103" t="str">
        <f>IFERROR(IF(VLOOKUP(E581,'Data Sheet'!$C$29:$E$174,3,FALSE)=0,"",VLOOKUP(E581,'Data Sheet'!$C$29:$E$174,3,FALSE)),"")</f>
        <v/>
      </c>
      <c r="G581" s="106" t="str">
        <f t="shared" si="278"/>
        <v>-</v>
      </c>
      <c r="H581" s="273"/>
      <c r="I581" s="107"/>
      <c r="J581" s="249" t="e">
        <f t="shared" si="279"/>
        <v>#VALUE!</v>
      </c>
      <c r="K581" s="101" t="str">
        <f>IFERROR(INDEX('Data Sheet'!$C$198:$C$275,MATCH(I581,'Data Sheet'!$F$198:$F$275,0)),"")</f>
        <v/>
      </c>
      <c r="L581" s="250" t="str">
        <f>IFERROR(INDEX('Data Sheet'!$G$198:$G$275,MATCH(I581,'Data Sheet'!$F$198:$F$275,0)),"")</f>
        <v/>
      </c>
      <c r="M581" s="194"/>
      <c r="N581" s="248"/>
      <c r="O581" s="248"/>
      <c r="P581" s="108" t="str">
        <f>IFERROR(INDEX(Setup!$D$44:$D$70,MATCH(M581,Setup!$K$44:$K$70,0))&amp;"","")</f>
        <v/>
      </c>
      <c r="Q581" s="108" t="str">
        <f>IFERROR(INDEX(Setup!$E$44:$E$70,MATCH(M581,Setup!$K$44:$K$70,0))&amp;"","")</f>
        <v/>
      </c>
      <c r="R581" s="108" t="str">
        <f>IFERROR(INDEX(Setup!$L$44:$L$70,MATCH(M581,Setup!$K$44:$K$70,0))&amp;"","")</f>
        <v/>
      </c>
      <c r="S581" s="108" t="str">
        <f>Setup!$C$30</f>
        <v>USD</v>
      </c>
      <c r="T581" s="109" t="str">
        <f>IFERROR(INDEX('Data Sheet'!$B$198:$B$275,MATCH(I581,'Data Sheet'!$F$198:$F$275,0)),"")</f>
        <v/>
      </c>
      <c r="U581" s="110" t="str">
        <f>IFERROR(INDEX('Data Sheet'!$D$198:$D$275,MATCH(I581,'Data Sheet'!$F$198:$F$275,0)),"")</f>
        <v/>
      </c>
      <c r="V581" s="99"/>
      <c r="W581" s="195" t="str">
        <f>IF(V581=Setup!$C$30,"Grant",IF(V581=Setup!$C$31,"Local",IF(V581=Setup!$C$32,"Other",IF(ISBLANK(V581),"","Other"))))</f>
        <v/>
      </c>
      <c r="X581" s="255"/>
      <c r="Y581" s="259" t="str">
        <f>IF(X581&lt;&gt;"",X581/VLOOKUP($V581,Setup!$C$30:$D$41,2,0),"")</f>
        <v/>
      </c>
      <c r="Z581" s="262"/>
      <c r="AA581" s="256" t="str">
        <f t="shared" ref="AA581:AA644" si="281">IFERROR(IF(AND(NOT(Z581=""),NOT(Y581="")),Z581*Y581,""),"")</f>
        <v/>
      </c>
      <c r="AB581" s="262"/>
      <c r="AC581" s="258" t="str">
        <f t="shared" ref="AC581:AC644" si="282">IFERROR(IF(AND(NOT(AB581=""),NOT(Y581="")),AB581*Y581,""),"")</f>
        <v/>
      </c>
      <c r="AD581" s="262"/>
      <c r="AE581" s="258" t="str">
        <f t="shared" ref="AE581:AE644" si="283">IFERROR(IF(AND(NOT(AD581=""),NOT(Y581="")),AD581*Y581,""),"")</f>
        <v/>
      </c>
      <c r="AF581" s="262"/>
      <c r="AG581" s="256" t="str">
        <f t="shared" ref="AG581:AG644" si="284">IFERROR(IF(AND(NOT(AF581=""),NOT(Y581="")),AF581*Y581,""),"")</f>
        <v/>
      </c>
      <c r="AH581" s="256" t="str">
        <f t="shared" ref="AH581:AH644" si="285">IFERROR(IF(OR(NOT(Z581=""),NOT(AF581=""),NOT(AB581=""),NOT(AD581="")),Z581+AF581+AB581+AD581,""),"")</f>
        <v/>
      </c>
      <c r="AI581" s="256" t="str">
        <f t="shared" ref="AI581:AI644" si="286">IF(SUM(AA581,AC581,AE581,AG581)&gt;0,SUM(AA581,AC581,AE581,AG581),"")</f>
        <v/>
      </c>
      <c r="AJ581" s="111"/>
      <c r="AK581" s="255"/>
      <c r="AL581" s="259" t="str">
        <f>IF(AK581&lt;&gt;"",AK581/VLOOKUP($V581,Setup!$C$30:$D$41,2,0),"")</f>
        <v/>
      </c>
      <c r="AM581" s="266"/>
      <c r="AN581" s="258" t="str">
        <f t="shared" ref="AN581:AN644" si="287">IFERROR(IF(AND(NOT(AM581=""),NOT(AL581="")),AM581*$AL581,""),"")</f>
        <v/>
      </c>
      <c r="AO581" s="266"/>
      <c r="AP581" s="258" t="str">
        <f t="shared" ref="AP581:AP644" si="288">IFERROR(IF(AND(NOT(AO581=""),NOT(AL581="")),AO581*$AL581,""),"")</f>
        <v/>
      </c>
      <c r="AQ581" s="266"/>
      <c r="AR581" s="258" t="str">
        <f t="shared" ref="AR581:AR644" si="289">IFERROR(IF(AND(NOT(AQ581=""),NOT(AL581="")),AQ581*$AL581,""),"")</f>
        <v/>
      </c>
      <c r="AS581" s="266"/>
      <c r="AT581" s="256" t="str">
        <f t="shared" ref="AT581:AT644" si="290">IFERROR(IF(AND(NOT(AS581=""),NOT(AL581="")),AS581*$AL581,""),"")</f>
        <v/>
      </c>
      <c r="AU581" s="256" t="str">
        <f t="shared" ref="AU581:AU644" si="291">IFERROR(IF(OR(NOT(AM581=""),NOT(AS581=""),NOT(AO581=""),NOT(AQ581="")),AM581+AS581+AO581+AQ581,""),"")</f>
        <v/>
      </c>
      <c r="AV581" s="256" t="str">
        <f t="shared" ref="AV581:AV644" si="292">IF(SUM(AN581,AT581,AP581,AR581)&gt;0,SUM(AN581,AT581,AP581,AR581),"")</f>
        <v/>
      </c>
      <c r="AW581" s="267"/>
      <c r="AX581" s="255"/>
      <c r="AY581" s="259" t="str">
        <f>IF(AX581&lt;&gt;"",AX581/VLOOKUP($V581,Setup!$C$30:$D$41,2,0),"")</f>
        <v/>
      </c>
      <c r="AZ581" s="268"/>
      <c r="BA581" s="258" t="str">
        <f t="shared" ref="BA581:BA644" si="293">IFERROR(IF(AND(NOT(AZ581=""),NOT(AY581="")),AZ581*$AY581,""),"")</f>
        <v/>
      </c>
      <c r="BB581" s="268"/>
      <c r="BC581" s="258" t="str">
        <f t="shared" ref="BC581:BC644" si="294">IFERROR(IF(AND(NOT(BB581=""),NOT(AY581="")),BB581*$AY581,""),"")</f>
        <v/>
      </c>
      <c r="BD581" s="268"/>
      <c r="BE581" s="258" t="str">
        <f t="shared" ref="BE581:BE644" si="295">IFERROR(IF(AND(NOT(BD581=""),NOT(AY581="")),BD581*$AY581,""),"")</f>
        <v/>
      </c>
      <c r="BF581" s="268"/>
      <c r="BG581" s="256" t="str">
        <f t="shared" ref="BG581:BG644" si="296">IFERROR(IF(AND(NOT(BF581=""),NOT(AY581="")),BF581*$AY581,""),"")</f>
        <v/>
      </c>
      <c r="BH581" s="256" t="str">
        <f t="shared" ref="BH581:BH644" si="297">IFERROR(IF(OR(NOT(AZ581=""),NOT(BF581=""),NOT(BB581=""),NOT(BD581="")),AZ581+BF581+BB581+BD581,""),"")</f>
        <v/>
      </c>
      <c r="BI581" s="256" t="str">
        <f t="shared" ref="BI581:BI644" si="298">IF(SUM(BA581,BG581,BC581,BE581)&gt;0,SUM(BA581,BG581,BC581,BE581),"")</f>
        <v/>
      </c>
      <c r="BJ581" s="267"/>
      <c r="BK581" s="255"/>
      <c r="BL581" s="259" t="str">
        <f>IF(BK581&lt;&gt;"",BK581/VLOOKUP($V581,Setup!$C$30:$D$41,2,0),"")</f>
        <v/>
      </c>
      <c r="BM581" s="268"/>
      <c r="BN581" s="258" t="str">
        <f t="shared" ref="BN581:BN644" si="299">IFERROR(IF(AND(NOT(BM581=""),NOT(BL581="")),BM581*$BL581,""),"")</f>
        <v/>
      </c>
      <c r="BO581" s="268"/>
      <c r="BP581" s="258" t="str">
        <f t="shared" ref="BP581:BP644" si="300">IFERROR(IF(AND(NOT(BO581=""),NOT(BL581="")),BO581*$BL581,""),"")</f>
        <v/>
      </c>
      <c r="BQ581" s="268"/>
      <c r="BR581" s="258" t="str">
        <f t="shared" ref="BR581:BR644" si="301">IFERROR(IF(AND(NOT(BQ581=""),NOT(BL581="")),BQ581*$BL581,""),"")</f>
        <v/>
      </c>
      <c r="BS581" s="268"/>
      <c r="BT581" s="256" t="str">
        <f t="shared" ref="BT581:BT644" si="302">IFERROR(IF(AND(NOT(BS581=""),NOT(BL581="")),BS581*$BL581,""),"")</f>
        <v/>
      </c>
      <c r="BU581" s="256" t="str">
        <f t="shared" ref="BU581:BU644" si="303">IFERROR(IF(OR(NOT(BM581=""),NOT(BS581=""),NOT(BO581=""),NOT(BQ581="")),BM581+BS581+BO581+BQ581,""),"")</f>
        <v/>
      </c>
      <c r="BV581" s="256" t="str">
        <f t="shared" ref="BV581:BV644" si="304">IF(SUM(BN581,BT581,BP581,BR581)&gt;0,SUM(BN581,BT581,BP581,BR581),"")</f>
        <v/>
      </c>
      <c r="BW581" s="267"/>
      <c r="BX581" s="256" t="str">
        <f t="shared" ref="BX581:BX644" si="305">IF(SUM(AH581,AU581,BH581,BU581)&gt;0,SUM(AH581,AU581,BH581,BU581),"")</f>
        <v/>
      </c>
      <c r="BY581" s="256" t="str">
        <f t="shared" ref="BY581:BY644" si="306">IF(SUM(AI581,AV581,BI581,BV581)&gt;0,SUM(AI581,AV581,BI581,BV581),"")</f>
        <v/>
      </c>
      <c r="BZ581" s="281"/>
      <c r="CA581" s="282"/>
      <c r="CF581" s="284"/>
      <c r="CG581" s="284"/>
      <c r="CH581" s="284"/>
      <c r="CI581" s="284"/>
      <c r="CL581" s="356" t="str">
        <f>IFERROR(VLOOKUP(C581,'Data Sheet'!$A$3:$B$26,2,FALSE),"")</f>
        <v/>
      </c>
    </row>
    <row r="582" spans="1:90" ht="15.75" x14ac:dyDescent="0.2">
      <c r="A582" s="97"/>
      <c r="B582" s="105" t="str">
        <f t="shared" si="280"/>
        <v>--</v>
      </c>
      <c r="C582" s="276"/>
      <c r="D582" s="101" t="str">
        <f>IFERROR(IF(VLOOKUP(C582,'Data Sheet'!$A$3:$D$26,4,FALSE)=0,"",VLOOKUP(C582,'Data Sheet'!$A$3:$D$26,4,FALSE)),"")</f>
        <v/>
      </c>
      <c r="E582" s="279"/>
      <c r="F582" s="103" t="str">
        <f>IFERROR(IF(VLOOKUP(E582,'Data Sheet'!$C$29:$E$174,3,FALSE)=0,"",VLOOKUP(E582,'Data Sheet'!$C$29:$E$174,3,FALSE)),"")</f>
        <v/>
      </c>
      <c r="G582" s="106" t="str">
        <f t="shared" ref="G582:G645" si="307">CONCATENATE(D582,"-",F582)</f>
        <v>-</v>
      </c>
      <c r="H582" s="273"/>
      <c r="I582" s="107"/>
      <c r="J582" s="249" t="e">
        <f t="shared" ref="J582:J645" si="308">LEFT(I582,SEARCH(".",I582,1)+1)</f>
        <v>#VALUE!</v>
      </c>
      <c r="K582" s="101" t="str">
        <f>IFERROR(INDEX('Data Sheet'!$C$198:$C$275,MATCH(I582,'Data Sheet'!$F$198:$F$275,0)),"")</f>
        <v/>
      </c>
      <c r="L582" s="250" t="str">
        <f>IFERROR(INDEX('Data Sheet'!$G$198:$G$275,MATCH(I582,'Data Sheet'!$F$198:$F$275,0)),"")</f>
        <v/>
      </c>
      <c r="M582" s="194"/>
      <c r="N582" s="248"/>
      <c r="O582" s="248"/>
      <c r="P582" s="108" t="str">
        <f>IFERROR(INDEX(Setup!$D$44:$D$70,MATCH(M582,Setup!$K$44:$K$70,0))&amp;"","")</f>
        <v/>
      </c>
      <c r="Q582" s="108" t="str">
        <f>IFERROR(INDEX(Setup!$E$44:$E$70,MATCH(M582,Setup!$K$44:$K$70,0))&amp;"","")</f>
        <v/>
      </c>
      <c r="R582" s="108" t="str">
        <f>IFERROR(INDEX(Setup!$L$44:$L$70,MATCH(M582,Setup!$K$44:$K$70,0))&amp;"","")</f>
        <v/>
      </c>
      <c r="S582" s="108" t="str">
        <f>Setup!$C$30</f>
        <v>USD</v>
      </c>
      <c r="T582" s="109" t="str">
        <f>IFERROR(INDEX('Data Sheet'!$B$198:$B$275,MATCH(I582,'Data Sheet'!$F$198:$F$275,0)),"")</f>
        <v/>
      </c>
      <c r="U582" s="110" t="str">
        <f>IFERROR(INDEX('Data Sheet'!$D$198:$D$275,MATCH(I582,'Data Sheet'!$F$198:$F$275,0)),"")</f>
        <v/>
      </c>
      <c r="V582" s="99"/>
      <c r="W582" s="195" t="str">
        <f>IF(V582=Setup!$C$30,"Grant",IF(V582=Setup!$C$31,"Local",IF(V582=Setup!$C$32,"Other",IF(ISBLANK(V582),"","Other"))))</f>
        <v/>
      </c>
      <c r="X582" s="255"/>
      <c r="Y582" s="259" t="str">
        <f>IF(X582&lt;&gt;"",X582/VLOOKUP($V582,Setup!$C$30:$D$41,2,0),"")</f>
        <v/>
      </c>
      <c r="Z582" s="262"/>
      <c r="AA582" s="256" t="str">
        <f t="shared" si="281"/>
        <v/>
      </c>
      <c r="AB582" s="262"/>
      <c r="AC582" s="258" t="str">
        <f t="shared" si="282"/>
        <v/>
      </c>
      <c r="AD582" s="262"/>
      <c r="AE582" s="258" t="str">
        <f t="shared" si="283"/>
        <v/>
      </c>
      <c r="AF582" s="262"/>
      <c r="AG582" s="256" t="str">
        <f t="shared" si="284"/>
        <v/>
      </c>
      <c r="AH582" s="256" t="str">
        <f t="shared" si="285"/>
        <v/>
      </c>
      <c r="AI582" s="256" t="str">
        <f t="shared" si="286"/>
        <v/>
      </c>
      <c r="AJ582" s="111"/>
      <c r="AK582" s="255"/>
      <c r="AL582" s="259" t="str">
        <f>IF(AK582&lt;&gt;"",AK582/VLOOKUP($V582,Setup!$C$30:$D$41,2,0),"")</f>
        <v/>
      </c>
      <c r="AM582" s="266"/>
      <c r="AN582" s="258" t="str">
        <f t="shared" si="287"/>
        <v/>
      </c>
      <c r="AO582" s="266"/>
      <c r="AP582" s="258" t="str">
        <f t="shared" si="288"/>
        <v/>
      </c>
      <c r="AQ582" s="266"/>
      <c r="AR582" s="258" t="str">
        <f t="shared" si="289"/>
        <v/>
      </c>
      <c r="AS582" s="266"/>
      <c r="AT582" s="256" t="str">
        <f t="shared" si="290"/>
        <v/>
      </c>
      <c r="AU582" s="256" t="str">
        <f t="shared" si="291"/>
        <v/>
      </c>
      <c r="AV582" s="256" t="str">
        <f t="shared" si="292"/>
        <v/>
      </c>
      <c r="AW582" s="267"/>
      <c r="AX582" s="255"/>
      <c r="AY582" s="259" t="str">
        <f>IF(AX582&lt;&gt;"",AX582/VLOOKUP($V582,Setup!$C$30:$D$41,2,0),"")</f>
        <v/>
      </c>
      <c r="AZ582" s="268"/>
      <c r="BA582" s="258" t="str">
        <f t="shared" si="293"/>
        <v/>
      </c>
      <c r="BB582" s="268"/>
      <c r="BC582" s="258" t="str">
        <f t="shared" si="294"/>
        <v/>
      </c>
      <c r="BD582" s="268"/>
      <c r="BE582" s="258" t="str">
        <f t="shared" si="295"/>
        <v/>
      </c>
      <c r="BF582" s="268"/>
      <c r="BG582" s="256" t="str">
        <f t="shared" si="296"/>
        <v/>
      </c>
      <c r="BH582" s="256" t="str">
        <f t="shared" si="297"/>
        <v/>
      </c>
      <c r="BI582" s="256" t="str">
        <f t="shared" si="298"/>
        <v/>
      </c>
      <c r="BJ582" s="267"/>
      <c r="BK582" s="255"/>
      <c r="BL582" s="259" t="str">
        <f>IF(BK582&lt;&gt;"",BK582/VLOOKUP($V582,Setup!$C$30:$D$41,2,0),"")</f>
        <v/>
      </c>
      <c r="BM582" s="268"/>
      <c r="BN582" s="258" t="str">
        <f t="shared" si="299"/>
        <v/>
      </c>
      <c r="BO582" s="268"/>
      <c r="BP582" s="258" t="str">
        <f t="shared" si="300"/>
        <v/>
      </c>
      <c r="BQ582" s="268"/>
      <c r="BR582" s="258" t="str">
        <f t="shared" si="301"/>
        <v/>
      </c>
      <c r="BS582" s="268"/>
      <c r="BT582" s="256" t="str">
        <f t="shared" si="302"/>
        <v/>
      </c>
      <c r="BU582" s="256" t="str">
        <f t="shared" si="303"/>
        <v/>
      </c>
      <c r="BV582" s="256" t="str">
        <f t="shared" si="304"/>
        <v/>
      </c>
      <c r="BW582" s="267"/>
      <c r="BX582" s="256" t="str">
        <f t="shared" si="305"/>
        <v/>
      </c>
      <c r="BY582" s="256" t="str">
        <f t="shared" si="306"/>
        <v/>
      </c>
      <c r="BZ582" s="281"/>
      <c r="CA582" s="282"/>
      <c r="CF582" s="284"/>
      <c r="CG582" s="284"/>
      <c r="CH582" s="284"/>
      <c r="CI582" s="284"/>
      <c r="CL582" s="356" t="str">
        <f>IFERROR(VLOOKUP(C582,'Data Sheet'!$A$3:$B$26,2,FALSE),"")</f>
        <v/>
      </c>
    </row>
    <row r="583" spans="1:90" ht="15.75" x14ac:dyDescent="0.2">
      <c r="A583" s="97"/>
      <c r="B583" s="105" t="str">
        <f t="shared" si="280"/>
        <v>--</v>
      </c>
      <c r="C583" s="276"/>
      <c r="D583" s="101" t="str">
        <f>IFERROR(IF(VLOOKUP(C583,'Data Sheet'!$A$3:$D$26,4,FALSE)=0,"",VLOOKUP(C583,'Data Sheet'!$A$3:$D$26,4,FALSE)),"")</f>
        <v/>
      </c>
      <c r="E583" s="279"/>
      <c r="F583" s="103" t="str">
        <f>IFERROR(IF(VLOOKUP(E583,'Data Sheet'!$C$29:$E$174,3,FALSE)=0,"",VLOOKUP(E583,'Data Sheet'!$C$29:$E$174,3,FALSE)),"")</f>
        <v/>
      </c>
      <c r="G583" s="106" t="str">
        <f t="shared" si="307"/>
        <v>-</v>
      </c>
      <c r="H583" s="273"/>
      <c r="I583" s="107"/>
      <c r="J583" s="249" t="e">
        <f t="shared" si="308"/>
        <v>#VALUE!</v>
      </c>
      <c r="K583" s="101" t="str">
        <f>IFERROR(INDEX('Data Sheet'!$C$198:$C$275,MATCH(I583,'Data Sheet'!$F$198:$F$275,0)),"")</f>
        <v/>
      </c>
      <c r="L583" s="250" t="str">
        <f>IFERROR(INDEX('Data Sheet'!$G$198:$G$275,MATCH(I583,'Data Sheet'!$F$198:$F$275,0)),"")</f>
        <v/>
      </c>
      <c r="M583" s="194"/>
      <c r="N583" s="248"/>
      <c r="O583" s="248"/>
      <c r="P583" s="108" t="str">
        <f>IFERROR(INDEX(Setup!$D$44:$D$70,MATCH(M583,Setup!$K$44:$K$70,0))&amp;"","")</f>
        <v/>
      </c>
      <c r="Q583" s="108" t="str">
        <f>IFERROR(INDEX(Setup!$E$44:$E$70,MATCH(M583,Setup!$K$44:$K$70,0))&amp;"","")</f>
        <v/>
      </c>
      <c r="R583" s="108" t="str">
        <f>IFERROR(INDEX(Setup!$L$44:$L$70,MATCH(M583,Setup!$K$44:$K$70,0))&amp;"","")</f>
        <v/>
      </c>
      <c r="S583" s="108" t="str">
        <f>Setup!$C$30</f>
        <v>USD</v>
      </c>
      <c r="T583" s="109" t="str">
        <f>IFERROR(INDEX('Data Sheet'!$B$198:$B$275,MATCH(I583,'Data Sheet'!$F$198:$F$275,0)),"")</f>
        <v/>
      </c>
      <c r="U583" s="110" t="str">
        <f>IFERROR(INDEX('Data Sheet'!$D$198:$D$275,MATCH(I583,'Data Sheet'!$F$198:$F$275,0)),"")</f>
        <v/>
      </c>
      <c r="V583" s="99"/>
      <c r="W583" s="195" t="str">
        <f>IF(V583=Setup!$C$30,"Grant",IF(V583=Setup!$C$31,"Local",IF(V583=Setup!$C$32,"Other",IF(ISBLANK(V583),"","Other"))))</f>
        <v/>
      </c>
      <c r="X583" s="255"/>
      <c r="Y583" s="259" t="str">
        <f>IF(X583&lt;&gt;"",X583/VLOOKUP($V583,Setup!$C$30:$D$41,2,0),"")</f>
        <v/>
      </c>
      <c r="Z583" s="262"/>
      <c r="AA583" s="256" t="str">
        <f t="shared" si="281"/>
        <v/>
      </c>
      <c r="AB583" s="262"/>
      <c r="AC583" s="258" t="str">
        <f t="shared" si="282"/>
        <v/>
      </c>
      <c r="AD583" s="262"/>
      <c r="AE583" s="258" t="str">
        <f t="shared" si="283"/>
        <v/>
      </c>
      <c r="AF583" s="262"/>
      <c r="AG583" s="256" t="str">
        <f t="shared" si="284"/>
        <v/>
      </c>
      <c r="AH583" s="256" t="str">
        <f t="shared" si="285"/>
        <v/>
      </c>
      <c r="AI583" s="256" t="str">
        <f t="shared" si="286"/>
        <v/>
      </c>
      <c r="AJ583" s="111"/>
      <c r="AK583" s="255"/>
      <c r="AL583" s="259" t="str">
        <f>IF(AK583&lt;&gt;"",AK583/VLOOKUP($V583,Setup!$C$30:$D$41,2,0),"")</f>
        <v/>
      </c>
      <c r="AM583" s="266"/>
      <c r="AN583" s="258" t="str">
        <f t="shared" si="287"/>
        <v/>
      </c>
      <c r="AO583" s="266"/>
      <c r="AP583" s="258" t="str">
        <f t="shared" si="288"/>
        <v/>
      </c>
      <c r="AQ583" s="266"/>
      <c r="AR583" s="258" t="str">
        <f t="shared" si="289"/>
        <v/>
      </c>
      <c r="AS583" s="266"/>
      <c r="AT583" s="256" t="str">
        <f t="shared" si="290"/>
        <v/>
      </c>
      <c r="AU583" s="256" t="str">
        <f t="shared" si="291"/>
        <v/>
      </c>
      <c r="AV583" s="256" t="str">
        <f t="shared" si="292"/>
        <v/>
      </c>
      <c r="AW583" s="267"/>
      <c r="AX583" s="255"/>
      <c r="AY583" s="259" t="str">
        <f>IF(AX583&lt;&gt;"",AX583/VLOOKUP($V583,Setup!$C$30:$D$41,2,0),"")</f>
        <v/>
      </c>
      <c r="AZ583" s="268"/>
      <c r="BA583" s="258" t="str">
        <f t="shared" si="293"/>
        <v/>
      </c>
      <c r="BB583" s="268"/>
      <c r="BC583" s="258" t="str">
        <f t="shared" si="294"/>
        <v/>
      </c>
      <c r="BD583" s="268"/>
      <c r="BE583" s="258" t="str">
        <f t="shared" si="295"/>
        <v/>
      </c>
      <c r="BF583" s="268"/>
      <c r="BG583" s="256" t="str">
        <f t="shared" si="296"/>
        <v/>
      </c>
      <c r="BH583" s="256" t="str">
        <f t="shared" si="297"/>
        <v/>
      </c>
      <c r="BI583" s="256" t="str">
        <f t="shared" si="298"/>
        <v/>
      </c>
      <c r="BJ583" s="267"/>
      <c r="BK583" s="255"/>
      <c r="BL583" s="259" t="str">
        <f>IF(BK583&lt;&gt;"",BK583/VLOOKUP($V583,Setup!$C$30:$D$41,2,0),"")</f>
        <v/>
      </c>
      <c r="BM583" s="268"/>
      <c r="BN583" s="258" t="str">
        <f t="shared" si="299"/>
        <v/>
      </c>
      <c r="BO583" s="268"/>
      <c r="BP583" s="258" t="str">
        <f t="shared" si="300"/>
        <v/>
      </c>
      <c r="BQ583" s="268"/>
      <c r="BR583" s="258" t="str">
        <f t="shared" si="301"/>
        <v/>
      </c>
      <c r="BS583" s="268"/>
      <c r="BT583" s="256" t="str">
        <f t="shared" si="302"/>
        <v/>
      </c>
      <c r="BU583" s="256" t="str">
        <f t="shared" si="303"/>
        <v/>
      </c>
      <c r="BV583" s="256" t="str">
        <f t="shared" si="304"/>
        <v/>
      </c>
      <c r="BW583" s="267"/>
      <c r="BX583" s="256" t="str">
        <f t="shared" si="305"/>
        <v/>
      </c>
      <c r="BY583" s="256" t="str">
        <f t="shared" si="306"/>
        <v/>
      </c>
      <c r="BZ583" s="281"/>
      <c r="CA583" s="282"/>
      <c r="CF583" s="284"/>
      <c r="CG583" s="284"/>
      <c r="CH583" s="284"/>
      <c r="CI583" s="284"/>
      <c r="CL583" s="356" t="str">
        <f>IFERROR(VLOOKUP(C583,'Data Sheet'!$A$3:$B$26,2,FALSE),"")</f>
        <v/>
      </c>
    </row>
    <row r="584" spans="1:90" ht="15.75" x14ac:dyDescent="0.2">
      <c r="A584" s="97"/>
      <c r="B584" s="105" t="str">
        <f t="shared" si="280"/>
        <v>--</v>
      </c>
      <c r="C584" s="276"/>
      <c r="D584" s="101" t="str">
        <f>IFERROR(IF(VLOOKUP(C584,'Data Sheet'!$A$3:$D$26,4,FALSE)=0,"",VLOOKUP(C584,'Data Sheet'!$A$3:$D$26,4,FALSE)),"")</f>
        <v/>
      </c>
      <c r="E584" s="279"/>
      <c r="F584" s="103" t="str">
        <f>IFERROR(IF(VLOOKUP(E584,'Data Sheet'!$C$29:$E$174,3,FALSE)=0,"",VLOOKUP(E584,'Data Sheet'!$C$29:$E$174,3,FALSE)),"")</f>
        <v/>
      </c>
      <c r="G584" s="106" t="str">
        <f t="shared" si="307"/>
        <v>-</v>
      </c>
      <c r="H584" s="273"/>
      <c r="I584" s="107"/>
      <c r="J584" s="249" t="e">
        <f t="shared" si="308"/>
        <v>#VALUE!</v>
      </c>
      <c r="K584" s="101" t="str">
        <f>IFERROR(INDEX('Data Sheet'!$C$198:$C$275,MATCH(I584,'Data Sheet'!$F$198:$F$275,0)),"")</f>
        <v/>
      </c>
      <c r="L584" s="250" t="str">
        <f>IFERROR(INDEX('Data Sheet'!$G$198:$G$275,MATCH(I584,'Data Sheet'!$F$198:$F$275,0)),"")</f>
        <v/>
      </c>
      <c r="M584" s="194"/>
      <c r="N584" s="248"/>
      <c r="O584" s="248"/>
      <c r="P584" s="108" t="str">
        <f>IFERROR(INDEX(Setup!$D$44:$D$70,MATCH(M584,Setup!$K$44:$K$70,0))&amp;"","")</f>
        <v/>
      </c>
      <c r="Q584" s="108" t="str">
        <f>IFERROR(INDEX(Setup!$E$44:$E$70,MATCH(M584,Setup!$K$44:$K$70,0))&amp;"","")</f>
        <v/>
      </c>
      <c r="R584" s="108" t="str">
        <f>IFERROR(INDEX(Setup!$L$44:$L$70,MATCH(M584,Setup!$K$44:$K$70,0))&amp;"","")</f>
        <v/>
      </c>
      <c r="S584" s="108" t="str">
        <f>Setup!$C$30</f>
        <v>USD</v>
      </c>
      <c r="T584" s="109" t="str">
        <f>IFERROR(INDEX('Data Sheet'!$B$198:$B$275,MATCH(I584,'Data Sheet'!$F$198:$F$275,0)),"")</f>
        <v/>
      </c>
      <c r="U584" s="110" t="str">
        <f>IFERROR(INDEX('Data Sheet'!$D$198:$D$275,MATCH(I584,'Data Sheet'!$F$198:$F$275,0)),"")</f>
        <v/>
      </c>
      <c r="V584" s="99"/>
      <c r="W584" s="195" t="str">
        <f>IF(V584=Setup!$C$30,"Grant",IF(V584=Setup!$C$31,"Local",IF(V584=Setup!$C$32,"Other",IF(ISBLANK(V584),"","Other"))))</f>
        <v/>
      </c>
      <c r="X584" s="255"/>
      <c r="Y584" s="259" t="str">
        <f>IF(X584&lt;&gt;"",X584/VLOOKUP($V584,Setup!$C$30:$D$41,2,0),"")</f>
        <v/>
      </c>
      <c r="Z584" s="262"/>
      <c r="AA584" s="256" t="str">
        <f t="shared" si="281"/>
        <v/>
      </c>
      <c r="AB584" s="262"/>
      <c r="AC584" s="258" t="str">
        <f t="shared" si="282"/>
        <v/>
      </c>
      <c r="AD584" s="262"/>
      <c r="AE584" s="258" t="str">
        <f t="shared" si="283"/>
        <v/>
      </c>
      <c r="AF584" s="262"/>
      <c r="AG584" s="256" t="str">
        <f t="shared" si="284"/>
        <v/>
      </c>
      <c r="AH584" s="256" t="str">
        <f t="shared" si="285"/>
        <v/>
      </c>
      <c r="AI584" s="256" t="str">
        <f t="shared" si="286"/>
        <v/>
      </c>
      <c r="AJ584" s="111"/>
      <c r="AK584" s="255"/>
      <c r="AL584" s="259" t="str">
        <f>IF(AK584&lt;&gt;"",AK584/VLOOKUP($V584,Setup!$C$30:$D$41,2,0),"")</f>
        <v/>
      </c>
      <c r="AM584" s="266"/>
      <c r="AN584" s="258" t="str">
        <f t="shared" si="287"/>
        <v/>
      </c>
      <c r="AO584" s="266"/>
      <c r="AP584" s="258" t="str">
        <f t="shared" si="288"/>
        <v/>
      </c>
      <c r="AQ584" s="266"/>
      <c r="AR584" s="258" t="str">
        <f t="shared" si="289"/>
        <v/>
      </c>
      <c r="AS584" s="266"/>
      <c r="AT584" s="256" t="str">
        <f t="shared" si="290"/>
        <v/>
      </c>
      <c r="AU584" s="256" t="str">
        <f t="shared" si="291"/>
        <v/>
      </c>
      <c r="AV584" s="256" t="str">
        <f t="shared" si="292"/>
        <v/>
      </c>
      <c r="AW584" s="267"/>
      <c r="AX584" s="255"/>
      <c r="AY584" s="259" t="str">
        <f>IF(AX584&lt;&gt;"",AX584/VLOOKUP($V584,Setup!$C$30:$D$41,2,0),"")</f>
        <v/>
      </c>
      <c r="AZ584" s="268"/>
      <c r="BA584" s="258" t="str">
        <f t="shared" si="293"/>
        <v/>
      </c>
      <c r="BB584" s="268"/>
      <c r="BC584" s="258" t="str">
        <f t="shared" si="294"/>
        <v/>
      </c>
      <c r="BD584" s="268"/>
      <c r="BE584" s="258" t="str">
        <f t="shared" si="295"/>
        <v/>
      </c>
      <c r="BF584" s="268"/>
      <c r="BG584" s="256" t="str">
        <f t="shared" si="296"/>
        <v/>
      </c>
      <c r="BH584" s="256" t="str">
        <f t="shared" si="297"/>
        <v/>
      </c>
      <c r="BI584" s="256" t="str">
        <f t="shared" si="298"/>
        <v/>
      </c>
      <c r="BJ584" s="267"/>
      <c r="BK584" s="255"/>
      <c r="BL584" s="259" t="str">
        <f>IF(BK584&lt;&gt;"",BK584/VLOOKUP($V584,Setup!$C$30:$D$41,2,0),"")</f>
        <v/>
      </c>
      <c r="BM584" s="268"/>
      <c r="BN584" s="258" t="str">
        <f t="shared" si="299"/>
        <v/>
      </c>
      <c r="BO584" s="268"/>
      <c r="BP584" s="258" t="str">
        <f t="shared" si="300"/>
        <v/>
      </c>
      <c r="BQ584" s="268"/>
      <c r="BR584" s="258" t="str">
        <f t="shared" si="301"/>
        <v/>
      </c>
      <c r="BS584" s="268"/>
      <c r="BT584" s="256" t="str">
        <f t="shared" si="302"/>
        <v/>
      </c>
      <c r="BU584" s="256" t="str">
        <f t="shared" si="303"/>
        <v/>
      </c>
      <c r="BV584" s="256" t="str">
        <f t="shared" si="304"/>
        <v/>
      </c>
      <c r="BW584" s="267"/>
      <c r="BX584" s="256" t="str">
        <f t="shared" si="305"/>
        <v/>
      </c>
      <c r="BY584" s="256" t="str">
        <f t="shared" si="306"/>
        <v/>
      </c>
      <c r="BZ584" s="281"/>
      <c r="CA584" s="282"/>
      <c r="CF584" s="284"/>
      <c r="CG584" s="284"/>
      <c r="CH584" s="284"/>
      <c r="CI584" s="284"/>
      <c r="CL584" s="356" t="str">
        <f>IFERROR(VLOOKUP(C584,'Data Sheet'!$A$3:$B$26,2,FALSE),"")</f>
        <v/>
      </c>
    </row>
    <row r="585" spans="1:90" ht="15.75" x14ac:dyDescent="0.2">
      <c r="A585" s="97"/>
      <c r="B585" s="105" t="str">
        <f t="shared" si="280"/>
        <v>--</v>
      </c>
      <c r="C585" s="276"/>
      <c r="D585" s="101" t="str">
        <f>IFERROR(IF(VLOOKUP(C585,'Data Sheet'!$A$3:$D$26,4,FALSE)=0,"",VLOOKUP(C585,'Data Sheet'!$A$3:$D$26,4,FALSE)),"")</f>
        <v/>
      </c>
      <c r="E585" s="279"/>
      <c r="F585" s="103" t="str">
        <f>IFERROR(IF(VLOOKUP(E585,'Data Sheet'!$C$29:$E$174,3,FALSE)=0,"",VLOOKUP(E585,'Data Sheet'!$C$29:$E$174,3,FALSE)),"")</f>
        <v/>
      </c>
      <c r="G585" s="106" t="str">
        <f t="shared" si="307"/>
        <v>-</v>
      </c>
      <c r="H585" s="273"/>
      <c r="I585" s="107"/>
      <c r="J585" s="249" t="e">
        <f t="shared" si="308"/>
        <v>#VALUE!</v>
      </c>
      <c r="K585" s="101" t="str">
        <f>IFERROR(INDEX('Data Sheet'!$C$198:$C$275,MATCH(I585,'Data Sheet'!$F$198:$F$275,0)),"")</f>
        <v/>
      </c>
      <c r="L585" s="250" t="str">
        <f>IFERROR(INDEX('Data Sheet'!$G$198:$G$275,MATCH(I585,'Data Sheet'!$F$198:$F$275,0)),"")</f>
        <v/>
      </c>
      <c r="M585" s="194"/>
      <c r="N585" s="248"/>
      <c r="O585" s="248"/>
      <c r="P585" s="108" t="str">
        <f>IFERROR(INDEX(Setup!$D$44:$D$70,MATCH(M585,Setup!$K$44:$K$70,0))&amp;"","")</f>
        <v/>
      </c>
      <c r="Q585" s="108" t="str">
        <f>IFERROR(INDEX(Setup!$E$44:$E$70,MATCH(M585,Setup!$K$44:$K$70,0))&amp;"","")</f>
        <v/>
      </c>
      <c r="R585" s="108" t="str">
        <f>IFERROR(INDEX(Setup!$L$44:$L$70,MATCH(M585,Setup!$K$44:$K$70,0))&amp;"","")</f>
        <v/>
      </c>
      <c r="S585" s="108" t="str">
        <f>Setup!$C$30</f>
        <v>USD</v>
      </c>
      <c r="T585" s="109" t="str">
        <f>IFERROR(INDEX('Data Sheet'!$B$198:$B$275,MATCH(I585,'Data Sheet'!$F$198:$F$275,0)),"")</f>
        <v/>
      </c>
      <c r="U585" s="110" t="str">
        <f>IFERROR(INDEX('Data Sheet'!$D$198:$D$275,MATCH(I585,'Data Sheet'!$F$198:$F$275,0)),"")</f>
        <v/>
      </c>
      <c r="V585" s="99"/>
      <c r="W585" s="195" t="str">
        <f>IF(V585=Setup!$C$30,"Grant",IF(V585=Setup!$C$31,"Local",IF(V585=Setup!$C$32,"Other",IF(ISBLANK(V585),"","Other"))))</f>
        <v/>
      </c>
      <c r="X585" s="255"/>
      <c r="Y585" s="259" t="str">
        <f>IF(X585&lt;&gt;"",X585/VLOOKUP($V585,Setup!$C$30:$D$41,2,0),"")</f>
        <v/>
      </c>
      <c r="Z585" s="262"/>
      <c r="AA585" s="256" t="str">
        <f t="shared" si="281"/>
        <v/>
      </c>
      <c r="AB585" s="262"/>
      <c r="AC585" s="258" t="str">
        <f t="shared" si="282"/>
        <v/>
      </c>
      <c r="AD585" s="262"/>
      <c r="AE585" s="258" t="str">
        <f t="shared" si="283"/>
        <v/>
      </c>
      <c r="AF585" s="262"/>
      <c r="AG585" s="256" t="str">
        <f t="shared" si="284"/>
        <v/>
      </c>
      <c r="AH585" s="256" t="str">
        <f t="shared" si="285"/>
        <v/>
      </c>
      <c r="AI585" s="256" t="str">
        <f t="shared" si="286"/>
        <v/>
      </c>
      <c r="AJ585" s="111"/>
      <c r="AK585" s="255"/>
      <c r="AL585" s="259" t="str">
        <f>IF(AK585&lt;&gt;"",AK585/VLOOKUP($V585,Setup!$C$30:$D$41,2,0),"")</f>
        <v/>
      </c>
      <c r="AM585" s="266"/>
      <c r="AN585" s="258" t="str">
        <f t="shared" si="287"/>
        <v/>
      </c>
      <c r="AO585" s="266"/>
      <c r="AP585" s="258" t="str">
        <f t="shared" si="288"/>
        <v/>
      </c>
      <c r="AQ585" s="266"/>
      <c r="AR585" s="258" t="str">
        <f t="shared" si="289"/>
        <v/>
      </c>
      <c r="AS585" s="266"/>
      <c r="AT585" s="256" t="str">
        <f t="shared" si="290"/>
        <v/>
      </c>
      <c r="AU585" s="256" t="str">
        <f t="shared" si="291"/>
        <v/>
      </c>
      <c r="AV585" s="256" t="str">
        <f t="shared" si="292"/>
        <v/>
      </c>
      <c r="AW585" s="267"/>
      <c r="AX585" s="255"/>
      <c r="AY585" s="259" t="str">
        <f>IF(AX585&lt;&gt;"",AX585/VLOOKUP($V585,Setup!$C$30:$D$41,2,0),"")</f>
        <v/>
      </c>
      <c r="AZ585" s="268"/>
      <c r="BA585" s="258" t="str">
        <f t="shared" si="293"/>
        <v/>
      </c>
      <c r="BB585" s="268"/>
      <c r="BC585" s="258" t="str">
        <f t="shared" si="294"/>
        <v/>
      </c>
      <c r="BD585" s="268"/>
      <c r="BE585" s="258" t="str">
        <f t="shared" si="295"/>
        <v/>
      </c>
      <c r="BF585" s="268"/>
      <c r="BG585" s="256" t="str">
        <f t="shared" si="296"/>
        <v/>
      </c>
      <c r="BH585" s="256" t="str">
        <f t="shared" si="297"/>
        <v/>
      </c>
      <c r="BI585" s="256" t="str">
        <f t="shared" si="298"/>
        <v/>
      </c>
      <c r="BJ585" s="267"/>
      <c r="BK585" s="255"/>
      <c r="BL585" s="259" t="str">
        <f>IF(BK585&lt;&gt;"",BK585/VLOOKUP($V585,Setup!$C$30:$D$41,2,0),"")</f>
        <v/>
      </c>
      <c r="BM585" s="268"/>
      <c r="BN585" s="258" t="str">
        <f t="shared" si="299"/>
        <v/>
      </c>
      <c r="BO585" s="268"/>
      <c r="BP585" s="258" t="str">
        <f t="shared" si="300"/>
        <v/>
      </c>
      <c r="BQ585" s="268"/>
      <c r="BR585" s="258" t="str">
        <f t="shared" si="301"/>
        <v/>
      </c>
      <c r="BS585" s="268"/>
      <c r="BT585" s="256" t="str">
        <f t="shared" si="302"/>
        <v/>
      </c>
      <c r="BU585" s="256" t="str">
        <f t="shared" si="303"/>
        <v/>
      </c>
      <c r="BV585" s="256" t="str">
        <f t="shared" si="304"/>
        <v/>
      </c>
      <c r="BW585" s="267"/>
      <c r="BX585" s="256" t="str">
        <f t="shared" si="305"/>
        <v/>
      </c>
      <c r="BY585" s="256" t="str">
        <f t="shared" si="306"/>
        <v/>
      </c>
      <c r="BZ585" s="281"/>
      <c r="CA585" s="282"/>
      <c r="CF585" s="284"/>
      <c r="CG585" s="284"/>
      <c r="CH585" s="284"/>
      <c r="CI585" s="284"/>
      <c r="CL585" s="356" t="str">
        <f>IFERROR(VLOOKUP(C585,'Data Sheet'!$A$3:$B$26,2,FALSE),"")</f>
        <v/>
      </c>
    </row>
    <row r="586" spans="1:90" ht="15.75" x14ac:dyDescent="0.2">
      <c r="A586" s="97"/>
      <c r="B586" s="105" t="str">
        <f t="shared" si="280"/>
        <v>--</v>
      </c>
      <c r="C586" s="276"/>
      <c r="D586" s="101" t="str">
        <f>IFERROR(IF(VLOOKUP(C586,'Data Sheet'!$A$3:$D$26,4,FALSE)=0,"",VLOOKUP(C586,'Data Sheet'!$A$3:$D$26,4,FALSE)),"")</f>
        <v/>
      </c>
      <c r="E586" s="279"/>
      <c r="F586" s="103" t="str">
        <f>IFERROR(IF(VLOOKUP(E586,'Data Sheet'!$C$29:$E$174,3,FALSE)=0,"",VLOOKUP(E586,'Data Sheet'!$C$29:$E$174,3,FALSE)),"")</f>
        <v/>
      </c>
      <c r="G586" s="106" t="str">
        <f t="shared" si="307"/>
        <v>-</v>
      </c>
      <c r="H586" s="273"/>
      <c r="I586" s="107"/>
      <c r="J586" s="249" t="e">
        <f t="shared" si="308"/>
        <v>#VALUE!</v>
      </c>
      <c r="K586" s="101" t="str">
        <f>IFERROR(INDEX('Data Sheet'!$C$198:$C$275,MATCH(I586,'Data Sheet'!$F$198:$F$275,0)),"")</f>
        <v/>
      </c>
      <c r="L586" s="250" t="str">
        <f>IFERROR(INDEX('Data Sheet'!$G$198:$G$275,MATCH(I586,'Data Sheet'!$F$198:$F$275,0)),"")</f>
        <v/>
      </c>
      <c r="M586" s="194"/>
      <c r="N586" s="248"/>
      <c r="O586" s="248"/>
      <c r="P586" s="108" t="str">
        <f>IFERROR(INDEX(Setup!$D$44:$D$70,MATCH(M586,Setup!$K$44:$K$70,0))&amp;"","")</f>
        <v/>
      </c>
      <c r="Q586" s="108" t="str">
        <f>IFERROR(INDEX(Setup!$E$44:$E$70,MATCH(M586,Setup!$K$44:$K$70,0))&amp;"","")</f>
        <v/>
      </c>
      <c r="R586" s="108" t="str">
        <f>IFERROR(INDEX(Setup!$L$44:$L$70,MATCH(M586,Setup!$K$44:$K$70,0))&amp;"","")</f>
        <v/>
      </c>
      <c r="S586" s="108" t="str">
        <f>Setup!$C$30</f>
        <v>USD</v>
      </c>
      <c r="T586" s="109" t="str">
        <f>IFERROR(INDEX('Data Sheet'!$B$198:$B$275,MATCH(I586,'Data Sheet'!$F$198:$F$275,0)),"")</f>
        <v/>
      </c>
      <c r="U586" s="110" t="str">
        <f>IFERROR(INDEX('Data Sheet'!$D$198:$D$275,MATCH(I586,'Data Sheet'!$F$198:$F$275,0)),"")</f>
        <v/>
      </c>
      <c r="V586" s="99"/>
      <c r="W586" s="195" t="str">
        <f>IF(V586=Setup!$C$30,"Grant",IF(V586=Setup!$C$31,"Local",IF(V586=Setup!$C$32,"Other",IF(ISBLANK(V586),"","Other"))))</f>
        <v/>
      </c>
      <c r="X586" s="255"/>
      <c r="Y586" s="259" t="str">
        <f>IF(X586&lt;&gt;"",X586/VLOOKUP($V586,Setup!$C$30:$D$41,2,0),"")</f>
        <v/>
      </c>
      <c r="Z586" s="262"/>
      <c r="AA586" s="256" t="str">
        <f t="shared" si="281"/>
        <v/>
      </c>
      <c r="AB586" s="262"/>
      <c r="AC586" s="258" t="str">
        <f t="shared" si="282"/>
        <v/>
      </c>
      <c r="AD586" s="262"/>
      <c r="AE586" s="258" t="str">
        <f t="shared" si="283"/>
        <v/>
      </c>
      <c r="AF586" s="262"/>
      <c r="AG586" s="256" t="str">
        <f t="shared" si="284"/>
        <v/>
      </c>
      <c r="AH586" s="256" t="str">
        <f t="shared" si="285"/>
        <v/>
      </c>
      <c r="AI586" s="256" t="str">
        <f t="shared" si="286"/>
        <v/>
      </c>
      <c r="AJ586" s="111"/>
      <c r="AK586" s="255"/>
      <c r="AL586" s="259" t="str">
        <f>IF(AK586&lt;&gt;"",AK586/VLOOKUP($V586,Setup!$C$30:$D$41,2,0),"")</f>
        <v/>
      </c>
      <c r="AM586" s="266"/>
      <c r="AN586" s="258" t="str">
        <f t="shared" si="287"/>
        <v/>
      </c>
      <c r="AO586" s="266"/>
      <c r="AP586" s="258" t="str">
        <f t="shared" si="288"/>
        <v/>
      </c>
      <c r="AQ586" s="266"/>
      <c r="AR586" s="258" t="str">
        <f t="shared" si="289"/>
        <v/>
      </c>
      <c r="AS586" s="266"/>
      <c r="AT586" s="256" t="str">
        <f t="shared" si="290"/>
        <v/>
      </c>
      <c r="AU586" s="256" t="str">
        <f t="shared" si="291"/>
        <v/>
      </c>
      <c r="AV586" s="256" t="str">
        <f t="shared" si="292"/>
        <v/>
      </c>
      <c r="AW586" s="267"/>
      <c r="AX586" s="255"/>
      <c r="AY586" s="259" t="str">
        <f>IF(AX586&lt;&gt;"",AX586/VLOOKUP($V586,Setup!$C$30:$D$41,2,0),"")</f>
        <v/>
      </c>
      <c r="AZ586" s="268"/>
      <c r="BA586" s="258" t="str">
        <f t="shared" si="293"/>
        <v/>
      </c>
      <c r="BB586" s="268"/>
      <c r="BC586" s="258" t="str">
        <f t="shared" si="294"/>
        <v/>
      </c>
      <c r="BD586" s="268"/>
      <c r="BE586" s="258" t="str">
        <f t="shared" si="295"/>
        <v/>
      </c>
      <c r="BF586" s="268"/>
      <c r="BG586" s="256" t="str">
        <f t="shared" si="296"/>
        <v/>
      </c>
      <c r="BH586" s="256" t="str">
        <f t="shared" si="297"/>
        <v/>
      </c>
      <c r="BI586" s="256" t="str">
        <f t="shared" si="298"/>
        <v/>
      </c>
      <c r="BJ586" s="267"/>
      <c r="BK586" s="255"/>
      <c r="BL586" s="259" t="str">
        <f>IF(BK586&lt;&gt;"",BK586/VLOOKUP($V586,Setup!$C$30:$D$41,2,0),"")</f>
        <v/>
      </c>
      <c r="BM586" s="268"/>
      <c r="BN586" s="258" t="str">
        <f t="shared" si="299"/>
        <v/>
      </c>
      <c r="BO586" s="268"/>
      <c r="BP586" s="258" t="str">
        <f t="shared" si="300"/>
        <v/>
      </c>
      <c r="BQ586" s="268"/>
      <c r="BR586" s="258" t="str">
        <f t="shared" si="301"/>
        <v/>
      </c>
      <c r="BS586" s="268"/>
      <c r="BT586" s="256" t="str">
        <f t="shared" si="302"/>
        <v/>
      </c>
      <c r="BU586" s="256" t="str">
        <f t="shared" si="303"/>
        <v/>
      </c>
      <c r="BV586" s="256" t="str">
        <f t="shared" si="304"/>
        <v/>
      </c>
      <c r="BW586" s="267"/>
      <c r="BX586" s="256" t="str">
        <f t="shared" si="305"/>
        <v/>
      </c>
      <c r="BY586" s="256" t="str">
        <f t="shared" si="306"/>
        <v/>
      </c>
      <c r="BZ586" s="281"/>
      <c r="CA586" s="282"/>
      <c r="CF586" s="284"/>
      <c r="CG586" s="284"/>
      <c r="CH586" s="284"/>
      <c r="CI586" s="284"/>
      <c r="CL586" s="356" t="str">
        <f>IFERROR(VLOOKUP(C586,'Data Sheet'!$A$3:$B$26,2,FALSE),"")</f>
        <v/>
      </c>
    </row>
    <row r="587" spans="1:90" ht="15.75" x14ac:dyDescent="0.2">
      <c r="A587" s="97"/>
      <c r="B587" s="105" t="str">
        <f t="shared" si="280"/>
        <v>--</v>
      </c>
      <c r="C587" s="276"/>
      <c r="D587" s="101" t="str">
        <f>IFERROR(IF(VLOOKUP(C587,'Data Sheet'!$A$3:$D$26,4,FALSE)=0,"",VLOOKUP(C587,'Data Sheet'!$A$3:$D$26,4,FALSE)),"")</f>
        <v/>
      </c>
      <c r="E587" s="279"/>
      <c r="F587" s="103" t="str">
        <f>IFERROR(IF(VLOOKUP(E587,'Data Sheet'!$C$29:$E$174,3,FALSE)=0,"",VLOOKUP(E587,'Data Sheet'!$C$29:$E$174,3,FALSE)),"")</f>
        <v/>
      </c>
      <c r="G587" s="106" t="str">
        <f t="shared" si="307"/>
        <v>-</v>
      </c>
      <c r="H587" s="273"/>
      <c r="I587" s="107"/>
      <c r="J587" s="249" t="e">
        <f t="shared" si="308"/>
        <v>#VALUE!</v>
      </c>
      <c r="K587" s="101" t="str">
        <f>IFERROR(INDEX('Data Sheet'!$C$198:$C$275,MATCH(I587,'Data Sheet'!$F$198:$F$275,0)),"")</f>
        <v/>
      </c>
      <c r="L587" s="250" t="str">
        <f>IFERROR(INDEX('Data Sheet'!$G$198:$G$275,MATCH(I587,'Data Sheet'!$F$198:$F$275,0)),"")</f>
        <v/>
      </c>
      <c r="M587" s="194"/>
      <c r="N587" s="248"/>
      <c r="O587" s="248"/>
      <c r="P587" s="108" t="str">
        <f>IFERROR(INDEX(Setup!$D$44:$D$70,MATCH(M587,Setup!$K$44:$K$70,0))&amp;"","")</f>
        <v/>
      </c>
      <c r="Q587" s="108" t="str">
        <f>IFERROR(INDEX(Setup!$E$44:$E$70,MATCH(M587,Setup!$K$44:$K$70,0))&amp;"","")</f>
        <v/>
      </c>
      <c r="R587" s="108" t="str">
        <f>IFERROR(INDEX(Setup!$L$44:$L$70,MATCH(M587,Setup!$K$44:$K$70,0))&amp;"","")</f>
        <v/>
      </c>
      <c r="S587" s="108" t="str">
        <f>Setup!$C$30</f>
        <v>USD</v>
      </c>
      <c r="T587" s="109" t="str">
        <f>IFERROR(INDEX('Data Sheet'!$B$198:$B$275,MATCH(I587,'Data Sheet'!$F$198:$F$275,0)),"")</f>
        <v/>
      </c>
      <c r="U587" s="110" t="str">
        <f>IFERROR(INDEX('Data Sheet'!$D$198:$D$275,MATCH(I587,'Data Sheet'!$F$198:$F$275,0)),"")</f>
        <v/>
      </c>
      <c r="V587" s="99"/>
      <c r="W587" s="195" t="str">
        <f>IF(V587=Setup!$C$30,"Grant",IF(V587=Setup!$C$31,"Local",IF(V587=Setup!$C$32,"Other",IF(ISBLANK(V587),"","Other"))))</f>
        <v/>
      </c>
      <c r="X587" s="255"/>
      <c r="Y587" s="259" t="str">
        <f>IF(X587&lt;&gt;"",X587/VLOOKUP($V587,Setup!$C$30:$D$41,2,0),"")</f>
        <v/>
      </c>
      <c r="Z587" s="262"/>
      <c r="AA587" s="256" t="str">
        <f t="shared" si="281"/>
        <v/>
      </c>
      <c r="AB587" s="262"/>
      <c r="AC587" s="258" t="str">
        <f t="shared" si="282"/>
        <v/>
      </c>
      <c r="AD587" s="262"/>
      <c r="AE587" s="258" t="str">
        <f t="shared" si="283"/>
        <v/>
      </c>
      <c r="AF587" s="262"/>
      <c r="AG587" s="256" t="str">
        <f t="shared" si="284"/>
        <v/>
      </c>
      <c r="AH587" s="256" t="str">
        <f t="shared" si="285"/>
        <v/>
      </c>
      <c r="AI587" s="256" t="str">
        <f t="shared" si="286"/>
        <v/>
      </c>
      <c r="AJ587" s="111"/>
      <c r="AK587" s="255"/>
      <c r="AL587" s="259" t="str">
        <f>IF(AK587&lt;&gt;"",AK587/VLOOKUP($V587,Setup!$C$30:$D$41,2,0),"")</f>
        <v/>
      </c>
      <c r="AM587" s="266"/>
      <c r="AN587" s="258" t="str">
        <f t="shared" si="287"/>
        <v/>
      </c>
      <c r="AO587" s="266"/>
      <c r="AP587" s="258" t="str">
        <f t="shared" si="288"/>
        <v/>
      </c>
      <c r="AQ587" s="266"/>
      <c r="AR587" s="258" t="str">
        <f t="shared" si="289"/>
        <v/>
      </c>
      <c r="AS587" s="266"/>
      <c r="AT587" s="256" t="str">
        <f t="shared" si="290"/>
        <v/>
      </c>
      <c r="AU587" s="256" t="str">
        <f t="shared" si="291"/>
        <v/>
      </c>
      <c r="AV587" s="256" t="str">
        <f t="shared" si="292"/>
        <v/>
      </c>
      <c r="AW587" s="267"/>
      <c r="AX587" s="255"/>
      <c r="AY587" s="259" t="str">
        <f>IF(AX587&lt;&gt;"",AX587/VLOOKUP($V587,Setup!$C$30:$D$41,2,0),"")</f>
        <v/>
      </c>
      <c r="AZ587" s="268"/>
      <c r="BA587" s="258" t="str">
        <f t="shared" si="293"/>
        <v/>
      </c>
      <c r="BB587" s="268"/>
      <c r="BC587" s="258" t="str">
        <f t="shared" si="294"/>
        <v/>
      </c>
      <c r="BD587" s="268"/>
      <c r="BE587" s="258" t="str">
        <f t="shared" si="295"/>
        <v/>
      </c>
      <c r="BF587" s="268"/>
      <c r="BG587" s="256" t="str">
        <f t="shared" si="296"/>
        <v/>
      </c>
      <c r="BH587" s="256" t="str">
        <f t="shared" si="297"/>
        <v/>
      </c>
      <c r="BI587" s="256" t="str">
        <f t="shared" si="298"/>
        <v/>
      </c>
      <c r="BJ587" s="267"/>
      <c r="BK587" s="255"/>
      <c r="BL587" s="259" t="str">
        <f>IF(BK587&lt;&gt;"",BK587/VLOOKUP($V587,Setup!$C$30:$D$41,2,0),"")</f>
        <v/>
      </c>
      <c r="BM587" s="268"/>
      <c r="BN587" s="258" t="str">
        <f t="shared" si="299"/>
        <v/>
      </c>
      <c r="BO587" s="268"/>
      <c r="BP587" s="258" t="str">
        <f t="shared" si="300"/>
        <v/>
      </c>
      <c r="BQ587" s="268"/>
      <c r="BR587" s="258" t="str">
        <f t="shared" si="301"/>
        <v/>
      </c>
      <c r="BS587" s="268"/>
      <c r="BT587" s="256" t="str">
        <f t="shared" si="302"/>
        <v/>
      </c>
      <c r="BU587" s="256" t="str">
        <f t="shared" si="303"/>
        <v/>
      </c>
      <c r="BV587" s="256" t="str">
        <f t="shared" si="304"/>
        <v/>
      </c>
      <c r="BW587" s="267"/>
      <c r="BX587" s="256" t="str">
        <f t="shared" si="305"/>
        <v/>
      </c>
      <c r="BY587" s="256" t="str">
        <f t="shared" si="306"/>
        <v/>
      </c>
      <c r="BZ587" s="281"/>
      <c r="CA587" s="282"/>
      <c r="CF587" s="284"/>
      <c r="CG587" s="284"/>
      <c r="CH587" s="284"/>
      <c r="CI587" s="284"/>
      <c r="CL587" s="356" t="str">
        <f>IFERROR(VLOOKUP(C587,'Data Sheet'!$A$3:$B$26,2,FALSE),"")</f>
        <v/>
      </c>
    </row>
    <row r="588" spans="1:90" ht="15.75" x14ac:dyDescent="0.2">
      <c r="A588" s="97"/>
      <c r="B588" s="105" t="str">
        <f t="shared" si="280"/>
        <v>--</v>
      </c>
      <c r="C588" s="276"/>
      <c r="D588" s="101" t="str">
        <f>IFERROR(IF(VLOOKUP(C588,'Data Sheet'!$A$3:$D$26,4,FALSE)=0,"",VLOOKUP(C588,'Data Sheet'!$A$3:$D$26,4,FALSE)),"")</f>
        <v/>
      </c>
      <c r="E588" s="279"/>
      <c r="F588" s="103" t="str">
        <f>IFERROR(IF(VLOOKUP(E588,'Data Sheet'!$C$29:$E$174,3,FALSE)=0,"",VLOOKUP(E588,'Data Sheet'!$C$29:$E$174,3,FALSE)),"")</f>
        <v/>
      </c>
      <c r="G588" s="106" t="str">
        <f t="shared" si="307"/>
        <v>-</v>
      </c>
      <c r="H588" s="273"/>
      <c r="I588" s="107"/>
      <c r="J588" s="249" t="e">
        <f t="shared" si="308"/>
        <v>#VALUE!</v>
      </c>
      <c r="K588" s="101" t="str">
        <f>IFERROR(INDEX('Data Sheet'!$C$198:$C$275,MATCH(I588,'Data Sheet'!$F$198:$F$275,0)),"")</f>
        <v/>
      </c>
      <c r="L588" s="250" t="str">
        <f>IFERROR(INDEX('Data Sheet'!$G$198:$G$275,MATCH(I588,'Data Sheet'!$F$198:$F$275,0)),"")</f>
        <v/>
      </c>
      <c r="M588" s="194"/>
      <c r="N588" s="248"/>
      <c r="O588" s="248"/>
      <c r="P588" s="108" t="str">
        <f>IFERROR(INDEX(Setup!$D$44:$D$70,MATCH(M588,Setup!$K$44:$K$70,0))&amp;"","")</f>
        <v/>
      </c>
      <c r="Q588" s="108" t="str">
        <f>IFERROR(INDEX(Setup!$E$44:$E$70,MATCH(M588,Setup!$K$44:$K$70,0))&amp;"","")</f>
        <v/>
      </c>
      <c r="R588" s="108" t="str">
        <f>IFERROR(INDEX(Setup!$L$44:$L$70,MATCH(M588,Setup!$K$44:$K$70,0))&amp;"","")</f>
        <v/>
      </c>
      <c r="S588" s="108" t="str">
        <f>Setup!$C$30</f>
        <v>USD</v>
      </c>
      <c r="T588" s="109" t="str">
        <f>IFERROR(INDEX('Data Sheet'!$B$198:$B$275,MATCH(I588,'Data Sheet'!$F$198:$F$275,0)),"")</f>
        <v/>
      </c>
      <c r="U588" s="110" t="str">
        <f>IFERROR(INDEX('Data Sheet'!$D$198:$D$275,MATCH(I588,'Data Sheet'!$F$198:$F$275,0)),"")</f>
        <v/>
      </c>
      <c r="V588" s="99"/>
      <c r="W588" s="195" t="str">
        <f>IF(V588=Setup!$C$30,"Grant",IF(V588=Setup!$C$31,"Local",IF(V588=Setup!$C$32,"Other",IF(ISBLANK(V588),"","Other"))))</f>
        <v/>
      </c>
      <c r="X588" s="255"/>
      <c r="Y588" s="259" t="str">
        <f>IF(X588&lt;&gt;"",X588/VLOOKUP($V588,Setup!$C$30:$D$41,2,0),"")</f>
        <v/>
      </c>
      <c r="Z588" s="262"/>
      <c r="AA588" s="256" t="str">
        <f t="shared" si="281"/>
        <v/>
      </c>
      <c r="AB588" s="262"/>
      <c r="AC588" s="258" t="str">
        <f t="shared" si="282"/>
        <v/>
      </c>
      <c r="AD588" s="262"/>
      <c r="AE588" s="258" t="str">
        <f t="shared" si="283"/>
        <v/>
      </c>
      <c r="AF588" s="262"/>
      <c r="AG588" s="256" t="str">
        <f t="shared" si="284"/>
        <v/>
      </c>
      <c r="AH588" s="256" t="str">
        <f t="shared" si="285"/>
        <v/>
      </c>
      <c r="AI588" s="256" t="str">
        <f t="shared" si="286"/>
        <v/>
      </c>
      <c r="AJ588" s="111"/>
      <c r="AK588" s="255"/>
      <c r="AL588" s="259" t="str">
        <f>IF(AK588&lt;&gt;"",AK588/VLOOKUP($V588,Setup!$C$30:$D$41,2,0),"")</f>
        <v/>
      </c>
      <c r="AM588" s="266"/>
      <c r="AN588" s="258" t="str">
        <f t="shared" si="287"/>
        <v/>
      </c>
      <c r="AO588" s="266"/>
      <c r="AP588" s="258" t="str">
        <f t="shared" si="288"/>
        <v/>
      </c>
      <c r="AQ588" s="266"/>
      <c r="AR588" s="258" t="str">
        <f t="shared" si="289"/>
        <v/>
      </c>
      <c r="AS588" s="266"/>
      <c r="AT588" s="256" t="str">
        <f t="shared" si="290"/>
        <v/>
      </c>
      <c r="AU588" s="256" t="str">
        <f t="shared" si="291"/>
        <v/>
      </c>
      <c r="AV588" s="256" t="str">
        <f t="shared" si="292"/>
        <v/>
      </c>
      <c r="AW588" s="267"/>
      <c r="AX588" s="255"/>
      <c r="AY588" s="259" t="str">
        <f>IF(AX588&lt;&gt;"",AX588/VLOOKUP($V588,Setup!$C$30:$D$41,2,0),"")</f>
        <v/>
      </c>
      <c r="AZ588" s="268"/>
      <c r="BA588" s="258" t="str">
        <f t="shared" si="293"/>
        <v/>
      </c>
      <c r="BB588" s="268"/>
      <c r="BC588" s="258" t="str">
        <f t="shared" si="294"/>
        <v/>
      </c>
      <c r="BD588" s="268"/>
      <c r="BE588" s="258" t="str">
        <f t="shared" si="295"/>
        <v/>
      </c>
      <c r="BF588" s="268"/>
      <c r="BG588" s="256" t="str">
        <f t="shared" si="296"/>
        <v/>
      </c>
      <c r="BH588" s="256" t="str">
        <f t="shared" si="297"/>
        <v/>
      </c>
      <c r="BI588" s="256" t="str">
        <f t="shared" si="298"/>
        <v/>
      </c>
      <c r="BJ588" s="267"/>
      <c r="BK588" s="255"/>
      <c r="BL588" s="259" t="str">
        <f>IF(BK588&lt;&gt;"",BK588/VLOOKUP($V588,Setup!$C$30:$D$41,2,0),"")</f>
        <v/>
      </c>
      <c r="BM588" s="268"/>
      <c r="BN588" s="258" t="str">
        <f t="shared" si="299"/>
        <v/>
      </c>
      <c r="BO588" s="268"/>
      <c r="BP588" s="258" t="str">
        <f t="shared" si="300"/>
        <v/>
      </c>
      <c r="BQ588" s="268"/>
      <c r="BR588" s="258" t="str">
        <f t="shared" si="301"/>
        <v/>
      </c>
      <c r="BS588" s="268"/>
      <c r="BT588" s="256" t="str">
        <f t="shared" si="302"/>
        <v/>
      </c>
      <c r="BU588" s="256" t="str">
        <f t="shared" si="303"/>
        <v/>
      </c>
      <c r="BV588" s="256" t="str">
        <f t="shared" si="304"/>
        <v/>
      </c>
      <c r="BW588" s="267"/>
      <c r="BX588" s="256" t="str">
        <f t="shared" si="305"/>
        <v/>
      </c>
      <c r="BY588" s="256" t="str">
        <f t="shared" si="306"/>
        <v/>
      </c>
      <c r="BZ588" s="281"/>
      <c r="CA588" s="282"/>
      <c r="CF588" s="284"/>
      <c r="CG588" s="284"/>
      <c r="CH588" s="284"/>
      <c r="CI588" s="284"/>
      <c r="CL588" s="356" t="str">
        <f>IFERROR(VLOOKUP(C588,'Data Sheet'!$A$3:$B$26,2,FALSE),"")</f>
        <v/>
      </c>
    </row>
    <row r="589" spans="1:90" ht="15.75" x14ac:dyDescent="0.2">
      <c r="A589" s="97"/>
      <c r="B589" s="105" t="str">
        <f t="shared" si="280"/>
        <v>--</v>
      </c>
      <c r="C589" s="276"/>
      <c r="D589" s="101" t="str">
        <f>IFERROR(IF(VLOOKUP(C589,'Data Sheet'!$A$3:$D$26,4,FALSE)=0,"",VLOOKUP(C589,'Data Sheet'!$A$3:$D$26,4,FALSE)),"")</f>
        <v/>
      </c>
      <c r="E589" s="279"/>
      <c r="F589" s="103" t="str">
        <f>IFERROR(IF(VLOOKUP(E589,'Data Sheet'!$C$29:$E$174,3,FALSE)=0,"",VLOOKUP(E589,'Data Sheet'!$C$29:$E$174,3,FALSE)),"")</f>
        <v/>
      </c>
      <c r="G589" s="106" t="str">
        <f t="shared" si="307"/>
        <v>-</v>
      </c>
      <c r="H589" s="273"/>
      <c r="I589" s="107"/>
      <c r="J589" s="249" t="e">
        <f t="shared" si="308"/>
        <v>#VALUE!</v>
      </c>
      <c r="K589" s="101" t="str">
        <f>IFERROR(INDEX('Data Sheet'!$C$198:$C$275,MATCH(I589,'Data Sheet'!$F$198:$F$275,0)),"")</f>
        <v/>
      </c>
      <c r="L589" s="250" t="str">
        <f>IFERROR(INDEX('Data Sheet'!$G$198:$G$275,MATCH(I589,'Data Sheet'!$F$198:$F$275,0)),"")</f>
        <v/>
      </c>
      <c r="M589" s="194"/>
      <c r="N589" s="248"/>
      <c r="O589" s="248"/>
      <c r="P589" s="108" t="str">
        <f>IFERROR(INDEX(Setup!$D$44:$D$70,MATCH(M589,Setup!$K$44:$K$70,0))&amp;"","")</f>
        <v/>
      </c>
      <c r="Q589" s="108" t="str">
        <f>IFERROR(INDEX(Setup!$E$44:$E$70,MATCH(M589,Setup!$K$44:$K$70,0))&amp;"","")</f>
        <v/>
      </c>
      <c r="R589" s="108" t="str">
        <f>IFERROR(INDEX(Setup!$L$44:$L$70,MATCH(M589,Setup!$K$44:$K$70,0))&amp;"","")</f>
        <v/>
      </c>
      <c r="S589" s="108" t="str">
        <f>Setup!$C$30</f>
        <v>USD</v>
      </c>
      <c r="T589" s="109" t="str">
        <f>IFERROR(INDEX('Data Sheet'!$B$198:$B$275,MATCH(I589,'Data Sheet'!$F$198:$F$275,0)),"")</f>
        <v/>
      </c>
      <c r="U589" s="110" t="str">
        <f>IFERROR(INDEX('Data Sheet'!$D$198:$D$275,MATCH(I589,'Data Sheet'!$F$198:$F$275,0)),"")</f>
        <v/>
      </c>
      <c r="V589" s="99"/>
      <c r="W589" s="195" t="str">
        <f>IF(V589=Setup!$C$30,"Grant",IF(V589=Setup!$C$31,"Local",IF(V589=Setup!$C$32,"Other",IF(ISBLANK(V589),"","Other"))))</f>
        <v/>
      </c>
      <c r="X589" s="255"/>
      <c r="Y589" s="259" t="str">
        <f>IF(X589&lt;&gt;"",X589/VLOOKUP($V589,Setup!$C$30:$D$41,2,0),"")</f>
        <v/>
      </c>
      <c r="Z589" s="262"/>
      <c r="AA589" s="256" t="str">
        <f t="shared" si="281"/>
        <v/>
      </c>
      <c r="AB589" s="262"/>
      <c r="AC589" s="258" t="str">
        <f t="shared" si="282"/>
        <v/>
      </c>
      <c r="AD589" s="262"/>
      <c r="AE589" s="258" t="str">
        <f t="shared" si="283"/>
        <v/>
      </c>
      <c r="AF589" s="262"/>
      <c r="AG589" s="256" t="str">
        <f t="shared" si="284"/>
        <v/>
      </c>
      <c r="AH589" s="256" t="str">
        <f t="shared" si="285"/>
        <v/>
      </c>
      <c r="AI589" s="256" t="str">
        <f t="shared" si="286"/>
        <v/>
      </c>
      <c r="AJ589" s="111"/>
      <c r="AK589" s="255"/>
      <c r="AL589" s="259" t="str">
        <f>IF(AK589&lt;&gt;"",AK589/VLOOKUP($V589,Setup!$C$30:$D$41,2,0),"")</f>
        <v/>
      </c>
      <c r="AM589" s="266"/>
      <c r="AN589" s="258" t="str">
        <f t="shared" si="287"/>
        <v/>
      </c>
      <c r="AO589" s="266"/>
      <c r="AP589" s="258" t="str">
        <f t="shared" si="288"/>
        <v/>
      </c>
      <c r="AQ589" s="266"/>
      <c r="AR589" s="258" t="str">
        <f t="shared" si="289"/>
        <v/>
      </c>
      <c r="AS589" s="266"/>
      <c r="AT589" s="256" t="str">
        <f t="shared" si="290"/>
        <v/>
      </c>
      <c r="AU589" s="256" t="str">
        <f t="shared" si="291"/>
        <v/>
      </c>
      <c r="AV589" s="256" t="str">
        <f t="shared" si="292"/>
        <v/>
      </c>
      <c r="AW589" s="267"/>
      <c r="AX589" s="255"/>
      <c r="AY589" s="259" t="str">
        <f>IF(AX589&lt;&gt;"",AX589/VLOOKUP($V589,Setup!$C$30:$D$41,2,0),"")</f>
        <v/>
      </c>
      <c r="AZ589" s="268"/>
      <c r="BA589" s="258" t="str">
        <f t="shared" si="293"/>
        <v/>
      </c>
      <c r="BB589" s="268"/>
      <c r="BC589" s="258" t="str">
        <f t="shared" si="294"/>
        <v/>
      </c>
      <c r="BD589" s="268"/>
      <c r="BE589" s="258" t="str">
        <f t="shared" si="295"/>
        <v/>
      </c>
      <c r="BF589" s="268"/>
      <c r="BG589" s="256" t="str">
        <f t="shared" si="296"/>
        <v/>
      </c>
      <c r="BH589" s="256" t="str">
        <f t="shared" si="297"/>
        <v/>
      </c>
      <c r="BI589" s="256" t="str">
        <f t="shared" si="298"/>
        <v/>
      </c>
      <c r="BJ589" s="267"/>
      <c r="BK589" s="255"/>
      <c r="BL589" s="259" t="str">
        <f>IF(BK589&lt;&gt;"",BK589/VLOOKUP($V589,Setup!$C$30:$D$41,2,0),"")</f>
        <v/>
      </c>
      <c r="BM589" s="268"/>
      <c r="BN589" s="258" t="str">
        <f t="shared" si="299"/>
        <v/>
      </c>
      <c r="BO589" s="268"/>
      <c r="BP589" s="258" t="str">
        <f t="shared" si="300"/>
        <v/>
      </c>
      <c r="BQ589" s="268"/>
      <c r="BR589" s="258" t="str">
        <f t="shared" si="301"/>
        <v/>
      </c>
      <c r="BS589" s="268"/>
      <c r="BT589" s="256" t="str">
        <f t="shared" si="302"/>
        <v/>
      </c>
      <c r="BU589" s="256" t="str">
        <f t="shared" si="303"/>
        <v/>
      </c>
      <c r="BV589" s="256" t="str">
        <f t="shared" si="304"/>
        <v/>
      </c>
      <c r="BW589" s="267"/>
      <c r="BX589" s="256" t="str">
        <f t="shared" si="305"/>
        <v/>
      </c>
      <c r="BY589" s="256" t="str">
        <f t="shared" si="306"/>
        <v/>
      </c>
      <c r="BZ589" s="281"/>
      <c r="CA589" s="282"/>
      <c r="CF589" s="284"/>
      <c r="CG589" s="284"/>
      <c r="CH589" s="284"/>
      <c r="CI589" s="284"/>
      <c r="CL589" s="356" t="str">
        <f>IFERROR(VLOOKUP(C589,'Data Sheet'!$A$3:$B$26,2,FALSE),"")</f>
        <v/>
      </c>
    </row>
    <row r="590" spans="1:90" ht="15.75" x14ac:dyDescent="0.2">
      <c r="A590" s="97"/>
      <c r="B590" s="105" t="str">
        <f t="shared" ref="B590:B653" si="309">CONCATENATE(D590,"-",F590,"-",N590)</f>
        <v>--</v>
      </c>
      <c r="C590" s="276"/>
      <c r="D590" s="101" t="str">
        <f>IFERROR(IF(VLOOKUP(C590,'Data Sheet'!$A$3:$D$26,4,FALSE)=0,"",VLOOKUP(C590,'Data Sheet'!$A$3:$D$26,4,FALSE)),"")</f>
        <v/>
      </c>
      <c r="E590" s="279"/>
      <c r="F590" s="103" t="str">
        <f>IFERROR(IF(VLOOKUP(E590,'Data Sheet'!$C$29:$E$174,3,FALSE)=0,"",VLOOKUP(E590,'Data Sheet'!$C$29:$E$174,3,FALSE)),"")</f>
        <v/>
      </c>
      <c r="G590" s="106" t="str">
        <f t="shared" si="307"/>
        <v>-</v>
      </c>
      <c r="H590" s="273"/>
      <c r="I590" s="107"/>
      <c r="J590" s="249" t="e">
        <f t="shared" si="308"/>
        <v>#VALUE!</v>
      </c>
      <c r="K590" s="101" t="str">
        <f>IFERROR(INDEX('Data Sheet'!$C$198:$C$275,MATCH(I590,'Data Sheet'!$F$198:$F$275,0)),"")</f>
        <v/>
      </c>
      <c r="L590" s="250" t="str">
        <f>IFERROR(INDEX('Data Sheet'!$G$198:$G$275,MATCH(I590,'Data Sheet'!$F$198:$F$275,0)),"")</f>
        <v/>
      </c>
      <c r="M590" s="194"/>
      <c r="N590" s="248"/>
      <c r="O590" s="248"/>
      <c r="P590" s="108" t="str">
        <f>IFERROR(INDEX(Setup!$D$44:$D$70,MATCH(M590,Setup!$K$44:$K$70,0))&amp;"","")</f>
        <v/>
      </c>
      <c r="Q590" s="108" t="str">
        <f>IFERROR(INDEX(Setup!$E$44:$E$70,MATCH(M590,Setup!$K$44:$K$70,0))&amp;"","")</f>
        <v/>
      </c>
      <c r="R590" s="108" t="str">
        <f>IFERROR(INDEX(Setup!$L$44:$L$70,MATCH(M590,Setup!$K$44:$K$70,0))&amp;"","")</f>
        <v/>
      </c>
      <c r="S590" s="108" t="str">
        <f>Setup!$C$30</f>
        <v>USD</v>
      </c>
      <c r="T590" s="109" t="str">
        <f>IFERROR(INDEX('Data Sheet'!$B$198:$B$275,MATCH(I590,'Data Sheet'!$F$198:$F$275,0)),"")</f>
        <v/>
      </c>
      <c r="U590" s="110" t="str">
        <f>IFERROR(INDEX('Data Sheet'!$D$198:$D$275,MATCH(I590,'Data Sheet'!$F$198:$F$275,0)),"")</f>
        <v/>
      </c>
      <c r="V590" s="99"/>
      <c r="W590" s="195" t="str">
        <f>IF(V590=Setup!$C$30,"Grant",IF(V590=Setup!$C$31,"Local",IF(V590=Setup!$C$32,"Other",IF(ISBLANK(V590),"","Other"))))</f>
        <v/>
      </c>
      <c r="X590" s="255"/>
      <c r="Y590" s="259" t="str">
        <f>IF(X590&lt;&gt;"",X590/VLOOKUP($V590,Setup!$C$30:$D$41,2,0),"")</f>
        <v/>
      </c>
      <c r="Z590" s="262"/>
      <c r="AA590" s="256" t="str">
        <f t="shared" si="281"/>
        <v/>
      </c>
      <c r="AB590" s="262"/>
      <c r="AC590" s="258" t="str">
        <f t="shared" si="282"/>
        <v/>
      </c>
      <c r="AD590" s="262"/>
      <c r="AE590" s="258" t="str">
        <f t="shared" si="283"/>
        <v/>
      </c>
      <c r="AF590" s="262"/>
      <c r="AG590" s="256" t="str">
        <f t="shared" si="284"/>
        <v/>
      </c>
      <c r="AH590" s="256" t="str">
        <f t="shared" si="285"/>
        <v/>
      </c>
      <c r="AI590" s="256" t="str">
        <f t="shared" si="286"/>
        <v/>
      </c>
      <c r="AJ590" s="111"/>
      <c r="AK590" s="255"/>
      <c r="AL590" s="259" t="str">
        <f>IF(AK590&lt;&gt;"",AK590/VLOOKUP($V590,Setup!$C$30:$D$41,2,0),"")</f>
        <v/>
      </c>
      <c r="AM590" s="266"/>
      <c r="AN590" s="258" t="str">
        <f t="shared" si="287"/>
        <v/>
      </c>
      <c r="AO590" s="266"/>
      <c r="AP590" s="258" t="str">
        <f t="shared" si="288"/>
        <v/>
      </c>
      <c r="AQ590" s="266"/>
      <c r="AR590" s="258" t="str">
        <f t="shared" si="289"/>
        <v/>
      </c>
      <c r="AS590" s="266"/>
      <c r="AT590" s="256" t="str">
        <f t="shared" si="290"/>
        <v/>
      </c>
      <c r="AU590" s="256" t="str">
        <f t="shared" si="291"/>
        <v/>
      </c>
      <c r="AV590" s="256" t="str">
        <f t="shared" si="292"/>
        <v/>
      </c>
      <c r="AW590" s="267"/>
      <c r="AX590" s="255"/>
      <c r="AY590" s="259" t="str">
        <f>IF(AX590&lt;&gt;"",AX590/VLOOKUP($V590,Setup!$C$30:$D$41,2,0),"")</f>
        <v/>
      </c>
      <c r="AZ590" s="268"/>
      <c r="BA590" s="258" t="str">
        <f t="shared" si="293"/>
        <v/>
      </c>
      <c r="BB590" s="268"/>
      <c r="BC590" s="258" t="str">
        <f t="shared" si="294"/>
        <v/>
      </c>
      <c r="BD590" s="268"/>
      <c r="BE590" s="258" t="str">
        <f t="shared" si="295"/>
        <v/>
      </c>
      <c r="BF590" s="268"/>
      <c r="BG590" s="256" t="str">
        <f t="shared" si="296"/>
        <v/>
      </c>
      <c r="BH590" s="256" t="str">
        <f t="shared" si="297"/>
        <v/>
      </c>
      <c r="BI590" s="256" t="str">
        <f t="shared" si="298"/>
        <v/>
      </c>
      <c r="BJ590" s="267"/>
      <c r="BK590" s="255"/>
      <c r="BL590" s="259" t="str">
        <f>IF(BK590&lt;&gt;"",BK590/VLOOKUP($V590,Setup!$C$30:$D$41,2,0),"")</f>
        <v/>
      </c>
      <c r="BM590" s="268"/>
      <c r="BN590" s="258" t="str">
        <f t="shared" si="299"/>
        <v/>
      </c>
      <c r="BO590" s="268"/>
      <c r="BP590" s="258" t="str">
        <f t="shared" si="300"/>
        <v/>
      </c>
      <c r="BQ590" s="268"/>
      <c r="BR590" s="258" t="str">
        <f t="shared" si="301"/>
        <v/>
      </c>
      <c r="BS590" s="268"/>
      <c r="BT590" s="256" t="str">
        <f t="shared" si="302"/>
        <v/>
      </c>
      <c r="BU590" s="256" t="str">
        <f t="shared" si="303"/>
        <v/>
      </c>
      <c r="BV590" s="256" t="str">
        <f t="shared" si="304"/>
        <v/>
      </c>
      <c r="BW590" s="267"/>
      <c r="BX590" s="256" t="str">
        <f t="shared" si="305"/>
        <v/>
      </c>
      <c r="BY590" s="256" t="str">
        <f t="shared" si="306"/>
        <v/>
      </c>
      <c r="BZ590" s="281"/>
      <c r="CA590" s="282"/>
      <c r="CF590" s="284"/>
      <c r="CG590" s="284"/>
      <c r="CH590" s="284"/>
      <c r="CI590" s="284"/>
      <c r="CL590" s="356" t="str">
        <f>IFERROR(VLOOKUP(C590,'Data Sheet'!$A$3:$B$26,2,FALSE),"")</f>
        <v/>
      </c>
    </row>
    <row r="591" spans="1:90" ht="15.75" x14ac:dyDescent="0.2">
      <c r="A591" s="97"/>
      <c r="B591" s="105" t="str">
        <f t="shared" si="309"/>
        <v>--</v>
      </c>
      <c r="C591" s="276"/>
      <c r="D591" s="101" t="str">
        <f>IFERROR(IF(VLOOKUP(C591,'Data Sheet'!$A$3:$D$26,4,FALSE)=0,"",VLOOKUP(C591,'Data Sheet'!$A$3:$D$26,4,FALSE)),"")</f>
        <v/>
      </c>
      <c r="E591" s="279"/>
      <c r="F591" s="103" t="str">
        <f>IFERROR(IF(VLOOKUP(E591,'Data Sheet'!$C$29:$E$174,3,FALSE)=0,"",VLOOKUP(E591,'Data Sheet'!$C$29:$E$174,3,FALSE)),"")</f>
        <v/>
      </c>
      <c r="G591" s="106" t="str">
        <f t="shared" si="307"/>
        <v>-</v>
      </c>
      <c r="H591" s="273"/>
      <c r="I591" s="107"/>
      <c r="J591" s="249" t="e">
        <f t="shared" si="308"/>
        <v>#VALUE!</v>
      </c>
      <c r="K591" s="101" t="str">
        <f>IFERROR(INDEX('Data Sheet'!$C$198:$C$275,MATCH(I591,'Data Sheet'!$F$198:$F$275,0)),"")</f>
        <v/>
      </c>
      <c r="L591" s="250" t="str">
        <f>IFERROR(INDEX('Data Sheet'!$G$198:$G$275,MATCH(I591,'Data Sheet'!$F$198:$F$275,0)),"")</f>
        <v/>
      </c>
      <c r="M591" s="194"/>
      <c r="N591" s="248"/>
      <c r="O591" s="248"/>
      <c r="P591" s="108" t="str">
        <f>IFERROR(INDEX(Setup!$D$44:$D$70,MATCH(M591,Setup!$K$44:$K$70,0))&amp;"","")</f>
        <v/>
      </c>
      <c r="Q591" s="108" t="str">
        <f>IFERROR(INDEX(Setup!$E$44:$E$70,MATCH(M591,Setup!$K$44:$K$70,0))&amp;"","")</f>
        <v/>
      </c>
      <c r="R591" s="108" t="str">
        <f>IFERROR(INDEX(Setup!$L$44:$L$70,MATCH(M591,Setup!$K$44:$K$70,0))&amp;"","")</f>
        <v/>
      </c>
      <c r="S591" s="108" t="str">
        <f>Setup!$C$30</f>
        <v>USD</v>
      </c>
      <c r="T591" s="109" t="str">
        <f>IFERROR(INDEX('Data Sheet'!$B$198:$B$275,MATCH(I591,'Data Sheet'!$F$198:$F$275,0)),"")</f>
        <v/>
      </c>
      <c r="U591" s="110" t="str">
        <f>IFERROR(INDEX('Data Sheet'!$D$198:$D$275,MATCH(I591,'Data Sheet'!$F$198:$F$275,0)),"")</f>
        <v/>
      </c>
      <c r="V591" s="99"/>
      <c r="W591" s="195" t="str">
        <f>IF(V591=Setup!$C$30,"Grant",IF(V591=Setup!$C$31,"Local",IF(V591=Setup!$C$32,"Other",IF(ISBLANK(V591),"","Other"))))</f>
        <v/>
      </c>
      <c r="X591" s="255"/>
      <c r="Y591" s="259" t="str">
        <f>IF(X591&lt;&gt;"",X591/VLOOKUP($V591,Setup!$C$30:$D$41,2,0),"")</f>
        <v/>
      </c>
      <c r="Z591" s="262"/>
      <c r="AA591" s="256" t="str">
        <f t="shared" si="281"/>
        <v/>
      </c>
      <c r="AB591" s="262"/>
      <c r="AC591" s="258" t="str">
        <f t="shared" si="282"/>
        <v/>
      </c>
      <c r="AD591" s="262"/>
      <c r="AE591" s="258" t="str">
        <f t="shared" si="283"/>
        <v/>
      </c>
      <c r="AF591" s="262"/>
      <c r="AG591" s="256" t="str">
        <f t="shared" si="284"/>
        <v/>
      </c>
      <c r="AH591" s="256" t="str">
        <f t="shared" si="285"/>
        <v/>
      </c>
      <c r="AI591" s="256" t="str">
        <f t="shared" si="286"/>
        <v/>
      </c>
      <c r="AJ591" s="111"/>
      <c r="AK591" s="255"/>
      <c r="AL591" s="259" t="str">
        <f>IF(AK591&lt;&gt;"",AK591/VLOOKUP($V591,Setup!$C$30:$D$41,2,0),"")</f>
        <v/>
      </c>
      <c r="AM591" s="266"/>
      <c r="AN591" s="258" t="str">
        <f t="shared" si="287"/>
        <v/>
      </c>
      <c r="AO591" s="266"/>
      <c r="AP591" s="258" t="str">
        <f t="shared" si="288"/>
        <v/>
      </c>
      <c r="AQ591" s="266"/>
      <c r="AR591" s="258" t="str">
        <f t="shared" si="289"/>
        <v/>
      </c>
      <c r="AS591" s="266"/>
      <c r="AT591" s="256" t="str">
        <f t="shared" si="290"/>
        <v/>
      </c>
      <c r="AU591" s="256" t="str">
        <f t="shared" si="291"/>
        <v/>
      </c>
      <c r="AV591" s="256" t="str">
        <f t="shared" si="292"/>
        <v/>
      </c>
      <c r="AW591" s="267"/>
      <c r="AX591" s="255"/>
      <c r="AY591" s="259" t="str">
        <f>IF(AX591&lt;&gt;"",AX591/VLOOKUP($V591,Setup!$C$30:$D$41,2,0),"")</f>
        <v/>
      </c>
      <c r="AZ591" s="268"/>
      <c r="BA591" s="258" t="str">
        <f t="shared" si="293"/>
        <v/>
      </c>
      <c r="BB591" s="268"/>
      <c r="BC591" s="258" t="str">
        <f t="shared" si="294"/>
        <v/>
      </c>
      <c r="BD591" s="268"/>
      <c r="BE591" s="258" t="str">
        <f t="shared" si="295"/>
        <v/>
      </c>
      <c r="BF591" s="268"/>
      <c r="BG591" s="256" t="str">
        <f t="shared" si="296"/>
        <v/>
      </c>
      <c r="BH591" s="256" t="str">
        <f t="shared" si="297"/>
        <v/>
      </c>
      <c r="BI591" s="256" t="str">
        <f t="shared" si="298"/>
        <v/>
      </c>
      <c r="BJ591" s="267"/>
      <c r="BK591" s="255"/>
      <c r="BL591" s="259" t="str">
        <f>IF(BK591&lt;&gt;"",BK591/VLOOKUP($V591,Setup!$C$30:$D$41,2,0),"")</f>
        <v/>
      </c>
      <c r="BM591" s="268"/>
      <c r="BN591" s="258" t="str">
        <f t="shared" si="299"/>
        <v/>
      </c>
      <c r="BO591" s="268"/>
      <c r="BP591" s="258" t="str">
        <f t="shared" si="300"/>
        <v/>
      </c>
      <c r="BQ591" s="268"/>
      <c r="BR591" s="258" t="str">
        <f t="shared" si="301"/>
        <v/>
      </c>
      <c r="BS591" s="268"/>
      <c r="BT591" s="256" t="str">
        <f t="shared" si="302"/>
        <v/>
      </c>
      <c r="BU591" s="256" t="str">
        <f t="shared" si="303"/>
        <v/>
      </c>
      <c r="BV591" s="256" t="str">
        <f t="shared" si="304"/>
        <v/>
      </c>
      <c r="BW591" s="267"/>
      <c r="BX591" s="256" t="str">
        <f t="shared" si="305"/>
        <v/>
      </c>
      <c r="BY591" s="256" t="str">
        <f t="shared" si="306"/>
        <v/>
      </c>
      <c r="BZ591" s="281"/>
      <c r="CA591" s="282"/>
      <c r="CF591" s="284"/>
      <c r="CG591" s="284"/>
      <c r="CH591" s="284"/>
      <c r="CI591" s="284"/>
      <c r="CL591" s="356" t="str">
        <f>IFERROR(VLOOKUP(C591,'Data Sheet'!$A$3:$B$26,2,FALSE),"")</f>
        <v/>
      </c>
    </row>
    <row r="592" spans="1:90" ht="15.75" x14ac:dyDescent="0.2">
      <c r="A592" s="97"/>
      <c r="B592" s="105" t="str">
        <f t="shared" si="309"/>
        <v>--</v>
      </c>
      <c r="C592" s="276"/>
      <c r="D592" s="101" t="str">
        <f>IFERROR(IF(VLOOKUP(C592,'Data Sheet'!$A$3:$D$26,4,FALSE)=0,"",VLOOKUP(C592,'Data Sheet'!$A$3:$D$26,4,FALSE)),"")</f>
        <v/>
      </c>
      <c r="E592" s="279"/>
      <c r="F592" s="103" t="str">
        <f>IFERROR(IF(VLOOKUP(E592,'Data Sheet'!$C$29:$E$174,3,FALSE)=0,"",VLOOKUP(E592,'Data Sheet'!$C$29:$E$174,3,FALSE)),"")</f>
        <v/>
      </c>
      <c r="G592" s="106" t="str">
        <f t="shared" si="307"/>
        <v>-</v>
      </c>
      <c r="H592" s="273"/>
      <c r="I592" s="107"/>
      <c r="J592" s="249" t="e">
        <f t="shared" si="308"/>
        <v>#VALUE!</v>
      </c>
      <c r="K592" s="101" t="str">
        <f>IFERROR(INDEX('Data Sheet'!$C$198:$C$275,MATCH(I592,'Data Sheet'!$F$198:$F$275,0)),"")</f>
        <v/>
      </c>
      <c r="L592" s="250" t="str">
        <f>IFERROR(INDEX('Data Sheet'!$G$198:$G$275,MATCH(I592,'Data Sheet'!$F$198:$F$275,0)),"")</f>
        <v/>
      </c>
      <c r="M592" s="194"/>
      <c r="N592" s="248"/>
      <c r="O592" s="248"/>
      <c r="P592" s="108" t="str">
        <f>IFERROR(INDEX(Setup!$D$44:$D$70,MATCH(M592,Setup!$K$44:$K$70,0))&amp;"","")</f>
        <v/>
      </c>
      <c r="Q592" s="108" t="str">
        <f>IFERROR(INDEX(Setup!$E$44:$E$70,MATCH(M592,Setup!$K$44:$K$70,0))&amp;"","")</f>
        <v/>
      </c>
      <c r="R592" s="108" t="str">
        <f>IFERROR(INDEX(Setup!$L$44:$L$70,MATCH(M592,Setup!$K$44:$K$70,0))&amp;"","")</f>
        <v/>
      </c>
      <c r="S592" s="108" t="str">
        <f>Setup!$C$30</f>
        <v>USD</v>
      </c>
      <c r="T592" s="109" t="str">
        <f>IFERROR(INDEX('Data Sheet'!$B$198:$B$275,MATCH(I592,'Data Sheet'!$F$198:$F$275,0)),"")</f>
        <v/>
      </c>
      <c r="U592" s="110" t="str">
        <f>IFERROR(INDEX('Data Sheet'!$D$198:$D$275,MATCH(I592,'Data Sheet'!$F$198:$F$275,0)),"")</f>
        <v/>
      </c>
      <c r="V592" s="99"/>
      <c r="W592" s="195" t="str">
        <f>IF(V592=Setup!$C$30,"Grant",IF(V592=Setup!$C$31,"Local",IF(V592=Setup!$C$32,"Other",IF(ISBLANK(V592),"","Other"))))</f>
        <v/>
      </c>
      <c r="X592" s="255"/>
      <c r="Y592" s="259" t="str">
        <f>IF(X592&lt;&gt;"",X592/VLOOKUP($V592,Setup!$C$30:$D$41,2,0),"")</f>
        <v/>
      </c>
      <c r="Z592" s="262"/>
      <c r="AA592" s="256" t="str">
        <f t="shared" si="281"/>
        <v/>
      </c>
      <c r="AB592" s="262"/>
      <c r="AC592" s="258" t="str">
        <f t="shared" si="282"/>
        <v/>
      </c>
      <c r="AD592" s="262"/>
      <c r="AE592" s="258" t="str">
        <f t="shared" si="283"/>
        <v/>
      </c>
      <c r="AF592" s="262"/>
      <c r="AG592" s="256" t="str">
        <f t="shared" si="284"/>
        <v/>
      </c>
      <c r="AH592" s="256" t="str">
        <f t="shared" si="285"/>
        <v/>
      </c>
      <c r="AI592" s="256" t="str">
        <f t="shared" si="286"/>
        <v/>
      </c>
      <c r="AJ592" s="111"/>
      <c r="AK592" s="255"/>
      <c r="AL592" s="259" t="str">
        <f>IF(AK592&lt;&gt;"",AK592/VLOOKUP($V592,Setup!$C$30:$D$41,2,0),"")</f>
        <v/>
      </c>
      <c r="AM592" s="266"/>
      <c r="AN592" s="258" t="str">
        <f t="shared" si="287"/>
        <v/>
      </c>
      <c r="AO592" s="266"/>
      <c r="AP592" s="258" t="str">
        <f t="shared" si="288"/>
        <v/>
      </c>
      <c r="AQ592" s="266"/>
      <c r="AR592" s="258" t="str">
        <f t="shared" si="289"/>
        <v/>
      </c>
      <c r="AS592" s="266"/>
      <c r="AT592" s="256" t="str">
        <f t="shared" si="290"/>
        <v/>
      </c>
      <c r="AU592" s="256" t="str">
        <f t="shared" si="291"/>
        <v/>
      </c>
      <c r="AV592" s="256" t="str">
        <f t="shared" si="292"/>
        <v/>
      </c>
      <c r="AW592" s="267"/>
      <c r="AX592" s="255"/>
      <c r="AY592" s="259" t="str">
        <f>IF(AX592&lt;&gt;"",AX592/VLOOKUP($V592,Setup!$C$30:$D$41,2,0),"")</f>
        <v/>
      </c>
      <c r="AZ592" s="268"/>
      <c r="BA592" s="258" t="str">
        <f t="shared" si="293"/>
        <v/>
      </c>
      <c r="BB592" s="268"/>
      <c r="BC592" s="258" t="str">
        <f t="shared" si="294"/>
        <v/>
      </c>
      <c r="BD592" s="268"/>
      <c r="BE592" s="258" t="str">
        <f t="shared" si="295"/>
        <v/>
      </c>
      <c r="BF592" s="268"/>
      <c r="BG592" s="256" t="str">
        <f t="shared" si="296"/>
        <v/>
      </c>
      <c r="BH592" s="256" t="str">
        <f t="shared" si="297"/>
        <v/>
      </c>
      <c r="BI592" s="256" t="str">
        <f t="shared" si="298"/>
        <v/>
      </c>
      <c r="BJ592" s="267"/>
      <c r="BK592" s="255"/>
      <c r="BL592" s="259" t="str">
        <f>IF(BK592&lt;&gt;"",BK592/VLOOKUP($V592,Setup!$C$30:$D$41,2,0),"")</f>
        <v/>
      </c>
      <c r="BM592" s="268"/>
      <c r="BN592" s="258" t="str">
        <f t="shared" si="299"/>
        <v/>
      </c>
      <c r="BO592" s="268"/>
      <c r="BP592" s="258" t="str">
        <f t="shared" si="300"/>
        <v/>
      </c>
      <c r="BQ592" s="268"/>
      <c r="BR592" s="258" t="str">
        <f t="shared" si="301"/>
        <v/>
      </c>
      <c r="BS592" s="268"/>
      <c r="BT592" s="256" t="str">
        <f t="shared" si="302"/>
        <v/>
      </c>
      <c r="BU592" s="256" t="str">
        <f t="shared" si="303"/>
        <v/>
      </c>
      <c r="BV592" s="256" t="str">
        <f t="shared" si="304"/>
        <v/>
      </c>
      <c r="BW592" s="267"/>
      <c r="BX592" s="256" t="str">
        <f t="shared" si="305"/>
        <v/>
      </c>
      <c r="BY592" s="256" t="str">
        <f t="shared" si="306"/>
        <v/>
      </c>
      <c r="BZ592" s="281"/>
      <c r="CA592" s="282"/>
      <c r="CF592" s="284"/>
      <c r="CG592" s="284"/>
      <c r="CH592" s="284"/>
      <c r="CI592" s="284"/>
      <c r="CL592" s="356" t="str">
        <f>IFERROR(VLOOKUP(C592,'Data Sheet'!$A$3:$B$26,2,FALSE),"")</f>
        <v/>
      </c>
    </row>
    <row r="593" spans="1:90" ht="15.75" x14ac:dyDescent="0.2">
      <c r="A593" s="97"/>
      <c r="B593" s="105" t="str">
        <f t="shared" si="309"/>
        <v>--</v>
      </c>
      <c r="C593" s="276"/>
      <c r="D593" s="101" t="str">
        <f>IFERROR(IF(VLOOKUP(C593,'Data Sheet'!$A$3:$D$26,4,FALSE)=0,"",VLOOKUP(C593,'Data Sheet'!$A$3:$D$26,4,FALSE)),"")</f>
        <v/>
      </c>
      <c r="E593" s="279"/>
      <c r="F593" s="103" t="str">
        <f>IFERROR(IF(VLOOKUP(E593,'Data Sheet'!$C$29:$E$174,3,FALSE)=0,"",VLOOKUP(E593,'Data Sheet'!$C$29:$E$174,3,FALSE)),"")</f>
        <v/>
      </c>
      <c r="G593" s="106" t="str">
        <f t="shared" si="307"/>
        <v>-</v>
      </c>
      <c r="H593" s="273"/>
      <c r="I593" s="107"/>
      <c r="J593" s="249" t="e">
        <f t="shared" si="308"/>
        <v>#VALUE!</v>
      </c>
      <c r="K593" s="101" t="str">
        <f>IFERROR(INDEX('Data Sheet'!$C$198:$C$275,MATCH(I593,'Data Sheet'!$F$198:$F$275,0)),"")</f>
        <v/>
      </c>
      <c r="L593" s="250" t="str">
        <f>IFERROR(INDEX('Data Sheet'!$G$198:$G$275,MATCH(I593,'Data Sheet'!$F$198:$F$275,0)),"")</f>
        <v/>
      </c>
      <c r="M593" s="194"/>
      <c r="N593" s="248"/>
      <c r="O593" s="248"/>
      <c r="P593" s="108" t="str">
        <f>IFERROR(INDEX(Setup!$D$44:$D$70,MATCH(M593,Setup!$K$44:$K$70,0))&amp;"","")</f>
        <v/>
      </c>
      <c r="Q593" s="108" t="str">
        <f>IFERROR(INDEX(Setup!$E$44:$E$70,MATCH(M593,Setup!$K$44:$K$70,0))&amp;"","")</f>
        <v/>
      </c>
      <c r="R593" s="108" t="str">
        <f>IFERROR(INDEX(Setup!$L$44:$L$70,MATCH(M593,Setup!$K$44:$K$70,0))&amp;"","")</f>
        <v/>
      </c>
      <c r="S593" s="108" t="str">
        <f>Setup!$C$30</f>
        <v>USD</v>
      </c>
      <c r="T593" s="109" t="str">
        <f>IFERROR(INDEX('Data Sheet'!$B$198:$B$275,MATCH(I593,'Data Sheet'!$F$198:$F$275,0)),"")</f>
        <v/>
      </c>
      <c r="U593" s="110" t="str">
        <f>IFERROR(INDEX('Data Sheet'!$D$198:$D$275,MATCH(I593,'Data Sheet'!$F$198:$F$275,0)),"")</f>
        <v/>
      </c>
      <c r="V593" s="99"/>
      <c r="W593" s="195" t="str">
        <f>IF(V593=Setup!$C$30,"Grant",IF(V593=Setup!$C$31,"Local",IF(V593=Setup!$C$32,"Other",IF(ISBLANK(V593),"","Other"))))</f>
        <v/>
      </c>
      <c r="X593" s="255"/>
      <c r="Y593" s="259" t="str">
        <f>IF(X593&lt;&gt;"",X593/VLOOKUP($V593,Setup!$C$30:$D$41,2,0),"")</f>
        <v/>
      </c>
      <c r="Z593" s="262"/>
      <c r="AA593" s="256" t="str">
        <f t="shared" si="281"/>
        <v/>
      </c>
      <c r="AB593" s="262"/>
      <c r="AC593" s="258" t="str">
        <f t="shared" si="282"/>
        <v/>
      </c>
      <c r="AD593" s="262"/>
      <c r="AE593" s="258" t="str">
        <f t="shared" si="283"/>
        <v/>
      </c>
      <c r="AF593" s="262"/>
      <c r="AG593" s="256" t="str">
        <f t="shared" si="284"/>
        <v/>
      </c>
      <c r="AH593" s="256" t="str">
        <f t="shared" si="285"/>
        <v/>
      </c>
      <c r="AI593" s="256" t="str">
        <f t="shared" si="286"/>
        <v/>
      </c>
      <c r="AJ593" s="111"/>
      <c r="AK593" s="255"/>
      <c r="AL593" s="259" t="str">
        <f>IF(AK593&lt;&gt;"",AK593/VLOOKUP($V593,Setup!$C$30:$D$41,2,0),"")</f>
        <v/>
      </c>
      <c r="AM593" s="266"/>
      <c r="AN593" s="258" t="str">
        <f t="shared" si="287"/>
        <v/>
      </c>
      <c r="AO593" s="266"/>
      <c r="AP593" s="258" t="str">
        <f t="shared" si="288"/>
        <v/>
      </c>
      <c r="AQ593" s="266"/>
      <c r="AR593" s="258" t="str">
        <f t="shared" si="289"/>
        <v/>
      </c>
      <c r="AS593" s="266"/>
      <c r="AT593" s="256" t="str">
        <f t="shared" si="290"/>
        <v/>
      </c>
      <c r="AU593" s="256" t="str">
        <f t="shared" si="291"/>
        <v/>
      </c>
      <c r="AV593" s="256" t="str">
        <f t="shared" si="292"/>
        <v/>
      </c>
      <c r="AW593" s="267"/>
      <c r="AX593" s="255"/>
      <c r="AY593" s="259" t="str">
        <f>IF(AX593&lt;&gt;"",AX593/VLOOKUP($V593,Setup!$C$30:$D$41,2,0),"")</f>
        <v/>
      </c>
      <c r="AZ593" s="268"/>
      <c r="BA593" s="258" t="str">
        <f t="shared" si="293"/>
        <v/>
      </c>
      <c r="BB593" s="268"/>
      <c r="BC593" s="258" t="str">
        <f t="shared" si="294"/>
        <v/>
      </c>
      <c r="BD593" s="268"/>
      <c r="BE593" s="258" t="str">
        <f t="shared" si="295"/>
        <v/>
      </c>
      <c r="BF593" s="268"/>
      <c r="BG593" s="256" t="str">
        <f t="shared" si="296"/>
        <v/>
      </c>
      <c r="BH593" s="256" t="str">
        <f t="shared" si="297"/>
        <v/>
      </c>
      <c r="BI593" s="256" t="str">
        <f t="shared" si="298"/>
        <v/>
      </c>
      <c r="BJ593" s="267"/>
      <c r="BK593" s="255"/>
      <c r="BL593" s="259" t="str">
        <f>IF(BK593&lt;&gt;"",BK593/VLOOKUP($V593,Setup!$C$30:$D$41,2,0),"")</f>
        <v/>
      </c>
      <c r="BM593" s="268"/>
      <c r="BN593" s="258" t="str">
        <f t="shared" si="299"/>
        <v/>
      </c>
      <c r="BO593" s="268"/>
      <c r="BP593" s="258" t="str">
        <f t="shared" si="300"/>
        <v/>
      </c>
      <c r="BQ593" s="268"/>
      <c r="BR593" s="258" t="str">
        <f t="shared" si="301"/>
        <v/>
      </c>
      <c r="BS593" s="268"/>
      <c r="BT593" s="256" t="str">
        <f t="shared" si="302"/>
        <v/>
      </c>
      <c r="BU593" s="256" t="str">
        <f t="shared" si="303"/>
        <v/>
      </c>
      <c r="BV593" s="256" t="str">
        <f t="shared" si="304"/>
        <v/>
      </c>
      <c r="BW593" s="267"/>
      <c r="BX593" s="256" t="str">
        <f t="shared" si="305"/>
        <v/>
      </c>
      <c r="BY593" s="256" t="str">
        <f t="shared" si="306"/>
        <v/>
      </c>
      <c r="BZ593" s="281"/>
      <c r="CA593" s="282"/>
      <c r="CF593" s="284"/>
      <c r="CG593" s="284"/>
      <c r="CH593" s="284"/>
      <c r="CI593" s="284"/>
      <c r="CL593" s="356" t="str">
        <f>IFERROR(VLOOKUP(C593,'Data Sheet'!$A$3:$B$26,2,FALSE),"")</f>
        <v/>
      </c>
    </row>
    <row r="594" spans="1:90" ht="15.75" x14ac:dyDescent="0.2">
      <c r="A594" s="97"/>
      <c r="B594" s="105" t="str">
        <f t="shared" si="309"/>
        <v>--</v>
      </c>
      <c r="C594" s="276"/>
      <c r="D594" s="101" t="str">
        <f>IFERROR(IF(VLOOKUP(C594,'Data Sheet'!$A$3:$D$26,4,FALSE)=0,"",VLOOKUP(C594,'Data Sheet'!$A$3:$D$26,4,FALSE)),"")</f>
        <v/>
      </c>
      <c r="E594" s="279"/>
      <c r="F594" s="103" t="str">
        <f>IFERROR(IF(VLOOKUP(E594,'Data Sheet'!$C$29:$E$174,3,FALSE)=0,"",VLOOKUP(E594,'Data Sheet'!$C$29:$E$174,3,FALSE)),"")</f>
        <v/>
      </c>
      <c r="G594" s="106" t="str">
        <f t="shared" si="307"/>
        <v>-</v>
      </c>
      <c r="H594" s="273"/>
      <c r="I594" s="107"/>
      <c r="J594" s="249" t="e">
        <f t="shared" si="308"/>
        <v>#VALUE!</v>
      </c>
      <c r="K594" s="101" t="str">
        <f>IFERROR(INDEX('Data Sheet'!$C$198:$C$275,MATCH(I594,'Data Sheet'!$F$198:$F$275,0)),"")</f>
        <v/>
      </c>
      <c r="L594" s="250" t="str">
        <f>IFERROR(INDEX('Data Sheet'!$G$198:$G$275,MATCH(I594,'Data Sheet'!$F$198:$F$275,0)),"")</f>
        <v/>
      </c>
      <c r="M594" s="194"/>
      <c r="N594" s="248"/>
      <c r="O594" s="248"/>
      <c r="P594" s="108" t="str">
        <f>IFERROR(INDEX(Setup!$D$44:$D$70,MATCH(M594,Setup!$K$44:$K$70,0))&amp;"","")</f>
        <v/>
      </c>
      <c r="Q594" s="108" t="str">
        <f>IFERROR(INDEX(Setup!$E$44:$E$70,MATCH(M594,Setup!$K$44:$K$70,0))&amp;"","")</f>
        <v/>
      </c>
      <c r="R594" s="108" t="str">
        <f>IFERROR(INDEX(Setup!$L$44:$L$70,MATCH(M594,Setup!$K$44:$K$70,0))&amp;"","")</f>
        <v/>
      </c>
      <c r="S594" s="108" t="str">
        <f>Setup!$C$30</f>
        <v>USD</v>
      </c>
      <c r="T594" s="109" t="str">
        <f>IFERROR(INDEX('Data Sheet'!$B$198:$B$275,MATCH(I594,'Data Sheet'!$F$198:$F$275,0)),"")</f>
        <v/>
      </c>
      <c r="U594" s="110" t="str">
        <f>IFERROR(INDEX('Data Sheet'!$D$198:$D$275,MATCH(I594,'Data Sheet'!$F$198:$F$275,0)),"")</f>
        <v/>
      </c>
      <c r="V594" s="99"/>
      <c r="W594" s="195" t="str">
        <f>IF(V594=Setup!$C$30,"Grant",IF(V594=Setup!$C$31,"Local",IF(V594=Setup!$C$32,"Other",IF(ISBLANK(V594),"","Other"))))</f>
        <v/>
      </c>
      <c r="X594" s="255"/>
      <c r="Y594" s="259" t="str">
        <f>IF(X594&lt;&gt;"",X594/VLOOKUP($V594,Setup!$C$30:$D$41,2,0),"")</f>
        <v/>
      </c>
      <c r="Z594" s="262"/>
      <c r="AA594" s="256" t="str">
        <f t="shared" si="281"/>
        <v/>
      </c>
      <c r="AB594" s="262"/>
      <c r="AC594" s="258" t="str">
        <f t="shared" si="282"/>
        <v/>
      </c>
      <c r="AD594" s="262"/>
      <c r="AE594" s="258" t="str">
        <f t="shared" si="283"/>
        <v/>
      </c>
      <c r="AF594" s="262"/>
      <c r="AG594" s="256" t="str">
        <f t="shared" si="284"/>
        <v/>
      </c>
      <c r="AH594" s="256" t="str">
        <f t="shared" si="285"/>
        <v/>
      </c>
      <c r="AI594" s="256" t="str">
        <f t="shared" si="286"/>
        <v/>
      </c>
      <c r="AJ594" s="111"/>
      <c r="AK594" s="255"/>
      <c r="AL594" s="259" t="str">
        <f>IF(AK594&lt;&gt;"",AK594/VLOOKUP($V594,Setup!$C$30:$D$41,2,0),"")</f>
        <v/>
      </c>
      <c r="AM594" s="266"/>
      <c r="AN594" s="258" t="str">
        <f t="shared" si="287"/>
        <v/>
      </c>
      <c r="AO594" s="266"/>
      <c r="AP594" s="258" t="str">
        <f t="shared" si="288"/>
        <v/>
      </c>
      <c r="AQ594" s="266"/>
      <c r="AR594" s="258" t="str">
        <f t="shared" si="289"/>
        <v/>
      </c>
      <c r="AS594" s="266"/>
      <c r="AT594" s="256" t="str">
        <f t="shared" si="290"/>
        <v/>
      </c>
      <c r="AU594" s="256" t="str">
        <f t="shared" si="291"/>
        <v/>
      </c>
      <c r="AV594" s="256" t="str">
        <f t="shared" si="292"/>
        <v/>
      </c>
      <c r="AW594" s="267"/>
      <c r="AX594" s="255"/>
      <c r="AY594" s="259" t="str">
        <f>IF(AX594&lt;&gt;"",AX594/VLOOKUP($V594,Setup!$C$30:$D$41,2,0),"")</f>
        <v/>
      </c>
      <c r="AZ594" s="268"/>
      <c r="BA594" s="258" t="str">
        <f t="shared" si="293"/>
        <v/>
      </c>
      <c r="BB594" s="268"/>
      <c r="BC594" s="258" t="str">
        <f t="shared" si="294"/>
        <v/>
      </c>
      <c r="BD594" s="268"/>
      <c r="BE594" s="258" t="str">
        <f t="shared" si="295"/>
        <v/>
      </c>
      <c r="BF594" s="268"/>
      <c r="BG594" s="256" t="str">
        <f t="shared" si="296"/>
        <v/>
      </c>
      <c r="BH594" s="256" t="str">
        <f t="shared" si="297"/>
        <v/>
      </c>
      <c r="BI594" s="256" t="str">
        <f t="shared" si="298"/>
        <v/>
      </c>
      <c r="BJ594" s="267"/>
      <c r="BK594" s="255"/>
      <c r="BL594" s="259" t="str">
        <f>IF(BK594&lt;&gt;"",BK594/VLOOKUP($V594,Setup!$C$30:$D$41,2,0),"")</f>
        <v/>
      </c>
      <c r="BM594" s="268"/>
      <c r="BN594" s="258" t="str">
        <f t="shared" si="299"/>
        <v/>
      </c>
      <c r="BO594" s="268"/>
      <c r="BP594" s="258" t="str">
        <f t="shared" si="300"/>
        <v/>
      </c>
      <c r="BQ594" s="268"/>
      <c r="BR594" s="258" t="str">
        <f t="shared" si="301"/>
        <v/>
      </c>
      <c r="BS594" s="268"/>
      <c r="BT594" s="256" t="str">
        <f t="shared" si="302"/>
        <v/>
      </c>
      <c r="BU594" s="256" t="str">
        <f t="shared" si="303"/>
        <v/>
      </c>
      <c r="BV594" s="256" t="str">
        <f t="shared" si="304"/>
        <v/>
      </c>
      <c r="BW594" s="267"/>
      <c r="BX594" s="256" t="str">
        <f t="shared" si="305"/>
        <v/>
      </c>
      <c r="BY594" s="256" t="str">
        <f t="shared" si="306"/>
        <v/>
      </c>
      <c r="BZ594" s="281"/>
      <c r="CA594" s="282"/>
      <c r="CF594" s="284"/>
      <c r="CG594" s="284"/>
      <c r="CH594" s="284"/>
      <c r="CI594" s="284"/>
      <c r="CL594" s="356" t="str">
        <f>IFERROR(VLOOKUP(C594,'Data Sheet'!$A$3:$B$26,2,FALSE),"")</f>
        <v/>
      </c>
    </row>
    <row r="595" spans="1:90" ht="15.75" x14ac:dyDescent="0.2">
      <c r="A595" s="97"/>
      <c r="B595" s="105" t="str">
        <f t="shared" si="309"/>
        <v>--</v>
      </c>
      <c r="C595" s="276"/>
      <c r="D595" s="101" t="str">
        <f>IFERROR(IF(VLOOKUP(C595,'Data Sheet'!$A$3:$D$26,4,FALSE)=0,"",VLOOKUP(C595,'Data Sheet'!$A$3:$D$26,4,FALSE)),"")</f>
        <v/>
      </c>
      <c r="E595" s="279"/>
      <c r="F595" s="103" t="str">
        <f>IFERROR(IF(VLOOKUP(E595,'Data Sheet'!$C$29:$E$174,3,FALSE)=0,"",VLOOKUP(E595,'Data Sheet'!$C$29:$E$174,3,FALSE)),"")</f>
        <v/>
      </c>
      <c r="G595" s="106" t="str">
        <f t="shared" si="307"/>
        <v>-</v>
      </c>
      <c r="H595" s="273"/>
      <c r="I595" s="107"/>
      <c r="J595" s="249" t="e">
        <f t="shared" si="308"/>
        <v>#VALUE!</v>
      </c>
      <c r="K595" s="101" t="str">
        <f>IFERROR(INDEX('Data Sheet'!$C$198:$C$275,MATCH(I595,'Data Sheet'!$F$198:$F$275,0)),"")</f>
        <v/>
      </c>
      <c r="L595" s="250" t="str">
        <f>IFERROR(INDEX('Data Sheet'!$G$198:$G$275,MATCH(I595,'Data Sheet'!$F$198:$F$275,0)),"")</f>
        <v/>
      </c>
      <c r="M595" s="194"/>
      <c r="N595" s="248"/>
      <c r="O595" s="248"/>
      <c r="P595" s="108" t="str">
        <f>IFERROR(INDEX(Setup!$D$44:$D$70,MATCH(M595,Setup!$K$44:$K$70,0))&amp;"","")</f>
        <v/>
      </c>
      <c r="Q595" s="108" t="str">
        <f>IFERROR(INDEX(Setup!$E$44:$E$70,MATCH(M595,Setup!$K$44:$K$70,0))&amp;"","")</f>
        <v/>
      </c>
      <c r="R595" s="108" t="str">
        <f>IFERROR(INDEX(Setup!$L$44:$L$70,MATCH(M595,Setup!$K$44:$K$70,0))&amp;"","")</f>
        <v/>
      </c>
      <c r="S595" s="108" t="str">
        <f>Setup!$C$30</f>
        <v>USD</v>
      </c>
      <c r="T595" s="109" t="str">
        <f>IFERROR(INDEX('Data Sheet'!$B$198:$B$275,MATCH(I595,'Data Sheet'!$F$198:$F$275,0)),"")</f>
        <v/>
      </c>
      <c r="U595" s="110" t="str">
        <f>IFERROR(INDEX('Data Sheet'!$D$198:$D$275,MATCH(I595,'Data Sheet'!$F$198:$F$275,0)),"")</f>
        <v/>
      </c>
      <c r="V595" s="99"/>
      <c r="W595" s="195" t="str">
        <f>IF(V595=Setup!$C$30,"Grant",IF(V595=Setup!$C$31,"Local",IF(V595=Setup!$C$32,"Other",IF(ISBLANK(V595),"","Other"))))</f>
        <v/>
      </c>
      <c r="X595" s="255"/>
      <c r="Y595" s="259" t="str">
        <f>IF(X595&lt;&gt;"",X595/VLOOKUP($V595,Setup!$C$30:$D$41,2,0),"")</f>
        <v/>
      </c>
      <c r="Z595" s="262"/>
      <c r="AA595" s="256" t="str">
        <f t="shared" si="281"/>
        <v/>
      </c>
      <c r="AB595" s="262"/>
      <c r="AC595" s="258" t="str">
        <f t="shared" si="282"/>
        <v/>
      </c>
      <c r="AD595" s="262"/>
      <c r="AE595" s="258" t="str">
        <f t="shared" si="283"/>
        <v/>
      </c>
      <c r="AF595" s="262"/>
      <c r="AG595" s="256" t="str">
        <f t="shared" si="284"/>
        <v/>
      </c>
      <c r="AH595" s="256" t="str">
        <f t="shared" si="285"/>
        <v/>
      </c>
      <c r="AI595" s="256" t="str">
        <f t="shared" si="286"/>
        <v/>
      </c>
      <c r="AJ595" s="111"/>
      <c r="AK595" s="255"/>
      <c r="AL595" s="259" t="str">
        <f>IF(AK595&lt;&gt;"",AK595/VLOOKUP($V595,Setup!$C$30:$D$41,2,0),"")</f>
        <v/>
      </c>
      <c r="AM595" s="266"/>
      <c r="AN595" s="258" t="str">
        <f t="shared" si="287"/>
        <v/>
      </c>
      <c r="AO595" s="266"/>
      <c r="AP595" s="258" t="str">
        <f t="shared" si="288"/>
        <v/>
      </c>
      <c r="AQ595" s="266"/>
      <c r="AR595" s="258" t="str">
        <f t="shared" si="289"/>
        <v/>
      </c>
      <c r="AS595" s="266"/>
      <c r="AT595" s="256" t="str">
        <f t="shared" si="290"/>
        <v/>
      </c>
      <c r="AU595" s="256" t="str">
        <f t="shared" si="291"/>
        <v/>
      </c>
      <c r="AV595" s="256" t="str">
        <f t="shared" si="292"/>
        <v/>
      </c>
      <c r="AW595" s="267"/>
      <c r="AX595" s="255"/>
      <c r="AY595" s="259" t="str">
        <f>IF(AX595&lt;&gt;"",AX595/VLOOKUP($V595,Setup!$C$30:$D$41,2,0),"")</f>
        <v/>
      </c>
      <c r="AZ595" s="268"/>
      <c r="BA595" s="258" t="str">
        <f t="shared" si="293"/>
        <v/>
      </c>
      <c r="BB595" s="268"/>
      <c r="BC595" s="258" t="str">
        <f t="shared" si="294"/>
        <v/>
      </c>
      <c r="BD595" s="268"/>
      <c r="BE595" s="258" t="str">
        <f t="shared" si="295"/>
        <v/>
      </c>
      <c r="BF595" s="268"/>
      <c r="BG595" s="256" t="str">
        <f t="shared" si="296"/>
        <v/>
      </c>
      <c r="BH595" s="256" t="str">
        <f t="shared" si="297"/>
        <v/>
      </c>
      <c r="BI595" s="256" t="str">
        <f t="shared" si="298"/>
        <v/>
      </c>
      <c r="BJ595" s="267"/>
      <c r="BK595" s="255"/>
      <c r="BL595" s="259" t="str">
        <f>IF(BK595&lt;&gt;"",BK595/VLOOKUP($V595,Setup!$C$30:$D$41,2,0),"")</f>
        <v/>
      </c>
      <c r="BM595" s="268"/>
      <c r="BN595" s="258" t="str">
        <f t="shared" si="299"/>
        <v/>
      </c>
      <c r="BO595" s="268"/>
      <c r="BP595" s="258" t="str">
        <f t="shared" si="300"/>
        <v/>
      </c>
      <c r="BQ595" s="268"/>
      <c r="BR595" s="258" t="str">
        <f t="shared" si="301"/>
        <v/>
      </c>
      <c r="BS595" s="268"/>
      <c r="BT595" s="256" t="str">
        <f t="shared" si="302"/>
        <v/>
      </c>
      <c r="BU595" s="256" t="str">
        <f t="shared" si="303"/>
        <v/>
      </c>
      <c r="BV595" s="256" t="str">
        <f t="shared" si="304"/>
        <v/>
      </c>
      <c r="BW595" s="267"/>
      <c r="BX595" s="256" t="str">
        <f t="shared" si="305"/>
        <v/>
      </c>
      <c r="BY595" s="256" t="str">
        <f t="shared" si="306"/>
        <v/>
      </c>
      <c r="BZ595" s="281"/>
      <c r="CA595" s="282"/>
      <c r="CF595" s="284"/>
      <c r="CG595" s="284"/>
      <c r="CH595" s="284"/>
      <c r="CI595" s="284"/>
      <c r="CL595" s="356" t="str">
        <f>IFERROR(VLOOKUP(C595,'Data Sheet'!$A$3:$B$26,2,FALSE),"")</f>
        <v/>
      </c>
    </row>
    <row r="596" spans="1:90" ht="15.75" x14ac:dyDescent="0.2">
      <c r="A596" s="97"/>
      <c r="B596" s="105" t="str">
        <f t="shared" si="309"/>
        <v>--</v>
      </c>
      <c r="C596" s="276"/>
      <c r="D596" s="101" t="str">
        <f>IFERROR(IF(VLOOKUP(C596,'Data Sheet'!$A$3:$D$26,4,FALSE)=0,"",VLOOKUP(C596,'Data Sheet'!$A$3:$D$26,4,FALSE)),"")</f>
        <v/>
      </c>
      <c r="E596" s="279"/>
      <c r="F596" s="103" t="str">
        <f>IFERROR(IF(VLOOKUP(E596,'Data Sheet'!$C$29:$E$174,3,FALSE)=0,"",VLOOKUP(E596,'Data Sheet'!$C$29:$E$174,3,FALSE)),"")</f>
        <v/>
      </c>
      <c r="G596" s="106" t="str">
        <f t="shared" si="307"/>
        <v>-</v>
      </c>
      <c r="H596" s="273"/>
      <c r="I596" s="107"/>
      <c r="J596" s="249" t="e">
        <f t="shared" si="308"/>
        <v>#VALUE!</v>
      </c>
      <c r="K596" s="101" t="str">
        <f>IFERROR(INDEX('Data Sheet'!$C$198:$C$275,MATCH(I596,'Data Sheet'!$F$198:$F$275,0)),"")</f>
        <v/>
      </c>
      <c r="L596" s="250" t="str">
        <f>IFERROR(INDEX('Data Sheet'!$G$198:$G$275,MATCH(I596,'Data Sheet'!$F$198:$F$275,0)),"")</f>
        <v/>
      </c>
      <c r="M596" s="194"/>
      <c r="N596" s="248"/>
      <c r="O596" s="248"/>
      <c r="P596" s="108" t="str">
        <f>IFERROR(INDEX(Setup!$D$44:$D$70,MATCH(M596,Setup!$K$44:$K$70,0))&amp;"","")</f>
        <v/>
      </c>
      <c r="Q596" s="108" t="str">
        <f>IFERROR(INDEX(Setup!$E$44:$E$70,MATCH(M596,Setup!$K$44:$K$70,0))&amp;"","")</f>
        <v/>
      </c>
      <c r="R596" s="108" t="str">
        <f>IFERROR(INDEX(Setup!$L$44:$L$70,MATCH(M596,Setup!$K$44:$K$70,0))&amp;"","")</f>
        <v/>
      </c>
      <c r="S596" s="108" t="str">
        <f>Setup!$C$30</f>
        <v>USD</v>
      </c>
      <c r="T596" s="109" t="str">
        <f>IFERROR(INDEX('Data Sheet'!$B$198:$B$275,MATCH(I596,'Data Sheet'!$F$198:$F$275,0)),"")</f>
        <v/>
      </c>
      <c r="U596" s="110" t="str">
        <f>IFERROR(INDEX('Data Sheet'!$D$198:$D$275,MATCH(I596,'Data Sheet'!$F$198:$F$275,0)),"")</f>
        <v/>
      </c>
      <c r="V596" s="99"/>
      <c r="W596" s="195" t="str">
        <f>IF(V596=Setup!$C$30,"Grant",IF(V596=Setup!$C$31,"Local",IF(V596=Setup!$C$32,"Other",IF(ISBLANK(V596),"","Other"))))</f>
        <v/>
      </c>
      <c r="X596" s="255"/>
      <c r="Y596" s="259" t="str">
        <f>IF(X596&lt;&gt;"",X596/VLOOKUP($V596,Setup!$C$30:$D$41,2,0),"")</f>
        <v/>
      </c>
      <c r="Z596" s="262"/>
      <c r="AA596" s="256" t="str">
        <f t="shared" si="281"/>
        <v/>
      </c>
      <c r="AB596" s="262"/>
      <c r="AC596" s="258" t="str">
        <f t="shared" si="282"/>
        <v/>
      </c>
      <c r="AD596" s="262"/>
      <c r="AE596" s="258" t="str">
        <f t="shared" si="283"/>
        <v/>
      </c>
      <c r="AF596" s="262"/>
      <c r="AG596" s="256" t="str">
        <f t="shared" si="284"/>
        <v/>
      </c>
      <c r="AH596" s="256" t="str">
        <f t="shared" si="285"/>
        <v/>
      </c>
      <c r="AI596" s="256" t="str">
        <f t="shared" si="286"/>
        <v/>
      </c>
      <c r="AJ596" s="111"/>
      <c r="AK596" s="255"/>
      <c r="AL596" s="259" t="str">
        <f>IF(AK596&lt;&gt;"",AK596/VLOOKUP($V596,Setup!$C$30:$D$41,2,0),"")</f>
        <v/>
      </c>
      <c r="AM596" s="266"/>
      <c r="AN596" s="258" t="str">
        <f t="shared" si="287"/>
        <v/>
      </c>
      <c r="AO596" s="266"/>
      <c r="AP596" s="258" t="str">
        <f t="shared" si="288"/>
        <v/>
      </c>
      <c r="AQ596" s="266"/>
      <c r="AR596" s="258" t="str">
        <f t="shared" si="289"/>
        <v/>
      </c>
      <c r="AS596" s="266"/>
      <c r="AT596" s="256" t="str">
        <f t="shared" si="290"/>
        <v/>
      </c>
      <c r="AU596" s="256" t="str">
        <f t="shared" si="291"/>
        <v/>
      </c>
      <c r="AV596" s="256" t="str">
        <f t="shared" si="292"/>
        <v/>
      </c>
      <c r="AW596" s="267"/>
      <c r="AX596" s="255"/>
      <c r="AY596" s="259" t="str">
        <f>IF(AX596&lt;&gt;"",AX596/VLOOKUP($V596,Setup!$C$30:$D$41,2,0),"")</f>
        <v/>
      </c>
      <c r="AZ596" s="268"/>
      <c r="BA596" s="258" t="str">
        <f t="shared" si="293"/>
        <v/>
      </c>
      <c r="BB596" s="268"/>
      <c r="BC596" s="258" t="str">
        <f t="shared" si="294"/>
        <v/>
      </c>
      <c r="BD596" s="268"/>
      <c r="BE596" s="258" t="str">
        <f t="shared" si="295"/>
        <v/>
      </c>
      <c r="BF596" s="268"/>
      <c r="BG596" s="256" t="str">
        <f t="shared" si="296"/>
        <v/>
      </c>
      <c r="BH596" s="256" t="str">
        <f t="shared" si="297"/>
        <v/>
      </c>
      <c r="BI596" s="256" t="str">
        <f t="shared" si="298"/>
        <v/>
      </c>
      <c r="BJ596" s="267"/>
      <c r="BK596" s="255"/>
      <c r="BL596" s="259" t="str">
        <f>IF(BK596&lt;&gt;"",BK596/VLOOKUP($V596,Setup!$C$30:$D$41,2,0),"")</f>
        <v/>
      </c>
      <c r="BM596" s="268"/>
      <c r="BN596" s="258" t="str">
        <f t="shared" si="299"/>
        <v/>
      </c>
      <c r="BO596" s="268"/>
      <c r="BP596" s="258" t="str">
        <f t="shared" si="300"/>
        <v/>
      </c>
      <c r="BQ596" s="268"/>
      <c r="BR596" s="258" t="str">
        <f t="shared" si="301"/>
        <v/>
      </c>
      <c r="BS596" s="268"/>
      <c r="BT596" s="256" t="str">
        <f t="shared" si="302"/>
        <v/>
      </c>
      <c r="BU596" s="256" t="str">
        <f t="shared" si="303"/>
        <v/>
      </c>
      <c r="BV596" s="256" t="str">
        <f t="shared" si="304"/>
        <v/>
      </c>
      <c r="BW596" s="267"/>
      <c r="BX596" s="256" t="str">
        <f t="shared" si="305"/>
        <v/>
      </c>
      <c r="BY596" s="256" t="str">
        <f t="shared" si="306"/>
        <v/>
      </c>
      <c r="BZ596" s="281"/>
      <c r="CA596" s="282"/>
      <c r="CF596" s="284"/>
      <c r="CG596" s="284"/>
      <c r="CH596" s="284"/>
      <c r="CI596" s="284"/>
      <c r="CL596" s="356" t="str">
        <f>IFERROR(VLOOKUP(C596,'Data Sheet'!$A$3:$B$26,2,FALSE),"")</f>
        <v/>
      </c>
    </row>
    <row r="597" spans="1:90" ht="15.75" x14ac:dyDescent="0.2">
      <c r="A597" s="97"/>
      <c r="B597" s="105" t="str">
        <f t="shared" si="309"/>
        <v>--</v>
      </c>
      <c r="C597" s="276"/>
      <c r="D597" s="101" t="str">
        <f>IFERROR(IF(VLOOKUP(C597,'Data Sheet'!$A$3:$D$26,4,FALSE)=0,"",VLOOKUP(C597,'Data Sheet'!$A$3:$D$26,4,FALSE)),"")</f>
        <v/>
      </c>
      <c r="E597" s="279"/>
      <c r="F597" s="103" t="str">
        <f>IFERROR(IF(VLOOKUP(E597,'Data Sheet'!$C$29:$E$174,3,FALSE)=0,"",VLOOKUP(E597,'Data Sheet'!$C$29:$E$174,3,FALSE)),"")</f>
        <v/>
      </c>
      <c r="G597" s="106" t="str">
        <f t="shared" si="307"/>
        <v>-</v>
      </c>
      <c r="H597" s="273"/>
      <c r="I597" s="107"/>
      <c r="J597" s="249" t="e">
        <f t="shared" si="308"/>
        <v>#VALUE!</v>
      </c>
      <c r="K597" s="101" t="str">
        <f>IFERROR(INDEX('Data Sheet'!$C$198:$C$275,MATCH(I597,'Data Sheet'!$F$198:$F$275,0)),"")</f>
        <v/>
      </c>
      <c r="L597" s="250" t="str">
        <f>IFERROR(INDEX('Data Sheet'!$G$198:$G$275,MATCH(I597,'Data Sheet'!$F$198:$F$275,0)),"")</f>
        <v/>
      </c>
      <c r="M597" s="194"/>
      <c r="N597" s="248"/>
      <c r="O597" s="248"/>
      <c r="P597" s="108" t="str">
        <f>IFERROR(INDEX(Setup!$D$44:$D$70,MATCH(M597,Setup!$K$44:$K$70,0))&amp;"","")</f>
        <v/>
      </c>
      <c r="Q597" s="108" t="str">
        <f>IFERROR(INDEX(Setup!$E$44:$E$70,MATCH(M597,Setup!$K$44:$K$70,0))&amp;"","")</f>
        <v/>
      </c>
      <c r="R597" s="108" t="str">
        <f>IFERROR(INDEX(Setup!$L$44:$L$70,MATCH(M597,Setup!$K$44:$K$70,0))&amp;"","")</f>
        <v/>
      </c>
      <c r="S597" s="108" t="str">
        <f>Setup!$C$30</f>
        <v>USD</v>
      </c>
      <c r="T597" s="109" t="str">
        <f>IFERROR(INDEX('Data Sheet'!$B$198:$B$275,MATCH(I597,'Data Sheet'!$F$198:$F$275,0)),"")</f>
        <v/>
      </c>
      <c r="U597" s="110" t="str">
        <f>IFERROR(INDEX('Data Sheet'!$D$198:$D$275,MATCH(I597,'Data Sheet'!$F$198:$F$275,0)),"")</f>
        <v/>
      </c>
      <c r="V597" s="99"/>
      <c r="W597" s="195" t="str">
        <f>IF(V597=Setup!$C$30,"Grant",IF(V597=Setup!$C$31,"Local",IF(V597=Setup!$C$32,"Other",IF(ISBLANK(V597),"","Other"))))</f>
        <v/>
      </c>
      <c r="X597" s="255"/>
      <c r="Y597" s="259" t="str">
        <f>IF(X597&lt;&gt;"",X597/VLOOKUP($V597,Setup!$C$30:$D$41,2,0),"")</f>
        <v/>
      </c>
      <c r="Z597" s="262"/>
      <c r="AA597" s="256" t="str">
        <f t="shared" si="281"/>
        <v/>
      </c>
      <c r="AB597" s="262"/>
      <c r="AC597" s="258" t="str">
        <f t="shared" si="282"/>
        <v/>
      </c>
      <c r="AD597" s="262"/>
      <c r="AE597" s="258" t="str">
        <f t="shared" si="283"/>
        <v/>
      </c>
      <c r="AF597" s="262"/>
      <c r="AG597" s="256" t="str">
        <f t="shared" si="284"/>
        <v/>
      </c>
      <c r="AH597" s="256" t="str">
        <f t="shared" si="285"/>
        <v/>
      </c>
      <c r="AI597" s="256" t="str">
        <f t="shared" si="286"/>
        <v/>
      </c>
      <c r="AJ597" s="111"/>
      <c r="AK597" s="255"/>
      <c r="AL597" s="259" t="str">
        <f>IF(AK597&lt;&gt;"",AK597/VLOOKUP($V597,Setup!$C$30:$D$41,2,0),"")</f>
        <v/>
      </c>
      <c r="AM597" s="266"/>
      <c r="AN597" s="258" t="str">
        <f t="shared" si="287"/>
        <v/>
      </c>
      <c r="AO597" s="266"/>
      <c r="AP597" s="258" t="str">
        <f t="shared" si="288"/>
        <v/>
      </c>
      <c r="AQ597" s="266"/>
      <c r="AR597" s="258" t="str">
        <f t="shared" si="289"/>
        <v/>
      </c>
      <c r="AS597" s="266"/>
      <c r="AT597" s="256" t="str">
        <f t="shared" si="290"/>
        <v/>
      </c>
      <c r="AU597" s="256" t="str">
        <f t="shared" si="291"/>
        <v/>
      </c>
      <c r="AV597" s="256" t="str">
        <f t="shared" si="292"/>
        <v/>
      </c>
      <c r="AW597" s="267"/>
      <c r="AX597" s="255"/>
      <c r="AY597" s="259" t="str">
        <f>IF(AX597&lt;&gt;"",AX597/VLOOKUP($V597,Setup!$C$30:$D$41,2,0),"")</f>
        <v/>
      </c>
      <c r="AZ597" s="268"/>
      <c r="BA597" s="258" t="str">
        <f t="shared" si="293"/>
        <v/>
      </c>
      <c r="BB597" s="268"/>
      <c r="BC597" s="258" t="str">
        <f t="shared" si="294"/>
        <v/>
      </c>
      <c r="BD597" s="268"/>
      <c r="BE597" s="258" t="str">
        <f t="shared" si="295"/>
        <v/>
      </c>
      <c r="BF597" s="268"/>
      <c r="BG597" s="256" t="str">
        <f t="shared" si="296"/>
        <v/>
      </c>
      <c r="BH597" s="256" t="str">
        <f t="shared" si="297"/>
        <v/>
      </c>
      <c r="BI597" s="256" t="str">
        <f t="shared" si="298"/>
        <v/>
      </c>
      <c r="BJ597" s="267"/>
      <c r="BK597" s="255"/>
      <c r="BL597" s="259" t="str">
        <f>IF(BK597&lt;&gt;"",BK597/VLOOKUP($V597,Setup!$C$30:$D$41,2,0),"")</f>
        <v/>
      </c>
      <c r="BM597" s="268"/>
      <c r="BN597" s="258" t="str">
        <f t="shared" si="299"/>
        <v/>
      </c>
      <c r="BO597" s="268"/>
      <c r="BP597" s="258" t="str">
        <f t="shared" si="300"/>
        <v/>
      </c>
      <c r="BQ597" s="268"/>
      <c r="BR597" s="258" t="str">
        <f t="shared" si="301"/>
        <v/>
      </c>
      <c r="BS597" s="268"/>
      <c r="BT597" s="256" t="str">
        <f t="shared" si="302"/>
        <v/>
      </c>
      <c r="BU597" s="256" t="str">
        <f t="shared" si="303"/>
        <v/>
      </c>
      <c r="BV597" s="256" t="str">
        <f t="shared" si="304"/>
        <v/>
      </c>
      <c r="BW597" s="267"/>
      <c r="BX597" s="256" t="str">
        <f t="shared" si="305"/>
        <v/>
      </c>
      <c r="BY597" s="256" t="str">
        <f t="shared" si="306"/>
        <v/>
      </c>
      <c r="BZ597" s="281"/>
      <c r="CA597" s="282"/>
      <c r="CF597" s="284"/>
      <c r="CG597" s="284"/>
      <c r="CH597" s="284"/>
      <c r="CI597" s="284"/>
      <c r="CL597" s="356" t="str">
        <f>IFERROR(VLOOKUP(C597,'Data Sheet'!$A$3:$B$26,2,FALSE),"")</f>
        <v/>
      </c>
    </row>
    <row r="598" spans="1:90" ht="15.75" x14ac:dyDescent="0.2">
      <c r="A598" s="97"/>
      <c r="B598" s="105" t="str">
        <f t="shared" si="309"/>
        <v>--</v>
      </c>
      <c r="C598" s="276"/>
      <c r="D598" s="101" t="str">
        <f>IFERROR(IF(VLOOKUP(C598,'Data Sheet'!$A$3:$D$26,4,FALSE)=0,"",VLOOKUP(C598,'Data Sheet'!$A$3:$D$26,4,FALSE)),"")</f>
        <v/>
      </c>
      <c r="E598" s="279"/>
      <c r="F598" s="103" t="str">
        <f>IFERROR(IF(VLOOKUP(E598,'Data Sheet'!$C$29:$E$174,3,FALSE)=0,"",VLOOKUP(E598,'Data Sheet'!$C$29:$E$174,3,FALSE)),"")</f>
        <v/>
      </c>
      <c r="G598" s="106" t="str">
        <f t="shared" si="307"/>
        <v>-</v>
      </c>
      <c r="H598" s="273"/>
      <c r="I598" s="107"/>
      <c r="J598" s="249" t="e">
        <f t="shared" si="308"/>
        <v>#VALUE!</v>
      </c>
      <c r="K598" s="101" t="str">
        <f>IFERROR(INDEX('Data Sheet'!$C$198:$C$275,MATCH(I598,'Data Sheet'!$F$198:$F$275,0)),"")</f>
        <v/>
      </c>
      <c r="L598" s="250" t="str">
        <f>IFERROR(INDEX('Data Sheet'!$G$198:$G$275,MATCH(I598,'Data Sheet'!$F$198:$F$275,0)),"")</f>
        <v/>
      </c>
      <c r="M598" s="194"/>
      <c r="N598" s="248"/>
      <c r="O598" s="248"/>
      <c r="P598" s="108" t="str">
        <f>IFERROR(INDEX(Setup!$D$44:$D$70,MATCH(M598,Setup!$K$44:$K$70,0))&amp;"","")</f>
        <v/>
      </c>
      <c r="Q598" s="108" t="str">
        <f>IFERROR(INDEX(Setup!$E$44:$E$70,MATCH(M598,Setup!$K$44:$K$70,0))&amp;"","")</f>
        <v/>
      </c>
      <c r="R598" s="108" t="str">
        <f>IFERROR(INDEX(Setup!$L$44:$L$70,MATCH(M598,Setup!$K$44:$K$70,0))&amp;"","")</f>
        <v/>
      </c>
      <c r="S598" s="108" t="str">
        <f>Setup!$C$30</f>
        <v>USD</v>
      </c>
      <c r="T598" s="109" t="str">
        <f>IFERROR(INDEX('Data Sheet'!$B$198:$B$275,MATCH(I598,'Data Sheet'!$F$198:$F$275,0)),"")</f>
        <v/>
      </c>
      <c r="U598" s="110" t="str">
        <f>IFERROR(INDEX('Data Sheet'!$D$198:$D$275,MATCH(I598,'Data Sheet'!$F$198:$F$275,0)),"")</f>
        <v/>
      </c>
      <c r="V598" s="99"/>
      <c r="W598" s="195" t="str">
        <f>IF(V598=Setup!$C$30,"Grant",IF(V598=Setup!$C$31,"Local",IF(V598=Setup!$C$32,"Other",IF(ISBLANK(V598),"","Other"))))</f>
        <v/>
      </c>
      <c r="X598" s="255"/>
      <c r="Y598" s="259" t="str">
        <f>IF(X598&lt;&gt;"",X598/VLOOKUP($V598,Setup!$C$30:$D$41,2,0),"")</f>
        <v/>
      </c>
      <c r="Z598" s="262"/>
      <c r="AA598" s="256" t="str">
        <f t="shared" si="281"/>
        <v/>
      </c>
      <c r="AB598" s="262"/>
      <c r="AC598" s="258" t="str">
        <f t="shared" si="282"/>
        <v/>
      </c>
      <c r="AD598" s="262"/>
      <c r="AE598" s="258" t="str">
        <f t="shared" si="283"/>
        <v/>
      </c>
      <c r="AF598" s="262"/>
      <c r="AG598" s="256" t="str">
        <f t="shared" si="284"/>
        <v/>
      </c>
      <c r="AH598" s="256" t="str">
        <f t="shared" si="285"/>
        <v/>
      </c>
      <c r="AI598" s="256" t="str">
        <f t="shared" si="286"/>
        <v/>
      </c>
      <c r="AJ598" s="111"/>
      <c r="AK598" s="255"/>
      <c r="AL598" s="259" t="str">
        <f>IF(AK598&lt;&gt;"",AK598/VLOOKUP($V598,Setup!$C$30:$D$41,2,0),"")</f>
        <v/>
      </c>
      <c r="AM598" s="266"/>
      <c r="AN598" s="258" t="str">
        <f t="shared" si="287"/>
        <v/>
      </c>
      <c r="AO598" s="266"/>
      <c r="AP598" s="258" t="str">
        <f t="shared" si="288"/>
        <v/>
      </c>
      <c r="AQ598" s="266"/>
      <c r="AR598" s="258" t="str">
        <f t="shared" si="289"/>
        <v/>
      </c>
      <c r="AS598" s="266"/>
      <c r="AT598" s="256" t="str">
        <f t="shared" si="290"/>
        <v/>
      </c>
      <c r="AU598" s="256" t="str">
        <f t="shared" si="291"/>
        <v/>
      </c>
      <c r="AV598" s="256" t="str">
        <f t="shared" si="292"/>
        <v/>
      </c>
      <c r="AW598" s="267"/>
      <c r="AX598" s="255"/>
      <c r="AY598" s="259" t="str">
        <f>IF(AX598&lt;&gt;"",AX598/VLOOKUP($V598,Setup!$C$30:$D$41,2,0),"")</f>
        <v/>
      </c>
      <c r="AZ598" s="268"/>
      <c r="BA598" s="258" t="str">
        <f t="shared" si="293"/>
        <v/>
      </c>
      <c r="BB598" s="268"/>
      <c r="BC598" s="258" t="str">
        <f t="shared" si="294"/>
        <v/>
      </c>
      <c r="BD598" s="268"/>
      <c r="BE598" s="258" t="str">
        <f t="shared" si="295"/>
        <v/>
      </c>
      <c r="BF598" s="268"/>
      <c r="BG598" s="256" t="str">
        <f t="shared" si="296"/>
        <v/>
      </c>
      <c r="BH598" s="256" t="str">
        <f t="shared" si="297"/>
        <v/>
      </c>
      <c r="BI598" s="256" t="str">
        <f t="shared" si="298"/>
        <v/>
      </c>
      <c r="BJ598" s="267"/>
      <c r="BK598" s="255"/>
      <c r="BL598" s="259" t="str">
        <f>IF(BK598&lt;&gt;"",BK598/VLOOKUP($V598,Setup!$C$30:$D$41,2,0),"")</f>
        <v/>
      </c>
      <c r="BM598" s="268"/>
      <c r="BN598" s="258" t="str">
        <f t="shared" si="299"/>
        <v/>
      </c>
      <c r="BO598" s="268"/>
      <c r="BP598" s="258" t="str">
        <f t="shared" si="300"/>
        <v/>
      </c>
      <c r="BQ598" s="268"/>
      <c r="BR598" s="258" t="str">
        <f t="shared" si="301"/>
        <v/>
      </c>
      <c r="BS598" s="268"/>
      <c r="BT598" s="256" t="str">
        <f t="shared" si="302"/>
        <v/>
      </c>
      <c r="BU598" s="256" t="str">
        <f t="shared" si="303"/>
        <v/>
      </c>
      <c r="BV598" s="256" t="str">
        <f t="shared" si="304"/>
        <v/>
      </c>
      <c r="BW598" s="267"/>
      <c r="BX598" s="256" t="str">
        <f t="shared" si="305"/>
        <v/>
      </c>
      <c r="BY598" s="256" t="str">
        <f t="shared" si="306"/>
        <v/>
      </c>
      <c r="BZ598" s="281"/>
      <c r="CA598" s="282"/>
      <c r="CF598" s="284"/>
      <c r="CG598" s="284"/>
      <c r="CH598" s="284"/>
      <c r="CI598" s="284"/>
      <c r="CL598" s="356" t="str">
        <f>IFERROR(VLOOKUP(C598,'Data Sheet'!$A$3:$B$26,2,FALSE),"")</f>
        <v/>
      </c>
    </row>
    <row r="599" spans="1:90" ht="15.75" x14ac:dyDescent="0.2">
      <c r="A599" s="97"/>
      <c r="B599" s="105" t="str">
        <f t="shared" si="309"/>
        <v>--</v>
      </c>
      <c r="C599" s="276"/>
      <c r="D599" s="101" t="str">
        <f>IFERROR(IF(VLOOKUP(C599,'Data Sheet'!$A$3:$D$26,4,FALSE)=0,"",VLOOKUP(C599,'Data Sheet'!$A$3:$D$26,4,FALSE)),"")</f>
        <v/>
      </c>
      <c r="E599" s="279"/>
      <c r="F599" s="103" t="str">
        <f>IFERROR(IF(VLOOKUP(E599,'Data Sheet'!$C$29:$E$174,3,FALSE)=0,"",VLOOKUP(E599,'Data Sheet'!$C$29:$E$174,3,FALSE)),"")</f>
        <v/>
      </c>
      <c r="G599" s="106" t="str">
        <f t="shared" si="307"/>
        <v>-</v>
      </c>
      <c r="H599" s="273"/>
      <c r="I599" s="107"/>
      <c r="J599" s="249" t="e">
        <f t="shared" si="308"/>
        <v>#VALUE!</v>
      </c>
      <c r="K599" s="101" t="str">
        <f>IFERROR(INDEX('Data Sheet'!$C$198:$C$275,MATCH(I599,'Data Sheet'!$F$198:$F$275,0)),"")</f>
        <v/>
      </c>
      <c r="L599" s="250" t="str">
        <f>IFERROR(INDEX('Data Sheet'!$G$198:$G$275,MATCH(I599,'Data Sheet'!$F$198:$F$275,0)),"")</f>
        <v/>
      </c>
      <c r="M599" s="194"/>
      <c r="N599" s="248"/>
      <c r="O599" s="248"/>
      <c r="P599" s="108" t="str">
        <f>IFERROR(INDEX(Setup!$D$44:$D$70,MATCH(M599,Setup!$K$44:$K$70,0))&amp;"","")</f>
        <v/>
      </c>
      <c r="Q599" s="108" t="str">
        <f>IFERROR(INDEX(Setup!$E$44:$E$70,MATCH(M599,Setup!$K$44:$K$70,0))&amp;"","")</f>
        <v/>
      </c>
      <c r="R599" s="108" t="str">
        <f>IFERROR(INDEX(Setup!$L$44:$L$70,MATCH(M599,Setup!$K$44:$K$70,0))&amp;"","")</f>
        <v/>
      </c>
      <c r="S599" s="108" t="str">
        <f>Setup!$C$30</f>
        <v>USD</v>
      </c>
      <c r="T599" s="109" t="str">
        <f>IFERROR(INDEX('Data Sheet'!$B$198:$B$275,MATCH(I599,'Data Sheet'!$F$198:$F$275,0)),"")</f>
        <v/>
      </c>
      <c r="U599" s="110" t="str">
        <f>IFERROR(INDEX('Data Sheet'!$D$198:$D$275,MATCH(I599,'Data Sheet'!$F$198:$F$275,0)),"")</f>
        <v/>
      </c>
      <c r="V599" s="99"/>
      <c r="W599" s="195" t="str">
        <f>IF(V599=Setup!$C$30,"Grant",IF(V599=Setup!$C$31,"Local",IF(V599=Setup!$C$32,"Other",IF(ISBLANK(V599),"","Other"))))</f>
        <v/>
      </c>
      <c r="X599" s="255"/>
      <c r="Y599" s="259" t="str">
        <f>IF(X599&lt;&gt;"",X599/VLOOKUP($V599,Setup!$C$30:$D$41,2,0),"")</f>
        <v/>
      </c>
      <c r="Z599" s="262"/>
      <c r="AA599" s="256" t="str">
        <f t="shared" si="281"/>
        <v/>
      </c>
      <c r="AB599" s="262"/>
      <c r="AC599" s="258" t="str">
        <f t="shared" si="282"/>
        <v/>
      </c>
      <c r="AD599" s="262"/>
      <c r="AE599" s="258" t="str">
        <f t="shared" si="283"/>
        <v/>
      </c>
      <c r="AF599" s="262"/>
      <c r="AG599" s="256" t="str">
        <f t="shared" si="284"/>
        <v/>
      </c>
      <c r="AH599" s="256" t="str">
        <f t="shared" si="285"/>
        <v/>
      </c>
      <c r="AI599" s="256" t="str">
        <f t="shared" si="286"/>
        <v/>
      </c>
      <c r="AJ599" s="111"/>
      <c r="AK599" s="255"/>
      <c r="AL599" s="259" t="str">
        <f>IF(AK599&lt;&gt;"",AK599/VLOOKUP($V599,Setup!$C$30:$D$41,2,0),"")</f>
        <v/>
      </c>
      <c r="AM599" s="266"/>
      <c r="AN599" s="258" t="str">
        <f t="shared" si="287"/>
        <v/>
      </c>
      <c r="AO599" s="266"/>
      <c r="AP599" s="258" t="str">
        <f t="shared" si="288"/>
        <v/>
      </c>
      <c r="AQ599" s="266"/>
      <c r="AR599" s="258" t="str">
        <f t="shared" si="289"/>
        <v/>
      </c>
      <c r="AS599" s="266"/>
      <c r="AT599" s="256" t="str">
        <f t="shared" si="290"/>
        <v/>
      </c>
      <c r="AU599" s="256" t="str">
        <f t="shared" si="291"/>
        <v/>
      </c>
      <c r="AV599" s="256" t="str">
        <f t="shared" si="292"/>
        <v/>
      </c>
      <c r="AW599" s="267"/>
      <c r="AX599" s="255"/>
      <c r="AY599" s="259" t="str">
        <f>IF(AX599&lt;&gt;"",AX599/VLOOKUP($V599,Setup!$C$30:$D$41,2,0),"")</f>
        <v/>
      </c>
      <c r="AZ599" s="268"/>
      <c r="BA599" s="258" t="str">
        <f t="shared" si="293"/>
        <v/>
      </c>
      <c r="BB599" s="268"/>
      <c r="BC599" s="258" t="str">
        <f t="shared" si="294"/>
        <v/>
      </c>
      <c r="BD599" s="268"/>
      <c r="BE599" s="258" t="str">
        <f t="shared" si="295"/>
        <v/>
      </c>
      <c r="BF599" s="268"/>
      <c r="BG599" s="256" t="str">
        <f t="shared" si="296"/>
        <v/>
      </c>
      <c r="BH599" s="256" t="str">
        <f t="shared" si="297"/>
        <v/>
      </c>
      <c r="BI599" s="256" t="str">
        <f t="shared" si="298"/>
        <v/>
      </c>
      <c r="BJ599" s="267"/>
      <c r="BK599" s="255"/>
      <c r="BL599" s="259" t="str">
        <f>IF(BK599&lt;&gt;"",BK599/VLOOKUP($V599,Setup!$C$30:$D$41,2,0),"")</f>
        <v/>
      </c>
      <c r="BM599" s="268"/>
      <c r="BN599" s="258" t="str">
        <f t="shared" si="299"/>
        <v/>
      </c>
      <c r="BO599" s="268"/>
      <c r="BP599" s="258" t="str">
        <f t="shared" si="300"/>
        <v/>
      </c>
      <c r="BQ599" s="268"/>
      <c r="BR599" s="258" t="str">
        <f t="shared" si="301"/>
        <v/>
      </c>
      <c r="BS599" s="268"/>
      <c r="BT599" s="256" t="str">
        <f t="shared" si="302"/>
        <v/>
      </c>
      <c r="BU599" s="256" t="str">
        <f t="shared" si="303"/>
        <v/>
      </c>
      <c r="BV599" s="256" t="str">
        <f t="shared" si="304"/>
        <v/>
      </c>
      <c r="BW599" s="267"/>
      <c r="BX599" s="256" t="str">
        <f t="shared" si="305"/>
        <v/>
      </c>
      <c r="BY599" s="256" t="str">
        <f t="shared" si="306"/>
        <v/>
      </c>
      <c r="BZ599" s="281"/>
      <c r="CA599" s="282"/>
      <c r="CF599" s="284"/>
      <c r="CG599" s="284"/>
      <c r="CH599" s="284"/>
      <c r="CI599" s="284"/>
      <c r="CL599" s="356" t="str">
        <f>IFERROR(VLOOKUP(C599,'Data Sheet'!$A$3:$B$26,2,FALSE),"")</f>
        <v/>
      </c>
    </row>
    <row r="600" spans="1:90" ht="15.75" x14ac:dyDescent="0.2">
      <c r="A600" s="97"/>
      <c r="B600" s="105" t="str">
        <f t="shared" si="309"/>
        <v>--</v>
      </c>
      <c r="C600" s="276"/>
      <c r="D600" s="101" t="str">
        <f>IFERROR(IF(VLOOKUP(C600,'Data Sheet'!$A$3:$D$26,4,FALSE)=0,"",VLOOKUP(C600,'Data Sheet'!$A$3:$D$26,4,FALSE)),"")</f>
        <v/>
      </c>
      <c r="E600" s="279"/>
      <c r="F600" s="103" t="str">
        <f>IFERROR(IF(VLOOKUP(E600,'Data Sheet'!$C$29:$E$174,3,FALSE)=0,"",VLOOKUP(E600,'Data Sheet'!$C$29:$E$174,3,FALSE)),"")</f>
        <v/>
      </c>
      <c r="G600" s="106" t="str">
        <f t="shared" si="307"/>
        <v>-</v>
      </c>
      <c r="H600" s="273"/>
      <c r="I600" s="107"/>
      <c r="J600" s="249" t="e">
        <f t="shared" si="308"/>
        <v>#VALUE!</v>
      </c>
      <c r="K600" s="101" t="str">
        <f>IFERROR(INDEX('Data Sheet'!$C$198:$C$275,MATCH(I600,'Data Sheet'!$F$198:$F$275,0)),"")</f>
        <v/>
      </c>
      <c r="L600" s="250" t="str">
        <f>IFERROR(INDEX('Data Sheet'!$G$198:$G$275,MATCH(I600,'Data Sheet'!$F$198:$F$275,0)),"")</f>
        <v/>
      </c>
      <c r="M600" s="194"/>
      <c r="N600" s="248"/>
      <c r="O600" s="248"/>
      <c r="P600" s="108" t="str">
        <f>IFERROR(INDEX(Setup!$D$44:$D$70,MATCH(M600,Setup!$K$44:$K$70,0))&amp;"","")</f>
        <v/>
      </c>
      <c r="Q600" s="108" t="str">
        <f>IFERROR(INDEX(Setup!$E$44:$E$70,MATCH(M600,Setup!$K$44:$K$70,0))&amp;"","")</f>
        <v/>
      </c>
      <c r="R600" s="108" t="str">
        <f>IFERROR(INDEX(Setup!$L$44:$L$70,MATCH(M600,Setup!$K$44:$K$70,0))&amp;"","")</f>
        <v/>
      </c>
      <c r="S600" s="108" t="str">
        <f>Setup!$C$30</f>
        <v>USD</v>
      </c>
      <c r="T600" s="109" t="str">
        <f>IFERROR(INDEX('Data Sheet'!$B$198:$B$275,MATCH(I600,'Data Sheet'!$F$198:$F$275,0)),"")</f>
        <v/>
      </c>
      <c r="U600" s="110" t="str">
        <f>IFERROR(INDEX('Data Sheet'!$D$198:$D$275,MATCH(I600,'Data Sheet'!$F$198:$F$275,0)),"")</f>
        <v/>
      </c>
      <c r="V600" s="99"/>
      <c r="W600" s="195" t="str">
        <f>IF(V600=Setup!$C$30,"Grant",IF(V600=Setup!$C$31,"Local",IF(V600=Setup!$C$32,"Other",IF(ISBLANK(V600),"","Other"))))</f>
        <v/>
      </c>
      <c r="X600" s="255"/>
      <c r="Y600" s="259" t="str">
        <f>IF(X600&lt;&gt;"",X600/VLOOKUP($V600,Setup!$C$30:$D$41,2,0),"")</f>
        <v/>
      </c>
      <c r="Z600" s="262"/>
      <c r="AA600" s="256" t="str">
        <f t="shared" si="281"/>
        <v/>
      </c>
      <c r="AB600" s="262"/>
      <c r="AC600" s="258" t="str">
        <f t="shared" si="282"/>
        <v/>
      </c>
      <c r="AD600" s="262"/>
      <c r="AE600" s="258" t="str">
        <f t="shared" si="283"/>
        <v/>
      </c>
      <c r="AF600" s="262"/>
      <c r="AG600" s="256" t="str">
        <f t="shared" si="284"/>
        <v/>
      </c>
      <c r="AH600" s="256" t="str">
        <f t="shared" si="285"/>
        <v/>
      </c>
      <c r="AI600" s="256" t="str">
        <f t="shared" si="286"/>
        <v/>
      </c>
      <c r="AJ600" s="111"/>
      <c r="AK600" s="255"/>
      <c r="AL600" s="259" t="str">
        <f>IF(AK600&lt;&gt;"",AK600/VLOOKUP($V600,Setup!$C$30:$D$41,2,0),"")</f>
        <v/>
      </c>
      <c r="AM600" s="266"/>
      <c r="AN600" s="258" t="str">
        <f t="shared" si="287"/>
        <v/>
      </c>
      <c r="AO600" s="266"/>
      <c r="AP600" s="258" t="str">
        <f t="shared" si="288"/>
        <v/>
      </c>
      <c r="AQ600" s="266"/>
      <c r="AR600" s="258" t="str">
        <f t="shared" si="289"/>
        <v/>
      </c>
      <c r="AS600" s="266"/>
      <c r="AT600" s="256" t="str">
        <f t="shared" si="290"/>
        <v/>
      </c>
      <c r="AU600" s="256" t="str">
        <f t="shared" si="291"/>
        <v/>
      </c>
      <c r="AV600" s="256" t="str">
        <f t="shared" si="292"/>
        <v/>
      </c>
      <c r="AW600" s="267"/>
      <c r="AX600" s="255"/>
      <c r="AY600" s="259" t="str">
        <f>IF(AX600&lt;&gt;"",AX600/VLOOKUP($V600,Setup!$C$30:$D$41,2,0),"")</f>
        <v/>
      </c>
      <c r="AZ600" s="268"/>
      <c r="BA600" s="258" t="str">
        <f t="shared" si="293"/>
        <v/>
      </c>
      <c r="BB600" s="268"/>
      <c r="BC600" s="258" t="str">
        <f t="shared" si="294"/>
        <v/>
      </c>
      <c r="BD600" s="268"/>
      <c r="BE600" s="258" t="str">
        <f t="shared" si="295"/>
        <v/>
      </c>
      <c r="BF600" s="268"/>
      <c r="BG600" s="256" t="str">
        <f t="shared" si="296"/>
        <v/>
      </c>
      <c r="BH600" s="256" t="str">
        <f t="shared" si="297"/>
        <v/>
      </c>
      <c r="BI600" s="256" t="str">
        <f t="shared" si="298"/>
        <v/>
      </c>
      <c r="BJ600" s="267"/>
      <c r="BK600" s="255"/>
      <c r="BL600" s="259" t="str">
        <f>IF(BK600&lt;&gt;"",BK600/VLOOKUP($V600,Setup!$C$30:$D$41,2,0),"")</f>
        <v/>
      </c>
      <c r="BM600" s="268"/>
      <c r="BN600" s="258" t="str">
        <f t="shared" si="299"/>
        <v/>
      </c>
      <c r="BO600" s="268"/>
      <c r="BP600" s="258" t="str">
        <f t="shared" si="300"/>
        <v/>
      </c>
      <c r="BQ600" s="268"/>
      <c r="BR600" s="258" t="str">
        <f t="shared" si="301"/>
        <v/>
      </c>
      <c r="BS600" s="268"/>
      <c r="BT600" s="256" t="str">
        <f t="shared" si="302"/>
        <v/>
      </c>
      <c r="BU600" s="256" t="str">
        <f t="shared" si="303"/>
        <v/>
      </c>
      <c r="BV600" s="256" t="str">
        <f t="shared" si="304"/>
        <v/>
      </c>
      <c r="BW600" s="267"/>
      <c r="BX600" s="256" t="str">
        <f t="shared" si="305"/>
        <v/>
      </c>
      <c r="BY600" s="256" t="str">
        <f t="shared" si="306"/>
        <v/>
      </c>
      <c r="BZ600" s="281"/>
      <c r="CA600" s="282"/>
      <c r="CF600" s="284"/>
      <c r="CG600" s="284"/>
      <c r="CH600" s="284"/>
      <c r="CI600" s="284"/>
      <c r="CL600" s="356" t="str">
        <f>IFERROR(VLOOKUP(C600,'Data Sheet'!$A$3:$B$26,2,FALSE),"")</f>
        <v/>
      </c>
    </row>
    <row r="601" spans="1:90" ht="15.75" x14ac:dyDescent="0.2">
      <c r="A601" s="97"/>
      <c r="B601" s="105" t="str">
        <f t="shared" si="309"/>
        <v>--</v>
      </c>
      <c r="C601" s="276"/>
      <c r="D601" s="101" t="str">
        <f>IFERROR(IF(VLOOKUP(C601,'Data Sheet'!$A$3:$D$26,4,FALSE)=0,"",VLOOKUP(C601,'Data Sheet'!$A$3:$D$26,4,FALSE)),"")</f>
        <v/>
      </c>
      <c r="E601" s="279"/>
      <c r="F601" s="103" t="str">
        <f>IFERROR(IF(VLOOKUP(E601,'Data Sheet'!$C$29:$E$174,3,FALSE)=0,"",VLOOKUP(E601,'Data Sheet'!$C$29:$E$174,3,FALSE)),"")</f>
        <v/>
      </c>
      <c r="G601" s="106" t="str">
        <f t="shared" si="307"/>
        <v>-</v>
      </c>
      <c r="H601" s="273"/>
      <c r="I601" s="107"/>
      <c r="J601" s="249" t="e">
        <f t="shared" si="308"/>
        <v>#VALUE!</v>
      </c>
      <c r="K601" s="101" t="str">
        <f>IFERROR(INDEX('Data Sheet'!$C$198:$C$275,MATCH(I601,'Data Sheet'!$F$198:$F$275,0)),"")</f>
        <v/>
      </c>
      <c r="L601" s="250" t="str">
        <f>IFERROR(INDEX('Data Sheet'!$G$198:$G$275,MATCH(I601,'Data Sheet'!$F$198:$F$275,0)),"")</f>
        <v/>
      </c>
      <c r="M601" s="194"/>
      <c r="N601" s="248"/>
      <c r="O601" s="248"/>
      <c r="P601" s="108" t="str">
        <f>IFERROR(INDEX(Setup!$D$44:$D$70,MATCH(M601,Setup!$K$44:$K$70,0))&amp;"","")</f>
        <v/>
      </c>
      <c r="Q601" s="108" t="str">
        <f>IFERROR(INDEX(Setup!$E$44:$E$70,MATCH(M601,Setup!$K$44:$K$70,0))&amp;"","")</f>
        <v/>
      </c>
      <c r="R601" s="108" t="str">
        <f>IFERROR(INDEX(Setup!$L$44:$L$70,MATCH(M601,Setup!$K$44:$K$70,0))&amp;"","")</f>
        <v/>
      </c>
      <c r="S601" s="108" t="str">
        <f>Setup!$C$30</f>
        <v>USD</v>
      </c>
      <c r="T601" s="109" t="str">
        <f>IFERROR(INDEX('Data Sheet'!$B$198:$B$275,MATCH(I601,'Data Sheet'!$F$198:$F$275,0)),"")</f>
        <v/>
      </c>
      <c r="U601" s="110" t="str">
        <f>IFERROR(INDEX('Data Sheet'!$D$198:$D$275,MATCH(I601,'Data Sheet'!$F$198:$F$275,0)),"")</f>
        <v/>
      </c>
      <c r="V601" s="99"/>
      <c r="W601" s="195" t="str">
        <f>IF(V601=Setup!$C$30,"Grant",IF(V601=Setup!$C$31,"Local",IF(V601=Setup!$C$32,"Other",IF(ISBLANK(V601),"","Other"))))</f>
        <v/>
      </c>
      <c r="X601" s="255"/>
      <c r="Y601" s="259" t="str">
        <f>IF(X601&lt;&gt;"",X601/VLOOKUP($V601,Setup!$C$30:$D$41,2,0),"")</f>
        <v/>
      </c>
      <c r="Z601" s="262"/>
      <c r="AA601" s="256" t="str">
        <f t="shared" si="281"/>
        <v/>
      </c>
      <c r="AB601" s="262"/>
      <c r="AC601" s="258" t="str">
        <f t="shared" si="282"/>
        <v/>
      </c>
      <c r="AD601" s="262"/>
      <c r="AE601" s="258" t="str">
        <f t="shared" si="283"/>
        <v/>
      </c>
      <c r="AF601" s="262"/>
      <c r="AG601" s="256" t="str">
        <f t="shared" si="284"/>
        <v/>
      </c>
      <c r="AH601" s="256" t="str">
        <f t="shared" si="285"/>
        <v/>
      </c>
      <c r="AI601" s="256" t="str">
        <f t="shared" si="286"/>
        <v/>
      </c>
      <c r="AJ601" s="111"/>
      <c r="AK601" s="255"/>
      <c r="AL601" s="259" t="str">
        <f>IF(AK601&lt;&gt;"",AK601/VLOOKUP($V601,Setup!$C$30:$D$41,2,0),"")</f>
        <v/>
      </c>
      <c r="AM601" s="266"/>
      <c r="AN601" s="258" t="str">
        <f t="shared" si="287"/>
        <v/>
      </c>
      <c r="AO601" s="266"/>
      <c r="AP601" s="258" t="str">
        <f t="shared" si="288"/>
        <v/>
      </c>
      <c r="AQ601" s="266"/>
      <c r="AR601" s="258" t="str">
        <f t="shared" si="289"/>
        <v/>
      </c>
      <c r="AS601" s="266"/>
      <c r="AT601" s="256" t="str">
        <f t="shared" si="290"/>
        <v/>
      </c>
      <c r="AU601" s="256" t="str">
        <f t="shared" si="291"/>
        <v/>
      </c>
      <c r="AV601" s="256" t="str">
        <f t="shared" si="292"/>
        <v/>
      </c>
      <c r="AW601" s="267"/>
      <c r="AX601" s="255"/>
      <c r="AY601" s="259" t="str">
        <f>IF(AX601&lt;&gt;"",AX601/VLOOKUP($V601,Setup!$C$30:$D$41,2,0),"")</f>
        <v/>
      </c>
      <c r="AZ601" s="268"/>
      <c r="BA601" s="258" t="str">
        <f t="shared" si="293"/>
        <v/>
      </c>
      <c r="BB601" s="268"/>
      <c r="BC601" s="258" t="str">
        <f t="shared" si="294"/>
        <v/>
      </c>
      <c r="BD601" s="268"/>
      <c r="BE601" s="258" t="str">
        <f t="shared" si="295"/>
        <v/>
      </c>
      <c r="BF601" s="268"/>
      <c r="BG601" s="256" t="str">
        <f t="shared" si="296"/>
        <v/>
      </c>
      <c r="BH601" s="256" t="str">
        <f t="shared" si="297"/>
        <v/>
      </c>
      <c r="BI601" s="256" t="str">
        <f t="shared" si="298"/>
        <v/>
      </c>
      <c r="BJ601" s="267"/>
      <c r="BK601" s="255"/>
      <c r="BL601" s="259" t="str">
        <f>IF(BK601&lt;&gt;"",BK601/VLOOKUP($V601,Setup!$C$30:$D$41,2,0),"")</f>
        <v/>
      </c>
      <c r="BM601" s="268"/>
      <c r="BN601" s="258" t="str">
        <f t="shared" si="299"/>
        <v/>
      </c>
      <c r="BO601" s="268"/>
      <c r="BP601" s="258" t="str">
        <f t="shared" si="300"/>
        <v/>
      </c>
      <c r="BQ601" s="268"/>
      <c r="BR601" s="258" t="str">
        <f t="shared" si="301"/>
        <v/>
      </c>
      <c r="BS601" s="268"/>
      <c r="BT601" s="256" t="str">
        <f t="shared" si="302"/>
        <v/>
      </c>
      <c r="BU601" s="256" t="str">
        <f t="shared" si="303"/>
        <v/>
      </c>
      <c r="BV601" s="256" t="str">
        <f t="shared" si="304"/>
        <v/>
      </c>
      <c r="BW601" s="267"/>
      <c r="BX601" s="256" t="str">
        <f t="shared" si="305"/>
        <v/>
      </c>
      <c r="BY601" s="256" t="str">
        <f t="shared" si="306"/>
        <v/>
      </c>
      <c r="BZ601" s="281"/>
      <c r="CA601" s="282"/>
      <c r="CF601" s="284"/>
      <c r="CG601" s="284"/>
      <c r="CH601" s="284"/>
      <c r="CI601" s="284"/>
      <c r="CL601" s="356" t="str">
        <f>IFERROR(VLOOKUP(C601,'Data Sheet'!$A$3:$B$26,2,FALSE),"")</f>
        <v/>
      </c>
    </row>
    <row r="602" spans="1:90" ht="15.75" x14ac:dyDescent="0.2">
      <c r="A602" s="97"/>
      <c r="B602" s="105" t="str">
        <f t="shared" si="309"/>
        <v>--</v>
      </c>
      <c r="C602" s="276"/>
      <c r="D602" s="101" t="str">
        <f>IFERROR(IF(VLOOKUP(C602,'Data Sheet'!$A$3:$D$26,4,FALSE)=0,"",VLOOKUP(C602,'Data Sheet'!$A$3:$D$26,4,FALSE)),"")</f>
        <v/>
      </c>
      <c r="E602" s="279"/>
      <c r="F602" s="103" t="str">
        <f>IFERROR(IF(VLOOKUP(E602,'Data Sheet'!$C$29:$E$174,3,FALSE)=0,"",VLOOKUP(E602,'Data Sheet'!$C$29:$E$174,3,FALSE)),"")</f>
        <v/>
      </c>
      <c r="G602" s="106" t="str">
        <f t="shared" si="307"/>
        <v>-</v>
      </c>
      <c r="H602" s="273"/>
      <c r="I602" s="107"/>
      <c r="J602" s="249" t="e">
        <f t="shared" si="308"/>
        <v>#VALUE!</v>
      </c>
      <c r="K602" s="101" t="str">
        <f>IFERROR(INDEX('Data Sheet'!$C$198:$C$275,MATCH(I602,'Data Sheet'!$F$198:$F$275,0)),"")</f>
        <v/>
      </c>
      <c r="L602" s="250" t="str">
        <f>IFERROR(INDEX('Data Sheet'!$G$198:$G$275,MATCH(I602,'Data Sheet'!$F$198:$F$275,0)),"")</f>
        <v/>
      </c>
      <c r="M602" s="194"/>
      <c r="N602" s="248"/>
      <c r="O602" s="248"/>
      <c r="P602" s="108" t="str">
        <f>IFERROR(INDEX(Setup!$D$44:$D$70,MATCH(M602,Setup!$K$44:$K$70,0))&amp;"","")</f>
        <v/>
      </c>
      <c r="Q602" s="108" t="str">
        <f>IFERROR(INDEX(Setup!$E$44:$E$70,MATCH(M602,Setup!$K$44:$K$70,0))&amp;"","")</f>
        <v/>
      </c>
      <c r="R602" s="108" t="str">
        <f>IFERROR(INDEX(Setup!$L$44:$L$70,MATCH(M602,Setup!$K$44:$K$70,0))&amp;"","")</f>
        <v/>
      </c>
      <c r="S602" s="108" t="str">
        <f>Setup!$C$30</f>
        <v>USD</v>
      </c>
      <c r="T602" s="109" t="str">
        <f>IFERROR(INDEX('Data Sheet'!$B$198:$B$275,MATCH(I602,'Data Sheet'!$F$198:$F$275,0)),"")</f>
        <v/>
      </c>
      <c r="U602" s="110" t="str">
        <f>IFERROR(INDEX('Data Sheet'!$D$198:$D$275,MATCH(I602,'Data Sheet'!$F$198:$F$275,0)),"")</f>
        <v/>
      </c>
      <c r="V602" s="99"/>
      <c r="W602" s="195" t="str">
        <f>IF(V602=Setup!$C$30,"Grant",IF(V602=Setup!$C$31,"Local",IF(V602=Setup!$C$32,"Other",IF(ISBLANK(V602),"","Other"))))</f>
        <v/>
      </c>
      <c r="X602" s="255"/>
      <c r="Y602" s="259" t="str">
        <f>IF(X602&lt;&gt;"",X602/VLOOKUP($V602,Setup!$C$30:$D$41,2,0),"")</f>
        <v/>
      </c>
      <c r="Z602" s="262"/>
      <c r="AA602" s="256" t="str">
        <f t="shared" si="281"/>
        <v/>
      </c>
      <c r="AB602" s="262"/>
      <c r="AC602" s="258" t="str">
        <f t="shared" si="282"/>
        <v/>
      </c>
      <c r="AD602" s="262"/>
      <c r="AE602" s="258" t="str">
        <f t="shared" si="283"/>
        <v/>
      </c>
      <c r="AF602" s="262"/>
      <c r="AG602" s="256" t="str">
        <f t="shared" si="284"/>
        <v/>
      </c>
      <c r="AH602" s="256" t="str">
        <f t="shared" si="285"/>
        <v/>
      </c>
      <c r="AI602" s="256" t="str">
        <f t="shared" si="286"/>
        <v/>
      </c>
      <c r="AJ602" s="111"/>
      <c r="AK602" s="255"/>
      <c r="AL602" s="259" t="str">
        <f>IF(AK602&lt;&gt;"",AK602/VLOOKUP($V602,Setup!$C$30:$D$41,2,0),"")</f>
        <v/>
      </c>
      <c r="AM602" s="266"/>
      <c r="AN602" s="258" t="str">
        <f t="shared" si="287"/>
        <v/>
      </c>
      <c r="AO602" s="266"/>
      <c r="AP602" s="258" t="str">
        <f t="shared" si="288"/>
        <v/>
      </c>
      <c r="AQ602" s="266"/>
      <c r="AR602" s="258" t="str">
        <f t="shared" si="289"/>
        <v/>
      </c>
      <c r="AS602" s="266"/>
      <c r="AT602" s="256" t="str">
        <f t="shared" si="290"/>
        <v/>
      </c>
      <c r="AU602" s="256" t="str">
        <f t="shared" si="291"/>
        <v/>
      </c>
      <c r="AV602" s="256" t="str">
        <f t="shared" si="292"/>
        <v/>
      </c>
      <c r="AW602" s="267"/>
      <c r="AX602" s="255"/>
      <c r="AY602" s="259" t="str">
        <f>IF(AX602&lt;&gt;"",AX602/VLOOKUP($V602,Setup!$C$30:$D$41,2,0),"")</f>
        <v/>
      </c>
      <c r="AZ602" s="268"/>
      <c r="BA602" s="258" t="str">
        <f t="shared" si="293"/>
        <v/>
      </c>
      <c r="BB602" s="268"/>
      <c r="BC602" s="258" t="str">
        <f t="shared" si="294"/>
        <v/>
      </c>
      <c r="BD602" s="268"/>
      <c r="BE602" s="258" t="str">
        <f t="shared" si="295"/>
        <v/>
      </c>
      <c r="BF602" s="268"/>
      <c r="BG602" s="256" t="str">
        <f t="shared" si="296"/>
        <v/>
      </c>
      <c r="BH602" s="256" t="str">
        <f t="shared" si="297"/>
        <v/>
      </c>
      <c r="BI602" s="256" t="str">
        <f t="shared" si="298"/>
        <v/>
      </c>
      <c r="BJ602" s="267"/>
      <c r="BK602" s="255"/>
      <c r="BL602" s="259" t="str">
        <f>IF(BK602&lt;&gt;"",BK602/VLOOKUP($V602,Setup!$C$30:$D$41,2,0),"")</f>
        <v/>
      </c>
      <c r="BM602" s="268"/>
      <c r="BN602" s="258" t="str">
        <f t="shared" si="299"/>
        <v/>
      </c>
      <c r="BO602" s="268"/>
      <c r="BP602" s="258" t="str">
        <f t="shared" si="300"/>
        <v/>
      </c>
      <c r="BQ602" s="268"/>
      <c r="BR602" s="258" t="str">
        <f t="shared" si="301"/>
        <v/>
      </c>
      <c r="BS602" s="268"/>
      <c r="BT602" s="256" t="str">
        <f t="shared" si="302"/>
        <v/>
      </c>
      <c r="BU602" s="256" t="str">
        <f t="shared" si="303"/>
        <v/>
      </c>
      <c r="BV602" s="256" t="str">
        <f t="shared" si="304"/>
        <v/>
      </c>
      <c r="BW602" s="267"/>
      <c r="BX602" s="256" t="str">
        <f t="shared" si="305"/>
        <v/>
      </c>
      <c r="BY602" s="256" t="str">
        <f t="shared" si="306"/>
        <v/>
      </c>
      <c r="BZ602" s="281"/>
      <c r="CA602" s="282"/>
      <c r="CF602" s="284"/>
      <c r="CG602" s="284"/>
      <c r="CH602" s="284"/>
      <c r="CI602" s="284"/>
      <c r="CL602" s="356" t="str">
        <f>IFERROR(VLOOKUP(C602,'Data Sheet'!$A$3:$B$26,2,FALSE),"")</f>
        <v/>
      </c>
    </row>
    <row r="603" spans="1:90" ht="15.75" x14ac:dyDescent="0.2">
      <c r="A603" s="97"/>
      <c r="B603" s="105" t="str">
        <f t="shared" si="309"/>
        <v>--</v>
      </c>
      <c r="C603" s="276"/>
      <c r="D603" s="101" t="str">
        <f>IFERROR(IF(VLOOKUP(C603,'Data Sheet'!$A$3:$D$26,4,FALSE)=0,"",VLOOKUP(C603,'Data Sheet'!$A$3:$D$26,4,FALSE)),"")</f>
        <v/>
      </c>
      <c r="E603" s="279"/>
      <c r="F603" s="103" t="str">
        <f>IFERROR(IF(VLOOKUP(E603,'Data Sheet'!$C$29:$E$174,3,FALSE)=0,"",VLOOKUP(E603,'Data Sheet'!$C$29:$E$174,3,FALSE)),"")</f>
        <v/>
      </c>
      <c r="G603" s="106" t="str">
        <f t="shared" si="307"/>
        <v>-</v>
      </c>
      <c r="H603" s="273"/>
      <c r="I603" s="107"/>
      <c r="J603" s="249" t="e">
        <f t="shared" si="308"/>
        <v>#VALUE!</v>
      </c>
      <c r="K603" s="101" t="str">
        <f>IFERROR(INDEX('Data Sheet'!$C$198:$C$275,MATCH(I603,'Data Sheet'!$F$198:$F$275,0)),"")</f>
        <v/>
      </c>
      <c r="L603" s="250" t="str">
        <f>IFERROR(INDEX('Data Sheet'!$G$198:$G$275,MATCH(I603,'Data Sheet'!$F$198:$F$275,0)),"")</f>
        <v/>
      </c>
      <c r="M603" s="194"/>
      <c r="N603" s="248"/>
      <c r="O603" s="248"/>
      <c r="P603" s="108" t="str">
        <f>IFERROR(INDEX(Setup!$D$44:$D$70,MATCH(M603,Setup!$K$44:$K$70,0))&amp;"","")</f>
        <v/>
      </c>
      <c r="Q603" s="108" t="str">
        <f>IFERROR(INDEX(Setup!$E$44:$E$70,MATCH(M603,Setup!$K$44:$K$70,0))&amp;"","")</f>
        <v/>
      </c>
      <c r="R603" s="108" t="str">
        <f>IFERROR(INDEX(Setup!$L$44:$L$70,MATCH(M603,Setup!$K$44:$K$70,0))&amp;"","")</f>
        <v/>
      </c>
      <c r="S603" s="108" t="str">
        <f>Setup!$C$30</f>
        <v>USD</v>
      </c>
      <c r="T603" s="109" t="str">
        <f>IFERROR(INDEX('Data Sheet'!$B$198:$B$275,MATCH(I603,'Data Sheet'!$F$198:$F$275,0)),"")</f>
        <v/>
      </c>
      <c r="U603" s="110" t="str">
        <f>IFERROR(INDEX('Data Sheet'!$D$198:$D$275,MATCH(I603,'Data Sheet'!$F$198:$F$275,0)),"")</f>
        <v/>
      </c>
      <c r="V603" s="99"/>
      <c r="W603" s="195" t="str">
        <f>IF(V603=Setup!$C$30,"Grant",IF(V603=Setup!$C$31,"Local",IF(V603=Setup!$C$32,"Other",IF(ISBLANK(V603),"","Other"))))</f>
        <v/>
      </c>
      <c r="X603" s="255"/>
      <c r="Y603" s="259" t="str">
        <f>IF(X603&lt;&gt;"",X603/VLOOKUP($V603,Setup!$C$30:$D$41,2,0),"")</f>
        <v/>
      </c>
      <c r="Z603" s="262"/>
      <c r="AA603" s="256" t="str">
        <f t="shared" si="281"/>
        <v/>
      </c>
      <c r="AB603" s="262"/>
      <c r="AC603" s="258" t="str">
        <f t="shared" si="282"/>
        <v/>
      </c>
      <c r="AD603" s="262"/>
      <c r="AE603" s="258" t="str">
        <f t="shared" si="283"/>
        <v/>
      </c>
      <c r="AF603" s="262"/>
      <c r="AG603" s="256" t="str">
        <f t="shared" si="284"/>
        <v/>
      </c>
      <c r="AH603" s="256" t="str">
        <f t="shared" si="285"/>
        <v/>
      </c>
      <c r="AI603" s="256" t="str">
        <f t="shared" si="286"/>
        <v/>
      </c>
      <c r="AJ603" s="111"/>
      <c r="AK603" s="255"/>
      <c r="AL603" s="259" t="str">
        <f>IF(AK603&lt;&gt;"",AK603/VLOOKUP($V603,Setup!$C$30:$D$41,2,0),"")</f>
        <v/>
      </c>
      <c r="AM603" s="266"/>
      <c r="AN603" s="258" t="str">
        <f t="shared" si="287"/>
        <v/>
      </c>
      <c r="AO603" s="266"/>
      <c r="AP603" s="258" t="str">
        <f t="shared" si="288"/>
        <v/>
      </c>
      <c r="AQ603" s="266"/>
      <c r="AR603" s="258" t="str">
        <f t="shared" si="289"/>
        <v/>
      </c>
      <c r="AS603" s="266"/>
      <c r="AT603" s="256" t="str">
        <f t="shared" si="290"/>
        <v/>
      </c>
      <c r="AU603" s="256" t="str">
        <f t="shared" si="291"/>
        <v/>
      </c>
      <c r="AV603" s="256" t="str">
        <f t="shared" si="292"/>
        <v/>
      </c>
      <c r="AW603" s="267"/>
      <c r="AX603" s="255"/>
      <c r="AY603" s="259" t="str">
        <f>IF(AX603&lt;&gt;"",AX603/VLOOKUP($V603,Setup!$C$30:$D$41,2,0),"")</f>
        <v/>
      </c>
      <c r="AZ603" s="268"/>
      <c r="BA603" s="258" t="str">
        <f t="shared" si="293"/>
        <v/>
      </c>
      <c r="BB603" s="268"/>
      <c r="BC603" s="258" t="str">
        <f t="shared" si="294"/>
        <v/>
      </c>
      <c r="BD603" s="268"/>
      <c r="BE603" s="258" t="str">
        <f t="shared" si="295"/>
        <v/>
      </c>
      <c r="BF603" s="268"/>
      <c r="BG603" s="256" t="str">
        <f t="shared" si="296"/>
        <v/>
      </c>
      <c r="BH603" s="256" t="str">
        <f t="shared" si="297"/>
        <v/>
      </c>
      <c r="BI603" s="256" t="str">
        <f t="shared" si="298"/>
        <v/>
      </c>
      <c r="BJ603" s="267"/>
      <c r="BK603" s="255"/>
      <c r="BL603" s="259" t="str">
        <f>IF(BK603&lt;&gt;"",BK603/VLOOKUP($V603,Setup!$C$30:$D$41,2,0),"")</f>
        <v/>
      </c>
      <c r="BM603" s="268"/>
      <c r="BN603" s="258" t="str">
        <f t="shared" si="299"/>
        <v/>
      </c>
      <c r="BO603" s="268"/>
      <c r="BP603" s="258" t="str">
        <f t="shared" si="300"/>
        <v/>
      </c>
      <c r="BQ603" s="268"/>
      <c r="BR603" s="258" t="str">
        <f t="shared" si="301"/>
        <v/>
      </c>
      <c r="BS603" s="268"/>
      <c r="BT603" s="256" t="str">
        <f t="shared" si="302"/>
        <v/>
      </c>
      <c r="BU603" s="256" t="str">
        <f t="shared" si="303"/>
        <v/>
      </c>
      <c r="BV603" s="256" t="str">
        <f t="shared" si="304"/>
        <v/>
      </c>
      <c r="BW603" s="267"/>
      <c r="BX603" s="256" t="str">
        <f t="shared" si="305"/>
        <v/>
      </c>
      <c r="BY603" s="256" t="str">
        <f t="shared" si="306"/>
        <v/>
      </c>
      <c r="BZ603" s="281"/>
      <c r="CA603" s="282"/>
      <c r="CF603" s="284"/>
      <c r="CG603" s="284"/>
      <c r="CH603" s="284"/>
      <c r="CI603" s="284"/>
      <c r="CL603" s="356" t="str">
        <f>IFERROR(VLOOKUP(C603,'Data Sheet'!$A$3:$B$26,2,FALSE),"")</f>
        <v/>
      </c>
    </row>
    <row r="604" spans="1:90" ht="15.75" x14ac:dyDescent="0.2">
      <c r="A604" s="97"/>
      <c r="B604" s="105" t="str">
        <f t="shared" si="309"/>
        <v>--</v>
      </c>
      <c r="C604" s="276"/>
      <c r="D604" s="101" t="str">
        <f>IFERROR(IF(VLOOKUP(C604,'Data Sheet'!$A$3:$D$26,4,FALSE)=0,"",VLOOKUP(C604,'Data Sheet'!$A$3:$D$26,4,FALSE)),"")</f>
        <v/>
      </c>
      <c r="E604" s="279"/>
      <c r="F604" s="103" t="str">
        <f>IFERROR(IF(VLOOKUP(E604,'Data Sheet'!$C$29:$E$174,3,FALSE)=0,"",VLOOKUP(E604,'Data Sheet'!$C$29:$E$174,3,FALSE)),"")</f>
        <v/>
      </c>
      <c r="G604" s="106" t="str">
        <f t="shared" si="307"/>
        <v>-</v>
      </c>
      <c r="H604" s="273"/>
      <c r="I604" s="107"/>
      <c r="J604" s="249" t="e">
        <f t="shared" si="308"/>
        <v>#VALUE!</v>
      </c>
      <c r="K604" s="101" t="str">
        <f>IFERROR(INDEX('Data Sheet'!$C$198:$C$275,MATCH(I604,'Data Sheet'!$F$198:$F$275,0)),"")</f>
        <v/>
      </c>
      <c r="L604" s="250" t="str">
        <f>IFERROR(INDEX('Data Sheet'!$G$198:$G$275,MATCH(I604,'Data Sheet'!$F$198:$F$275,0)),"")</f>
        <v/>
      </c>
      <c r="M604" s="194"/>
      <c r="N604" s="248"/>
      <c r="O604" s="248"/>
      <c r="P604" s="108" t="str">
        <f>IFERROR(INDEX(Setup!$D$44:$D$70,MATCH(M604,Setup!$K$44:$K$70,0))&amp;"","")</f>
        <v/>
      </c>
      <c r="Q604" s="108" t="str">
        <f>IFERROR(INDEX(Setup!$E$44:$E$70,MATCH(M604,Setup!$K$44:$K$70,0))&amp;"","")</f>
        <v/>
      </c>
      <c r="R604" s="108" t="str">
        <f>IFERROR(INDEX(Setup!$L$44:$L$70,MATCH(M604,Setup!$K$44:$K$70,0))&amp;"","")</f>
        <v/>
      </c>
      <c r="S604" s="108" t="str">
        <f>Setup!$C$30</f>
        <v>USD</v>
      </c>
      <c r="T604" s="109" t="str">
        <f>IFERROR(INDEX('Data Sheet'!$B$198:$B$275,MATCH(I604,'Data Sheet'!$F$198:$F$275,0)),"")</f>
        <v/>
      </c>
      <c r="U604" s="110" t="str">
        <f>IFERROR(INDEX('Data Sheet'!$D$198:$D$275,MATCH(I604,'Data Sheet'!$F$198:$F$275,0)),"")</f>
        <v/>
      </c>
      <c r="V604" s="99"/>
      <c r="W604" s="195" t="str">
        <f>IF(V604=Setup!$C$30,"Grant",IF(V604=Setup!$C$31,"Local",IF(V604=Setup!$C$32,"Other",IF(ISBLANK(V604),"","Other"))))</f>
        <v/>
      </c>
      <c r="X604" s="255"/>
      <c r="Y604" s="259" t="str">
        <f>IF(X604&lt;&gt;"",X604/VLOOKUP($V604,Setup!$C$30:$D$41,2,0),"")</f>
        <v/>
      </c>
      <c r="Z604" s="262"/>
      <c r="AA604" s="256" t="str">
        <f t="shared" si="281"/>
        <v/>
      </c>
      <c r="AB604" s="262"/>
      <c r="AC604" s="258" t="str">
        <f t="shared" si="282"/>
        <v/>
      </c>
      <c r="AD604" s="262"/>
      <c r="AE604" s="258" t="str">
        <f t="shared" si="283"/>
        <v/>
      </c>
      <c r="AF604" s="262"/>
      <c r="AG604" s="256" t="str">
        <f t="shared" si="284"/>
        <v/>
      </c>
      <c r="AH604" s="256" t="str">
        <f t="shared" si="285"/>
        <v/>
      </c>
      <c r="AI604" s="256" t="str">
        <f t="shared" si="286"/>
        <v/>
      </c>
      <c r="AJ604" s="111"/>
      <c r="AK604" s="255"/>
      <c r="AL604" s="259" t="str">
        <f>IF(AK604&lt;&gt;"",AK604/VLOOKUP($V604,Setup!$C$30:$D$41,2,0),"")</f>
        <v/>
      </c>
      <c r="AM604" s="266"/>
      <c r="AN604" s="258" t="str">
        <f t="shared" si="287"/>
        <v/>
      </c>
      <c r="AO604" s="266"/>
      <c r="AP604" s="258" t="str">
        <f t="shared" si="288"/>
        <v/>
      </c>
      <c r="AQ604" s="266"/>
      <c r="AR604" s="258" t="str">
        <f t="shared" si="289"/>
        <v/>
      </c>
      <c r="AS604" s="266"/>
      <c r="AT604" s="256" t="str">
        <f t="shared" si="290"/>
        <v/>
      </c>
      <c r="AU604" s="256" t="str">
        <f t="shared" si="291"/>
        <v/>
      </c>
      <c r="AV604" s="256" t="str">
        <f t="shared" si="292"/>
        <v/>
      </c>
      <c r="AW604" s="267"/>
      <c r="AX604" s="255"/>
      <c r="AY604" s="259" t="str">
        <f>IF(AX604&lt;&gt;"",AX604/VLOOKUP($V604,Setup!$C$30:$D$41,2,0),"")</f>
        <v/>
      </c>
      <c r="AZ604" s="268"/>
      <c r="BA604" s="258" t="str">
        <f t="shared" si="293"/>
        <v/>
      </c>
      <c r="BB604" s="268"/>
      <c r="BC604" s="258" t="str">
        <f t="shared" si="294"/>
        <v/>
      </c>
      <c r="BD604" s="268"/>
      <c r="BE604" s="258" t="str">
        <f t="shared" si="295"/>
        <v/>
      </c>
      <c r="BF604" s="268"/>
      <c r="BG604" s="256" t="str">
        <f t="shared" si="296"/>
        <v/>
      </c>
      <c r="BH604" s="256" t="str">
        <f t="shared" si="297"/>
        <v/>
      </c>
      <c r="BI604" s="256" t="str">
        <f t="shared" si="298"/>
        <v/>
      </c>
      <c r="BJ604" s="267"/>
      <c r="BK604" s="255"/>
      <c r="BL604" s="259" t="str">
        <f>IF(BK604&lt;&gt;"",BK604/VLOOKUP($V604,Setup!$C$30:$D$41,2,0),"")</f>
        <v/>
      </c>
      <c r="BM604" s="268"/>
      <c r="BN604" s="258" t="str">
        <f t="shared" si="299"/>
        <v/>
      </c>
      <c r="BO604" s="268"/>
      <c r="BP604" s="258" t="str">
        <f t="shared" si="300"/>
        <v/>
      </c>
      <c r="BQ604" s="268"/>
      <c r="BR604" s="258" t="str">
        <f t="shared" si="301"/>
        <v/>
      </c>
      <c r="BS604" s="268"/>
      <c r="BT604" s="256" t="str">
        <f t="shared" si="302"/>
        <v/>
      </c>
      <c r="BU604" s="256" t="str">
        <f t="shared" si="303"/>
        <v/>
      </c>
      <c r="BV604" s="256" t="str">
        <f t="shared" si="304"/>
        <v/>
      </c>
      <c r="BW604" s="267"/>
      <c r="BX604" s="256" t="str">
        <f t="shared" si="305"/>
        <v/>
      </c>
      <c r="BY604" s="256" t="str">
        <f t="shared" si="306"/>
        <v/>
      </c>
      <c r="BZ604" s="281"/>
      <c r="CA604" s="282"/>
      <c r="CF604" s="284"/>
      <c r="CG604" s="284"/>
      <c r="CH604" s="284"/>
      <c r="CI604" s="284"/>
      <c r="CL604" s="356" t="str">
        <f>IFERROR(VLOOKUP(C604,'Data Sheet'!$A$3:$B$26,2,FALSE),"")</f>
        <v/>
      </c>
    </row>
    <row r="605" spans="1:90" ht="15.75" x14ac:dyDescent="0.2">
      <c r="A605" s="97"/>
      <c r="B605" s="105" t="str">
        <f t="shared" si="309"/>
        <v>--</v>
      </c>
      <c r="C605" s="276"/>
      <c r="D605" s="101" t="str">
        <f>IFERROR(IF(VLOOKUP(C605,'Data Sheet'!$A$3:$D$26,4,FALSE)=0,"",VLOOKUP(C605,'Data Sheet'!$A$3:$D$26,4,FALSE)),"")</f>
        <v/>
      </c>
      <c r="E605" s="279"/>
      <c r="F605" s="103" t="str">
        <f>IFERROR(IF(VLOOKUP(E605,'Data Sheet'!$C$29:$E$174,3,FALSE)=0,"",VLOOKUP(E605,'Data Sheet'!$C$29:$E$174,3,FALSE)),"")</f>
        <v/>
      </c>
      <c r="G605" s="106" t="str">
        <f t="shared" si="307"/>
        <v>-</v>
      </c>
      <c r="H605" s="273"/>
      <c r="I605" s="107"/>
      <c r="J605" s="249" t="e">
        <f t="shared" si="308"/>
        <v>#VALUE!</v>
      </c>
      <c r="K605" s="101" t="str">
        <f>IFERROR(INDEX('Data Sheet'!$C$198:$C$275,MATCH(I605,'Data Sheet'!$F$198:$F$275,0)),"")</f>
        <v/>
      </c>
      <c r="L605" s="250" t="str">
        <f>IFERROR(INDEX('Data Sheet'!$G$198:$G$275,MATCH(I605,'Data Sheet'!$F$198:$F$275,0)),"")</f>
        <v/>
      </c>
      <c r="M605" s="194"/>
      <c r="N605" s="248"/>
      <c r="O605" s="248"/>
      <c r="P605" s="108" t="str">
        <f>IFERROR(INDEX(Setup!$D$44:$D$70,MATCH(M605,Setup!$K$44:$K$70,0))&amp;"","")</f>
        <v/>
      </c>
      <c r="Q605" s="108" t="str">
        <f>IFERROR(INDEX(Setup!$E$44:$E$70,MATCH(M605,Setup!$K$44:$K$70,0))&amp;"","")</f>
        <v/>
      </c>
      <c r="R605" s="108" t="str">
        <f>IFERROR(INDEX(Setup!$L$44:$L$70,MATCH(M605,Setup!$K$44:$K$70,0))&amp;"","")</f>
        <v/>
      </c>
      <c r="S605" s="108" t="str">
        <f>Setup!$C$30</f>
        <v>USD</v>
      </c>
      <c r="T605" s="109" t="str">
        <f>IFERROR(INDEX('Data Sheet'!$B$198:$B$275,MATCH(I605,'Data Sheet'!$F$198:$F$275,0)),"")</f>
        <v/>
      </c>
      <c r="U605" s="110" t="str">
        <f>IFERROR(INDEX('Data Sheet'!$D$198:$D$275,MATCH(I605,'Data Sheet'!$F$198:$F$275,0)),"")</f>
        <v/>
      </c>
      <c r="V605" s="99"/>
      <c r="W605" s="195" t="str">
        <f>IF(V605=Setup!$C$30,"Grant",IF(V605=Setup!$C$31,"Local",IF(V605=Setup!$C$32,"Other",IF(ISBLANK(V605),"","Other"))))</f>
        <v/>
      </c>
      <c r="X605" s="255"/>
      <c r="Y605" s="259" t="str">
        <f>IF(X605&lt;&gt;"",X605/VLOOKUP($V605,Setup!$C$30:$D$41,2,0),"")</f>
        <v/>
      </c>
      <c r="Z605" s="262"/>
      <c r="AA605" s="256" t="str">
        <f t="shared" si="281"/>
        <v/>
      </c>
      <c r="AB605" s="262"/>
      <c r="AC605" s="258" t="str">
        <f t="shared" si="282"/>
        <v/>
      </c>
      <c r="AD605" s="262"/>
      <c r="AE605" s="258" t="str">
        <f t="shared" si="283"/>
        <v/>
      </c>
      <c r="AF605" s="262"/>
      <c r="AG605" s="256" t="str">
        <f t="shared" si="284"/>
        <v/>
      </c>
      <c r="AH605" s="256" t="str">
        <f t="shared" si="285"/>
        <v/>
      </c>
      <c r="AI605" s="256" t="str">
        <f t="shared" si="286"/>
        <v/>
      </c>
      <c r="AJ605" s="111"/>
      <c r="AK605" s="255"/>
      <c r="AL605" s="259" t="str">
        <f>IF(AK605&lt;&gt;"",AK605/VLOOKUP($V605,Setup!$C$30:$D$41,2,0),"")</f>
        <v/>
      </c>
      <c r="AM605" s="266"/>
      <c r="AN605" s="258" t="str">
        <f t="shared" si="287"/>
        <v/>
      </c>
      <c r="AO605" s="266"/>
      <c r="AP605" s="258" t="str">
        <f t="shared" si="288"/>
        <v/>
      </c>
      <c r="AQ605" s="266"/>
      <c r="AR605" s="258" t="str">
        <f t="shared" si="289"/>
        <v/>
      </c>
      <c r="AS605" s="266"/>
      <c r="AT605" s="256" t="str">
        <f t="shared" si="290"/>
        <v/>
      </c>
      <c r="AU605" s="256" t="str">
        <f t="shared" si="291"/>
        <v/>
      </c>
      <c r="AV605" s="256" t="str">
        <f t="shared" si="292"/>
        <v/>
      </c>
      <c r="AW605" s="267"/>
      <c r="AX605" s="255"/>
      <c r="AY605" s="259" t="str">
        <f>IF(AX605&lt;&gt;"",AX605/VLOOKUP($V605,Setup!$C$30:$D$41,2,0),"")</f>
        <v/>
      </c>
      <c r="AZ605" s="268"/>
      <c r="BA605" s="258" t="str">
        <f t="shared" si="293"/>
        <v/>
      </c>
      <c r="BB605" s="268"/>
      <c r="BC605" s="258" t="str">
        <f t="shared" si="294"/>
        <v/>
      </c>
      <c r="BD605" s="268"/>
      <c r="BE605" s="258" t="str">
        <f t="shared" si="295"/>
        <v/>
      </c>
      <c r="BF605" s="268"/>
      <c r="BG605" s="256" t="str">
        <f t="shared" si="296"/>
        <v/>
      </c>
      <c r="BH605" s="256" t="str">
        <f t="shared" si="297"/>
        <v/>
      </c>
      <c r="BI605" s="256" t="str">
        <f t="shared" si="298"/>
        <v/>
      </c>
      <c r="BJ605" s="267"/>
      <c r="BK605" s="255"/>
      <c r="BL605" s="259" t="str">
        <f>IF(BK605&lt;&gt;"",BK605/VLOOKUP($V605,Setup!$C$30:$D$41,2,0),"")</f>
        <v/>
      </c>
      <c r="BM605" s="268"/>
      <c r="BN605" s="258" t="str">
        <f t="shared" si="299"/>
        <v/>
      </c>
      <c r="BO605" s="268"/>
      <c r="BP605" s="258" t="str">
        <f t="shared" si="300"/>
        <v/>
      </c>
      <c r="BQ605" s="268"/>
      <c r="BR605" s="258" t="str">
        <f t="shared" si="301"/>
        <v/>
      </c>
      <c r="BS605" s="268"/>
      <c r="BT605" s="256" t="str">
        <f t="shared" si="302"/>
        <v/>
      </c>
      <c r="BU605" s="256" t="str">
        <f t="shared" si="303"/>
        <v/>
      </c>
      <c r="BV605" s="256" t="str">
        <f t="shared" si="304"/>
        <v/>
      </c>
      <c r="BW605" s="267"/>
      <c r="BX605" s="256" t="str">
        <f t="shared" si="305"/>
        <v/>
      </c>
      <c r="BY605" s="256" t="str">
        <f t="shared" si="306"/>
        <v/>
      </c>
      <c r="BZ605" s="281"/>
      <c r="CA605" s="282"/>
      <c r="CF605" s="284"/>
      <c r="CG605" s="284"/>
      <c r="CH605" s="284"/>
      <c r="CI605" s="284"/>
      <c r="CL605" s="356" t="str">
        <f>IFERROR(VLOOKUP(C605,'Data Sheet'!$A$3:$B$26,2,FALSE),"")</f>
        <v/>
      </c>
    </row>
    <row r="606" spans="1:90" ht="15.75" x14ac:dyDescent="0.2">
      <c r="A606" s="97"/>
      <c r="B606" s="105" t="str">
        <f t="shared" si="309"/>
        <v>--</v>
      </c>
      <c r="C606" s="276"/>
      <c r="D606" s="101" t="str">
        <f>IFERROR(IF(VLOOKUP(C606,'Data Sheet'!$A$3:$D$26,4,FALSE)=0,"",VLOOKUP(C606,'Data Sheet'!$A$3:$D$26,4,FALSE)),"")</f>
        <v/>
      </c>
      <c r="E606" s="279"/>
      <c r="F606" s="103" t="str">
        <f>IFERROR(IF(VLOOKUP(E606,'Data Sheet'!$C$29:$E$174,3,FALSE)=0,"",VLOOKUP(E606,'Data Sheet'!$C$29:$E$174,3,FALSE)),"")</f>
        <v/>
      </c>
      <c r="G606" s="106" t="str">
        <f t="shared" si="307"/>
        <v>-</v>
      </c>
      <c r="H606" s="273"/>
      <c r="I606" s="107"/>
      <c r="J606" s="249" t="e">
        <f t="shared" si="308"/>
        <v>#VALUE!</v>
      </c>
      <c r="K606" s="101" t="str">
        <f>IFERROR(INDEX('Data Sheet'!$C$198:$C$275,MATCH(I606,'Data Sheet'!$F$198:$F$275,0)),"")</f>
        <v/>
      </c>
      <c r="L606" s="250" t="str">
        <f>IFERROR(INDEX('Data Sheet'!$G$198:$G$275,MATCH(I606,'Data Sheet'!$F$198:$F$275,0)),"")</f>
        <v/>
      </c>
      <c r="M606" s="194"/>
      <c r="N606" s="248"/>
      <c r="O606" s="248"/>
      <c r="P606" s="108" t="str">
        <f>IFERROR(INDEX(Setup!$D$44:$D$70,MATCH(M606,Setup!$K$44:$K$70,0))&amp;"","")</f>
        <v/>
      </c>
      <c r="Q606" s="108" t="str">
        <f>IFERROR(INDEX(Setup!$E$44:$E$70,MATCH(M606,Setup!$K$44:$K$70,0))&amp;"","")</f>
        <v/>
      </c>
      <c r="R606" s="108" t="str">
        <f>IFERROR(INDEX(Setup!$L$44:$L$70,MATCH(M606,Setup!$K$44:$K$70,0))&amp;"","")</f>
        <v/>
      </c>
      <c r="S606" s="108" t="str">
        <f>Setup!$C$30</f>
        <v>USD</v>
      </c>
      <c r="T606" s="109" t="str">
        <f>IFERROR(INDEX('Data Sheet'!$B$198:$B$275,MATCH(I606,'Data Sheet'!$F$198:$F$275,0)),"")</f>
        <v/>
      </c>
      <c r="U606" s="110" t="str">
        <f>IFERROR(INDEX('Data Sheet'!$D$198:$D$275,MATCH(I606,'Data Sheet'!$F$198:$F$275,0)),"")</f>
        <v/>
      </c>
      <c r="V606" s="99"/>
      <c r="W606" s="195" t="str">
        <f>IF(V606=Setup!$C$30,"Grant",IF(V606=Setup!$C$31,"Local",IF(V606=Setup!$C$32,"Other",IF(ISBLANK(V606),"","Other"))))</f>
        <v/>
      </c>
      <c r="X606" s="255"/>
      <c r="Y606" s="259" t="str">
        <f>IF(X606&lt;&gt;"",X606/VLOOKUP($V606,Setup!$C$30:$D$41,2,0),"")</f>
        <v/>
      </c>
      <c r="Z606" s="262"/>
      <c r="AA606" s="256" t="str">
        <f t="shared" si="281"/>
        <v/>
      </c>
      <c r="AB606" s="262"/>
      <c r="AC606" s="258" t="str">
        <f t="shared" si="282"/>
        <v/>
      </c>
      <c r="AD606" s="262"/>
      <c r="AE606" s="258" t="str">
        <f t="shared" si="283"/>
        <v/>
      </c>
      <c r="AF606" s="262"/>
      <c r="AG606" s="256" t="str">
        <f t="shared" si="284"/>
        <v/>
      </c>
      <c r="AH606" s="256" t="str">
        <f t="shared" si="285"/>
        <v/>
      </c>
      <c r="AI606" s="256" t="str">
        <f t="shared" si="286"/>
        <v/>
      </c>
      <c r="AJ606" s="111"/>
      <c r="AK606" s="255"/>
      <c r="AL606" s="259" t="str">
        <f>IF(AK606&lt;&gt;"",AK606/VLOOKUP($V606,Setup!$C$30:$D$41,2,0),"")</f>
        <v/>
      </c>
      <c r="AM606" s="266"/>
      <c r="AN606" s="258" t="str">
        <f t="shared" si="287"/>
        <v/>
      </c>
      <c r="AO606" s="266"/>
      <c r="AP606" s="258" t="str">
        <f t="shared" si="288"/>
        <v/>
      </c>
      <c r="AQ606" s="266"/>
      <c r="AR606" s="258" t="str">
        <f t="shared" si="289"/>
        <v/>
      </c>
      <c r="AS606" s="266"/>
      <c r="AT606" s="256" t="str">
        <f t="shared" si="290"/>
        <v/>
      </c>
      <c r="AU606" s="256" t="str">
        <f t="shared" si="291"/>
        <v/>
      </c>
      <c r="AV606" s="256" t="str">
        <f t="shared" si="292"/>
        <v/>
      </c>
      <c r="AW606" s="267"/>
      <c r="AX606" s="255"/>
      <c r="AY606" s="259" t="str">
        <f>IF(AX606&lt;&gt;"",AX606/VLOOKUP($V606,Setup!$C$30:$D$41,2,0),"")</f>
        <v/>
      </c>
      <c r="AZ606" s="268"/>
      <c r="BA606" s="258" t="str">
        <f t="shared" si="293"/>
        <v/>
      </c>
      <c r="BB606" s="268"/>
      <c r="BC606" s="258" t="str">
        <f t="shared" si="294"/>
        <v/>
      </c>
      <c r="BD606" s="268"/>
      <c r="BE606" s="258" t="str">
        <f t="shared" si="295"/>
        <v/>
      </c>
      <c r="BF606" s="268"/>
      <c r="BG606" s="256" t="str">
        <f t="shared" si="296"/>
        <v/>
      </c>
      <c r="BH606" s="256" t="str">
        <f t="shared" si="297"/>
        <v/>
      </c>
      <c r="BI606" s="256" t="str">
        <f t="shared" si="298"/>
        <v/>
      </c>
      <c r="BJ606" s="267"/>
      <c r="BK606" s="255"/>
      <c r="BL606" s="259" t="str">
        <f>IF(BK606&lt;&gt;"",BK606/VLOOKUP($V606,Setup!$C$30:$D$41,2,0),"")</f>
        <v/>
      </c>
      <c r="BM606" s="268"/>
      <c r="BN606" s="258" t="str">
        <f t="shared" si="299"/>
        <v/>
      </c>
      <c r="BO606" s="268"/>
      <c r="BP606" s="258" t="str">
        <f t="shared" si="300"/>
        <v/>
      </c>
      <c r="BQ606" s="268"/>
      <c r="BR606" s="258" t="str">
        <f t="shared" si="301"/>
        <v/>
      </c>
      <c r="BS606" s="268"/>
      <c r="BT606" s="256" t="str">
        <f t="shared" si="302"/>
        <v/>
      </c>
      <c r="BU606" s="256" t="str">
        <f t="shared" si="303"/>
        <v/>
      </c>
      <c r="BV606" s="256" t="str">
        <f t="shared" si="304"/>
        <v/>
      </c>
      <c r="BW606" s="267"/>
      <c r="BX606" s="256" t="str">
        <f t="shared" si="305"/>
        <v/>
      </c>
      <c r="BY606" s="256" t="str">
        <f t="shared" si="306"/>
        <v/>
      </c>
      <c r="BZ606" s="281"/>
      <c r="CA606" s="282"/>
      <c r="CF606" s="284"/>
      <c r="CG606" s="284"/>
      <c r="CH606" s="284"/>
      <c r="CI606" s="284"/>
      <c r="CL606" s="356" t="str">
        <f>IFERROR(VLOOKUP(C606,'Data Sheet'!$A$3:$B$26,2,FALSE),"")</f>
        <v/>
      </c>
    </row>
    <row r="607" spans="1:90" ht="15.75" x14ac:dyDescent="0.2">
      <c r="A607" s="97"/>
      <c r="B607" s="105" t="str">
        <f t="shared" si="309"/>
        <v>--</v>
      </c>
      <c r="C607" s="276"/>
      <c r="D607" s="101" t="str">
        <f>IFERROR(IF(VLOOKUP(C607,'Data Sheet'!$A$3:$D$26,4,FALSE)=0,"",VLOOKUP(C607,'Data Sheet'!$A$3:$D$26,4,FALSE)),"")</f>
        <v/>
      </c>
      <c r="E607" s="279"/>
      <c r="F607" s="103" t="str">
        <f>IFERROR(IF(VLOOKUP(E607,'Data Sheet'!$C$29:$E$174,3,FALSE)=0,"",VLOOKUP(E607,'Data Sheet'!$C$29:$E$174,3,FALSE)),"")</f>
        <v/>
      </c>
      <c r="G607" s="106" t="str">
        <f t="shared" si="307"/>
        <v>-</v>
      </c>
      <c r="H607" s="273"/>
      <c r="I607" s="107"/>
      <c r="J607" s="249" t="e">
        <f t="shared" si="308"/>
        <v>#VALUE!</v>
      </c>
      <c r="K607" s="101" t="str">
        <f>IFERROR(INDEX('Data Sheet'!$C$198:$C$275,MATCH(I607,'Data Sheet'!$F$198:$F$275,0)),"")</f>
        <v/>
      </c>
      <c r="L607" s="250" t="str">
        <f>IFERROR(INDEX('Data Sheet'!$G$198:$G$275,MATCH(I607,'Data Sheet'!$F$198:$F$275,0)),"")</f>
        <v/>
      </c>
      <c r="M607" s="194"/>
      <c r="N607" s="248"/>
      <c r="O607" s="248"/>
      <c r="P607" s="108" t="str">
        <f>IFERROR(INDEX(Setup!$D$44:$D$70,MATCH(M607,Setup!$K$44:$K$70,0))&amp;"","")</f>
        <v/>
      </c>
      <c r="Q607" s="108" t="str">
        <f>IFERROR(INDEX(Setup!$E$44:$E$70,MATCH(M607,Setup!$K$44:$K$70,0))&amp;"","")</f>
        <v/>
      </c>
      <c r="R607" s="108" t="str">
        <f>IFERROR(INDEX(Setup!$L$44:$L$70,MATCH(M607,Setup!$K$44:$K$70,0))&amp;"","")</f>
        <v/>
      </c>
      <c r="S607" s="108" t="str">
        <f>Setup!$C$30</f>
        <v>USD</v>
      </c>
      <c r="T607" s="109" t="str">
        <f>IFERROR(INDEX('Data Sheet'!$B$198:$B$275,MATCH(I607,'Data Sheet'!$F$198:$F$275,0)),"")</f>
        <v/>
      </c>
      <c r="U607" s="110" t="str">
        <f>IFERROR(INDEX('Data Sheet'!$D$198:$D$275,MATCH(I607,'Data Sheet'!$F$198:$F$275,0)),"")</f>
        <v/>
      </c>
      <c r="V607" s="99"/>
      <c r="W607" s="195" t="str">
        <f>IF(V607=Setup!$C$30,"Grant",IF(V607=Setup!$C$31,"Local",IF(V607=Setup!$C$32,"Other",IF(ISBLANK(V607),"","Other"))))</f>
        <v/>
      </c>
      <c r="X607" s="255"/>
      <c r="Y607" s="259" t="str">
        <f>IF(X607&lt;&gt;"",X607/VLOOKUP($V607,Setup!$C$30:$D$41,2,0),"")</f>
        <v/>
      </c>
      <c r="Z607" s="262"/>
      <c r="AA607" s="256" t="str">
        <f t="shared" si="281"/>
        <v/>
      </c>
      <c r="AB607" s="262"/>
      <c r="AC607" s="258" t="str">
        <f t="shared" si="282"/>
        <v/>
      </c>
      <c r="AD607" s="262"/>
      <c r="AE607" s="258" t="str">
        <f t="shared" si="283"/>
        <v/>
      </c>
      <c r="AF607" s="262"/>
      <c r="AG607" s="256" t="str">
        <f t="shared" si="284"/>
        <v/>
      </c>
      <c r="AH607" s="256" t="str">
        <f t="shared" si="285"/>
        <v/>
      </c>
      <c r="AI607" s="256" t="str">
        <f t="shared" si="286"/>
        <v/>
      </c>
      <c r="AJ607" s="111"/>
      <c r="AK607" s="255"/>
      <c r="AL607" s="259" t="str">
        <f>IF(AK607&lt;&gt;"",AK607/VLOOKUP($V607,Setup!$C$30:$D$41,2,0),"")</f>
        <v/>
      </c>
      <c r="AM607" s="266"/>
      <c r="AN607" s="258" t="str">
        <f t="shared" si="287"/>
        <v/>
      </c>
      <c r="AO607" s="266"/>
      <c r="AP607" s="258" t="str">
        <f t="shared" si="288"/>
        <v/>
      </c>
      <c r="AQ607" s="266"/>
      <c r="AR607" s="258" t="str">
        <f t="shared" si="289"/>
        <v/>
      </c>
      <c r="AS607" s="266"/>
      <c r="AT607" s="256" t="str">
        <f t="shared" si="290"/>
        <v/>
      </c>
      <c r="AU607" s="256" t="str">
        <f t="shared" si="291"/>
        <v/>
      </c>
      <c r="AV607" s="256" t="str">
        <f t="shared" si="292"/>
        <v/>
      </c>
      <c r="AW607" s="267"/>
      <c r="AX607" s="255"/>
      <c r="AY607" s="259" t="str">
        <f>IF(AX607&lt;&gt;"",AX607/VLOOKUP($V607,Setup!$C$30:$D$41,2,0),"")</f>
        <v/>
      </c>
      <c r="AZ607" s="268"/>
      <c r="BA607" s="258" t="str">
        <f t="shared" si="293"/>
        <v/>
      </c>
      <c r="BB607" s="268"/>
      <c r="BC607" s="258" t="str">
        <f t="shared" si="294"/>
        <v/>
      </c>
      <c r="BD607" s="268"/>
      <c r="BE607" s="258" t="str">
        <f t="shared" si="295"/>
        <v/>
      </c>
      <c r="BF607" s="268"/>
      <c r="BG607" s="256" t="str">
        <f t="shared" si="296"/>
        <v/>
      </c>
      <c r="BH607" s="256" t="str">
        <f t="shared" si="297"/>
        <v/>
      </c>
      <c r="BI607" s="256" t="str">
        <f t="shared" si="298"/>
        <v/>
      </c>
      <c r="BJ607" s="267"/>
      <c r="BK607" s="255"/>
      <c r="BL607" s="259" t="str">
        <f>IF(BK607&lt;&gt;"",BK607/VLOOKUP($V607,Setup!$C$30:$D$41,2,0),"")</f>
        <v/>
      </c>
      <c r="BM607" s="268"/>
      <c r="BN607" s="258" t="str">
        <f t="shared" si="299"/>
        <v/>
      </c>
      <c r="BO607" s="268"/>
      <c r="BP607" s="258" t="str">
        <f t="shared" si="300"/>
        <v/>
      </c>
      <c r="BQ607" s="268"/>
      <c r="BR607" s="258" t="str">
        <f t="shared" si="301"/>
        <v/>
      </c>
      <c r="BS607" s="268"/>
      <c r="BT607" s="256" t="str">
        <f t="shared" si="302"/>
        <v/>
      </c>
      <c r="BU607" s="256" t="str">
        <f t="shared" si="303"/>
        <v/>
      </c>
      <c r="BV607" s="256" t="str">
        <f t="shared" si="304"/>
        <v/>
      </c>
      <c r="BW607" s="267"/>
      <c r="BX607" s="256" t="str">
        <f t="shared" si="305"/>
        <v/>
      </c>
      <c r="BY607" s="256" t="str">
        <f t="shared" si="306"/>
        <v/>
      </c>
      <c r="BZ607" s="281"/>
      <c r="CA607" s="282"/>
      <c r="CF607" s="284"/>
      <c r="CG607" s="284"/>
      <c r="CH607" s="284"/>
      <c r="CI607" s="284"/>
      <c r="CL607" s="356" t="str">
        <f>IFERROR(VLOOKUP(C607,'Data Sheet'!$A$3:$B$26,2,FALSE),"")</f>
        <v/>
      </c>
    </row>
    <row r="608" spans="1:90" ht="15.75" x14ac:dyDescent="0.2">
      <c r="A608" s="97"/>
      <c r="B608" s="105" t="str">
        <f t="shared" si="309"/>
        <v>--</v>
      </c>
      <c r="C608" s="276"/>
      <c r="D608" s="101" t="str">
        <f>IFERROR(IF(VLOOKUP(C608,'Data Sheet'!$A$3:$D$26,4,FALSE)=0,"",VLOOKUP(C608,'Data Sheet'!$A$3:$D$26,4,FALSE)),"")</f>
        <v/>
      </c>
      <c r="E608" s="279"/>
      <c r="F608" s="103" t="str">
        <f>IFERROR(IF(VLOOKUP(E608,'Data Sheet'!$C$29:$E$174,3,FALSE)=0,"",VLOOKUP(E608,'Data Sheet'!$C$29:$E$174,3,FALSE)),"")</f>
        <v/>
      </c>
      <c r="G608" s="106" t="str">
        <f t="shared" si="307"/>
        <v>-</v>
      </c>
      <c r="H608" s="273"/>
      <c r="I608" s="107"/>
      <c r="J608" s="249" t="e">
        <f t="shared" si="308"/>
        <v>#VALUE!</v>
      </c>
      <c r="K608" s="101" t="str">
        <f>IFERROR(INDEX('Data Sheet'!$C$198:$C$275,MATCH(I608,'Data Sheet'!$F$198:$F$275,0)),"")</f>
        <v/>
      </c>
      <c r="L608" s="250" t="str">
        <f>IFERROR(INDEX('Data Sheet'!$G$198:$G$275,MATCH(I608,'Data Sheet'!$F$198:$F$275,0)),"")</f>
        <v/>
      </c>
      <c r="M608" s="194"/>
      <c r="N608" s="248"/>
      <c r="O608" s="248"/>
      <c r="P608" s="108" t="str">
        <f>IFERROR(INDEX(Setup!$D$44:$D$70,MATCH(M608,Setup!$K$44:$K$70,0))&amp;"","")</f>
        <v/>
      </c>
      <c r="Q608" s="108" t="str">
        <f>IFERROR(INDEX(Setup!$E$44:$E$70,MATCH(M608,Setup!$K$44:$K$70,0))&amp;"","")</f>
        <v/>
      </c>
      <c r="R608" s="108" t="str">
        <f>IFERROR(INDEX(Setup!$L$44:$L$70,MATCH(M608,Setup!$K$44:$K$70,0))&amp;"","")</f>
        <v/>
      </c>
      <c r="S608" s="108" t="str">
        <f>Setup!$C$30</f>
        <v>USD</v>
      </c>
      <c r="T608" s="109" t="str">
        <f>IFERROR(INDEX('Data Sheet'!$B$198:$B$275,MATCH(I608,'Data Sheet'!$F$198:$F$275,0)),"")</f>
        <v/>
      </c>
      <c r="U608" s="110" t="str">
        <f>IFERROR(INDEX('Data Sheet'!$D$198:$D$275,MATCH(I608,'Data Sheet'!$F$198:$F$275,0)),"")</f>
        <v/>
      </c>
      <c r="V608" s="99"/>
      <c r="W608" s="195" t="str">
        <f>IF(V608=Setup!$C$30,"Grant",IF(V608=Setup!$C$31,"Local",IF(V608=Setup!$C$32,"Other",IF(ISBLANK(V608),"","Other"))))</f>
        <v/>
      </c>
      <c r="X608" s="255"/>
      <c r="Y608" s="259" t="str">
        <f>IF(X608&lt;&gt;"",X608/VLOOKUP($V608,Setup!$C$30:$D$41,2,0),"")</f>
        <v/>
      </c>
      <c r="Z608" s="262"/>
      <c r="AA608" s="256" t="str">
        <f t="shared" si="281"/>
        <v/>
      </c>
      <c r="AB608" s="262"/>
      <c r="AC608" s="258" t="str">
        <f t="shared" si="282"/>
        <v/>
      </c>
      <c r="AD608" s="262"/>
      <c r="AE608" s="258" t="str">
        <f t="shared" si="283"/>
        <v/>
      </c>
      <c r="AF608" s="262"/>
      <c r="AG608" s="256" t="str">
        <f t="shared" si="284"/>
        <v/>
      </c>
      <c r="AH608" s="256" t="str">
        <f t="shared" si="285"/>
        <v/>
      </c>
      <c r="AI608" s="256" t="str">
        <f t="shared" si="286"/>
        <v/>
      </c>
      <c r="AJ608" s="111"/>
      <c r="AK608" s="255"/>
      <c r="AL608" s="259" t="str">
        <f>IF(AK608&lt;&gt;"",AK608/VLOOKUP($V608,Setup!$C$30:$D$41,2,0),"")</f>
        <v/>
      </c>
      <c r="AM608" s="266"/>
      <c r="AN608" s="258" t="str">
        <f t="shared" si="287"/>
        <v/>
      </c>
      <c r="AO608" s="266"/>
      <c r="AP608" s="258" t="str">
        <f t="shared" si="288"/>
        <v/>
      </c>
      <c r="AQ608" s="266"/>
      <c r="AR608" s="258" t="str">
        <f t="shared" si="289"/>
        <v/>
      </c>
      <c r="AS608" s="266"/>
      <c r="AT608" s="256" t="str">
        <f t="shared" si="290"/>
        <v/>
      </c>
      <c r="AU608" s="256" t="str">
        <f t="shared" si="291"/>
        <v/>
      </c>
      <c r="AV608" s="256" t="str">
        <f t="shared" si="292"/>
        <v/>
      </c>
      <c r="AW608" s="267"/>
      <c r="AX608" s="255"/>
      <c r="AY608" s="259" t="str">
        <f>IF(AX608&lt;&gt;"",AX608/VLOOKUP($V608,Setup!$C$30:$D$41,2,0),"")</f>
        <v/>
      </c>
      <c r="AZ608" s="268"/>
      <c r="BA608" s="258" t="str">
        <f t="shared" si="293"/>
        <v/>
      </c>
      <c r="BB608" s="268"/>
      <c r="BC608" s="258" t="str">
        <f t="shared" si="294"/>
        <v/>
      </c>
      <c r="BD608" s="268"/>
      <c r="BE608" s="258" t="str">
        <f t="shared" si="295"/>
        <v/>
      </c>
      <c r="BF608" s="268"/>
      <c r="BG608" s="256" t="str">
        <f t="shared" si="296"/>
        <v/>
      </c>
      <c r="BH608" s="256" t="str">
        <f t="shared" si="297"/>
        <v/>
      </c>
      <c r="BI608" s="256" t="str">
        <f t="shared" si="298"/>
        <v/>
      </c>
      <c r="BJ608" s="267"/>
      <c r="BK608" s="255"/>
      <c r="BL608" s="259" t="str">
        <f>IF(BK608&lt;&gt;"",BK608/VLOOKUP($V608,Setup!$C$30:$D$41,2,0),"")</f>
        <v/>
      </c>
      <c r="BM608" s="268"/>
      <c r="BN608" s="258" t="str">
        <f t="shared" si="299"/>
        <v/>
      </c>
      <c r="BO608" s="268"/>
      <c r="BP608" s="258" t="str">
        <f t="shared" si="300"/>
        <v/>
      </c>
      <c r="BQ608" s="268"/>
      <c r="BR608" s="258" t="str">
        <f t="shared" si="301"/>
        <v/>
      </c>
      <c r="BS608" s="268"/>
      <c r="BT608" s="256" t="str">
        <f t="shared" si="302"/>
        <v/>
      </c>
      <c r="BU608" s="256" t="str">
        <f t="shared" si="303"/>
        <v/>
      </c>
      <c r="BV608" s="256" t="str">
        <f t="shared" si="304"/>
        <v/>
      </c>
      <c r="BW608" s="267"/>
      <c r="BX608" s="256" t="str">
        <f t="shared" si="305"/>
        <v/>
      </c>
      <c r="BY608" s="256" t="str">
        <f t="shared" si="306"/>
        <v/>
      </c>
      <c r="BZ608" s="281"/>
      <c r="CA608" s="282"/>
      <c r="CF608" s="284"/>
      <c r="CG608" s="284"/>
      <c r="CH608" s="284"/>
      <c r="CI608" s="284"/>
      <c r="CL608" s="356" t="str">
        <f>IFERROR(VLOOKUP(C608,'Data Sheet'!$A$3:$B$26,2,FALSE),"")</f>
        <v/>
      </c>
    </row>
    <row r="609" spans="1:90" ht="15.75" x14ac:dyDescent="0.2">
      <c r="A609" s="97"/>
      <c r="B609" s="105" t="str">
        <f t="shared" si="309"/>
        <v>--</v>
      </c>
      <c r="C609" s="276"/>
      <c r="D609" s="101" t="str">
        <f>IFERROR(IF(VLOOKUP(C609,'Data Sheet'!$A$3:$D$26,4,FALSE)=0,"",VLOOKUP(C609,'Data Sheet'!$A$3:$D$26,4,FALSE)),"")</f>
        <v/>
      </c>
      <c r="E609" s="279"/>
      <c r="F609" s="103" t="str">
        <f>IFERROR(IF(VLOOKUP(E609,'Data Sheet'!$C$29:$E$174,3,FALSE)=0,"",VLOOKUP(E609,'Data Sheet'!$C$29:$E$174,3,FALSE)),"")</f>
        <v/>
      </c>
      <c r="G609" s="106" t="str">
        <f t="shared" si="307"/>
        <v>-</v>
      </c>
      <c r="H609" s="273"/>
      <c r="I609" s="107"/>
      <c r="J609" s="249" t="e">
        <f t="shared" si="308"/>
        <v>#VALUE!</v>
      </c>
      <c r="K609" s="101" t="str">
        <f>IFERROR(INDEX('Data Sheet'!$C$198:$C$275,MATCH(I609,'Data Sheet'!$F$198:$F$275,0)),"")</f>
        <v/>
      </c>
      <c r="L609" s="250" t="str">
        <f>IFERROR(INDEX('Data Sheet'!$G$198:$G$275,MATCH(I609,'Data Sheet'!$F$198:$F$275,0)),"")</f>
        <v/>
      </c>
      <c r="M609" s="194"/>
      <c r="N609" s="248"/>
      <c r="O609" s="248"/>
      <c r="P609" s="108" t="str">
        <f>IFERROR(INDEX(Setup!$D$44:$D$70,MATCH(M609,Setup!$K$44:$K$70,0))&amp;"","")</f>
        <v/>
      </c>
      <c r="Q609" s="108" t="str">
        <f>IFERROR(INDEX(Setup!$E$44:$E$70,MATCH(M609,Setup!$K$44:$K$70,0))&amp;"","")</f>
        <v/>
      </c>
      <c r="R609" s="108" t="str">
        <f>IFERROR(INDEX(Setup!$L$44:$L$70,MATCH(M609,Setup!$K$44:$K$70,0))&amp;"","")</f>
        <v/>
      </c>
      <c r="S609" s="108" t="str">
        <f>Setup!$C$30</f>
        <v>USD</v>
      </c>
      <c r="T609" s="109" t="str">
        <f>IFERROR(INDEX('Data Sheet'!$B$198:$B$275,MATCH(I609,'Data Sheet'!$F$198:$F$275,0)),"")</f>
        <v/>
      </c>
      <c r="U609" s="110" t="str">
        <f>IFERROR(INDEX('Data Sheet'!$D$198:$D$275,MATCH(I609,'Data Sheet'!$F$198:$F$275,0)),"")</f>
        <v/>
      </c>
      <c r="V609" s="99"/>
      <c r="W609" s="195" t="str">
        <f>IF(V609=Setup!$C$30,"Grant",IF(V609=Setup!$C$31,"Local",IF(V609=Setup!$C$32,"Other",IF(ISBLANK(V609),"","Other"))))</f>
        <v/>
      </c>
      <c r="X609" s="255"/>
      <c r="Y609" s="259" t="str">
        <f>IF(X609&lt;&gt;"",X609/VLOOKUP($V609,Setup!$C$30:$D$41,2,0),"")</f>
        <v/>
      </c>
      <c r="Z609" s="262"/>
      <c r="AA609" s="256" t="str">
        <f t="shared" si="281"/>
        <v/>
      </c>
      <c r="AB609" s="262"/>
      <c r="AC609" s="258" t="str">
        <f t="shared" si="282"/>
        <v/>
      </c>
      <c r="AD609" s="262"/>
      <c r="AE609" s="258" t="str">
        <f t="shared" si="283"/>
        <v/>
      </c>
      <c r="AF609" s="262"/>
      <c r="AG609" s="256" t="str">
        <f t="shared" si="284"/>
        <v/>
      </c>
      <c r="AH609" s="256" t="str">
        <f t="shared" si="285"/>
        <v/>
      </c>
      <c r="AI609" s="256" t="str">
        <f t="shared" si="286"/>
        <v/>
      </c>
      <c r="AJ609" s="111"/>
      <c r="AK609" s="255"/>
      <c r="AL609" s="259" t="str">
        <f>IF(AK609&lt;&gt;"",AK609/VLOOKUP($V609,Setup!$C$30:$D$41,2,0),"")</f>
        <v/>
      </c>
      <c r="AM609" s="266"/>
      <c r="AN609" s="258" t="str">
        <f t="shared" si="287"/>
        <v/>
      </c>
      <c r="AO609" s="266"/>
      <c r="AP609" s="258" t="str">
        <f t="shared" si="288"/>
        <v/>
      </c>
      <c r="AQ609" s="266"/>
      <c r="AR609" s="258" t="str">
        <f t="shared" si="289"/>
        <v/>
      </c>
      <c r="AS609" s="266"/>
      <c r="AT609" s="256" t="str">
        <f t="shared" si="290"/>
        <v/>
      </c>
      <c r="AU609" s="256" t="str">
        <f t="shared" si="291"/>
        <v/>
      </c>
      <c r="AV609" s="256" t="str">
        <f t="shared" si="292"/>
        <v/>
      </c>
      <c r="AW609" s="267"/>
      <c r="AX609" s="255"/>
      <c r="AY609" s="259" t="str">
        <f>IF(AX609&lt;&gt;"",AX609/VLOOKUP($V609,Setup!$C$30:$D$41,2,0),"")</f>
        <v/>
      </c>
      <c r="AZ609" s="268"/>
      <c r="BA609" s="258" t="str">
        <f t="shared" si="293"/>
        <v/>
      </c>
      <c r="BB609" s="268"/>
      <c r="BC609" s="258" t="str">
        <f t="shared" si="294"/>
        <v/>
      </c>
      <c r="BD609" s="268"/>
      <c r="BE609" s="258" t="str">
        <f t="shared" si="295"/>
        <v/>
      </c>
      <c r="BF609" s="268"/>
      <c r="BG609" s="256" t="str">
        <f t="shared" si="296"/>
        <v/>
      </c>
      <c r="BH609" s="256" t="str">
        <f t="shared" si="297"/>
        <v/>
      </c>
      <c r="BI609" s="256" t="str">
        <f t="shared" si="298"/>
        <v/>
      </c>
      <c r="BJ609" s="267"/>
      <c r="BK609" s="255"/>
      <c r="BL609" s="259" t="str">
        <f>IF(BK609&lt;&gt;"",BK609/VLOOKUP($V609,Setup!$C$30:$D$41,2,0),"")</f>
        <v/>
      </c>
      <c r="BM609" s="268"/>
      <c r="BN609" s="258" t="str">
        <f t="shared" si="299"/>
        <v/>
      </c>
      <c r="BO609" s="268"/>
      <c r="BP609" s="258" t="str">
        <f t="shared" si="300"/>
        <v/>
      </c>
      <c r="BQ609" s="268"/>
      <c r="BR609" s="258" t="str">
        <f t="shared" si="301"/>
        <v/>
      </c>
      <c r="BS609" s="268"/>
      <c r="BT609" s="256" t="str">
        <f t="shared" si="302"/>
        <v/>
      </c>
      <c r="BU609" s="256" t="str">
        <f t="shared" si="303"/>
        <v/>
      </c>
      <c r="BV609" s="256" t="str">
        <f t="shared" si="304"/>
        <v/>
      </c>
      <c r="BW609" s="267"/>
      <c r="BX609" s="256" t="str">
        <f t="shared" si="305"/>
        <v/>
      </c>
      <c r="BY609" s="256" t="str">
        <f t="shared" si="306"/>
        <v/>
      </c>
      <c r="BZ609" s="281"/>
      <c r="CA609" s="282"/>
      <c r="CF609" s="284"/>
      <c r="CG609" s="284"/>
      <c r="CH609" s="284"/>
      <c r="CI609" s="284"/>
      <c r="CL609" s="356" t="str">
        <f>IFERROR(VLOOKUP(C609,'Data Sheet'!$A$3:$B$26,2,FALSE),"")</f>
        <v/>
      </c>
    </row>
    <row r="610" spans="1:90" ht="15.75" x14ac:dyDescent="0.2">
      <c r="A610" s="97"/>
      <c r="B610" s="105" t="str">
        <f t="shared" si="309"/>
        <v>--</v>
      </c>
      <c r="C610" s="276"/>
      <c r="D610" s="101" t="str">
        <f>IFERROR(IF(VLOOKUP(C610,'Data Sheet'!$A$3:$D$26,4,FALSE)=0,"",VLOOKUP(C610,'Data Sheet'!$A$3:$D$26,4,FALSE)),"")</f>
        <v/>
      </c>
      <c r="E610" s="279"/>
      <c r="F610" s="103" t="str">
        <f>IFERROR(IF(VLOOKUP(E610,'Data Sheet'!$C$29:$E$174,3,FALSE)=0,"",VLOOKUP(E610,'Data Sheet'!$C$29:$E$174,3,FALSE)),"")</f>
        <v/>
      </c>
      <c r="G610" s="106" t="str">
        <f t="shared" si="307"/>
        <v>-</v>
      </c>
      <c r="H610" s="273"/>
      <c r="I610" s="107"/>
      <c r="J610" s="249" t="e">
        <f t="shared" si="308"/>
        <v>#VALUE!</v>
      </c>
      <c r="K610" s="101" t="str">
        <f>IFERROR(INDEX('Data Sheet'!$C$198:$C$275,MATCH(I610,'Data Sheet'!$F$198:$F$275,0)),"")</f>
        <v/>
      </c>
      <c r="L610" s="250" t="str">
        <f>IFERROR(INDEX('Data Sheet'!$G$198:$G$275,MATCH(I610,'Data Sheet'!$F$198:$F$275,0)),"")</f>
        <v/>
      </c>
      <c r="M610" s="194"/>
      <c r="N610" s="248"/>
      <c r="O610" s="248"/>
      <c r="P610" s="108" t="str">
        <f>IFERROR(INDEX(Setup!$D$44:$D$70,MATCH(M610,Setup!$K$44:$K$70,0))&amp;"","")</f>
        <v/>
      </c>
      <c r="Q610" s="108" t="str">
        <f>IFERROR(INDEX(Setup!$E$44:$E$70,MATCH(M610,Setup!$K$44:$K$70,0))&amp;"","")</f>
        <v/>
      </c>
      <c r="R610" s="108" t="str">
        <f>IFERROR(INDEX(Setup!$L$44:$L$70,MATCH(M610,Setup!$K$44:$K$70,0))&amp;"","")</f>
        <v/>
      </c>
      <c r="S610" s="108" t="str">
        <f>Setup!$C$30</f>
        <v>USD</v>
      </c>
      <c r="T610" s="109" t="str">
        <f>IFERROR(INDEX('Data Sheet'!$B$198:$B$275,MATCH(I610,'Data Sheet'!$F$198:$F$275,0)),"")</f>
        <v/>
      </c>
      <c r="U610" s="110" t="str">
        <f>IFERROR(INDEX('Data Sheet'!$D$198:$D$275,MATCH(I610,'Data Sheet'!$F$198:$F$275,0)),"")</f>
        <v/>
      </c>
      <c r="V610" s="99"/>
      <c r="W610" s="195" t="str">
        <f>IF(V610=Setup!$C$30,"Grant",IF(V610=Setup!$C$31,"Local",IF(V610=Setup!$C$32,"Other",IF(ISBLANK(V610),"","Other"))))</f>
        <v/>
      </c>
      <c r="X610" s="255"/>
      <c r="Y610" s="259" t="str">
        <f>IF(X610&lt;&gt;"",X610/VLOOKUP($V610,Setup!$C$30:$D$41,2,0),"")</f>
        <v/>
      </c>
      <c r="Z610" s="262"/>
      <c r="AA610" s="256" t="str">
        <f t="shared" si="281"/>
        <v/>
      </c>
      <c r="AB610" s="262"/>
      <c r="AC610" s="258" t="str">
        <f t="shared" si="282"/>
        <v/>
      </c>
      <c r="AD610" s="262"/>
      <c r="AE610" s="258" t="str">
        <f t="shared" si="283"/>
        <v/>
      </c>
      <c r="AF610" s="262"/>
      <c r="AG610" s="256" t="str">
        <f t="shared" si="284"/>
        <v/>
      </c>
      <c r="AH610" s="256" t="str">
        <f t="shared" si="285"/>
        <v/>
      </c>
      <c r="AI610" s="256" t="str">
        <f t="shared" si="286"/>
        <v/>
      </c>
      <c r="AJ610" s="111"/>
      <c r="AK610" s="255"/>
      <c r="AL610" s="259" t="str">
        <f>IF(AK610&lt;&gt;"",AK610/VLOOKUP($V610,Setup!$C$30:$D$41,2,0),"")</f>
        <v/>
      </c>
      <c r="AM610" s="266"/>
      <c r="AN610" s="258" t="str">
        <f t="shared" si="287"/>
        <v/>
      </c>
      <c r="AO610" s="266"/>
      <c r="AP610" s="258" t="str">
        <f t="shared" si="288"/>
        <v/>
      </c>
      <c r="AQ610" s="266"/>
      <c r="AR610" s="258" t="str">
        <f t="shared" si="289"/>
        <v/>
      </c>
      <c r="AS610" s="266"/>
      <c r="AT610" s="256" t="str">
        <f t="shared" si="290"/>
        <v/>
      </c>
      <c r="AU610" s="256" t="str">
        <f t="shared" si="291"/>
        <v/>
      </c>
      <c r="AV610" s="256" t="str">
        <f t="shared" si="292"/>
        <v/>
      </c>
      <c r="AW610" s="267"/>
      <c r="AX610" s="255"/>
      <c r="AY610" s="259" t="str">
        <f>IF(AX610&lt;&gt;"",AX610/VLOOKUP($V610,Setup!$C$30:$D$41,2,0),"")</f>
        <v/>
      </c>
      <c r="AZ610" s="268"/>
      <c r="BA610" s="258" t="str">
        <f t="shared" si="293"/>
        <v/>
      </c>
      <c r="BB610" s="268"/>
      <c r="BC610" s="258" t="str">
        <f t="shared" si="294"/>
        <v/>
      </c>
      <c r="BD610" s="268"/>
      <c r="BE610" s="258" t="str">
        <f t="shared" si="295"/>
        <v/>
      </c>
      <c r="BF610" s="268"/>
      <c r="BG610" s="256" t="str">
        <f t="shared" si="296"/>
        <v/>
      </c>
      <c r="BH610" s="256" t="str">
        <f t="shared" si="297"/>
        <v/>
      </c>
      <c r="BI610" s="256" t="str">
        <f t="shared" si="298"/>
        <v/>
      </c>
      <c r="BJ610" s="267"/>
      <c r="BK610" s="255"/>
      <c r="BL610" s="259" t="str">
        <f>IF(BK610&lt;&gt;"",BK610/VLOOKUP($V610,Setup!$C$30:$D$41,2,0),"")</f>
        <v/>
      </c>
      <c r="BM610" s="268"/>
      <c r="BN610" s="258" t="str">
        <f t="shared" si="299"/>
        <v/>
      </c>
      <c r="BO610" s="268"/>
      <c r="BP610" s="258" t="str">
        <f t="shared" si="300"/>
        <v/>
      </c>
      <c r="BQ610" s="268"/>
      <c r="BR610" s="258" t="str">
        <f t="shared" si="301"/>
        <v/>
      </c>
      <c r="BS610" s="268"/>
      <c r="BT610" s="256" t="str">
        <f t="shared" si="302"/>
        <v/>
      </c>
      <c r="BU610" s="256" t="str">
        <f t="shared" si="303"/>
        <v/>
      </c>
      <c r="BV610" s="256" t="str">
        <f t="shared" si="304"/>
        <v/>
      </c>
      <c r="BW610" s="267"/>
      <c r="BX610" s="256" t="str">
        <f t="shared" si="305"/>
        <v/>
      </c>
      <c r="BY610" s="256" t="str">
        <f t="shared" si="306"/>
        <v/>
      </c>
      <c r="BZ610" s="281"/>
      <c r="CA610" s="282"/>
      <c r="CF610" s="284"/>
      <c r="CG610" s="284"/>
      <c r="CH610" s="284"/>
      <c r="CI610" s="284"/>
      <c r="CL610" s="356" t="str">
        <f>IFERROR(VLOOKUP(C610,'Data Sheet'!$A$3:$B$26,2,FALSE),"")</f>
        <v/>
      </c>
    </row>
    <row r="611" spans="1:90" ht="15.75" x14ac:dyDescent="0.2">
      <c r="A611" s="97"/>
      <c r="B611" s="105" t="str">
        <f t="shared" si="309"/>
        <v>--</v>
      </c>
      <c r="C611" s="276"/>
      <c r="D611" s="101" t="str">
        <f>IFERROR(IF(VLOOKUP(C611,'Data Sheet'!$A$3:$D$26,4,FALSE)=0,"",VLOOKUP(C611,'Data Sheet'!$A$3:$D$26,4,FALSE)),"")</f>
        <v/>
      </c>
      <c r="E611" s="279"/>
      <c r="F611" s="103" t="str">
        <f>IFERROR(IF(VLOOKUP(E611,'Data Sheet'!$C$29:$E$174,3,FALSE)=0,"",VLOOKUP(E611,'Data Sheet'!$C$29:$E$174,3,FALSE)),"")</f>
        <v/>
      </c>
      <c r="G611" s="106" t="str">
        <f t="shared" si="307"/>
        <v>-</v>
      </c>
      <c r="H611" s="273"/>
      <c r="I611" s="107"/>
      <c r="J611" s="249" t="e">
        <f t="shared" si="308"/>
        <v>#VALUE!</v>
      </c>
      <c r="K611" s="101" t="str">
        <f>IFERROR(INDEX('Data Sheet'!$C$198:$C$275,MATCH(I611,'Data Sheet'!$F$198:$F$275,0)),"")</f>
        <v/>
      </c>
      <c r="L611" s="250" t="str">
        <f>IFERROR(INDEX('Data Sheet'!$G$198:$G$275,MATCH(I611,'Data Sheet'!$F$198:$F$275,0)),"")</f>
        <v/>
      </c>
      <c r="M611" s="194"/>
      <c r="N611" s="248"/>
      <c r="O611" s="248"/>
      <c r="P611" s="108" t="str">
        <f>IFERROR(INDEX(Setup!$D$44:$D$70,MATCH(M611,Setup!$K$44:$K$70,0))&amp;"","")</f>
        <v/>
      </c>
      <c r="Q611" s="108" t="str">
        <f>IFERROR(INDEX(Setup!$E$44:$E$70,MATCH(M611,Setup!$K$44:$K$70,0))&amp;"","")</f>
        <v/>
      </c>
      <c r="R611" s="108" t="str">
        <f>IFERROR(INDEX(Setup!$L$44:$L$70,MATCH(M611,Setup!$K$44:$K$70,0))&amp;"","")</f>
        <v/>
      </c>
      <c r="S611" s="108" t="str">
        <f>Setup!$C$30</f>
        <v>USD</v>
      </c>
      <c r="T611" s="109" t="str">
        <f>IFERROR(INDEX('Data Sheet'!$B$198:$B$275,MATCH(I611,'Data Sheet'!$F$198:$F$275,0)),"")</f>
        <v/>
      </c>
      <c r="U611" s="110" t="str">
        <f>IFERROR(INDEX('Data Sheet'!$D$198:$D$275,MATCH(I611,'Data Sheet'!$F$198:$F$275,0)),"")</f>
        <v/>
      </c>
      <c r="V611" s="99"/>
      <c r="W611" s="195" t="str">
        <f>IF(V611=Setup!$C$30,"Grant",IF(V611=Setup!$C$31,"Local",IF(V611=Setup!$C$32,"Other",IF(ISBLANK(V611),"","Other"))))</f>
        <v/>
      </c>
      <c r="X611" s="255"/>
      <c r="Y611" s="259" t="str">
        <f>IF(X611&lt;&gt;"",X611/VLOOKUP($V611,Setup!$C$30:$D$41,2,0),"")</f>
        <v/>
      </c>
      <c r="Z611" s="262"/>
      <c r="AA611" s="256" t="str">
        <f t="shared" si="281"/>
        <v/>
      </c>
      <c r="AB611" s="262"/>
      <c r="AC611" s="258" t="str">
        <f t="shared" si="282"/>
        <v/>
      </c>
      <c r="AD611" s="262"/>
      <c r="AE611" s="258" t="str">
        <f t="shared" si="283"/>
        <v/>
      </c>
      <c r="AF611" s="262"/>
      <c r="AG611" s="256" t="str">
        <f t="shared" si="284"/>
        <v/>
      </c>
      <c r="AH611" s="256" t="str">
        <f t="shared" si="285"/>
        <v/>
      </c>
      <c r="AI611" s="256" t="str">
        <f t="shared" si="286"/>
        <v/>
      </c>
      <c r="AJ611" s="111"/>
      <c r="AK611" s="255"/>
      <c r="AL611" s="259" t="str">
        <f>IF(AK611&lt;&gt;"",AK611/VLOOKUP($V611,Setup!$C$30:$D$41,2,0),"")</f>
        <v/>
      </c>
      <c r="AM611" s="266"/>
      <c r="AN611" s="258" t="str">
        <f t="shared" si="287"/>
        <v/>
      </c>
      <c r="AO611" s="266"/>
      <c r="AP611" s="258" t="str">
        <f t="shared" si="288"/>
        <v/>
      </c>
      <c r="AQ611" s="266"/>
      <c r="AR611" s="258" t="str">
        <f t="shared" si="289"/>
        <v/>
      </c>
      <c r="AS611" s="266"/>
      <c r="AT611" s="256" t="str">
        <f t="shared" si="290"/>
        <v/>
      </c>
      <c r="AU611" s="256" t="str">
        <f t="shared" si="291"/>
        <v/>
      </c>
      <c r="AV611" s="256" t="str">
        <f t="shared" si="292"/>
        <v/>
      </c>
      <c r="AW611" s="267"/>
      <c r="AX611" s="255"/>
      <c r="AY611" s="259" t="str">
        <f>IF(AX611&lt;&gt;"",AX611/VLOOKUP($V611,Setup!$C$30:$D$41,2,0),"")</f>
        <v/>
      </c>
      <c r="AZ611" s="268"/>
      <c r="BA611" s="258" t="str">
        <f t="shared" si="293"/>
        <v/>
      </c>
      <c r="BB611" s="268"/>
      <c r="BC611" s="258" t="str">
        <f t="shared" si="294"/>
        <v/>
      </c>
      <c r="BD611" s="268"/>
      <c r="BE611" s="258" t="str">
        <f t="shared" si="295"/>
        <v/>
      </c>
      <c r="BF611" s="268"/>
      <c r="BG611" s="256" t="str">
        <f t="shared" si="296"/>
        <v/>
      </c>
      <c r="BH611" s="256" t="str">
        <f t="shared" si="297"/>
        <v/>
      </c>
      <c r="BI611" s="256" t="str">
        <f t="shared" si="298"/>
        <v/>
      </c>
      <c r="BJ611" s="267"/>
      <c r="BK611" s="255"/>
      <c r="BL611" s="259" t="str">
        <f>IF(BK611&lt;&gt;"",BK611/VLOOKUP($V611,Setup!$C$30:$D$41,2,0),"")</f>
        <v/>
      </c>
      <c r="BM611" s="268"/>
      <c r="BN611" s="258" t="str">
        <f t="shared" si="299"/>
        <v/>
      </c>
      <c r="BO611" s="268"/>
      <c r="BP611" s="258" t="str">
        <f t="shared" si="300"/>
        <v/>
      </c>
      <c r="BQ611" s="268"/>
      <c r="BR611" s="258" t="str">
        <f t="shared" si="301"/>
        <v/>
      </c>
      <c r="BS611" s="268"/>
      <c r="BT611" s="256" t="str">
        <f t="shared" si="302"/>
        <v/>
      </c>
      <c r="BU611" s="256" t="str">
        <f t="shared" si="303"/>
        <v/>
      </c>
      <c r="BV611" s="256" t="str">
        <f t="shared" si="304"/>
        <v/>
      </c>
      <c r="BW611" s="267"/>
      <c r="BX611" s="256" t="str">
        <f t="shared" si="305"/>
        <v/>
      </c>
      <c r="BY611" s="256" t="str">
        <f t="shared" si="306"/>
        <v/>
      </c>
      <c r="BZ611" s="281"/>
      <c r="CA611" s="282"/>
      <c r="CF611" s="284"/>
      <c r="CG611" s="284"/>
      <c r="CH611" s="284"/>
      <c r="CI611" s="284"/>
      <c r="CL611" s="356" t="str">
        <f>IFERROR(VLOOKUP(C611,'Data Sheet'!$A$3:$B$26,2,FALSE),"")</f>
        <v/>
      </c>
    </row>
    <row r="612" spans="1:90" ht="15.75" x14ac:dyDescent="0.2">
      <c r="A612" s="97"/>
      <c r="B612" s="105" t="str">
        <f t="shared" si="309"/>
        <v>--</v>
      </c>
      <c r="C612" s="276"/>
      <c r="D612" s="101" t="str">
        <f>IFERROR(IF(VLOOKUP(C612,'Data Sheet'!$A$3:$D$26,4,FALSE)=0,"",VLOOKUP(C612,'Data Sheet'!$A$3:$D$26,4,FALSE)),"")</f>
        <v/>
      </c>
      <c r="E612" s="279"/>
      <c r="F612" s="103" t="str">
        <f>IFERROR(IF(VLOOKUP(E612,'Data Sheet'!$C$29:$E$174,3,FALSE)=0,"",VLOOKUP(E612,'Data Sheet'!$C$29:$E$174,3,FALSE)),"")</f>
        <v/>
      </c>
      <c r="G612" s="106" t="str">
        <f t="shared" si="307"/>
        <v>-</v>
      </c>
      <c r="H612" s="273"/>
      <c r="I612" s="107"/>
      <c r="J612" s="249" t="e">
        <f t="shared" si="308"/>
        <v>#VALUE!</v>
      </c>
      <c r="K612" s="101" t="str">
        <f>IFERROR(INDEX('Data Sheet'!$C$198:$C$275,MATCH(I612,'Data Sheet'!$F$198:$F$275,0)),"")</f>
        <v/>
      </c>
      <c r="L612" s="250" t="str">
        <f>IFERROR(INDEX('Data Sheet'!$G$198:$G$275,MATCH(I612,'Data Sheet'!$F$198:$F$275,0)),"")</f>
        <v/>
      </c>
      <c r="M612" s="194"/>
      <c r="N612" s="248"/>
      <c r="O612" s="248"/>
      <c r="P612" s="108" t="str">
        <f>IFERROR(INDEX(Setup!$D$44:$D$70,MATCH(M612,Setup!$K$44:$K$70,0))&amp;"","")</f>
        <v/>
      </c>
      <c r="Q612" s="108" t="str">
        <f>IFERROR(INDEX(Setup!$E$44:$E$70,MATCH(M612,Setup!$K$44:$K$70,0))&amp;"","")</f>
        <v/>
      </c>
      <c r="R612" s="108" t="str">
        <f>IFERROR(INDEX(Setup!$L$44:$L$70,MATCH(M612,Setup!$K$44:$K$70,0))&amp;"","")</f>
        <v/>
      </c>
      <c r="S612" s="108" t="str">
        <f>Setup!$C$30</f>
        <v>USD</v>
      </c>
      <c r="T612" s="109" t="str">
        <f>IFERROR(INDEX('Data Sheet'!$B$198:$B$275,MATCH(I612,'Data Sheet'!$F$198:$F$275,0)),"")</f>
        <v/>
      </c>
      <c r="U612" s="110" t="str">
        <f>IFERROR(INDEX('Data Sheet'!$D$198:$D$275,MATCH(I612,'Data Sheet'!$F$198:$F$275,0)),"")</f>
        <v/>
      </c>
      <c r="V612" s="99"/>
      <c r="W612" s="195" t="str">
        <f>IF(V612=Setup!$C$30,"Grant",IF(V612=Setup!$C$31,"Local",IF(V612=Setup!$C$32,"Other",IF(ISBLANK(V612),"","Other"))))</f>
        <v/>
      </c>
      <c r="X612" s="255"/>
      <c r="Y612" s="259" t="str">
        <f>IF(X612&lt;&gt;"",X612/VLOOKUP($V612,Setup!$C$30:$D$41,2,0),"")</f>
        <v/>
      </c>
      <c r="Z612" s="262"/>
      <c r="AA612" s="256" t="str">
        <f t="shared" si="281"/>
        <v/>
      </c>
      <c r="AB612" s="262"/>
      <c r="AC612" s="258" t="str">
        <f t="shared" si="282"/>
        <v/>
      </c>
      <c r="AD612" s="262"/>
      <c r="AE612" s="258" t="str">
        <f t="shared" si="283"/>
        <v/>
      </c>
      <c r="AF612" s="262"/>
      <c r="AG612" s="256" t="str">
        <f t="shared" si="284"/>
        <v/>
      </c>
      <c r="AH612" s="256" t="str">
        <f t="shared" si="285"/>
        <v/>
      </c>
      <c r="AI612" s="256" t="str">
        <f t="shared" si="286"/>
        <v/>
      </c>
      <c r="AJ612" s="111"/>
      <c r="AK612" s="255"/>
      <c r="AL612" s="259" t="str">
        <f>IF(AK612&lt;&gt;"",AK612/VLOOKUP($V612,Setup!$C$30:$D$41,2,0),"")</f>
        <v/>
      </c>
      <c r="AM612" s="266"/>
      <c r="AN612" s="258" t="str">
        <f t="shared" si="287"/>
        <v/>
      </c>
      <c r="AO612" s="266"/>
      <c r="AP612" s="258" t="str">
        <f t="shared" si="288"/>
        <v/>
      </c>
      <c r="AQ612" s="266"/>
      <c r="AR612" s="258" t="str">
        <f t="shared" si="289"/>
        <v/>
      </c>
      <c r="AS612" s="266"/>
      <c r="AT612" s="256" t="str">
        <f t="shared" si="290"/>
        <v/>
      </c>
      <c r="AU612" s="256" t="str">
        <f t="shared" si="291"/>
        <v/>
      </c>
      <c r="AV612" s="256" t="str">
        <f t="shared" si="292"/>
        <v/>
      </c>
      <c r="AW612" s="267"/>
      <c r="AX612" s="255"/>
      <c r="AY612" s="259" t="str">
        <f>IF(AX612&lt;&gt;"",AX612/VLOOKUP($V612,Setup!$C$30:$D$41,2,0),"")</f>
        <v/>
      </c>
      <c r="AZ612" s="268"/>
      <c r="BA612" s="258" t="str">
        <f t="shared" si="293"/>
        <v/>
      </c>
      <c r="BB612" s="268"/>
      <c r="BC612" s="258" t="str">
        <f t="shared" si="294"/>
        <v/>
      </c>
      <c r="BD612" s="268"/>
      <c r="BE612" s="258" t="str">
        <f t="shared" si="295"/>
        <v/>
      </c>
      <c r="BF612" s="268"/>
      <c r="BG612" s="256" t="str">
        <f t="shared" si="296"/>
        <v/>
      </c>
      <c r="BH612" s="256" t="str">
        <f t="shared" si="297"/>
        <v/>
      </c>
      <c r="BI612" s="256" t="str">
        <f t="shared" si="298"/>
        <v/>
      </c>
      <c r="BJ612" s="267"/>
      <c r="BK612" s="255"/>
      <c r="BL612" s="259" t="str">
        <f>IF(BK612&lt;&gt;"",BK612/VLOOKUP($V612,Setup!$C$30:$D$41,2,0),"")</f>
        <v/>
      </c>
      <c r="BM612" s="268"/>
      <c r="BN612" s="258" t="str">
        <f t="shared" si="299"/>
        <v/>
      </c>
      <c r="BO612" s="268"/>
      <c r="BP612" s="258" t="str">
        <f t="shared" si="300"/>
        <v/>
      </c>
      <c r="BQ612" s="268"/>
      <c r="BR612" s="258" t="str">
        <f t="shared" si="301"/>
        <v/>
      </c>
      <c r="BS612" s="268"/>
      <c r="BT612" s="256" t="str">
        <f t="shared" si="302"/>
        <v/>
      </c>
      <c r="BU612" s="256" t="str">
        <f t="shared" si="303"/>
        <v/>
      </c>
      <c r="BV612" s="256" t="str">
        <f t="shared" si="304"/>
        <v/>
      </c>
      <c r="BW612" s="267"/>
      <c r="BX612" s="256" t="str">
        <f t="shared" si="305"/>
        <v/>
      </c>
      <c r="BY612" s="256" t="str">
        <f t="shared" si="306"/>
        <v/>
      </c>
      <c r="BZ612" s="281"/>
      <c r="CA612" s="282"/>
      <c r="CF612" s="284"/>
      <c r="CG612" s="284"/>
      <c r="CH612" s="284"/>
      <c r="CI612" s="284"/>
      <c r="CL612" s="356" t="str">
        <f>IFERROR(VLOOKUP(C612,'Data Sheet'!$A$3:$B$26,2,FALSE),"")</f>
        <v/>
      </c>
    </row>
    <row r="613" spans="1:90" ht="15.75" x14ac:dyDescent="0.2">
      <c r="A613" s="97"/>
      <c r="B613" s="105" t="str">
        <f t="shared" si="309"/>
        <v>--</v>
      </c>
      <c r="C613" s="276"/>
      <c r="D613" s="101" t="str">
        <f>IFERROR(IF(VLOOKUP(C613,'Data Sheet'!$A$3:$D$26,4,FALSE)=0,"",VLOOKUP(C613,'Data Sheet'!$A$3:$D$26,4,FALSE)),"")</f>
        <v/>
      </c>
      <c r="E613" s="279"/>
      <c r="F613" s="103" t="str">
        <f>IFERROR(IF(VLOOKUP(E613,'Data Sheet'!$C$29:$E$174,3,FALSE)=0,"",VLOOKUP(E613,'Data Sheet'!$C$29:$E$174,3,FALSE)),"")</f>
        <v/>
      </c>
      <c r="G613" s="106" t="str">
        <f t="shared" si="307"/>
        <v>-</v>
      </c>
      <c r="H613" s="273"/>
      <c r="I613" s="107"/>
      <c r="J613" s="249" t="e">
        <f t="shared" si="308"/>
        <v>#VALUE!</v>
      </c>
      <c r="K613" s="101" t="str">
        <f>IFERROR(INDEX('Data Sheet'!$C$198:$C$275,MATCH(I613,'Data Sheet'!$F$198:$F$275,0)),"")</f>
        <v/>
      </c>
      <c r="L613" s="250" t="str">
        <f>IFERROR(INDEX('Data Sheet'!$G$198:$G$275,MATCH(I613,'Data Sheet'!$F$198:$F$275,0)),"")</f>
        <v/>
      </c>
      <c r="M613" s="194"/>
      <c r="N613" s="248"/>
      <c r="O613" s="248"/>
      <c r="P613" s="108" t="str">
        <f>IFERROR(INDEX(Setup!$D$44:$D$70,MATCH(M613,Setup!$K$44:$K$70,0))&amp;"","")</f>
        <v/>
      </c>
      <c r="Q613" s="108" t="str">
        <f>IFERROR(INDEX(Setup!$E$44:$E$70,MATCH(M613,Setup!$K$44:$K$70,0))&amp;"","")</f>
        <v/>
      </c>
      <c r="R613" s="108" t="str">
        <f>IFERROR(INDEX(Setup!$L$44:$L$70,MATCH(M613,Setup!$K$44:$K$70,0))&amp;"","")</f>
        <v/>
      </c>
      <c r="S613" s="108" t="str">
        <f>Setup!$C$30</f>
        <v>USD</v>
      </c>
      <c r="T613" s="109" t="str">
        <f>IFERROR(INDEX('Data Sheet'!$B$198:$B$275,MATCH(I613,'Data Sheet'!$F$198:$F$275,0)),"")</f>
        <v/>
      </c>
      <c r="U613" s="110" t="str">
        <f>IFERROR(INDEX('Data Sheet'!$D$198:$D$275,MATCH(I613,'Data Sheet'!$F$198:$F$275,0)),"")</f>
        <v/>
      </c>
      <c r="V613" s="99"/>
      <c r="W613" s="195" t="str">
        <f>IF(V613=Setup!$C$30,"Grant",IF(V613=Setup!$C$31,"Local",IF(V613=Setup!$C$32,"Other",IF(ISBLANK(V613),"","Other"))))</f>
        <v/>
      </c>
      <c r="X613" s="255"/>
      <c r="Y613" s="259" t="str">
        <f>IF(X613&lt;&gt;"",X613/VLOOKUP($V613,Setup!$C$30:$D$41,2,0),"")</f>
        <v/>
      </c>
      <c r="Z613" s="262"/>
      <c r="AA613" s="256" t="str">
        <f t="shared" si="281"/>
        <v/>
      </c>
      <c r="AB613" s="262"/>
      <c r="AC613" s="258" t="str">
        <f t="shared" si="282"/>
        <v/>
      </c>
      <c r="AD613" s="262"/>
      <c r="AE613" s="258" t="str">
        <f t="shared" si="283"/>
        <v/>
      </c>
      <c r="AF613" s="262"/>
      <c r="AG613" s="256" t="str">
        <f t="shared" si="284"/>
        <v/>
      </c>
      <c r="AH613" s="256" t="str">
        <f t="shared" si="285"/>
        <v/>
      </c>
      <c r="AI613" s="256" t="str">
        <f t="shared" si="286"/>
        <v/>
      </c>
      <c r="AJ613" s="111"/>
      <c r="AK613" s="255"/>
      <c r="AL613" s="259" t="str">
        <f>IF(AK613&lt;&gt;"",AK613/VLOOKUP($V613,Setup!$C$30:$D$41,2,0),"")</f>
        <v/>
      </c>
      <c r="AM613" s="266"/>
      <c r="AN613" s="258" t="str">
        <f t="shared" si="287"/>
        <v/>
      </c>
      <c r="AO613" s="266"/>
      <c r="AP613" s="258" t="str">
        <f t="shared" si="288"/>
        <v/>
      </c>
      <c r="AQ613" s="266"/>
      <c r="AR613" s="258" t="str">
        <f t="shared" si="289"/>
        <v/>
      </c>
      <c r="AS613" s="266"/>
      <c r="AT613" s="256" t="str">
        <f t="shared" si="290"/>
        <v/>
      </c>
      <c r="AU613" s="256" t="str">
        <f t="shared" si="291"/>
        <v/>
      </c>
      <c r="AV613" s="256" t="str">
        <f t="shared" si="292"/>
        <v/>
      </c>
      <c r="AW613" s="267"/>
      <c r="AX613" s="255"/>
      <c r="AY613" s="259" t="str">
        <f>IF(AX613&lt;&gt;"",AX613/VLOOKUP($V613,Setup!$C$30:$D$41,2,0),"")</f>
        <v/>
      </c>
      <c r="AZ613" s="268"/>
      <c r="BA613" s="258" t="str">
        <f t="shared" si="293"/>
        <v/>
      </c>
      <c r="BB613" s="268"/>
      <c r="BC613" s="258" t="str">
        <f t="shared" si="294"/>
        <v/>
      </c>
      <c r="BD613" s="268"/>
      <c r="BE613" s="258" t="str">
        <f t="shared" si="295"/>
        <v/>
      </c>
      <c r="BF613" s="268"/>
      <c r="BG613" s="256" t="str">
        <f t="shared" si="296"/>
        <v/>
      </c>
      <c r="BH613" s="256" t="str">
        <f t="shared" si="297"/>
        <v/>
      </c>
      <c r="BI613" s="256" t="str">
        <f t="shared" si="298"/>
        <v/>
      </c>
      <c r="BJ613" s="267"/>
      <c r="BK613" s="255"/>
      <c r="BL613" s="259" t="str">
        <f>IF(BK613&lt;&gt;"",BK613/VLOOKUP($V613,Setup!$C$30:$D$41,2,0),"")</f>
        <v/>
      </c>
      <c r="BM613" s="268"/>
      <c r="BN613" s="258" t="str">
        <f t="shared" si="299"/>
        <v/>
      </c>
      <c r="BO613" s="268"/>
      <c r="BP613" s="258" t="str">
        <f t="shared" si="300"/>
        <v/>
      </c>
      <c r="BQ613" s="268"/>
      <c r="BR613" s="258" t="str">
        <f t="shared" si="301"/>
        <v/>
      </c>
      <c r="BS613" s="268"/>
      <c r="BT613" s="256" t="str">
        <f t="shared" si="302"/>
        <v/>
      </c>
      <c r="BU613" s="256" t="str">
        <f t="shared" si="303"/>
        <v/>
      </c>
      <c r="BV613" s="256" t="str">
        <f t="shared" si="304"/>
        <v/>
      </c>
      <c r="BW613" s="267"/>
      <c r="BX613" s="256" t="str">
        <f t="shared" si="305"/>
        <v/>
      </c>
      <c r="BY613" s="256" t="str">
        <f t="shared" si="306"/>
        <v/>
      </c>
      <c r="BZ613" s="281"/>
      <c r="CA613" s="282"/>
      <c r="CF613" s="284"/>
      <c r="CG613" s="284"/>
      <c r="CH613" s="284"/>
      <c r="CI613" s="284"/>
      <c r="CL613" s="356" t="str">
        <f>IFERROR(VLOOKUP(C613,'Data Sheet'!$A$3:$B$26,2,FALSE),"")</f>
        <v/>
      </c>
    </row>
    <row r="614" spans="1:90" ht="15.75" x14ac:dyDescent="0.2">
      <c r="A614" s="97"/>
      <c r="B614" s="105" t="str">
        <f t="shared" si="309"/>
        <v>--</v>
      </c>
      <c r="C614" s="276"/>
      <c r="D614" s="101" t="str">
        <f>IFERROR(IF(VLOOKUP(C614,'Data Sheet'!$A$3:$D$26,4,FALSE)=0,"",VLOOKUP(C614,'Data Sheet'!$A$3:$D$26,4,FALSE)),"")</f>
        <v/>
      </c>
      <c r="E614" s="279"/>
      <c r="F614" s="103" t="str">
        <f>IFERROR(IF(VLOOKUP(E614,'Data Sheet'!$C$29:$E$174,3,FALSE)=0,"",VLOOKUP(E614,'Data Sheet'!$C$29:$E$174,3,FALSE)),"")</f>
        <v/>
      </c>
      <c r="G614" s="106" t="str">
        <f t="shared" si="307"/>
        <v>-</v>
      </c>
      <c r="H614" s="273"/>
      <c r="I614" s="107"/>
      <c r="J614" s="249" t="e">
        <f t="shared" si="308"/>
        <v>#VALUE!</v>
      </c>
      <c r="K614" s="101" t="str">
        <f>IFERROR(INDEX('Data Sheet'!$C$198:$C$275,MATCH(I614,'Data Sheet'!$F$198:$F$275,0)),"")</f>
        <v/>
      </c>
      <c r="L614" s="250" t="str">
        <f>IFERROR(INDEX('Data Sheet'!$G$198:$G$275,MATCH(I614,'Data Sheet'!$F$198:$F$275,0)),"")</f>
        <v/>
      </c>
      <c r="M614" s="194"/>
      <c r="N614" s="248"/>
      <c r="O614" s="248"/>
      <c r="P614" s="108" t="str">
        <f>IFERROR(INDEX(Setup!$D$44:$D$70,MATCH(M614,Setup!$K$44:$K$70,0))&amp;"","")</f>
        <v/>
      </c>
      <c r="Q614" s="108" t="str">
        <f>IFERROR(INDEX(Setup!$E$44:$E$70,MATCH(M614,Setup!$K$44:$K$70,0))&amp;"","")</f>
        <v/>
      </c>
      <c r="R614" s="108" t="str">
        <f>IFERROR(INDEX(Setup!$L$44:$L$70,MATCH(M614,Setup!$K$44:$K$70,0))&amp;"","")</f>
        <v/>
      </c>
      <c r="S614" s="108" t="str">
        <f>Setup!$C$30</f>
        <v>USD</v>
      </c>
      <c r="T614" s="109" t="str">
        <f>IFERROR(INDEX('Data Sheet'!$B$198:$B$275,MATCH(I614,'Data Sheet'!$F$198:$F$275,0)),"")</f>
        <v/>
      </c>
      <c r="U614" s="110" t="str">
        <f>IFERROR(INDEX('Data Sheet'!$D$198:$D$275,MATCH(I614,'Data Sheet'!$F$198:$F$275,0)),"")</f>
        <v/>
      </c>
      <c r="V614" s="99"/>
      <c r="W614" s="195" t="str">
        <f>IF(V614=Setup!$C$30,"Grant",IF(V614=Setup!$C$31,"Local",IF(V614=Setup!$C$32,"Other",IF(ISBLANK(V614),"","Other"))))</f>
        <v/>
      </c>
      <c r="X614" s="255"/>
      <c r="Y614" s="259" t="str">
        <f>IF(X614&lt;&gt;"",X614/VLOOKUP($V614,Setup!$C$30:$D$41,2,0),"")</f>
        <v/>
      </c>
      <c r="Z614" s="262"/>
      <c r="AA614" s="256" t="str">
        <f t="shared" si="281"/>
        <v/>
      </c>
      <c r="AB614" s="262"/>
      <c r="AC614" s="258" t="str">
        <f t="shared" si="282"/>
        <v/>
      </c>
      <c r="AD614" s="262"/>
      <c r="AE614" s="258" t="str">
        <f t="shared" si="283"/>
        <v/>
      </c>
      <c r="AF614" s="262"/>
      <c r="AG614" s="256" t="str">
        <f t="shared" si="284"/>
        <v/>
      </c>
      <c r="AH614" s="256" t="str">
        <f t="shared" si="285"/>
        <v/>
      </c>
      <c r="AI614" s="256" t="str">
        <f t="shared" si="286"/>
        <v/>
      </c>
      <c r="AJ614" s="111"/>
      <c r="AK614" s="255"/>
      <c r="AL614" s="259" t="str">
        <f>IF(AK614&lt;&gt;"",AK614/VLOOKUP($V614,Setup!$C$30:$D$41,2,0),"")</f>
        <v/>
      </c>
      <c r="AM614" s="266"/>
      <c r="AN614" s="258" t="str">
        <f t="shared" si="287"/>
        <v/>
      </c>
      <c r="AO614" s="266"/>
      <c r="AP614" s="258" t="str">
        <f t="shared" si="288"/>
        <v/>
      </c>
      <c r="AQ614" s="266"/>
      <c r="AR614" s="258" t="str">
        <f t="shared" si="289"/>
        <v/>
      </c>
      <c r="AS614" s="266"/>
      <c r="AT614" s="256" t="str">
        <f t="shared" si="290"/>
        <v/>
      </c>
      <c r="AU614" s="256" t="str">
        <f t="shared" si="291"/>
        <v/>
      </c>
      <c r="AV614" s="256" t="str">
        <f t="shared" si="292"/>
        <v/>
      </c>
      <c r="AW614" s="267"/>
      <c r="AX614" s="255"/>
      <c r="AY614" s="259" t="str">
        <f>IF(AX614&lt;&gt;"",AX614/VLOOKUP($V614,Setup!$C$30:$D$41,2,0),"")</f>
        <v/>
      </c>
      <c r="AZ614" s="268"/>
      <c r="BA614" s="258" t="str">
        <f t="shared" si="293"/>
        <v/>
      </c>
      <c r="BB614" s="268"/>
      <c r="BC614" s="258" t="str">
        <f t="shared" si="294"/>
        <v/>
      </c>
      <c r="BD614" s="268"/>
      <c r="BE614" s="258" t="str">
        <f t="shared" si="295"/>
        <v/>
      </c>
      <c r="BF614" s="268"/>
      <c r="BG614" s="256" t="str">
        <f t="shared" si="296"/>
        <v/>
      </c>
      <c r="BH614" s="256" t="str">
        <f t="shared" si="297"/>
        <v/>
      </c>
      <c r="BI614" s="256" t="str">
        <f t="shared" si="298"/>
        <v/>
      </c>
      <c r="BJ614" s="267"/>
      <c r="BK614" s="255"/>
      <c r="BL614" s="259" t="str">
        <f>IF(BK614&lt;&gt;"",BK614/VLOOKUP($V614,Setup!$C$30:$D$41,2,0),"")</f>
        <v/>
      </c>
      <c r="BM614" s="268"/>
      <c r="BN614" s="258" t="str">
        <f t="shared" si="299"/>
        <v/>
      </c>
      <c r="BO614" s="268"/>
      <c r="BP614" s="258" t="str">
        <f t="shared" si="300"/>
        <v/>
      </c>
      <c r="BQ614" s="268"/>
      <c r="BR614" s="258" t="str">
        <f t="shared" si="301"/>
        <v/>
      </c>
      <c r="BS614" s="268"/>
      <c r="BT614" s="256" t="str">
        <f t="shared" si="302"/>
        <v/>
      </c>
      <c r="BU614" s="256" t="str">
        <f t="shared" si="303"/>
        <v/>
      </c>
      <c r="BV614" s="256" t="str">
        <f t="shared" si="304"/>
        <v/>
      </c>
      <c r="BW614" s="267"/>
      <c r="BX614" s="256" t="str">
        <f t="shared" si="305"/>
        <v/>
      </c>
      <c r="BY614" s="256" t="str">
        <f t="shared" si="306"/>
        <v/>
      </c>
      <c r="BZ614" s="281"/>
      <c r="CA614" s="282"/>
      <c r="CF614" s="284"/>
      <c r="CG614" s="284"/>
      <c r="CH614" s="284"/>
      <c r="CI614" s="284"/>
      <c r="CL614" s="356" t="str">
        <f>IFERROR(VLOOKUP(C614,'Data Sheet'!$A$3:$B$26,2,FALSE),"")</f>
        <v/>
      </c>
    </row>
    <row r="615" spans="1:90" ht="15.75" x14ac:dyDescent="0.2">
      <c r="A615" s="97"/>
      <c r="B615" s="105" t="str">
        <f t="shared" si="309"/>
        <v>--</v>
      </c>
      <c r="C615" s="276"/>
      <c r="D615" s="101" t="str">
        <f>IFERROR(IF(VLOOKUP(C615,'Data Sheet'!$A$3:$D$26,4,FALSE)=0,"",VLOOKUP(C615,'Data Sheet'!$A$3:$D$26,4,FALSE)),"")</f>
        <v/>
      </c>
      <c r="E615" s="279"/>
      <c r="F615" s="103" t="str">
        <f>IFERROR(IF(VLOOKUP(E615,'Data Sheet'!$C$29:$E$174,3,FALSE)=0,"",VLOOKUP(E615,'Data Sheet'!$C$29:$E$174,3,FALSE)),"")</f>
        <v/>
      </c>
      <c r="G615" s="106" t="str">
        <f t="shared" si="307"/>
        <v>-</v>
      </c>
      <c r="H615" s="273"/>
      <c r="I615" s="107"/>
      <c r="J615" s="249" t="e">
        <f t="shared" si="308"/>
        <v>#VALUE!</v>
      </c>
      <c r="K615" s="101" t="str">
        <f>IFERROR(INDEX('Data Sheet'!$C$198:$C$275,MATCH(I615,'Data Sheet'!$F$198:$F$275,0)),"")</f>
        <v/>
      </c>
      <c r="L615" s="250" t="str">
        <f>IFERROR(INDEX('Data Sheet'!$G$198:$G$275,MATCH(I615,'Data Sheet'!$F$198:$F$275,0)),"")</f>
        <v/>
      </c>
      <c r="M615" s="194"/>
      <c r="N615" s="248"/>
      <c r="O615" s="248"/>
      <c r="P615" s="108" t="str">
        <f>IFERROR(INDEX(Setup!$D$44:$D$70,MATCH(M615,Setup!$K$44:$K$70,0))&amp;"","")</f>
        <v/>
      </c>
      <c r="Q615" s="108" t="str">
        <f>IFERROR(INDEX(Setup!$E$44:$E$70,MATCH(M615,Setup!$K$44:$K$70,0))&amp;"","")</f>
        <v/>
      </c>
      <c r="R615" s="108" t="str">
        <f>IFERROR(INDEX(Setup!$L$44:$L$70,MATCH(M615,Setup!$K$44:$K$70,0))&amp;"","")</f>
        <v/>
      </c>
      <c r="S615" s="108" t="str">
        <f>Setup!$C$30</f>
        <v>USD</v>
      </c>
      <c r="T615" s="109" t="str">
        <f>IFERROR(INDEX('Data Sheet'!$B$198:$B$275,MATCH(I615,'Data Sheet'!$F$198:$F$275,0)),"")</f>
        <v/>
      </c>
      <c r="U615" s="110" t="str">
        <f>IFERROR(INDEX('Data Sheet'!$D$198:$D$275,MATCH(I615,'Data Sheet'!$F$198:$F$275,0)),"")</f>
        <v/>
      </c>
      <c r="V615" s="99"/>
      <c r="W615" s="195" t="str">
        <f>IF(V615=Setup!$C$30,"Grant",IF(V615=Setup!$C$31,"Local",IF(V615=Setup!$C$32,"Other",IF(ISBLANK(V615),"","Other"))))</f>
        <v/>
      </c>
      <c r="X615" s="255"/>
      <c r="Y615" s="259" t="str">
        <f>IF(X615&lt;&gt;"",X615/VLOOKUP($V615,Setup!$C$30:$D$41,2,0),"")</f>
        <v/>
      </c>
      <c r="Z615" s="262"/>
      <c r="AA615" s="256" t="str">
        <f t="shared" si="281"/>
        <v/>
      </c>
      <c r="AB615" s="262"/>
      <c r="AC615" s="258" t="str">
        <f t="shared" si="282"/>
        <v/>
      </c>
      <c r="AD615" s="262"/>
      <c r="AE615" s="258" t="str">
        <f t="shared" si="283"/>
        <v/>
      </c>
      <c r="AF615" s="262"/>
      <c r="AG615" s="256" t="str">
        <f t="shared" si="284"/>
        <v/>
      </c>
      <c r="AH615" s="256" t="str">
        <f t="shared" si="285"/>
        <v/>
      </c>
      <c r="AI615" s="256" t="str">
        <f t="shared" si="286"/>
        <v/>
      </c>
      <c r="AJ615" s="111"/>
      <c r="AK615" s="255"/>
      <c r="AL615" s="259" t="str">
        <f>IF(AK615&lt;&gt;"",AK615/VLOOKUP($V615,Setup!$C$30:$D$41,2,0),"")</f>
        <v/>
      </c>
      <c r="AM615" s="266"/>
      <c r="AN615" s="258" t="str">
        <f t="shared" si="287"/>
        <v/>
      </c>
      <c r="AO615" s="266"/>
      <c r="AP615" s="258" t="str">
        <f t="shared" si="288"/>
        <v/>
      </c>
      <c r="AQ615" s="266"/>
      <c r="AR615" s="258" t="str">
        <f t="shared" si="289"/>
        <v/>
      </c>
      <c r="AS615" s="266"/>
      <c r="AT615" s="256" t="str">
        <f t="shared" si="290"/>
        <v/>
      </c>
      <c r="AU615" s="256" t="str">
        <f t="shared" si="291"/>
        <v/>
      </c>
      <c r="AV615" s="256" t="str">
        <f t="shared" si="292"/>
        <v/>
      </c>
      <c r="AW615" s="267"/>
      <c r="AX615" s="255"/>
      <c r="AY615" s="259" t="str">
        <f>IF(AX615&lt;&gt;"",AX615/VLOOKUP($V615,Setup!$C$30:$D$41,2,0),"")</f>
        <v/>
      </c>
      <c r="AZ615" s="268"/>
      <c r="BA615" s="258" t="str">
        <f t="shared" si="293"/>
        <v/>
      </c>
      <c r="BB615" s="268"/>
      <c r="BC615" s="258" t="str">
        <f t="shared" si="294"/>
        <v/>
      </c>
      <c r="BD615" s="268"/>
      <c r="BE615" s="258" t="str">
        <f t="shared" si="295"/>
        <v/>
      </c>
      <c r="BF615" s="268"/>
      <c r="BG615" s="256" t="str">
        <f t="shared" si="296"/>
        <v/>
      </c>
      <c r="BH615" s="256" t="str">
        <f t="shared" si="297"/>
        <v/>
      </c>
      <c r="BI615" s="256" t="str">
        <f t="shared" si="298"/>
        <v/>
      </c>
      <c r="BJ615" s="267"/>
      <c r="BK615" s="255"/>
      <c r="BL615" s="259" t="str">
        <f>IF(BK615&lt;&gt;"",BK615/VLOOKUP($V615,Setup!$C$30:$D$41,2,0),"")</f>
        <v/>
      </c>
      <c r="BM615" s="268"/>
      <c r="BN615" s="258" t="str">
        <f t="shared" si="299"/>
        <v/>
      </c>
      <c r="BO615" s="268"/>
      <c r="BP615" s="258" t="str">
        <f t="shared" si="300"/>
        <v/>
      </c>
      <c r="BQ615" s="268"/>
      <c r="BR615" s="258" t="str">
        <f t="shared" si="301"/>
        <v/>
      </c>
      <c r="BS615" s="268"/>
      <c r="BT615" s="256" t="str">
        <f t="shared" si="302"/>
        <v/>
      </c>
      <c r="BU615" s="256" t="str">
        <f t="shared" si="303"/>
        <v/>
      </c>
      <c r="BV615" s="256" t="str">
        <f t="shared" si="304"/>
        <v/>
      </c>
      <c r="BW615" s="267"/>
      <c r="BX615" s="256" t="str">
        <f t="shared" si="305"/>
        <v/>
      </c>
      <c r="BY615" s="256" t="str">
        <f t="shared" si="306"/>
        <v/>
      </c>
      <c r="BZ615" s="281"/>
      <c r="CA615" s="282"/>
      <c r="CF615" s="284"/>
      <c r="CG615" s="284"/>
      <c r="CH615" s="284"/>
      <c r="CI615" s="284"/>
      <c r="CL615" s="356" t="str">
        <f>IFERROR(VLOOKUP(C615,'Data Sheet'!$A$3:$B$26,2,FALSE),"")</f>
        <v/>
      </c>
    </row>
    <row r="616" spans="1:90" ht="15.75" x14ac:dyDescent="0.2">
      <c r="A616" s="97"/>
      <c r="B616" s="105" t="str">
        <f t="shared" si="309"/>
        <v>--</v>
      </c>
      <c r="C616" s="276"/>
      <c r="D616" s="101" t="str">
        <f>IFERROR(IF(VLOOKUP(C616,'Data Sheet'!$A$3:$D$26,4,FALSE)=0,"",VLOOKUP(C616,'Data Sheet'!$A$3:$D$26,4,FALSE)),"")</f>
        <v/>
      </c>
      <c r="E616" s="279"/>
      <c r="F616" s="103" t="str">
        <f>IFERROR(IF(VLOOKUP(E616,'Data Sheet'!$C$29:$E$174,3,FALSE)=0,"",VLOOKUP(E616,'Data Sheet'!$C$29:$E$174,3,FALSE)),"")</f>
        <v/>
      </c>
      <c r="G616" s="106" t="str">
        <f t="shared" si="307"/>
        <v>-</v>
      </c>
      <c r="H616" s="273"/>
      <c r="I616" s="107"/>
      <c r="J616" s="249" t="e">
        <f t="shared" si="308"/>
        <v>#VALUE!</v>
      </c>
      <c r="K616" s="101" t="str">
        <f>IFERROR(INDEX('Data Sheet'!$C$198:$C$275,MATCH(I616,'Data Sheet'!$F$198:$F$275,0)),"")</f>
        <v/>
      </c>
      <c r="L616" s="250" t="str">
        <f>IFERROR(INDEX('Data Sheet'!$G$198:$G$275,MATCH(I616,'Data Sheet'!$F$198:$F$275,0)),"")</f>
        <v/>
      </c>
      <c r="M616" s="194"/>
      <c r="N616" s="248"/>
      <c r="O616" s="248"/>
      <c r="P616" s="108" t="str">
        <f>IFERROR(INDEX(Setup!$D$44:$D$70,MATCH(M616,Setup!$K$44:$K$70,0))&amp;"","")</f>
        <v/>
      </c>
      <c r="Q616" s="108" t="str">
        <f>IFERROR(INDEX(Setup!$E$44:$E$70,MATCH(M616,Setup!$K$44:$K$70,0))&amp;"","")</f>
        <v/>
      </c>
      <c r="R616" s="108" t="str">
        <f>IFERROR(INDEX(Setup!$L$44:$L$70,MATCH(M616,Setup!$K$44:$K$70,0))&amp;"","")</f>
        <v/>
      </c>
      <c r="S616" s="108" t="str">
        <f>Setup!$C$30</f>
        <v>USD</v>
      </c>
      <c r="T616" s="109" t="str">
        <f>IFERROR(INDEX('Data Sheet'!$B$198:$B$275,MATCH(I616,'Data Sheet'!$F$198:$F$275,0)),"")</f>
        <v/>
      </c>
      <c r="U616" s="110" t="str">
        <f>IFERROR(INDEX('Data Sheet'!$D$198:$D$275,MATCH(I616,'Data Sheet'!$F$198:$F$275,0)),"")</f>
        <v/>
      </c>
      <c r="V616" s="99"/>
      <c r="W616" s="195" t="str">
        <f>IF(V616=Setup!$C$30,"Grant",IF(V616=Setup!$C$31,"Local",IF(V616=Setup!$C$32,"Other",IF(ISBLANK(V616),"","Other"))))</f>
        <v/>
      </c>
      <c r="X616" s="255"/>
      <c r="Y616" s="259" t="str">
        <f>IF(X616&lt;&gt;"",X616/VLOOKUP($V616,Setup!$C$30:$D$41,2,0),"")</f>
        <v/>
      </c>
      <c r="Z616" s="262"/>
      <c r="AA616" s="256" t="str">
        <f t="shared" si="281"/>
        <v/>
      </c>
      <c r="AB616" s="262"/>
      <c r="AC616" s="258" t="str">
        <f t="shared" si="282"/>
        <v/>
      </c>
      <c r="AD616" s="262"/>
      <c r="AE616" s="258" t="str">
        <f t="shared" si="283"/>
        <v/>
      </c>
      <c r="AF616" s="262"/>
      <c r="AG616" s="256" t="str">
        <f t="shared" si="284"/>
        <v/>
      </c>
      <c r="AH616" s="256" t="str">
        <f t="shared" si="285"/>
        <v/>
      </c>
      <c r="AI616" s="256" t="str">
        <f t="shared" si="286"/>
        <v/>
      </c>
      <c r="AJ616" s="111"/>
      <c r="AK616" s="255"/>
      <c r="AL616" s="259" t="str">
        <f>IF(AK616&lt;&gt;"",AK616/VLOOKUP($V616,Setup!$C$30:$D$41,2,0),"")</f>
        <v/>
      </c>
      <c r="AM616" s="266"/>
      <c r="AN616" s="258" t="str">
        <f t="shared" si="287"/>
        <v/>
      </c>
      <c r="AO616" s="266"/>
      <c r="AP616" s="258" t="str">
        <f t="shared" si="288"/>
        <v/>
      </c>
      <c r="AQ616" s="266"/>
      <c r="AR616" s="258" t="str">
        <f t="shared" si="289"/>
        <v/>
      </c>
      <c r="AS616" s="266"/>
      <c r="AT616" s="256" t="str">
        <f t="shared" si="290"/>
        <v/>
      </c>
      <c r="AU616" s="256" t="str">
        <f t="shared" si="291"/>
        <v/>
      </c>
      <c r="AV616" s="256" t="str">
        <f t="shared" si="292"/>
        <v/>
      </c>
      <c r="AW616" s="267"/>
      <c r="AX616" s="255"/>
      <c r="AY616" s="259" t="str">
        <f>IF(AX616&lt;&gt;"",AX616/VLOOKUP($V616,Setup!$C$30:$D$41,2,0),"")</f>
        <v/>
      </c>
      <c r="AZ616" s="268"/>
      <c r="BA616" s="258" t="str">
        <f t="shared" si="293"/>
        <v/>
      </c>
      <c r="BB616" s="268"/>
      <c r="BC616" s="258" t="str">
        <f t="shared" si="294"/>
        <v/>
      </c>
      <c r="BD616" s="268"/>
      <c r="BE616" s="258" t="str">
        <f t="shared" si="295"/>
        <v/>
      </c>
      <c r="BF616" s="268"/>
      <c r="BG616" s="256" t="str">
        <f t="shared" si="296"/>
        <v/>
      </c>
      <c r="BH616" s="256" t="str">
        <f t="shared" si="297"/>
        <v/>
      </c>
      <c r="BI616" s="256" t="str">
        <f t="shared" si="298"/>
        <v/>
      </c>
      <c r="BJ616" s="267"/>
      <c r="BK616" s="255"/>
      <c r="BL616" s="259" t="str">
        <f>IF(BK616&lt;&gt;"",BK616/VLOOKUP($V616,Setup!$C$30:$D$41,2,0),"")</f>
        <v/>
      </c>
      <c r="BM616" s="268"/>
      <c r="BN616" s="258" t="str">
        <f t="shared" si="299"/>
        <v/>
      </c>
      <c r="BO616" s="268"/>
      <c r="BP616" s="258" t="str">
        <f t="shared" si="300"/>
        <v/>
      </c>
      <c r="BQ616" s="268"/>
      <c r="BR616" s="258" t="str">
        <f t="shared" si="301"/>
        <v/>
      </c>
      <c r="BS616" s="268"/>
      <c r="BT616" s="256" t="str">
        <f t="shared" si="302"/>
        <v/>
      </c>
      <c r="BU616" s="256" t="str">
        <f t="shared" si="303"/>
        <v/>
      </c>
      <c r="BV616" s="256" t="str">
        <f t="shared" si="304"/>
        <v/>
      </c>
      <c r="BW616" s="267"/>
      <c r="BX616" s="256" t="str">
        <f t="shared" si="305"/>
        <v/>
      </c>
      <c r="BY616" s="256" t="str">
        <f t="shared" si="306"/>
        <v/>
      </c>
      <c r="BZ616" s="281"/>
      <c r="CA616" s="282"/>
      <c r="CF616" s="284"/>
      <c r="CG616" s="284"/>
      <c r="CH616" s="284"/>
      <c r="CI616" s="284"/>
      <c r="CL616" s="356" t="str">
        <f>IFERROR(VLOOKUP(C616,'Data Sheet'!$A$3:$B$26,2,FALSE),"")</f>
        <v/>
      </c>
    </row>
    <row r="617" spans="1:90" ht="15.75" x14ac:dyDescent="0.2">
      <c r="A617" s="97"/>
      <c r="B617" s="105" t="str">
        <f t="shared" si="309"/>
        <v>--</v>
      </c>
      <c r="C617" s="276"/>
      <c r="D617" s="101" t="str">
        <f>IFERROR(IF(VLOOKUP(C617,'Data Sheet'!$A$3:$D$26,4,FALSE)=0,"",VLOOKUP(C617,'Data Sheet'!$A$3:$D$26,4,FALSE)),"")</f>
        <v/>
      </c>
      <c r="E617" s="279"/>
      <c r="F617" s="103" t="str">
        <f>IFERROR(IF(VLOOKUP(E617,'Data Sheet'!$C$29:$E$174,3,FALSE)=0,"",VLOOKUP(E617,'Data Sheet'!$C$29:$E$174,3,FALSE)),"")</f>
        <v/>
      </c>
      <c r="G617" s="106" t="str">
        <f t="shared" si="307"/>
        <v>-</v>
      </c>
      <c r="H617" s="273"/>
      <c r="I617" s="107"/>
      <c r="J617" s="249" t="e">
        <f t="shared" si="308"/>
        <v>#VALUE!</v>
      </c>
      <c r="K617" s="101" t="str">
        <f>IFERROR(INDEX('Data Sheet'!$C$198:$C$275,MATCH(I617,'Data Sheet'!$F$198:$F$275,0)),"")</f>
        <v/>
      </c>
      <c r="L617" s="250" t="str">
        <f>IFERROR(INDEX('Data Sheet'!$G$198:$G$275,MATCH(I617,'Data Sheet'!$F$198:$F$275,0)),"")</f>
        <v/>
      </c>
      <c r="M617" s="194"/>
      <c r="N617" s="248"/>
      <c r="O617" s="248"/>
      <c r="P617" s="108" t="str">
        <f>IFERROR(INDEX(Setup!$D$44:$D$70,MATCH(M617,Setup!$K$44:$K$70,0))&amp;"","")</f>
        <v/>
      </c>
      <c r="Q617" s="108" t="str">
        <f>IFERROR(INDEX(Setup!$E$44:$E$70,MATCH(M617,Setup!$K$44:$K$70,0))&amp;"","")</f>
        <v/>
      </c>
      <c r="R617" s="108" t="str">
        <f>IFERROR(INDEX(Setup!$L$44:$L$70,MATCH(M617,Setup!$K$44:$K$70,0))&amp;"","")</f>
        <v/>
      </c>
      <c r="S617" s="108" t="str">
        <f>Setup!$C$30</f>
        <v>USD</v>
      </c>
      <c r="T617" s="109" t="str">
        <f>IFERROR(INDEX('Data Sheet'!$B$198:$B$275,MATCH(I617,'Data Sheet'!$F$198:$F$275,0)),"")</f>
        <v/>
      </c>
      <c r="U617" s="110" t="str">
        <f>IFERROR(INDEX('Data Sheet'!$D$198:$D$275,MATCH(I617,'Data Sheet'!$F$198:$F$275,0)),"")</f>
        <v/>
      </c>
      <c r="V617" s="99"/>
      <c r="W617" s="195" t="str">
        <f>IF(V617=Setup!$C$30,"Grant",IF(V617=Setup!$C$31,"Local",IF(V617=Setup!$C$32,"Other",IF(ISBLANK(V617),"","Other"))))</f>
        <v/>
      </c>
      <c r="X617" s="255"/>
      <c r="Y617" s="259" t="str">
        <f>IF(X617&lt;&gt;"",X617/VLOOKUP($V617,Setup!$C$30:$D$41,2,0),"")</f>
        <v/>
      </c>
      <c r="Z617" s="262"/>
      <c r="AA617" s="256" t="str">
        <f t="shared" si="281"/>
        <v/>
      </c>
      <c r="AB617" s="262"/>
      <c r="AC617" s="258" t="str">
        <f t="shared" si="282"/>
        <v/>
      </c>
      <c r="AD617" s="262"/>
      <c r="AE617" s="258" t="str">
        <f t="shared" si="283"/>
        <v/>
      </c>
      <c r="AF617" s="262"/>
      <c r="AG617" s="256" t="str">
        <f t="shared" si="284"/>
        <v/>
      </c>
      <c r="AH617" s="256" t="str">
        <f t="shared" si="285"/>
        <v/>
      </c>
      <c r="AI617" s="256" t="str">
        <f t="shared" si="286"/>
        <v/>
      </c>
      <c r="AJ617" s="111"/>
      <c r="AK617" s="255"/>
      <c r="AL617" s="259" t="str">
        <f>IF(AK617&lt;&gt;"",AK617/VLOOKUP($V617,Setup!$C$30:$D$41,2,0),"")</f>
        <v/>
      </c>
      <c r="AM617" s="266"/>
      <c r="AN617" s="258" t="str">
        <f t="shared" si="287"/>
        <v/>
      </c>
      <c r="AO617" s="266"/>
      <c r="AP617" s="258" t="str">
        <f t="shared" si="288"/>
        <v/>
      </c>
      <c r="AQ617" s="266"/>
      <c r="AR617" s="258" t="str">
        <f t="shared" si="289"/>
        <v/>
      </c>
      <c r="AS617" s="266"/>
      <c r="AT617" s="256" t="str">
        <f t="shared" si="290"/>
        <v/>
      </c>
      <c r="AU617" s="256" t="str">
        <f t="shared" si="291"/>
        <v/>
      </c>
      <c r="AV617" s="256" t="str">
        <f t="shared" si="292"/>
        <v/>
      </c>
      <c r="AW617" s="267"/>
      <c r="AX617" s="255"/>
      <c r="AY617" s="259" t="str">
        <f>IF(AX617&lt;&gt;"",AX617/VLOOKUP($V617,Setup!$C$30:$D$41,2,0),"")</f>
        <v/>
      </c>
      <c r="AZ617" s="268"/>
      <c r="BA617" s="258" t="str">
        <f t="shared" si="293"/>
        <v/>
      </c>
      <c r="BB617" s="268"/>
      <c r="BC617" s="258" t="str">
        <f t="shared" si="294"/>
        <v/>
      </c>
      <c r="BD617" s="268"/>
      <c r="BE617" s="258" t="str">
        <f t="shared" si="295"/>
        <v/>
      </c>
      <c r="BF617" s="268"/>
      <c r="BG617" s="256" t="str">
        <f t="shared" si="296"/>
        <v/>
      </c>
      <c r="BH617" s="256" t="str">
        <f t="shared" si="297"/>
        <v/>
      </c>
      <c r="BI617" s="256" t="str">
        <f t="shared" si="298"/>
        <v/>
      </c>
      <c r="BJ617" s="267"/>
      <c r="BK617" s="255"/>
      <c r="BL617" s="259" t="str">
        <f>IF(BK617&lt;&gt;"",BK617/VLOOKUP($V617,Setup!$C$30:$D$41,2,0),"")</f>
        <v/>
      </c>
      <c r="BM617" s="268"/>
      <c r="BN617" s="258" t="str">
        <f t="shared" si="299"/>
        <v/>
      </c>
      <c r="BO617" s="268"/>
      <c r="BP617" s="258" t="str">
        <f t="shared" si="300"/>
        <v/>
      </c>
      <c r="BQ617" s="268"/>
      <c r="BR617" s="258" t="str">
        <f t="shared" si="301"/>
        <v/>
      </c>
      <c r="BS617" s="268"/>
      <c r="BT617" s="256" t="str">
        <f t="shared" si="302"/>
        <v/>
      </c>
      <c r="BU617" s="256" t="str">
        <f t="shared" si="303"/>
        <v/>
      </c>
      <c r="BV617" s="256" t="str">
        <f t="shared" si="304"/>
        <v/>
      </c>
      <c r="BW617" s="267"/>
      <c r="BX617" s="256" t="str">
        <f t="shared" si="305"/>
        <v/>
      </c>
      <c r="BY617" s="256" t="str">
        <f t="shared" si="306"/>
        <v/>
      </c>
      <c r="BZ617" s="281"/>
      <c r="CA617" s="282"/>
      <c r="CF617" s="284"/>
      <c r="CG617" s="284"/>
      <c r="CH617" s="284"/>
      <c r="CI617" s="284"/>
      <c r="CL617" s="356" t="str">
        <f>IFERROR(VLOOKUP(C617,'Data Sheet'!$A$3:$B$26,2,FALSE),"")</f>
        <v/>
      </c>
    </row>
    <row r="618" spans="1:90" ht="15.75" x14ac:dyDescent="0.2">
      <c r="A618" s="97"/>
      <c r="B618" s="105" t="str">
        <f t="shared" si="309"/>
        <v>--</v>
      </c>
      <c r="C618" s="276"/>
      <c r="D618" s="101" t="str">
        <f>IFERROR(IF(VLOOKUP(C618,'Data Sheet'!$A$3:$D$26,4,FALSE)=0,"",VLOOKUP(C618,'Data Sheet'!$A$3:$D$26,4,FALSE)),"")</f>
        <v/>
      </c>
      <c r="E618" s="279"/>
      <c r="F618" s="103" t="str">
        <f>IFERROR(IF(VLOOKUP(E618,'Data Sheet'!$C$29:$E$174,3,FALSE)=0,"",VLOOKUP(E618,'Data Sheet'!$C$29:$E$174,3,FALSE)),"")</f>
        <v/>
      </c>
      <c r="G618" s="106" t="str">
        <f t="shared" si="307"/>
        <v>-</v>
      </c>
      <c r="H618" s="273"/>
      <c r="I618" s="107"/>
      <c r="J618" s="249" t="e">
        <f t="shared" si="308"/>
        <v>#VALUE!</v>
      </c>
      <c r="K618" s="101" t="str">
        <f>IFERROR(INDEX('Data Sheet'!$C$198:$C$275,MATCH(I618,'Data Sheet'!$F$198:$F$275,0)),"")</f>
        <v/>
      </c>
      <c r="L618" s="250" t="str">
        <f>IFERROR(INDEX('Data Sheet'!$G$198:$G$275,MATCH(I618,'Data Sheet'!$F$198:$F$275,0)),"")</f>
        <v/>
      </c>
      <c r="M618" s="194"/>
      <c r="N618" s="248"/>
      <c r="O618" s="248"/>
      <c r="P618" s="108" t="str">
        <f>IFERROR(INDEX(Setup!$D$44:$D$70,MATCH(M618,Setup!$K$44:$K$70,0))&amp;"","")</f>
        <v/>
      </c>
      <c r="Q618" s="108" t="str">
        <f>IFERROR(INDEX(Setup!$E$44:$E$70,MATCH(M618,Setup!$K$44:$K$70,0))&amp;"","")</f>
        <v/>
      </c>
      <c r="R618" s="108" t="str">
        <f>IFERROR(INDEX(Setup!$L$44:$L$70,MATCH(M618,Setup!$K$44:$K$70,0))&amp;"","")</f>
        <v/>
      </c>
      <c r="S618" s="108" t="str">
        <f>Setup!$C$30</f>
        <v>USD</v>
      </c>
      <c r="T618" s="109" t="str">
        <f>IFERROR(INDEX('Data Sheet'!$B$198:$B$275,MATCH(I618,'Data Sheet'!$F$198:$F$275,0)),"")</f>
        <v/>
      </c>
      <c r="U618" s="110" t="str">
        <f>IFERROR(INDEX('Data Sheet'!$D$198:$D$275,MATCH(I618,'Data Sheet'!$F$198:$F$275,0)),"")</f>
        <v/>
      </c>
      <c r="V618" s="99"/>
      <c r="W618" s="195" t="str">
        <f>IF(V618=Setup!$C$30,"Grant",IF(V618=Setup!$C$31,"Local",IF(V618=Setup!$C$32,"Other",IF(ISBLANK(V618),"","Other"))))</f>
        <v/>
      </c>
      <c r="X618" s="255"/>
      <c r="Y618" s="259" t="str">
        <f>IF(X618&lt;&gt;"",X618/VLOOKUP($V618,Setup!$C$30:$D$41,2,0),"")</f>
        <v/>
      </c>
      <c r="Z618" s="262"/>
      <c r="AA618" s="256" t="str">
        <f t="shared" si="281"/>
        <v/>
      </c>
      <c r="AB618" s="262"/>
      <c r="AC618" s="258" t="str">
        <f t="shared" si="282"/>
        <v/>
      </c>
      <c r="AD618" s="262"/>
      <c r="AE618" s="258" t="str">
        <f t="shared" si="283"/>
        <v/>
      </c>
      <c r="AF618" s="262"/>
      <c r="AG618" s="256" t="str">
        <f t="shared" si="284"/>
        <v/>
      </c>
      <c r="AH618" s="256" t="str">
        <f t="shared" si="285"/>
        <v/>
      </c>
      <c r="AI618" s="256" t="str">
        <f t="shared" si="286"/>
        <v/>
      </c>
      <c r="AJ618" s="111"/>
      <c r="AK618" s="255"/>
      <c r="AL618" s="259" t="str">
        <f>IF(AK618&lt;&gt;"",AK618/VLOOKUP($V618,Setup!$C$30:$D$41,2,0),"")</f>
        <v/>
      </c>
      <c r="AM618" s="266"/>
      <c r="AN618" s="258" t="str">
        <f t="shared" si="287"/>
        <v/>
      </c>
      <c r="AO618" s="266"/>
      <c r="AP618" s="258" t="str">
        <f t="shared" si="288"/>
        <v/>
      </c>
      <c r="AQ618" s="266"/>
      <c r="AR618" s="258" t="str">
        <f t="shared" si="289"/>
        <v/>
      </c>
      <c r="AS618" s="266"/>
      <c r="AT618" s="256" t="str">
        <f t="shared" si="290"/>
        <v/>
      </c>
      <c r="AU618" s="256" t="str">
        <f t="shared" si="291"/>
        <v/>
      </c>
      <c r="AV618" s="256" t="str">
        <f t="shared" si="292"/>
        <v/>
      </c>
      <c r="AW618" s="267"/>
      <c r="AX618" s="255"/>
      <c r="AY618" s="259" t="str">
        <f>IF(AX618&lt;&gt;"",AX618/VLOOKUP($V618,Setup!$C$30:$D$41,2,0),"")</f>
        <v/>
      </c>
      <c r="AZ618" s="268"/>
      <c r="BA618" s="258" t="str">
        <f t="shared" si="293"/>
        <v/>
      </c>
      <c r="BB618" s="268"/>
      <c r="BC618" s="258" t="str">
        <f t="shared" si="294"/>
        <v/>
      </c>
      <c r="BD618" s="268"/>
      <c r="BE618" s="258" t="str">
        <f t="shared" si="295"/>
        <v/>
      </c>
      <c r="BF618" s="268"/>
      <c r="BG618" s="256" t="str">
        <f t="shared" si="296"/>
        <v/>
      </c>
      <c r="BH618" s="256" t="str">
        <f t="shared" si="297"/>
        <v/>
      </c>
      <c r="BI618" s="256" t="str">
        <f t="shared" si="298"/>
        <v/>
      </c>
      <c r="BJ618" s="267"/>
      <c r="BK618" s="255"/>
      <c r="BL618" s="259" t="str">
        <f>IF(BK618&lt;&gt;"",BK618/VLOOKUP($V618,Setup!$C$30:$D$41,2,0),"")</f>
        <v/>
      </c>
      <c r="BM618" s="268"/>
      <c r="BN618" s="258" t="str">
        <f t="shared" si="299"/>
        <v/>
      </c>
      <c r="BO618" s="268"/>
      <c r="BP618" s="258" t="str">
        <f t="shared" si="300"/>
        <v/>
      </c>
      <c r="BQ618" s="268"/>
      <c r="BR618" s="258" t="str">
        <f t="shared" si="301"/>
        <v/>
      </c>
      <c r="BS618" s="268"/>
      <c r="BT618" s="256" t="str">
        <f t="shared" si="302"/>
        <v/>
      </c>
      <c r="BU618" s="256" t="str">
        <f t="shared" si="303"/>
        <v/>
      </c>
      <c r="BV618" s="256" t="str">
        <f t="shared" si="304"/>
        <v/>
      </c>
      <c r="BW618" s="267"/>
      <c r="BX618" s="256" t="str">
        <f t="shared" si="305"/>
        <v/>
      </c>
      <c r="BY618" s="256" t="str">
        <f t="shared" si="306"/>
        <v/>
      </c>
      <c r="BZ618" s="281"/>
      <c r="CA618" s="282"/>
      <c r="CF618" s="284"/>
      <c r="CG618" s="284"/>
      <c r="CH618" s="284"/>
      <c r="CI618" s="284"/>
      <c r="CL618" s="356" t="str">
        <f>IFERROR(VLOOKUP(C618,'Data Sheet'!$A$3:$B$26,2,FALSE),"")</f>
        <v/>
      </c>
    </row>
    <row r="619" spans="1:90" ht="15.75" x14ac:dyDescent="0.2">
      <c r="A619" s="97"/>
      <c r="B619" s="105" t="str">
        <f t="shared" si="309"/>
        <v>--</v>
      </c>
      <c r="C619" s="276"/>
      <c r="D619" s="101" t="str">
        <f>IFERROR(IF(VLOOKUP(C619,'Data Sheet'!$A$3:$D$26,4,FALSE)=0,"",VLOOKUP(C619,'Data Sheet'!$A$3:$D$26,4,FALSE)),"")</f>
        <v/>
      </c>
      <c r="E619" s="279"/>
      <c r="F619" s="103" t="str">
        <f>IFERROR(IF(VLOOKUP(E619,'Data Sheet'!$C$29:$E$174,3,FALSE)=0,"",VLOOKUP(E619,'Data Sheet'!$C$29:$E$174,3,FALSE)),"")</f>
        <v/>
      </c>
      <c r="G619" s="106" t="str">
        <f t="shared" si="307"/>
        <v>-</v>
      </c>
      <c r="H619" s="273"/>
      <c r="I619" s="107"/>
      <c r="J619" s="249" t="e">
        <f t="shared" si="308"/>
        <v>#VALUE!</v>
      </c>
      <c r="K619" s="101" t="str">
        <f>IFERROR(INDEX('Data Sheet'!$C$198:$C$275,MATCH(I619,'Data Sheet'!$F$198:$F$275,0)),"")</f>
        <v/>
      </c>
      <c r="L619" s="250" t="str">
        <f>IFERROR(INDEX('Data Sheet'!$G$198:$G$275,MATCH(I619,'Data Sheet'!$F$198:$F$275,0)),"")</f>
        <v/>
      </c>
      <c r="M619" s="194"/>
      <c r="N619" s="248"/>
      <c r="O619" s="248"/>
      <c r="P619" s="108" t="str">
        <f>IFERROR(INDEX(Setup!$D$44:$D$70,MATCH(M619,Setup!$K$44:$K$70,0))&amp;"","")</f>
        <v/>
      </c>
      <c r="Q619" s="108" t="str">
        <f>IFERROR(INDEX(Setup!$E$44:$E$70,MATCH(M619,Setup!$K$44:$K$70,0))&amp;"","")</f>
        <v/>
      </c>
      <c r="R619" s="108" t="str">
        <f>IFERROR(INDEX(Setup!$L$44:$L$70,MATCH(M619,Setup!$K$44:$K$70,0))&amp;"","")</f>
        <v/>
      </c>
      <c r="S619" s="108" t="str">
        <f>Setup!$C$30</f>
        <v>USD</v>
      </c>
      <c r="T619" s="109" t="str">
        <f>IFERROR(INDEX('Data Sheet'!$B$198:$B$275,MATCH(I619,'Data Sheet'!$F$198:$F$275,0)),"")</f>
        <v/>
      </c>
      <c r="U619" s="110" t="str">
        <f>IFERROR(INDEX('Data Sheet'!$D$198:$D$275,MATCH(I619,'Data Sheet'!$F$198:$F$275,0)),"")</f>
        <v/>
      </c>
      <c r="V619" s="99"/>
      <c r="W619" s="195" t="str">
        <f>IF(V619=Setup!$C$30,"Grant",IF(V619=Setup!$C$31,"Local",IF(V619=Setup!$C$32,"Other",IF(ISBLANK(V619),"","Other"))))</f>
        <v/>
      </c>
      <c r="X619" s="255"/>
      <c r="Y619" s="259" t="str">
        <f>IF(X619&lt;&gt;"",X619/VLOOKUP($V619,Setup!$C$30:$D$41,2,0),"")</f>
        <v/>
      </c>
      <c r="Z619" s="262"/>
      <c r="AA619" s="256" t="str">
        <f t="shared" si="281"/>
        <v/>
      </c>
      <c r="AB619" s="262"/>
      <c r="AC619" s="258" t="str">
        <f t="shared" si="282"/>
        <v/>
      </c>
      <c r="AD619" s="262"/>
      <c r="AE619" s="258" t="str">
        <f t="shared" si="283"/>
        <v/>
      </c>
      <c r="AF619" s="262"/>
      <c r="AG619" s="256" t="str">
        <f t="shared" si="284"/>
        <v/>
      </c>
      <c r="AH619" s="256" t="str">
        <f t="shared" si="285"/>
        <v/>
      </c>
      <c r="AI619" s="256" t="str">
        <f t="shared" si="286"/>
        <v/>
      </c>
      <c r="AJ619" s="111"/>
      <c r="AK619" s="255"/>
      <c r="AL619" s="259" t="str">
        <f>IF(AK619&lt;&gt;"",AK619/VLOOKUP($V619,Setup!$C$30:$D$41,2,0),"")</f>
        <v/>
      </c>
      <c r="AM619" s="266"/>
      <c r="AN619" s="258" t="str">
        <f t="shared" si="287"/>
        <v/>
      </c>
      <c r="AO619" s="266"/>
      <c r="AP619" s="258" t="str">
        <f t="shared" si="288"/>
        <v/>
      </c>
      <c r="AQ619" s="266"/>
      <c r="AR619" s="258" t="str">
        <f t="shared" si="289"/>
        <v/>
      </c>
      <c r="AS619" s="266"/>
      <c r="AT619" s="256" t="str">
        <f t="shared" si="290"/>
        <v/>
      </c>
      <c r="AU619" s="256" t="str">
        <f t="shared" si="291"/>
        <v/>
      </c>
      <c r="AV619" s="256" t="str">
        <f t="shared" si="292"/>
        <v/>
      </c>
      <c r="AW619" s="267"/>
      <c r="AX619" s="255"/>
      <c r="AY619" s="259" t="str">
        <f>IF(AX619&lt;&gt;"",AX619/VLOOKUP($V619,Setup!$C$30:$D$41,2,0),"")</f>
        <v/>
      </c>
      <c r="AZ619" s="268"/>
      <c r="BA619" s="258" t="str">
        <f t="shared" si="293"/>
        <v/>
      </c>
      <c r="BB619" s="268"/>
      <c r="BC619" s="258" t="str">
        <f t="shared" si="294"/>
        <v/>
      </c>
      <c r="BD619" s="268"/>
      <c r="BE619" s="258" t="str">
        <f t="shared" si="295"/>
        <v/>
      </c>
      <c r="BF619" s="268"/>
      <c r="BG619" s="256" t="str">
        <f t="shared" si="296"/>
        <v/>
      </c>
      <c r="BH619" s="256" t="str">
        <f t="shared" si="297"/>
        <v/>
      </c>
      <c r="BI619" s="256" t="str">
        <f t="shared" si="298"/>
        <v/>
      </c>
      <c r="BJ619" s="267"/>
      <c r="BK619" s="255"/>
      <c r="BL619" s="259" t="str">
        <f>IF(BK619&lt;&gt;"",BK619/VLOOKUP($V619,Setup!$C$30:$D$41,2,0),"")</f>
        <v/>
      </c>
      <c r="BM619" s="268"/>
      <c r="BN619" s="258" t="str">
        <f t="shared" si="299"/>
        <v/>
      </c>
      <c r="BO619" s="268"/>
      <c r="BP619" s="258" t="str">
        <f t="shared" si="300"/>
        <v/>
      </c>
      <c r="BQ619" s="268"/>
      <c r="BR619" s="258" t="str">
        <f t="shared" si="301"/>
        <v/>
      </c>
      <c r="BS619" s="268"/>
      <c r="BT619" s="256" t="str">
        <f t="shared" si="302"/>
        <v/>
      </c>
      <c r="BU619" s="256" t="str">
        <f t="shared" si="303"/>
        <v/>
      </c>
      <c r="BV619" s="256" t="str">
        <f t="shared" si="304"/>
        <v/>
      </c>
      <c r="BW619" s="267"/>
      <c r="BX619" s="256" t="str">
        <f t="shared" si="305"/>
        <v/>
      </c>
      <c r="BY619" s="256" t="str">
        <f t="shared" si="306"/>
        <v/>
      </c>
      <c r="BZ619" s="281"/>
      <c r="CA619" s="282"/>
      <c r="CF619" s="284"/>
      <c r="CG619" s="284"/>
      <c r="CH619" s="284"/>
      <c r="CI619" s="284"/>
      <c r="CL619" s="356" t="str">
        <f>IFERROR(VLOOKUP(C619,'Data Sheet'!$A$3:$B$26,2,FALSE),"")</f>
        <v/>
      </c>
    </row>
    <row r="620" spans="1:90" ht="15.75" x14ac:dyDescent="0.2">
      <c r="A620" s="97"/>
      <c r="B620" s="105" t="str">
        <f t="shared" si="309"/>
        <v>--</v>
      </c>
      <c r="C620" s="276"/>
      <c r="D620" s="101" t="str">
        <f>IFERROR(IF(VLOOKUP(C620,'Data Sheet'!$A$3:$D$26,4,FALSE)=0,"",VLOOKUP(C620,'Data Sheet'!$A$3:$D$26,4,FALSE)),"")</f>
        <v/>
      </c>
      <c r="E620" s="279"/>
      <c r="F620" s="103" t="str">
        <f>IFERROR(IF(VLOOKUP(E620,'Data Sheet'!$C$29:$E$174,3,FALSE)=0,"",VLOOKUP(E620,'Data Sheet'!$C$29:$E$174,3,FALSE)),"")</f>
        <v/>
      </c>
      <c r="G620" s="106" t="str">
        <f t="shared" si="307"/>
        <v>-</v>
      </c>
      <c r="H620" s="273"/>
      <c r="I620" s="107"/>
      <c r="J620" s="249" t="e">
        <f t="shared" si="308"/>
        <v>#VALUE!</v>
      </c>
      <c r="K620" s="101" t="str">
        <f>IFERROR(INDEX('Data Sheet'!$C$198:$C$275,MATCH(I620,'Data Sheet'!$F$198:$F$275,0)),"")</f>
        <v/>
      </c>
      <c r="L620" s="250" t="str">
        <f>IFERROR(INDEX('Data Sheet'!$G$198:$G$275,MATCH(I620,'Data Sheet'!$F$198:$F$275,0)),"")</f>
        <v/>
      </c>
      <c r="M620" s="194"/>
      <c r="N620" s="248"/>
      <c r="O620" s="248"/>
      <c r="P620" s="108" t="str">
        <f>IFERROR(INDEX(Setup!$D$44:$D$70,MATCH(M620,Setup!$K$44:$K$70,0))&amp;"","")</f>
        <v/>
      </c>
      <c r="Q620" s="108" t="str">
        <f>IFERROR(INDEX(Setup!$E$44:$E$70,MATCH(M620,Setup!$K$44:$K$70,0))&amp;"","")</f>
        <v/>
      </c>
      <c r="R620" s="108" t="str">
        <f>IFERROR(INDEX(Setup!$L$44:$L$70,MATCH(M620,Setup!$K$44:$K$70,0))&amp;"","")</f>
        <v/>
      </c>
      <c r="S620" s="108" t="str">
        <f>Setup!$C$30</f>
        <v>USD</v>
      </c>
      <c r="T620" s="109" t="str">
        <f>IFERROR(INDEX('Data Sheet'!$B$198:$B$275,MATCH(I620,'Data Sheet'!$F$198:$F$275,0)),"")</f>
        <v/>
      </c>
      <c r="U620" s="110" t="str">
        <f>IFERROR(INDEX('Data Sheet'!$D$198:$D$275,MATCH(I620,'Data Sheet'!$F$198:$F$275,0)),"")</f>
        <v/>
      </c>
      <c r="V620" s="99"/>
      <c r="W620" s="195" t="str">
        <f>IF(V620=Setup!$C$30,"Grant",IF(V620=Setup!$C$31,"Local",IF(V620=Setup!$C$32,"Other",IF(ISBLANK(V620),"","Other"))))</f>
        <v/>
      </c>
      <c r="X620" s="255"/>
      <c r="Y620" s="259" t="str">
        <f>IF(X620&lt;&gt;"",X620/VLOOKUP($V620,Setup!$C$30:$D$41,2,0),"")</f>
        <v/>
      </c>
      <c r="Z620" s="262"/>
      <c r="AA620" s="256" t="str">
        <f t="shared" si="281"/>
        <v/>
      </c>
      <c r="AB620" s="262"/>
      <c r="AC620" s="258" t="str">
        <f t="shared" si="282"/>
        <v/>
      </c>
      <c r="AD620" s="262"/>
      <c r="AE620" s="258" t="str">
        <f t="shared" si="283"/>
        <v/>
      </c>
      <c r="AF620" s="262"/>
      <c r="AG620" s="256" t="str">
        <f t="shared" si="284"/>
        <v/>
      </c>
      <c r="AH620" s="256" t="str">
        <f t="shared" si="285"/>
        <v/>
      </c>
      <c r="AI620" s="256" t="str">
        <f t="shared" si="286"/>
        <v/>
      </c>
      <c r="AJ620" s="111"/>
      <c r="AK620" s="255"/>
      <c r="AL620" s="259" t="str">
        <f>IF(AK620&lt;&gt;"",AK620/VLOOKUP($V620,Setup!$C$30:$D$41,2,0),"")</f>
        <v/>
      </c>
      <c r="AM620" s="266"/>
      <c r="AN620" s="258" t="str">
        <f t="shared" si="287"/>
        <v/>
      </c>
      <c r="AO620" s="266"/>
      <c r="AP620" s="258" t="str">
        <f t="shared" si="288"/>
        <v/>
      </c>
      <c r="AQ620" s="266"/>
      <c r="AR620" s="258" t="str">
        <f t="shared" si="289"/>
        <v/>
      </c>
      <c r="AS620" s="266"/>
      <c r="AT620" s="256" t="str">
        <f t="shared" si="290"/>
        <v/>
      </c>
      <c r="AU620" s="256" t="str">
        <f t="shared" si="291"/>
        <v/>
      </c>
      <c r="AV620" s="256" t="str">
        <f t="shared" si="292"/>
        <v/>
      </c>
      <c r="AW620" s="267"/>
      <c r="AX620" s="255"/>
      <c r="AY620" s="259" t="str">
        <f>IF(AX620&lt;&gt;"",AX620/VLOOKUP($V620,Setup!$C$30:$D$41,2,0),"")</f>
        <v/>
      </c>
      <c r="AZ620" s="268"/>
      <c r="BA620" s="258" t="str">
        <f t="shared" si="293"/>
        <v/>
      </c>
      <c r="BB620" s="268"/>
      <c r="BC620" s="258" t="str">
        <f t="shared" si="294"/>
        <v/>
      </c>
      <c r="BD620" s="268"/>
      <c r="BE620" s="258" t="str">
        <f t="shared" si="295"/>
        <v/>
      </c>
      <c r="BF620" s="268"/>
      <c r="BG620" s="256" t="str">
        <f t="shared" si="296"/>
        <v/>
      </c>
      <c r="BH620" s="256" t="str">
        <f t="shared" si="297"/>
        <v/>
      </c>
      <c r="BI620" s="256" t="str">
        <f t="shared" si="298"/>
        <v/>
      </c>
      <c r="BJ620" s="267"/>
      <c r="BK620" s="255"/>
      <c r="BL620" s="259" t="str">
        <f>IF(BK620&lt;&gt;"",BK620/VLOOKUP($V620,Setup!$C$30:$D$41,2,0),"")</f>
        <v/>
      </c>
      <c r="BM620" s="268"/>
      <c r="BN620" s="258" t="str">
        <f t="shared" si="299"/>
        <v/>
      </c>
      <c r="BO620" s="268"/>
      <c r="BP620" s="258" t="str">
        <f t="shared" si="300"/>
        <v/>
      </c>
      <c r="BQ620" s="268"/>
      <c r="BR620" s="258" t="str">
        <f t="shared" si="301"/>
        <v/>
      </c>
      <c r="BS620" s="268"/>
      <c r="BT620" s="256" t="str">
        <f t="shared" si="302"/>
        <v/>
      </c>
      <c r="BU620" s="256" t="str">
        <f t="shared" si="303"/>
        <v/>
      </c>
      <c r="BV620" s="256" t="str">
        <f t="shared" si="304"/>
        <v/>
      </c>
      <c r="BW620" s="267"/>
      <c r="BX620" s="256" t="str">
        <f t="shared" si="305"/>
        <v/>
      </c>
      <c r="BY620" s="256" t="str">
        <f t="shared" si="306"/>
        <v/>
      </c>
      <c r="BZ620" s="281"/>
      <c r="CA620" s="282"/>
      <c r="CF620" s="284"/>
      <c r="CG620" s="284"/>
      <c r="CH620" s="284"/>
      <c r="CI620" s="284"/>
      <c r="CL620" s="356" t="str">
        <f>IFERROR(VLOOKUP(C620,'Data Sheet'!$A$3:$B$26,2,FALSE),"")</f>
        <v/>
      </c>
    </row>
    <row r="621" spans="1:90" ht="15.75" x14ac:dyDescent="0.2">
      <c r="A621" s="97"/>
      <c r="B621" s="105" t="str">
        <f t="shared" si="309"/>
        <v>--</v>
      </c>
      <c r="C621" s="276"/>
      <c r="D621" s="101" t="str">
        <f>IFERROR(IF(VLOOKUP(C621,'Data Sheet'!$A$3:$D$26,4,FALSE)=0,"",VLOOKUP(C621,'Data Sheet'!$A$3:$D$26,4,FALSE)),"")</f>
        <v/>
      </c>
      <c r="E621" s="279"/>
      <c r="F621" s="103" t="str">
        <f>IFERROR(IF(VLOOKUP(E621,'Data Sheet'!$C$29:$E$174,3,FALSE)=0,"",VLOOKUP(E621,'Data Sheet'!$C$29:$E$174,3,FALSE)),"")</f>
        <v/>
      </c>
      <c r="G621" s="106" t="str">
        <f t="shared" si="307"/>
        <v>-</v>
      </c>
      <c r="H621" s="273"/>
      <c r="I621" s="107"/>
      <c r="J621" s="249" t="e">
        <f t="shared" si="308"/>
        <v>#VALUE!</v>
      </c>
      <c r="K621" s="101" t="str">
        <f>IFERROR(INDEX('Data Sheet'!$C$198:$C$275,MATCH(I621,'Data Sheet'!$F$198:$F$275,0)),"")</f>
        <v/>
      </c>
      <c r="L621" s="250" t="str">
        <f>IFERROR(INDEX('Data Sheet'!$G$198:$G$275,MATCH(I621,'Data Sheet'!$F$198:$F$275,0)),"")</f>
        <v/>
      </c>
      <c r="M621" s="194"/>
      <c r="N621" s="248"/>
      <c r="O621" s="248"/>
      <c r="P621" s="108" t="str">
        <f>IFERROR(INDEX(Setup!$D$44:$D$70,MATCH(M621,Setup!$K$44:$K$70,0))&amp;"","")</f>
        <v/>
      </c>
      <c r="Q621" s="108" t="str">
        <f>IFERROR(INDEX(Setup!$E$44:$E$70,MATCH(M621,Setup!$K$44:$K$70,0))&amp;"","")</f>
        <v/>
      </c>
      <c r="R621" s="108" t="str">
        <f>IFERROR(INDEX(Setup!$L$44:$L$70,MATCH(M621,Setup!$K$44:$K$70,0))&amp;"","")</f>
        <v/>
      </c>
      <c r="S621" s="108" t="str">
        <f>Setup!$C$30</f>
        <v>USD</v>
      </c>
      <c r="T621" s="109" t="str">
        <f>IFERROR(INDEX('Data Sheet'!$B$198:$B$275,MATCH(I621,'Data Sheet'!$F$198:$F$275,0)),"")</f>
        <v/>
      </c>
      <c r="U621" s="110" t="str">
        <f>IFERROR(INDEX('Data Sheet'!$D$198:$D$275,MATCH(I621,'Data Sheet'!$F$198:$F$275,0)),"")</f>
        <v/>
      </c>
      <c r="V621" s="99"/>
      <c r="W621" s="195" t="str">
        <f>IF(V621=Setup!$C$30,"Grant",IF(V621=Setup!$C$31,"Local",IF(V621=Setup!$C$32,"Other",IF(ISBLANK(V621),"","Other"))))</f>
        <v/>
      </c>
      <c r="X621" s="255"/>
      <c r="Y621" s="259" t="str">
        <f>IF(X621&lt;&gt;"",X621/VLOOKUP($V621,Setup!$C$30:$D$41,2,0),"")</f>
        <v/>
      </c>
      <c r="Z621" s="262"/>
      <c r="AA621" s="256" t="str">
        <f t="shared" si="281"/>
        <v/>
      </c>
      <c r="AB621" s="262"/>
      <c r="AC621" s="258" t="str">
        <f t="shared" si="282"/>
        <v/>
      </c>
      <c r="AD621" s="262"/>
      <c r="AE621" s="258" t="str">
        <f t="shared" si="283"/>
        <v/>
      </c>
      <c r="AF621" s="262"/>
      <c r="AG621" s="256" t="str">
        <f t="shared" si="284"/>
        <v/>
      </c>
      <c r="AH621" s="256" t="str">
        <f t="shared" si="285"/>
        <v/>
      </c>
      <c r="AI621" s="256" t="str">
        <f t="shared" si="286"/>
        <v/>
      </c>
      <c r="AJ621" s="111"/>
      <c r="AK621" s="255"/>
      <c r="AL621" s="259" t="str">
        <f>IF(AK621&lt;&gt;"",AK621/VLOOKUP($V621,Setup!$C$30:$D$41,2,0),"")</f>
        <v/>
      </c>
      <c r="AM621" s="266"/>
      <c r="AN621" s="258" t="str">
        <f t="shared" si="287"/>
        <v/>
      </c>
      <c r="AO621" s="266"/>
      <c r="AP621" s="258" t="str">
        <f t="shared" si="288"/>
        <v/>
      </c>
      <c r="AQ621" s="266"/>
      <c r="AR621" s="258" t="str">
        <f t="shared" si="289"/>
        <v/>
      </c>
      <c r="AS621" s="266"/>
      <c r="AT621" s="256" t="str">
        <f t="shared" si="290"/>
        <v/>
      </c>
      <c r="AU621" s="256" t="str">
        <f t="shared" si="291"/>
        <v/>
      </c>
      <c r="AV621" s="256" t="str">
        <f t="shared" si="292"/>
        <v/>
      </c>
      <c r="AW621" s="267"/>
      <c r="AX621" s="255"/>
      <c r="AY621" s="259" t="str">
        <f>IF(AX621&lt;&gt;"",AX621/VLOOKUP($V621,Setup!$C$30:$D$41,2,0),"")</f>
        <v/>
      </c>
      <c r="AZ621" s="268"/>
      <c r="BA621" s="258" t="str">
        <f t="shared" si="293"/>
        <v/>
      </c>
      <c r="BB621" s="268"/>
      <c r="BC621" s="258" t="str">
        <f t="shared" si="294"/>
        <v/>
      </c>
      <c r="BD621" s="268"/>
      <c r="BE621" s="258" t="str">
        <f t="shared" si="295"/>
        <v/>
      </c>
      <c r="BF621" s="268"/>
      <c r="BG621" s="256" t="str">
        <f t="shared" si="296"/>
        <v/>
      </c>
      <c r="BH621" s="256" t="str">
        <f t="shared" si="297"/>
        <v/>
      </c>
      <c r="BI621" s="256" t="str">
        <f t="shared" si="298"/>
        <v/>
      </c>
      <c r="BJ621" s="267"/>
      <c r="BK621" s="255"/>
      <c r="BL621" s="259" t="str">
        <f>IF(BK621&lt;&gt;"",BK621/VLOOKUP($V621,Setup!$C$30:$D$41,2,0),"")</f>
        <v/>
      </c>
      <c r="BM621" s="268"/>
      <c r="BN621" s="258" t="str">
        <f t="shared" si="299"/>
        <v/>
      </c>
      <c r="BO621" s="268"/>
      <c r="BP621" s="258" t="str">
        <f t="shared" si="300"/>
        <v/>
      </c>
      <c r="BQ621" s="268"/>
      <c r="BR621" s="258" t="str">
        <f t="shared" si="301"/>
        <v/>
      </c>
      <c r="BS621" s="268"/>
      <c r="BT621" s="256" t="str">
        <f t="shared" si="302"/>
        <v/>
      </c>
      <c r="BU621" s="256" t="str">
        <f t="shared" si="303"/>
        <v/>
      </c>
      <c r="BV621" s="256" t="str">
        <f t="shared" si="304"/>
        <v/>
      </c>
      <c r="BW621" s="267"/>
      <c r="BX621" s="256" t="str">
        <f t="shared" si="305"/>
        <v/>
      </c>
      <c r="BY621" s="256" t="str">
        <f t="shared" si="306"/>
        <v/>
      </c>
      <c r="BZ621" s="281"/>
      <c r="CA621" s="282"/>
      <c r="CF621" s="284"/>
      <c r="CG621" s="284"/>
      <c r="CH621" s="284"/>
      <c r="CI621" s="284"/>
      <c r="CL621" s="356" t="str">
        <f>IFERROR(VLOOKUP(C621,'Data Sheet'!$A$3:$B$26,2,FALSE),"")</f>
        <v/>
      </c>
    </row>
    <row r="622" spans="1:90" ht="15.75" x14ac:dyDescent="0.2">
      <c r="A622" s="97"/>
      <c r="B622" s="105" t="str">
        <f t="shared" si="309"/>
        <v>--</v>
      </c>
      <c r="C622" s="276"/>
      <c r="D622" s="101" t="str">
        <f>IFERROR(IF(VLOOKUP(C622,'Data Sheet'!$A$3:$D$26,4,FALSE)=0,"",VLOOKUP(C622,'Data Sheet'!$A$3:$D$26,4,FALSE)),"")</f>
        <v/>
      </c>
      <c r="E622" s="279"/>
      <c r="F622" s="103" t="str">
        <f>IFERROR(IF(VLOOKUP(E622,'Data Sheet'!$C$29:$E$174,3,FALSE)=0,"",VLOOKUP(E622,'Data Sheet'!$C$29:$E$174,3,FALSE)),"")</f>
        <v/>
      </c>
      <c r="G622" s="106" t="str">
        <f t="shared" si="307"/>
        <v>-</v>
      </c>
      <c r="H622" s="273"/>
      <c r="I622" s="107"/>
      <c r="J622" s="249" t="e">
        <f t="shared" si="308"/>
        <v>#VALUE!</v>
      </c>
      <c r="K622" s="101" t="str">
        <f>IFERROR(INDEX('Data Sheet'!$C$198:$C$275,MATCH(I622,'Data Sheet'!$F$198:$F$275,0)),"")</f>
        <v/>
      </c>
      <c r="L622" s="250" t="str">
        <f>IFERROR(INDEX('Data Sheet'!$G$198:$G$275,MATCH(I622,'Data Sheet'!$F$198:$F$275,0)),"")</f>
        <v/>
      </c>
      <c r="M622" s="194"/>
      <c r="N622" s="248"/>
      <c r="O622" s="248"/>
      <c r="P622" s="108" t="str">
        <f>IFERROR(INDEX(Setup!$D$44:$D$70,MATCH(M622,Setup!$K$44:$K$70,0))&amp;"","")</f>
        <v/>
      </c>
      <c r="Q622" s="108" t="str">
        <f>IFERROR(INDEX(Setup!$E$44:$E$70,MATCH(M622,Setup!$K$44:$K$70,0))&amp;"","")</f>
        <v/>
      </c>
      <c r="R622" s="108" t="str">
        <f>IFERROR(INDEX(Setup!$L$44:$L$70,MATCH(M622,Setup!$K$44:$K$70,0))&amp;"","")</f>
        <v/>
      </c>
      <c r="S622" s="108" t="str">
        <f>Setup!$C$30</f>
        <v>USD</v>
      </c>
      <c r="T622" s="109" t="str">
        <f>IFERROR(INDEX('Data Sheet'!$B$198:$B$275,MATCH(I622,'Data Sheet'!$F$198:$F$275,0)),"")</f>
        <v/>
      </c>
      <c r="U622" s="110" t="str">
        <f>IFERROR(INDEX('Data Sheet'!$D$198:$D$275,MATCH(I622,'Data Sheet'!$F$198:$F$275,0)),"")</f>
        <v/>
      </c>
      <c r="V622" s="99"/>
      <c r="W622" s="195" t="str">
        <f>IF(V622=Setup!$C$30,"Grant",IF(V622=Setup!$C$31,"Local",IF(V622=Setup!$C$32,"Other",IF(ISBLANK(V622),"","Other"))))</f>
        <v/>
      </c>
      <c r="X622" s="255"/>
      <c r="Y622" s="259" t="str">
        <f>IF(X622&lt;&gt;"",X622/VLOOKUP($V622,Setup!$C$30:$D$41,2,0),"")</f>
        <v/>
      </c>
      <c r="Z622" s="262"/>
      <c r="AA622" s="256" t="str">
        <f t="shared" si="281"/>
        <v/>
      </c>
      <c r="AB622" s="262"/>
      <c r="AC622" s="258" t="str">
        <f t="shared" si="282"/>
        <v/>
      </c>
      <c r="AD622" s="262"/>
      <c r="AE622" s="258" t="str">
        <f t="shared" si="283"/>
        <v/>
      </c>
      <c r="AF622" s="262"/>
      <c r="AG622" s="256" t="str">
        <f t="shared" si="284"/>
        <v/>
      </c>
      <c r="AH622" s="256" t="str">
        <f t="shared" si="285"/>
        <v/>
      </c>
      <c r="AI622" s="256" t="str">
        <f t="shared" si="286"/>
        <v/>
      </c>
      <c r="AJ622" s="111"/>
      <c r="AK622" s="255"/>
      <c r="AL622" s="259" t="str">
        <f>IF(AK622&lt;&gt;"",AK622/VLOOKUP($V622,Setup!$C$30:$D$41,2,0),"")</f>
        <v/>
      </c>
      <c r="AM622" s="266"/>
      <c r="AN622" s="258" t="str">
        <f t="shared" si="287"/>
        <v/>
      </c>
      <c r="AO622" s="266"/>
      <c r="AP622" s="258" t="str">
        <f t="shared" si="288"/>
        <v/>
      </c>
      <c r="AQ622" s="266"/>
      <c r="AR622" s="258" t="str">
        <f t="shared" si="289"/>
        <v/>
      </c>
      <c r="AS622" s="266"/>
      <c r="AT622" s="256" t="str">
        <f t="shared" si="290"/>
        <v/>
      </c>
      <c r="AU622" s="256" t="str">
        <f t="shared" si="291"/>
        <v/>
      </c>
      <c r="AV622" s="256" t="str">
        <f t="shared" si="292"/>
        <v/>
      </c>
      <c r="AW622" s="267"/>
      <c r="AX622" s="255"/>
      <c r="AY622" s="259" t="str">
        <f>IF(AX622&lt;&gt;"",AX622/VLOOKUP($V622,Setup!$C$30:$D$41,2,0),"")</f>
        <v/>
      </c>
      <c r="AZ622" s="268"/>
      <c r="BA622" s="258" t="str">
        <f t="shared" si="293"/>
        <v/>
      </c>
      <c r="BB622" s="268"/>
      <c r="BC622" s="258" t="str">
        <f t="shared" si="294"/>
        <v/>
      </c>
      <c r="BD622" s="268"/>
      <c r="BE622" s="258" t="str">
        <f t="shared" si="295"/>
        <v/>
      </c>
      <c r="BF622" s="268"/>
      <c r="BG622" s="256" t="str">
        <f t="shared" si="296"/>
        <v/>
      </c>
      <c r="BH622" s="256" t="str">
        <f t="shared" si="297"/>
        <v/>
      </c>
      <c r="BI622" s="256" t="str">
        <f t="shared" si="298"/>
        <v/>
      </c>
      <c r="BJ622" s="267"/>
      <c r="BK622" s="255"/>
      <c r="BL622" s="259" t="str">
        <f>IF(BK622&lt;&gt;"",BK622/VLOOKUP($V622,Setup!$C$30:$D$41,2,0),"")</f>
        <v/>
      </c>
      <c r="BM622" s="268"/>
      <c r="BN622" s="258" t="str">
        <f t="shared" si="299"/>
        <v/>
      </c>
      <c r="BO622" s="268"/>
      <c r="BP622" s="258" t="str">
        <f t="shared" si="300"/>
        <v/>
      </c>
      <c r="BQ622" s="268"/>
      <c r="BR622" s="258" t="str">
        <f t="shared" si="301"/>
        <v/>
      </c>
      <c r="BS622" s="268"/>
      <c r="BT622" s="256" t="str">
        <f t="shared" si="302"/>
        <v/>
      </c>
      <c r="BU622" s="256" t="str">
        <f t="shared" si="303"/>
        <v/>
      </c>
      <c r="BV622" s="256" t="str">
        <f t="shared" si="304"/>
        <v/>
      </c>
      <c r="BW622" s="267"/>
      <c r="BX622" s="256" t="str">
        <f t="shared" si="305"/>
        <v/>
      </c>
      <c r="BY622" s="256" t="str">
        <f t="shared" si="306"/>
        <v/>
      </c>
      <c r="BZ622" s="281"/>
      <c r="CA622" s="282"/>
      <c r="CF622" s="284"/>
      <c r="CG622" s="284"/>
      <c r="CH622" s="284"/>
      <c r="CI622" s="284"/>
      <c r="CL622" s="356" t="str">
        <f>IFERROR(VLOOKUP(C622,'Data Sheet'!$A$3:$B$26,2,FALSE),"")</f>
        <v/>
      </c>
    </row>
    <row r="623" spans="1:90" ht="15.75" x14ac:dyDescent="0.2">
      <c r="A623" s="97"/>
      <c r="B623" s="105" t="str">
        <f t="shared" si="309"/>
        <v>--</v>
      </c>
      <c r="C623" s="276"/>
      <c r="D623" s="101" t="str">
        <f>IFERROR(IF(VLOOKUP(C623,'Data Sheet'!$A$3:$D$26,4,FALSE)=0,"",VLOOKUP(C623,'Data Sheet'!$A$3:$D$26,4,FALSE)),"")</f>
        <v/>
      </c>
      <c r="E623" s="279"/>
      <c r="F623" s="103" t="str">
        <f>IFERROR(IF(VLOOKUP(E623,'Data Sheet'!$C$29:$E$174,3,FALSE)=0,"",VLOOKUP(E623,'Data Sheet'!$C$29:$E$174,3,FALSE)),"")</f>
        <v/>
      </c>
      <c r="G623" s="106" t="str">
        <f t="shared" si="307"/>
        <v>-</v>
      </c>
      <c r="H623" s="273"/>
      <c r="I623" s="107"/>
      <c r="J623" s="249" t="e">
        <f t="shared" si="308"/>
        <v>#VALUE!</v>
      </c>
      <c r="K623" s="101" t="str">
        <f>IFERROR(INDEX('Data Sheet'!$C$198:$C$275,MATCH(I623,'Data Sheet'!$F$198:$F$275,0)),"")</f>
        <v/>
      </c>
      <c r="L623" s="250" t="str">
        <f>IFERROR(INDEX('Data Sheet'!$G$198:$G$275,MATCH(I623,'Data Sheet'!$F$198:$F$275,0)),"")</f>
        <v/>
      </c>
      <c r="M623" s="194"/>
      <c r="N623" s="248"/>
      <c r="O623" s="248"/>
      <c r="P623" s="108" t="str">
        <f>IFERROR(INDEX(Setup!$D$44:$D$70,MATCH(M623,Setup!$K$44:$K$70,0))&amp;"","")</f>
        <v/>
      </c>
      <c r="Q623" s="108" t="str">
        <f>IFERROR(INDEX(Setup!$E$44:$E$70,MATCH(M623,Setup!$K$44:$K$70,0))&amp;"","")</f>
        <v/>
      </c>
      <c r="R623" s="108" t="str">
        <f>IFERROR(INDEX(Setup!$L$44:$L$70,MATCH(M623,Setup!$K$44:$K$70,0))&amp;"","")</f>
        <v/>
      </c>
      <c r="S623" s="108" t="str">
        <f>Setup!$C$30</f>
        <v>USD</v>
      </c>
      <c r="T623" s="109" t="str">
        <f>IFERROR(INDEX('Data Sheet'!$B$198:$B$275,MATCH(I623,'Data Sheet'!$F$198:$F$275,0)),"")</f>
        <v/>
      </c>
      <c r="U623" s="110" t="str">
        <f>IFERROR(INDEX('Data Sheet'!$D$198:$D$275,MATCH(I623,'Data Sheet'!$F$198:$F$275,0)),"")</f>
        <v/>
      </c>
      <c r="V623" s="99"/>
      <c r="W623" s="195" t="str">
        <f>IF(V623=Setup!$C$30,"Grant",IF(V623=Setup!$C$31,"Local",IF(V623=Setup!$C$32,"Other",IF(ISBLANK(V623),"","Other"))))</f>
        <v/>
      </c>
      <c r="X623" s="255"/>
      <c r="Y623" s="259" t="str">
        <f>IF(X623&lt;&gt;"",X623/VLOOKUP($V623,Setup!$C$30:$D$41,2,0),"")</f>
        <v/>
      </c>
      <c r="Z623" s="262"/>
      <c r="AA623" s="256" t="str">
        <f t="shared" si="281"/>
        <v/>
      </c>
      <c r="AB623" s="262"/>
      <c r="AC623" s="258" t="str">
        <f t="shared" si="282"/>
        <v/>
      </c>
      <c r="AD623" s="262"/>
      <c r="AE623" s="258" t="str">
        <f t="shared" si="283"/>
        <v/>
      </c>
      <c r="AF623" s="262"/>
      <c r="AG623" s="256" t="str">
        <f t="shared" si="284"/>
        <v/>
      </c>
      <c r="AH623" s="256" t="str">
        <f t="shared" si="285"/>
        <v/>
      </c>
      <c r="AI623" s="256" t="str">
        <f t="shared" si="286"/>
        <v/>
      </c>
      <c r="AJ623" s="111"/>
      <c r="AK623" s="255"/>
      <c r="AL623" s="259" t="str">
        <f>IF(AK623&lt;&gt;"",AK623/VLOOKUP($V623,Setup!$C$30:$D$41,2,0),"")</f>
        <v/>
      </c>
      <c r="AM623" s="266"/>
      <c r="AN623" s="258" t="str">
        <f t="shared" si="287"/>
        <v/>
      </c>
      <c r="AO623" s="266"/>
      <c r="AP623" s="258" t="str">
        <f t="shared" si="288"/>
        <v/>
      </c>
      <c r="AQ623" s="266"/>
      <c r="AR623" s="258" t="str">
        <f t="shared" si="289"/>
        <v/>
      </c>
      <c r="AS623" s="266"/>
      <c r="AT623" s="256" t="str">
        <f t="shared" si="290"/>
        <v/>
      </c>
      <c r="AU623" s="256" t="str">
        <f t="shared" si="291"/>
        <v/>
      </c>
      <c r="AV623" s="256" t="str">
        <f t="shared" si="292"/>
        <v/>
      </c>
      <c r="AW623" s="267"/>
      <c r="AX623" s="255"/>
      <c r="AY623" s="259" t="str">
        <f>IF(AX623&lt;&gt;"",AX623/VLOOKUP($V623,Setup!$C$30:$D$41,2,0),"")</f>
        <v/>
      </c>
      <c r="AZ623" s="268"/>
      <c r="BA623" s="258" t="str">
        <f t="shared" si="293"/>
        <v/>
      </c>
      <c r="BB623" s="268"/>
      <c r="BC623" s="258" t="str">
        <f t="shared" si="294"/>
        <v/>
      </c>
      <c r="BD623" s="268"/>
      <c r="BE623" s="258" t="str">
        <f t="shared" si="295"/>
        <v/>
      </c>
      <c r="BF623" s="268"/>
      <c r="BG623" s="256" t="str">
        <f t="shared" si="296"/>
        <v/>
      </c>
      <c r="BH623" s="256" t="str">
        <f t="shared" si="297"/>
        <v/>
      </c>
      <c r="BI623" s="256" t="str">
        <f t="shared" si="298"/>
        <v/>
      </c>
      <c r="BJ623" s="267"/>
      <c r="BK623" s="255"/>
      <c r="BL623" s="259" t="str">
        <f>IF(BK623&lt;&gt;"",BK623/VLOOKUP($V623,Setup!$C$30:$D$41,2,0),"")</f>
        <v/>
      </c>
      <c r="BM623" s="268"/>
      <c r="BN623" s="258" t="str">
        <f t="shared" si="299"/>
        <v/>
      </c>
      <c r="BO623" s="268"/>
      <c r="BP623" s="258" t="str">
        <f t="shared" si="300"/>
        <v/>
      </c>
      <c r="BQ623" s="268"/>
      <c r="BR623" s="258" t="str">
        <f t="shared" si="301"/>
        <v/>
      </c>
      <c r="BS623" s="268"/>
      <c r="BT623" s="256" t="str">
        <f t="shared" si="302"/>
        <v/>
      </c>
      <c r="BU623" s="256" t="str">
        <f t="shared" si="303"/>
        <v/>
      </c>
      <c r="BV623" s="256" t="str">
        <f t="shared" si="304"/>
        <v/>
      </c>
      <c r="BW623" s="267"/>
      <c r="BX623" s="256" t="str">
        <f t="shared" si="305"/>
        <v/>
      </c>
      <c r="BY623" s="256" t="str">
        <f t="shared" si="306"/>
        <v/>
      </c>
      <c r="BZ623" s="281"/>
      <c r="CA623" s="282"/>
      <c r="CF623" s="284"/>
      <c r="CG623" s="284"/>
      <c r="CH623" s="284"/>
      <c r="CI623" s="284"/>
      <c r="CL623" s="356" t="str">
        <f>IFERROR(VLOOKUP(C623,'Data Sheet'!$A$3:$B$26,2,FALSE),"")</f>
        <v/>
      </c>
    </row>
    <row r="624" spans="1:90" ht="15.75" x14ac:dyDescent="0.2">
      <c r="A624" s="97"/>
      <c r="B624" s="105" t="str">
        <f t="shared" si="309"/>
        <v>--</v>
      </c>
      <c r="C624" s="276"/>
      <c r="D624" s="101" t="str">
        <f>IFERROR(IF(VLOOKUP(C624,'Data Sheet'!$A$3:$D$26,4,FALSE)=0,"",VLOOKUP(C624,'Data Sheet'!$A$3:$D$26,4,FALSE)),"")</f>
        <v/>
      </c>
      <c r="E624" s="279"/>
      <c r="F624" s="103" t="str">
        <f>IFERROR(IF(VLOOKUP(E624,'Data Sheet'!$C$29:$E$174,3,FALSE)=0,"",VLOOKUP(E624,'Data Sheet'!$C$29:$E$174,3,FALSE)),"")</f>
        <v/>
      </c>
      <c r="G624" s="106" t="str">
        <f t="shared" si="307"/>
        <v>-</v>
      </c>
      <c r="H624" s="273"/>
      <c r="I624" s="107"/>
      <c r="J624" s="249" t="e">
        <f t="shared" si="308"/>
        <v>#VALUE!</v>
      </c>
      <c r="K624" s="101" t="str">
        <f>IFERROR(INDEX('Data Sheet'!$C$198:$C$275,MATCH(I624,'Data Sheet'!$F$198:$F$275,0)),"")</f>
        <v/>
      </c>
      <c r="L624" s="250" t="str">
        <f>IFERROR(INDEX('Data Sheet'!$G$198:$G$275,MATCH(I624,'Data Sheet'!$F$198:$F$275,0)),"")</f>
        <v/>
      </c>
      <c r="M624" s="194"/>
      <c r="N624" s="248"/>
      <c r="O624" s="248"/>
      <c r="P624" s="108" t="str">
        <f>IFERROR(INDEX(Setup!$D$44:$D$70,MATCH(M624,Setup!$K$44:$K$70,0))&amp;"","")</f>
        <v/>
      </c>
      <c r="Q624" s="108" t="str">
        <f>IFERROR(INDEX(Setup!$E$44:$E$70,MATCH(M624,Setup!$K$44:$K$70,0))&amp;"","")</f>
        <v/>
      </c>
      <c r="R624" s="108" t="str">
        <f>IFERROR(INDEX(Setup!$L$44:$L$70,MATCH(M624,Setup!$K$44:$K$70,0))&amp;"","")</f>
        <v/>
      </c>
      <c r="S624" s="108" t="str">
        <f>Setup!$C$30</f>
        <v>USD</v>
      </c>
      <c r="T624" s="109" t="str">
        <f>IFERROR(INDEX('Data Sheet'!$B$198:$B$275,MATCH(I624,'Data Sheet'!$F$198:$F$275,0)),"")</f>
        <v/>
      </c>
      <c r="U624" s="110" t="str">
        <f>IFERROR(INDEX('Data Sheet'!$D$198:$D$275,MATCH(I624,'Data Sheet'!$F$198:$F$275,0)),"")</f>
        <v/>
      </c>
      <c r="V624" s="99"/>
      <c r="W624" s="195" t="str">
        <f>IF(V624=Setup!$C$30,"Grant",IF(V624=Setup!$C$31,"Local",IF(V624=Setup!$C$32,"Other",IF(ISBLANK(V624),"","Other"))))</f>
        <v/>
      </c>
      <c r="X624" s="255"/>
      <c r="Y624" s="259" t="str">
        <f>IF(X624&lt;&gt;"",X624/VLOOKUP($V624,Setup!$C$30:$D$41,2,0),"")</f>
        <v/>
      </c>
      <c r="Z624" s="262"/>
      <c r="AA624" s="256" t="str">
        <f t="shared" si="281"/>
        <v/>
      </c>
      <c r="AB624" s="262"/>
      <c r="AC624" s="258" t="str">
        <f t="shared" si="282"/>
        <v/>
      </c>
      <c r="AD624" s="262"/>
      <c r="AE624" s="258" t="str">
        <f t="shared" si="283"/>
        <v/>
      </c>
      <c r="AF624" s="262"/>
      <c r="AG624" s="256" t="str">
        <f t="shared" si="284"/>
        <v/>
      </c>
      <c r="AH624" s="256" t="str">
        <f t="shared" si="285"/>
        <v/>
      </c>
      <c r="AI624" s="256" t="str">
        <f t="shared" si="286"/>
        <v/>
      </c>
      <c r="AJ624" s="111"/>
      <c r="AK624" s="255"/>
      <c r="AL624" s="259" t="str">
        <f>IF(AK624&lt;&gt;"",AK624/VLOOKUP($V624,Setup!$C$30:$D$41,2,0),"")</f>
        <v/>
      </c>
      <c r="AM624" s="266"/>
      <c r="AN624" s="258" t="str">
        <f t="shared" si="287"/>
        <v/>
      </c>
      <c r="AO624" s="266"/>
      <c r="AP624" s="258" t="str">
        <f t="shared" si="288"/>
        <v/>
      </c>
      <c r="AQ624" s="266"/>
      <c r="AR624" s="258" t="str">
        <f t="shared" si="289"/>
        <v/>
      </c>
      <c r="AS624" s="266"/>
      <c r="AT624" s="256" t="str">
        <f t="shared" si="290"/>
        <v/>
      </c>
      <c r="AU624" s="256" t="str">
        <f t="shared" si="291"/>
        <v/>
      </c>
      <c r="AV624" s="256" t="str">
        <f t="shared" si="292"/>
        <v/>
      </c>
      <c r="AW624" s="267"/>
      <c r="AX624" s="255"/>
      <c r="AY624" s="259" t="str">
        <f>IF(AX624&lt;&gt;"",AX624/VLOOKUP($V624,Setup!$C$30:$D$41,2,0),"")</f>
        <v/>
      </c>
      <c r="AZ624" s="268"/>
      <c r="BA624" s="258" t="str">
        <f t="shared" si="293"/>
        <v/>
      </c>
      <c r="BB624" s="268"/>
      <c r="BC624" s="258" t="str">
        <f t="shared" si="294"/>
        <v/>
      </c>
      <c r="BD624" s="268"/>
      <c r="BE624" s="258" t="str">
        <f t="shared" si="295"/>
        <v/>
      </c>
      <c r="BF624" s="268"/>
      <c r="BG624" s="256" t="str">
        <f t="shared" si="296"/>
        <v/>
      </c>
      <c r="BH624" s="256" t="str">
        <f t="shared" si="297"/>
        <v/>
      </c>
      <c r="BI624" s="256" t="str">
        <f t="shared" si="298"/>
        <v/>
      </c>
      <c r="BJ624" s="267"/>
      <c r="BK624" s="255"/>
      <c r="BL624" s="259" t="str">
        <f>IF(BK624&lt;&gt;"",BK624/VLOOKUP($V624,Setup!$C$30:$D$41,2,0),"")</f>
        <v/>
      </c>
      <c r="BM624" s="268"/>
      <c r="BN624" s="258" t="str">
        <f t="shared" si="299"/>
        <v/>
      </c>
      <c r="BO624" s="268"/>
      <c r="BP624" s="258" t="str">
        <f t="shared" si="300"/>
        <v/>
      </c>
      <c r="BQ624" s="268"/>
      <c r="BR624" s="258" t="str">
        <f t="shared" si="301"/>
        <v/>
      </c>
      <c r="BS624" s="268"/>
      <c r="BT624" s="256" t="str">
        <f t="shared" si="302"/>
        <v/>
      </c>
      <c r="BU624" s="256" t="str">
        <f t="shared" si="303"/>
        <v/>
      </c>
      <c r="BV624" s="256" t="str">
        <f t="shared" si="304"/>
        <v/>
      </c>
      <c r="BW624" s="267"/>
      <c r="BX624" s="256" t="str">
        <f t="shared" si="305"/>
        <v/>
      </c>
      <c r="BY624" s="256" t="str">
        <f t="shared" si="306"/>
        <v/>
      </c>
      <c r="BZ624" s="281"/>
      <c r="CA624" s="282"/>
      <c r="CF624" s="284"/>
      <c r="CG624" s="284"/>
      <c r="CH624" s="284"/>
      <c r="CI624" s="284"/>
      <c r="CL624" s="356" t="str">
        <f>IFERROR(VLOOKUP(C624,'Data Sheet'!$A$3:$B$26,2,FALSE),"")</f>
        <v/>
      </c>
    </row>
    <row r="625" spans="1:90" ht="15.75" x14ac:dyDescent="0.2">
      <c r="A625" s="97"/>
      <c r="B625" s="105" t="str">
        <f t="shared" si="309"/>
        <v>--</v>
      </c>
      <c r="C625" s="276"/>
      <c r="D625" s="101" t="str">
        <f>IFERROR(IF(VLOOKUP(C625,'Data Sheet'!$A$3:$D$26,4,FALSE)=0,"",VLOOKUP(C625,'Data Sheet'!$A$3:$D$26,4,FALSE)),"")</f>
        <v/>
      </c>
      <c r="E625" s="279"/>
      <c r="F625" s="103" t="str">
        <f>IFERROR(IF(VLOOKUP(E625,'Data Sheet'!$C$29:$E$174,3,FALSE)=0,"",VLOOKUP(E625,'Data Sheet'!$C$29:$E$174,3,FALSE)),"")</f>
        <v/>
      </c>
      <c r="G625" s="106" t="str">
        <f t="shared" si="307"/>
        <v>-</v>
      </c>
      <c r="H625" s="273"/>
      <c r="I625" s="107"/>
      <c r="J625" s="249" t="e">
        <f t="shared" si="308"/>
        <v>#VALUE!</v>
      </c>
      <c r="K625" s="101" t="str">
        <f>IFERROR(INDEX('Data Sheet'!$C$198:$C$275,MATCH(I625,'Data Sheet'!$F$198:$F$275,0)),"")</f>
        <v/>
      </c>
      <c r="L625" s="250" t="str">
        <f>IFERROR(INDEX('Data Sheet'!$G$198:$G$275,MATCH(I625,'Data Sheet'!$F$198:$F$275,0)),"")</f>
        <v/>
      </c>
      <c r="M625" s="194"/>
      <c r="N625" s="248"/>
      <c r="O625" s="248"/>
      <c r="P625" s="108" t="str">
        <f>IFERROR(INDEX(Setup!$D$44:$D$70,MATCH(M625,Setup!$K$44:$K$70,0))&amp;"","")</f>
        <v/>
      </c>
      <c r="Q625" s="108" t="str">
        <f>IFERROR(INDEX(Setup!$E$44:$E$70,MATCH(M625,Setup!$K$44:$K$70,0))&amp;"","")</f>
        <v/>
      </c>
      <c r="R625" s="108" t="str">
        <f>IFERROR(INDEX(Setup!$L$44:$L$70,MATCH(M625,Setup!$K$44:$K$70,0))&amp;"","")</f>
        <v/>
      </c>
      <c r="S625" s="108" t="str">
        <f>Setup!$C$30</f>
        <v>USD</v>
      </c>
      <c r="T625" s="109" t="str">
        <f>IFERROR(INDEX('Data Sheet'!$B$198:$B$275,MATCH(I625,'Data Sheet'!$F$198:$F$275,0)),"")</f>
        <v/>
      </c>
      <c r="U625" s="110" t="str">
        <f>IFERROR(INDEX('Data Sheet'!$D$198:$D$275,MATCH(I625,'Data Sheet'!$F$198:$F$275,0)),"")</f>
        <v/>
      </c>
      <c r="V625" s="99"/>
      <c r="W625" s="195" t="str">
        <f>IF(V625=Setup!$C$30,"Grant",IF(V625=Setup!$C$31,"Local",IF(V625=Setup!$C$32,"Other",IF(ISBLANK(V625),"","Other"))))</f>
        <v/>
      </c>
      <c r="X625" s="255"/>
      <c r="Y625" s="259" t="str">
        <f>IF(X625&lt;&gt;"",X625/VLOOKUP($V625,Setup!$C$30:$D$41,2,0),"")</f>
        <v/>
      </c>
      <c r="Z625" s="262"/>
      <c r="AA625" s="256" t="str">
        <f t="shared" si="281"/>
        <v/>
      </c>
      <c r="AB625" s="262"/>
      <c r="AC625" s="258" t="str">
        <f t="shared" si="282"/>
        <v/>
      </c>
      <c r="AD625" s="262"/>
      <c r="AE625" s="258" t="str">
        <f t="shared" si="283"/>
        <v/>
      </c>
      <c r="AF625" s="262"/>
      <c r="AG625" s="256" t="str">
        <f t="shared" si="284"/>
        <v/>
      </c>
      <c r="AH625" s="256" t="str">
        <f t="shared" si="285"/>
        <v/>
      </c>
      <c r="AI625" s="256" t="str">
        <f t="shared" si="286"/>
        <v/>
      </c>
      <c r="AJ625" s="111"/>
      <c r="AK625" s="255"/>
      <c r="AL625" s="259" t="str">
        <f>IF(AK625&lt;&gt;"",AK625/VLOOKUP($V625,Setup!$C$30:$D$41,2,0),"")</f>
        <v/>
      </c>
      <c r="AM625" s="266"/>
      <c r="AN625" s="258" t="str">
        <f t="shared" si="287"/>
        <v/>
      </c>
      <c r="AO625" s="266"/>
      <c r="AP625" s="258" t="str">
        <f t="shared" si="288"/>
        <v/>
      </c>
      <c r="AQ625" s="266"/>
      <c r="AR625" s="258" t="str">
        <f t="shared" si="289"/>
        <v/>
      </c>
      <c r="AS625" s="266"/>
      <c r="AT625" s="256" t="str">
        <f t="shared" si="290"/>
        <v/>
      </c>
      <c r="AU625" s="256" t="str">
        <f t="shared" si="291"/>
        <v/>
      </c>
      <c r="AV625" s="256" t="str">
        <f t="shared" si="292"/>
        <v/>
      </c>
      <c r="AW625" s="267"/>
      <c r="AX625" s="255"/>
      <c r="AY625" s="259" t="str">
        <f>IF(AX625&lt;&gt;"",AX625/VLOOKUP($V625,Setup!$C$30:$D$41,2,0),"")</f>
        <v/>
      </c>
      <c r="AZ625" s="268"/>
      <c r="BA625" s="258" t="str">
        <f t="shared" si="293"/>
        <v/>
      </c>
      <c r="BB625" s="268"/>
      <c r="BC625" s="258" t="str">
        <f t="shared" si="294"/>
        <v/>
      </c>
      <c r="BD625" s="268"/>
      <c r="BE625" s="258" t="str">
        <f t="shared" si="295"/>
        <v/>
      </c>
      <c r="BF625" s="268"/>
      <c r="BG625" s="256" t="str">
        <f t="shared" si="296"/>
        <v/>
      </c>
      <c r="BH625" s="256" t="str">
        <f t="shared" si="297"/>
        <v/>
      </c>
      <c r="BI625" s="256" t="str">
        <f t="shared" si="298"/>
        <v/>
      </c>
      <c r="BJ625" s="267"/>
      <c r="BK625" s="255"/>
      <c r="BL625" s="259" t="str">
        <f>IF(BK625&lt;&gt;"",BK625/VLOOKUP($V625,Setup!$C$30:$D$41,2,0),"")</f>
        <v/>
      </c>
      <c r="BM625" s="268"/>
      <c r="BN625" s="258" t="str">
        <f t="shared" si="299"/>
        <v/>
      </c>
      <c r="BO625" s="268"/>
      <c r="BP625" s="258" t="str">
        <f t="shared" si="300"/>
        <v/>
      </c>
      <c r="BQ625" s="268"/>
      <c r="BR625" s="258" t="str">
        <f t="shared" si="301"/>
        <v/>
      </c>
      <c r="BS625" s="268"/>
      <c r="BT625" s="256" t="str">
        <f t="shared" si="302"/>
        <v/>
      </c>
      <c r="BU625" s="256" t="str">
        <f t="shared" si="303"/>
        <v/>
      </c>
      <c r="BV625" s="256" t="str">
        <f t="shared" si="304"/>
        <v/>
      </c>
      <c r="BW625" s="267"/>
      <c r="BX625" s="256" t="str">
        <f t="shared" si="305"/>
        <v/>
      </c>
      <c r="BY625" s="256" t="str">
        <f t="shared" si="306"/>
        <v/>
      </c>
      <c r="BZ625" s="281"/>
      <c r="CA625" s="282"/>
      <c r="CF625" s="284"/>
      <c r="CG625" s="284"/>
      <c r="CH625" s="284"/>
      <c r="CI625" s="284"/>
      <c r="CL625" s="356" t="str">
        <f>IFERROR(VLOOKUP(C625,'Data Sheet'!$A$3:$B$26,2,FALSE),"")</f>
        <v/>
      </c>
    </row>
    <row r="626" spans="1:90" ht="15.75" x14ac:dyDescent="0.2">
      <c r="A626" s="97"/>
      <c r="B626" s="105" t="str">
        <f t="shared" si="309"/>
        <v>--</v>
      </c>
      <c r="C626" s="276"/>
      <c r="D626" s="101" t="str">
        <f>IFERROR(IF(VLOOKUP(C626,'Data Sheet'!$A$3:$D$26,4,FALSE)=0,"",VLOOKUP(C626,'Data Sheet'!$A$3:$D$26,4,FALSE)),"")</f>
        <v/>
      </c>
      <c r="E626" s="279"/>
      <c r="F626" s="103" t="str">
        <f>IFERROR(IF(VLOOKUP(E626,'Data Sheet'!$C$29:$E$174,3,FALSE)=0,"",VLOOKUP(E626,'Data Sheet'!$C$29:$E$174,3,FALSE)),"")</f>
        <v/>
      </c>
      <c r="G626" s="106" t="str">
        <f t="shared" si="307"/>
        <v>-</v>
      </c>
      <c r="H626" s="273"/>
      <c r="I626" s="107"/>
      <c r="J626" s="249" t="e">
        <f t="shared" si="308"/>
        <v>#VALUE!</v>
      </c>
      <c r="K626" s="101" t="str">
        <f>IFERROR(INDEX('Data Sheet'!$C$198:$C$275,MATCH(I626,'Data Sheet'!$F$198:$F$275,0)),"")</f>
        <v/>
      </c>
      <c r="L626" s="250" t="str">
        <f>IFERROR(INDEX('Data Sheet'!$G$198:$G$275,MATCH(I626,'Data Sheet'!$F$198:$F$275,0)),"")</f>
        <v/>
      </c>
      <c r="M626" s="194"/>
      <c r="N626" s="248"/>
      <c r="O626" s="248"/>
      <c r="P626" s="108" t="str">
        <f>IFERROR(INDEX(Setup!$D$44:$D$70,MATCH(M626,Setup!$K$44:$K$70,0))&amp;"","")</f>
        <v/>
      </c>
      <c r="Q626" s="108" t="str">
        <f>IFERROR(INDEX(Setup!$E$44:$E$70,MATCH(M626,Setup!$K$44:$K$70,0))&amp;"","")</f>
        <v/>
      </c>
      <c r="R626" s="108" t="str">
        <f>IFERROR(INDEX(Setup!$L$44:$L$70,MATCH(M626,Setup!$K$44:$K$70,0))&amp;"","")</f>
        <v/>
      </c>
      <c r="S626" s="108" t="str">
        <f>Setup!$C$30</f>
        <v>USD</v>
      </c>
      <c r="T626" s="109" t="str">
        <f>IFERROR(INDEX('Data Sheet'!$B$198:$B$275,MATCH(I626,'Data Sheet'!$F$198:$F$275,0)),"")</f>
        <v/>
      </c>
      <c r="U626" s="110" t="str">
        <f>IFERROR(INDEX('Data Sheet'!$D$198:$D$275,MATCH(I626,'Data Sheet'!$F$198:$F$275,0)),"")</f>
        <v/>
      </c>
      <c r="V626" s="99"/>
      <c r="W626" s="195" t="str">
        <f>IF(V626=Setup!$C$30,"Grant",IF(V626=Setup!$C$31,"Local",IF(V626=Setup!$C$32,"Other",IF(ISBLANK(V626),"","Other"))))</f>
        <v/>
      </c>
      <c r="X626" s="255"/>
      <c r="Y626" s="259" t="str">
        <f>IF(X626&lt;&gt;"",X626/VLOOKUP($V626,Setup!$C$30:$D$41,2,0),"")</f>
        <v/>
      </c>
      <c r="Z626" s="262"/>
      <c r="AA626" s="256" t="str">
        <f t="shared" si="281"/>
        <v/>
      </c>
      <c r="AB626" s="262"/>
      <c r="AC626" s="258" t="str">
        <f t="shared" si="282"/>
        <v/>
      </c>
      <c r="AD626" s="262"/>
      <c r="AE626" s="258" t="str">
        <f t="shared" si="283"/>
        <v/>
      </c>
      <c r="AF626" s="262"/>
      <c r="AG626" s="256" t="str">
        <f t="shared" si="284"/>
        <v/>
      </c>
      <c r="AH626" s="256" t="str">
        <f t="shared" si="285"/>
        <v/>
      </c>
      <c r="AI626" s="256" t="str">
        <f t="shared" si="286"/>
        <v/>
      </c>
      <c r="AJ626" s="111"/>
      <c r="AK626" s="255"/>
      <c r="AL626" s="259" t="str">
        <f>IF(AK626&lt;&gt;"",AK626/VLOOKUP($V626,Setup!$C$30:$D$41,2,0),"")</f>
        <v/>
      </c>
      <c r="AM626" s="266"/>
      <c r="AN626" s="258" t="str">
        <f t="shared" si="287"/>
        <v/>
      </c>
      <c r="AO626" s="266"/>
      <c r="AP626" s="258" t="str">
        <f t="shared" si="288"/>
        <v/>
      </c>
      <c r="AQ626" s="266"/>
      <c r="AR626" s="258" t="str">
        <f t="shared" si="289"/>
        <v/>
      </c>
      <c r="AS626" s="266"/>
      <c r="AT626" s="256" t="str">
        <f t="shared" si="290"/>
        <v/>
      </c>
      <c r="AU626" s="256" t="str">
        <f t="shared" si="291"/>
        <v/>
      </c>
      <c r="AV626" s="256" t="str">
        <f t="shared" si="292"/>
        <v/>
      </c>
      <c r="AW626" s="267"/>
      <c r="AX626" s="255"/>
      <c r="AY626" s="259" t="str">
        <f>IF(AX626&lt;&gt;"",AX626/VLOOKUP($V626,Setup!$C$30:$D$41,2,0),"")</f>
        <v/>
      </c>
      <c r="AZ626" s="268"/>
      <c r="BA626" s="258" t="str">
        <f t="shared" si="293"/>
        <v/>
      </c>
      <c r="BB626" s="268"/>
      <c r="BC626" s="258" t="str">
        <f t="shared" si="294"/>
        <v/>
      </c>
      <c r="BD626" s="268"/>
      <c r="BE626" s="258" t="str">
        <f t="shared" si="295"/>
        <v/>
      </c>
      <c r="BF626" s="268"/>
      <c r="BG626" s="256" t="str">
        <f t="shared" si="296"/>
        <v/>
      </c>
      <c r="BH626" s="256" t="str">
        <f t="shared" si="297"/>
        <v/>
      </c>
      <c r="BI626" s="256" t="str">
        <f t="shared" si="298"/>
        <v/>
      </c>
      <c r="BJ626" s="267"/>
      <c r="BK626" s="255"/>
      <c r="BL626" s="259" t="str">
        <f>IF(BK626&lt;&gt;"",BK626/VLOOKUP($V626,Setup!$C$30:$D$41,2,0),"")</f>
        <v/>
      </c>
      <c r="BM626" s="268"/>
      <c r="BN626" s="258" t="str">
        <f t="shared" si="299"/>
        <v/>
      </c>
      <c r="BO626" s="268"/>
      <c r="BP626" s="258" t="str">
        <f t="shared" si="300"/>
        <v/>
      </c>
      <c r="BQ626" s="268"/>
      <c r="BR626" s="258" t="str">
        <f t="shared" si="301"/>
        <v/>
      </c>
      <c r="BS626" s="268"/>
      <c r="BT626" s="256" t="str">
        <f t="shared" si="302"/>
        <v/>
      </c>
      <c r="BU626" s="256" t="str">
        <f t="shared" si="303"/>
        <v/>
      </c>
      <c r="BV626" s="256" t="str">
        <f t="shared" si="304"/>
        <v/>
      </c>
      <c r="BW626" s="267"/>
      <c r="BX626" s="256" t="str">
        <f t="shared" si="305"/>
        <v/>
      </c>
      <c r="BY626" s="256" t="str">
        <f t="shared" si="306"/>
        <v/>
      </c>
      <c r="BZ626" s="281"/>
      <c r="CA626" s="282"/>
      <c r="CF626" s="284"/>
      <c r="CG626" s="284"/>
      <c r="CH626" s="284"/>
      <c r="CI626" s="284"/>
      <c r="CL626" s="356" t="str">
        <f>IFERROR(VLOOKUP(C626,'Data Sheet'!$A$3:$B$26,2,FALSE),"")</f>
        <v/>
      </c>
    </row>
    <row r="627" spans="1:90" ht="15.75" x14ac:dyDescent="0.2">
      <c r="A627" s="97"/>
      <c r="B627" s="105" t="str">
        <f t="shared" si="309"/>
        <v>--</v>
      </c>
      <c r="C627" s="276"/>
      <c r="D627" s="101" t="str">
        <f>IFERROR(IF(VLOOKUP(C627,'Data Sheet'!$A$3:$D$26,4,FALSE)=0,"",VLOOKUP(C627,'Data Sheet'!$A$3:$D$26,4,FALSE)),"")</f>
        <v/>
      </c>
      <c r="E627" s="279"/>
      <c r="F627" s="103" t="str">
        <f>IFERROR(IF(VLOOKUP(E627,'Data Sheet'!$C$29:$E$174,3,FALSE)=0,"",VLOOKUP(E627,'Data Sheet'!$C$29:$E$174,3,FALSE)),"")</f>
        <v/>
      </c>
      <c r="G627" s="106" t="str">
        <f t="shared" si="307"/>
        <v>-</v>
      </c>
      <c r="H627" s="273"/>
      <c r="I627" s="107"/>
      <c r="J627" s="249" t="e">
        <f t="shared" si="308"/>
        <v>#VALUE!</v>
      </c>
      <c r="K627" s="101" t="str">
        <f>IFERROR(INDEX('Data Sheet'!$C$198:$C$275,MATCH(I627,'Data Sheet'!$F$198:$F$275,0)),"")</f>
        <v/>
      </c>
      <c r="L627" s="250" t="str">
        <f>IFERROR(INDEX('Data Sheet'!$G$198:$G$275,MATCH(I627,'Data Sheet'!$F$198:$F$275,0)),"")</f>
        <v/>
      </c>
      <c r="M627" s="194"/>
      <c r="N627" s="248"/>
      <c r="O627" s="248"/>
      <c r="P627" s="108" t="str">
        <f>IFERROR(INDEX(Setup!$D$44:$D$70,MATCH(M627,Setup!$K$44:$K$70,0))&amp;"","")</f>
        <v/>
      </c>
      <c r="Q627" s="108" t="str">
        <f>IFERROR(INDEX(Setup!$E$44:$E$70,MATCH(M627,Setup!$K$44:$K$70,0))&amp;"","")</f>
        <v/>
      </c>
      <c r="R627" s="108" t="str">
        <f>IFERROR(INDEX(Setup!$L$44:$L$70,MATCH(M627,Setup!$K$44:$K$70,0))&amp;"","")</f>
        <v/>
      </c>
      <c r="S627" s="108" t="str">
        <f>Setup!$C$30</f>
        <v>USD</v>
      </c>
      <c r="T627" s="109" t="str">
        <f>IFERROR(INDEX('Data Sheet'!$B$198:$B$275,MATCH(I627,'Data Sheet'!$F$198:$F$275,0)),"")</f>
        <v/>
      </c>
      <c r="U627" s="110" t="str">
        <f>IFERROR(INDEX('Data Sheet'!$D$198:$D$275,MATCH(I627,'Data Sheet'!$F$198:$F$275,0)),"")</f>
        <v/>
      </c>
      <c r="V627" s="99"/>
      <c r="W627" s="195" t="str">
        <f>IF(V627=Setup!$C$30,"Grant",IF(V627=Setup!$C$31,"Local",IF(V627=Setup!$C$32,"Other",IF(ISBLANK(V627),"","Other"))))</f>
        <v/>
      </c>
      <c r="X627" s="255"/>
      <c r="Y627" s="259" t="str">
        <f>IF(X627&lt;&gt;"",X627/VLOOKUP($V627,Setup!$C$30:$D$41,2,0),"")</f>
        <v/>
      </c>
      <c r="Z627" s="262"/>
      <c r="AA627" s="256" t="str">
        <f t="shared" si="281"/>
        <v/>
      </c>
      <c r="AB627" s="262"/>
      <c r="AC627" s="258" t="str">
        <f t="shared" si="282"/>
        <v/>
      </c>
      <c r="AD627" s="262"/>
      <c r="AE627" s="258" t="str">
        <f t="shared" si="283"/>
        <v/>
      </c>
      <c r="AF627" s="262"/>
      <c r="AG627" s="256" t="str">
        <f t="shared" si="284"/>
        <v/>
      </c>
      <c r="AH627" s="256" t="str">
        <f t="shared" si="285"/>
        <v/>
      </c>
      <c r="AI627" s="256" t="str">
        <f t="shared" si="286"/>
        <v/>
      </c>
      <c r="AJ627" s="111"/>
      <c r="AK627" s="255"/>
      <c r="AL627" s="259" t="str">
        <f>IF(AK627&lt;&gt;"",AK627/VLOOKUP($V627,Setup!$C$30:$D$41,2,0),"")</f>
        <v/>
      </c>
      <c r="AM627" s="266"/>
      <c r="AN627" s="258" t="str">
        <f t="shared" si="287"/>
        <v/>
      </c>
      <c r="AO627" s="266"/>
      <c r="AP627" s="258" t="str">
        <f t="shared" si="288"/>
        <v/>
      </c>
      <c r="AQ627" s="266"/>
      <c r="AR627" s="258" t="str">
        <f t="shared" si="289"/>
        <v/>
      </c>
      <c r="AS627" s="266"/>
      <c r="AT627" s="256" t="str">
        <f t="shared" si="290"/>
        <v/>
      </c>
      <c r="AU627" s="256" t="str">
        <f t="shared" si="291"/>
        <v/>
      </c>
      <c r="AV627" s="256" t="str">
        <f t="shared" si="292"/>
        <v/>
      </c>
      <c r="AW627" s="267"/>
      <c r="AX627" s="255"/>
      <c r="AY627" s="259" t="str">
        <f>IF(AX627&lt;&gt;"",AX627/VLOOKUP($V627,Setup!$C$30:$D$41,2,0),"")</f>
        <v/>
      </c>
      <c r="AZ627" s="268"/>
      <c r="BA627" s="258" t="str">
        <f t="shared" si="293"/>
        <v/>
      </c>
      <c r="BB627" s="268"/>
      <c r="BC627" s="258" t="str">
        <f t="shared" si="294"/>
        <v/>
      </c>
      <c r="BD627" s="268"/>
      <c r="BE627" s="258" t="str">
        <f t="shared" si="295"/>
        <v/>
      </c>
      <c r="BF627" s="268"/>
      <c r="BG627" s="256" t="str">
        <f t="shared" si="296"/>
        <v/>
      </c>
      <c r="BH627" s="256" t="str">
        <f t="shared" si="297"/>
        <v/>
      </c>
      <c r="BI627" s="256" t="str">
        <f t="shared" si="298"/>
        <v/>
      </c>
      <c r="BJ627" s="267"/>
      <c r="BK627" s="255"/>
      <c r="BL627" s="259" t="str">
        <f>IF(BK627&lt;&gt;"",BK627/VLOOKUP($V627,Setup!$C$30:$D$41,2,0),"")</f>
        <v/>
      </c>
      <c r="BM627" s="268"/>
      <c r="BN627" s="258" t="str">
        <f t="shared" si="299"/>
        <v/>
      </c>
      <c r="BO627" s="268"/>
      <c r="BP627" s="258" t="str">
        <f t="shared" si="300"/>
        <v/>
      </c>
      <c r="BQ627" s="268"/>
      <c r="BR627" s="258" t="str">
        <f t="shared" si="301"/>
        <v/>
      </c>
      <c r="BS627" s="268"/>
      <c r="BT627" s="256" t="str">
        <f t="shared" si="302"/>
        <v/>
      </c>
      <c r="BU627" s="256" t="str">
        <f t="shared" si="303"/>
        <v/>
      </c>
      <c r="BV627" s="256" t="str">
        <f t="shared" si="304"/>
        <v/>
      </c>
      <c r="BW627" s="267"/>
      <c r="BX627" s="256" t="str">
        <f t="shared" si="305"/>
        <v/>
      </c>
      <c r="BY627" s="256" t="str">
        <f t="shared" si="306"/>
        <v/>
      </c>
      <c r="BZ627" s="281"/>
      <c r="CA627" s="282"/>
      <c r="CF627" s="284"/>
      <c r="CG627" s="284"/>
      <c r="CH627" s="284"/>
      <c r="CI627" s="284"/>
      <c r="CL627" s="356" t="str">
        <f>IFERROR(VLOOKUP(C627,'Data Sheet'!$A$3:$B$26,2,FALSE),"")</f>
        <v/>
      </c>
    </row>
    <row r="628" spans="1:90" ht="15.75" x14ac:dyDescent="0.2">
      <c r="A628" s="97"/>
      <c r="B628" s="105" t="str">
        <f t="shared" si="309"/>
        <v>--</v>
      </c>
      <c r="C628" s="276"/>
      <c r="D628" s="101" t="str">
        <f>IFERROR(IF(VLOOKUP(C628,'Data Sheet'!$A$3:$D$26,4,FALSE)=0,"",VLOOKUP(C628,'Data Sheet'!$A$3:$D$26,4,FALSE)),"")</f>
        <v/>
      </c>
      <c r="E628" s="279"/>
      <c r="F628" s="103" t="str">
        <f>IFERROR(IF(VLOOKUP(E628,'Data Sheet'!$C$29:$E$174,3,FALSE)=0,"",VLOOKUP(E628,'Data Sheet'!$C$29:$E$174,3,FALSE)),"")</f>
        <v/>
      </c>
      <c r="G628" s="106" t="str">
        <f t="shared" si="307"/>
        <v>-</v>
      </c>
      <c r="H628" s="273"/>
      <c r="I628" s="107"/>
      <c r="J628" s="249" t="e">
        <f t="shared" si="308"/>
        <v>#VALUE!</v>
      </c>
      <c r="K628" s="101" t="str">
        <f>IFERROR(INDEX('Data Sheet'!$C$198:$C$275,MATCH(I628,'Data Sheet'!$F$198:$F$275,0)),"")</f>
        <v/>
      </c>
      <c r="L628" s="250" t="str">
        <f>IFERROR(INDEX('Data Sheet'!$G$198:$G$275,MATCH(I628,'Data Sheet'!$F$198:$F$275,0)),"")</f>
        <v/>
      </c>
      <c r="M628" s="194"/>
      <c r="N628" s="248"/>
      <c r="O628" s="248"/>
      <c r="P628" s="108" t="str">
        <f>IFERROR(INDEX(Setup!$D$44:$D$70,MATCH(M628,Setup!$K$44:$K$70,0))&amp;"","")</f>
        <v/>
      </c>
      <c r="Q628" s="108" t="str">
        <f>IFERROR(INDEX(Setup!$E$44:$E$70,MATCH(M628,Setup!$K$44:$K$70,0))&amp;"","")</f>
        <v/>
      </c>
      <c r="R628" s="108" t="str">
        <f>IFERROR(INDEX(Setup!$L$44:$L$70,MATCH(M628,Setup!$K$44:$K$70,0))&amp;"","")</f>
        <v/>
      </c>
      <c r="S628" s="108" t="str">
        <f>Setup!$C$30</f>
        <v>USD</v>
      </c>
      <c r="T628" s="109" t="str">
        <f>IFERROR(INDEX('Data Sheet'!$B$198:$B$275,MATCH(I628,'Data Sheet'!$F$198:$F$275,0)),"")</f>
        <v/>
      </c>
      <c r="U628" s="110" t="str">
        <f>IFERROR(INDEX('Data Sheet'!$D$198:$D$275,MATCH(I628,'Data Sheet'!$F$198:$F$275,0)),"")</f>
        <v/>
      </c>
      <c r="V628" s="99"/>
      <c r="W628" s="195" t="str">
        <f>IF(V628=Setup!$C$30,"Grant",IF(V628=Setup!$C$31,"Local",IF(V628=Setup!$C$32,"Other",IF(ISBLANK(V628),"","Other"))))</f>
        <v/>
      </c>
      <c r="X628" s="255"/>
      <c r="Y628" s="259" t="str">
        <f>IF(X628&lt;&gt;"",X628/VLOOKUP($V628,Setup!$C$30:$D$41,2,0),"")</f>
        <v/>
      </c>
      <c r="Z628" s="262"/>
      <c r="AA628" s="256" t="str">
        <f t="shared" si="281"/>
        <v/>
      </c>
      <c r="AB628" s="262"/>
      <c r="AC628" s="258" t="str">
        <f t="shared" si="282"/>
        <v/>
      </c>
      <c r="AD628" s="262"/>
      <c r="AE628" s="258" t="str">
        <f t="shared" si="283"/>
        <v/>
      </c>
      <c r="AF628" s="262"/>
      <c r="AG628" s="256" t="str">
        <f t="shared" si="284"/>
        <v/>
      </c>
      <c r="AH628" s="256" t="str">
        <f t="shared" si="285"/>
        <v/>
      </c>
      <c r="AI628" s="256" t="str">
        <f t="shared" si="286"/>
        <v/>
      </c>
      <c r="AJ628" s="111"/>
      <c r="AK628" s="255"/>
      <c r="AL628" s="259" t="str">
        <f>IF(AK628&lt;&gt;"",AK628/VLOOKUP($V628,Setup!$C$30:$D$41,2,0),"")</f>
        <v/>
      </c>
      <c r="AM628" s="266"/>
      <c r="AN628" s="258" t="str">
        <f t="shared" si="287"/>
        <v/>
      </c>
      <c r="AO628" s="266"/>
      <c r="AP628" s="258" t="str">
        <f t="shared" si="288"/>
        <v/>
      </c>
      <c r="AQ628" s="266"/>
      <c r="AR628" s="258" t="str">
        <f t="shared" si="289"/>
        <v/>
      </c>
      <c r="AS628" s="266"/>
      <c r="AT628" s="256" t="str">
        <f t="shared" si="290"/>
        <v/>
      </c>
      <c r="AU628" s="256" t="str">
        <f t="shared" si="291"/>
        <v/>
      </c>
      <c r="AV628" s="256" t="str">
        <f t="shared" si="292"/>
        <v/>
      </c>
      <c r="AW628" s="267"/>
      <c r="AX628" s="255"/>
      <c r="AY628" s="259" t="str">
        <f>IF(AX628&lt;&gt;"",AX628/VLOOKUP($V628,Setup!$C$30:$D$41,2,0),"")</f>
        <v/>
      </c>
      <c r="AZ628" s="268"/>
      <c r="BA628" s="258" t="str">
        <f t="shared" si="293"/>
        <v/>
      </c>
      <c r="BB628" s="268"/>
      <c r="BC628" s="258" t="str">
        <f t="shared" si="294"/>
        <v/>
      </c>
      <c r="BD628" s="268"/>
      <c r="BE628" s="258" t="str">
        <f t="shared" si="295"/>
        <v/>
      </c>
      <c r="BF628" s="268"/>
      <c r="BG628" s="256" t="str">
        <f t="shared" si="296"/>
        <v/>
      </c>
      <c r="BH628" s="256" t="str">
        <f t="shared" si="297"/>
        <v/>
      </c>
      <c r="BI628" s="256" t="str">
        <f t="shared" si="298"/>
        <v/>
      </c>
      <c r="BJ628" s="267"/>
      <c r="BK628" s="255"/>
      <c r="BL628" s="259" t="str">
        <f>IF(BK628&lt;&gt;"",BK628/VLOOKUP($V628,Setup!$C$30:$D$41,2,0),"")</f>
        <v/>
      </c>
      <c r="BM628" s="268"/>
      <c r="BN628" s="258" t="str">
        <f t="shared" si="299"/>
        <v/>
      </c>
      <c r="BO628" s="268"/>
      <c r="BP628" s="258" t="str">
        <f t="shared" si="300"/>
        <v/>
      </c>
      <c r="BQ628" s="268"/>
      <c r="BR628" s="258" t="str">
        <f t="shared" si="301"/>
        <v/>
      </c>
      <c r="BS628" s="268"/>
      <c r="BT628" s="256" t="str">
        <f t="shared" si="302"/>
        <v/>
      </c>
      <c r="BU628" s="256" t="str">
        <f t="shared" si="303"/>
        <v/>
      </c>
      <c r="BV628" s="256" t="str">
        <f t="shared" si="304"/>
        <v/>
      </c>
      <c r="BW628" s="267"/>
      <c r="BX628" s="256" t="str">
        <f t="shared" si="305"/>
        <v/>
      </c>
      <c r="BY628" s="256" t="str">
        <f t="shared" si="306"/>
        <v/>
      </c>
      <c r="BZ628" s="281"/>
      <c r="CA628" s="282"/>
      <c r="CF628" s="284"/>
      <c r="CG628" s="284"/>
      <c r="CH628" s="284"/>
      <c r="CI628" s="284"/>
      <c r="CL628" s="356" t="str">
        <f>IFERROR(VLOOKUP(C628,'Data Sheet'!$A$3:$B$26,2,FALSE),"")</f>
        <v/>
      </c>
    </row>
    <row r="629" spans="1:90" ht="15.75" x14ac:dyDescent="0.2">
      <c r="A629" s="97"/>
      <c r="B629" s="105" t="str">
        <f t="shared" si="309"/>
        <v>--</v>
      </c>
      <c r="C629" s="276"/>
      <c r="D629" s="101" t="str">
        <f>IFERROR(IF(VLOOKUP(C629,'Data Sheet'!$A$3:$D$26,4,FALSE)=0,"",VLOOKUP(C629,'Data Sheet'!$A$3:$D$26,4,FALSE)),"")</f>
        <v/>
      </c>
      <c r="E629" s="279"/>
      <c r="F629" s="103" t="str">
        <f>IFERROR(IF(VLOOKUP(E629,'Data Sheet'!$C$29:$E$174,3,FALSE)=0,"",VLOOKUP(E629,'Data Sheet'!$C$29:$E$174,3,FALSE)),"")</f>
        <v/>
      </c>
      <c r="G629" s="106" t="str">
        <f t="shared" si="307"/>
        <v>-</v>
      </c>
      <c r="H629" s="273"/>
      <c r="I629" s="107"/>
      <c r="J629" s="249" t="e">
        <f t="shared" si="308"/>
        <v>#VALUE!</v>
      </c>
      <c r="K629" s="101" t="str">
        <f>IFERROR(INDEX('Data Sheet'!$C$198:$C$275,MATCH(I629,'Data Sheet'!$F$198:$F$275,0)),"")</f>
        <v/>
      </c>
      <c r="L629" s="250" t="str">
        <f>IFERROR(INDEX('Data Sheet'!$G$198:$G$275,MATCH(I629,'Data Sheet'!$F$198:$F$275,0)),"")</f>
        <v/>
      </c>
      <c r="M629" s="194"/>
      <c r="N629" s="248"/>
      <c r="O629" s="248"/>
      <c r="P629" s="108" t="str">
        <f>IFERROR(INDEX(Setup!$D$44:$D$70,MATCH(M629,Setup!$K$44:$K$70,0))&amp;"","")</f>
        <v/>
      </c>
      <c r="Q629" s="108" t="str">
        <f>IFERROR(INDEX(Setup!$E$44:$E$70,MATCH(M629,Setup!$K$44:$K$70,0))&amp;"","")</f>
        <v/>
      </c>
      <c r="R629" s="108" t="str">
        <f>IFERROR(INDEX(Setup!$L$44:$L$70,MATCH(M629,Setup!$K$44:$K$70,0))&amp;"","")</f>
        <v/>
      </c>
      <c r="S629" s="108" t="str">
        <f>Setup!$C$30</f>
        <v>USD</v>
      </c>
      <c r="T629" s="109" t="str">
        <f>IFERROR(INDEX('Data Sheet'!$B$198:$B$275,MATCH(I629,'Data Sheet'!$F$198:$F$275,0)),"")</f>
        <v/>
      </c>
      <c r="U629" s="110" t="str">
        <f>IFERROR(INDEX('Data Sheet'!$D$198:$D$275,MATCH(I629,'Data Sheet'!$F$198:$F$275,0)),"")</f>
        <v/>
      </c>
      <c r="V629" s="99"/>
      <c r="W629" s="195" t="str">
        <f>IF(V629=Setup!$C$30,"Grant",IF(V629=Setup!$C$31,"Local",IF(V629=Setup!$C$32,"Other",IF(ISBLANK(V629),"","Other"))))</f>
        <v/>
      </c>
      <c r="X629" s="255"/>
      <c r="Y629" s="259" t="str">
        <f>IF(X629&lt;&gt;"",X629/VLOOKUP($V629,Setup!$C$30:$D$41,2,0),"")</f>
        <v/>
      </c>
      <c r="Z629" s="262"/>
      <c r="AA629" s="256" t="str">
        <f t="shared" si="281"/>
        <v/>
      </c>
      <c r="AB629" s="262"/>
      <c r="AC629" s="258" t="str">
        <f t="shared" si="282"/>
        <v/>
      </c>
      <c r="AD629" s="262"/>
      <c r="AE629" s="258" t="str">
        <f t="shared" si="283"/>
        <v/>
      </c>
      <c r="AF629" s="262"/>
      <c r="AG629" s="256" t="str">
        <f t="shared" si="284"/>
        <v/>
      </c>
      <c r="AH629" s="256" t="str">
        <f t="shared" si="285"/>
        <v/>
      </c>
      <c r="AI629" s="256" t="str">
        <f t="shared" si="286"/>
        <v/>
      </c>
      <c r="AJ629" s="111"/>
      <c r="AK629" s="255"/>
      <c r="AL629" s="259" t="str">
        <f>IF(AK629&lt;&gt;"",AK629/VLOOKUP($V629,Setup!$C$30:$D$41,2,0),"")</f>
        <v/>
      </c>
      <c r="AM629" s="266"/>
      <c r="AN629" s="258" t="str">
        <f t="shared" si="287"/>
        <v/>
      </c>
      <c r="AO629" s="266"/>
      <c r="AP629" s="258" t="str">
        <f t="shared" si="288"/>
        <v/>
      </c>
      <c r="AQ629" s="266"/>
      <c r="AR629" s="258" t="str">
        <f t="shared" si="289"/>
        <v/>
      </c>
      <c r="AS629" s="266"/>
      <c r="AT629" s="256" t="str">
        <f t="shared" si="290"/>
        <v/>
      </c>
      <c r="AU629" s="256" t="str">
        <f t="shared" si="291"/>
        <v/>
      </c>
      <c r="AV629" s="256" t="str">
        <f t="shared" si="292"/>
        <v/>
      </c>
      <c r="AW629" s="267"/>
      <c r="AX629" s="255"/>
      <c r="AY629" s="259" t="str">
        <f>IF(AX629&lt;&gt;"",AX629/VLOOKUP($V629,Setup!$C$30:$D$41,2,0),"")</f>
        <v/>
      </c>
      <c r="AZ629" s="268"/>
      <c r="BA629" s="258" t="str">
        <f t="shared" si="293"/>
        <v/>
      </c>
      <c r="BB629" s="268"/>
      <c r="BC629" s="258" t="str">
        <f t="shared" si="294"/>
        <v/>
      </c>
      <c r="BD629" s="268"/>
      <c r="BE629" s="258" t="str">
        <f t="shared" si="295"/>
        <v/>
      </c>
      <c r="BF629" s="268"/>
      <c r="BG629" s="256" t="str">
        <f t="shared" si="296"/>
        <v/>
      </c>
      <c r="BH629" s="256" t="str">
        <f t="shared" si="297"/>
        <v/>
      </c>
      <c r="BI629" s="256" t="str">
        <f t="shared" si="298"/>
        <v/>
      </c>
      <c r="BJ629" s="267"/>
      <c r="BK629" s="255"/>
      <c r="BL629" s="259" t="str">
        <f>IF(BK629&lt;&gt;"",BK629/VLOOKUP($V629,Setup!$C$30:$D$41,2,0),"")</f>
        <v/>
      </c>
      <c r="BM629" s="268"/>
      <c r="BN629" s="258" t="str">
        <f t="shared" si="299"/>
        <v/>
      </c>
      <c r="BO629" s="268"/>
      <c r="BP629" s="258" t="str">
        <f t="shared" si="300"/>
        <v/>
      </c>
      <c r="BQ629" s="268"/>
      <c r="BR629" s="258" t="str">
        <f t="shared" si="301"/>
        <v/>
      </c>
      <c r="BS629" s="268"/>
      <c r="BT629" s="256" t="str">
        <f t="shared" si="302"/>
        <v/>
      </c>
      <c r="BU629" s="256" t="str">
        <f t="shared" si="303"/>
        <v/>
      </c>
      <c r="BV629" s="256" t="str">
        <f t="shared" si="304"/>
        <v/>
      </c>
      <c r="BW629" s="267"/>
      <c r="BX629" s="256" t="str">
        <f t="shared" si="305"/>
        <v/>
      </c>
      <c r="BY629" s="256" t="str">
        <f t="shared" si="306"/>
        <v/>
      </c>
      <c r="BZ629" s="281"/>
      <c r="CA629" s="282"/>
      <c r="CF629" s="284"/>
      <c r="CG629" s="284"/>
      <c r="CH629" s="284"/>
      <c r="CI629" s="284"/>
      <c r="CL629" s="356" t="str">
        <f>IFERROR(VLOOKUP(C629,'Data Sheet'!$A$3:$B$26,2,FALSE),"")</f>
        <v/>
      </c>
    </row>
    <row r="630" spans="1:90" ht="15.75" x14ac:dyDescent="0.2">
      <c r="A630" s="97"/>
      <c r="B630" s="105" t="str">
        <f t="shared" si="309"/>
        <v>--</v>
      </c>
      <c r="C630" s="276"/>
      <c r="D630" s="101" t="str">
        <f>IFERROR(IF(VLOOKUP(C630,'Data Sheet'!$A$3:$D$26,4,FALSE)=0,"",VLOOKUP(C630,'Data Sheet'!$A$3:$D$26,4,FALSE)),"")</f>
        <v/>
      </c>
      <c r="E630" s="279"/>
      <c r="F630" s="103" t="str">
        <f>IFERROR(IF(VLOOKUP(E630,'Data Sheet'!$C$29:$E$174,3,FALSE)=0,"",VLOOKUP(E630,'Data Sheet'!$C$29:$E$174,3,FALSE)),"")</f>
        <v/>
      </c>
      <c r="G630" s="106" t="str">
        <f t="shared" si="307"/>
        <v>-</v>
      </c>
      <c r="H630" s="273"/>
      <c r="I630" s="107"/>
      <c r="J630" s="249" t="e">
        <f t="shared" si="308"/>
        <v>#VALUE!</v>
      </c>
      <c r="K630" s="101" t="str">
        <f>IFERROR(INDEX('Data Sheet'!$C$198:$C$275,MATCH(I630,'Data Sheet'!$F$198:$F$275,0)),"")</f>
        <v/>
      </c>
      <c r="L630" s="250" t="str">
        <f>IFERROR(INDEX('Data Sheet'!$G$198:$G$275,MATCH(I630,'Data Sheet'!$F$198:$F$275,0)),"")</f>
        <v/>
      </c>
      <c r="M630" s="194"/>
      <c r="N630" s="248"/>
      <c r="O630" s="248"/>
      <c r="P630" s="108" t="str">
        <f>IFERROR(INDEX(Setup!$D$44:$D$70,MATCH(M630,Setup!$K$44:$K$70,0))&amp;"","")</f>
        <v/>
      </c>
      <c r="Q630" s="108" t="str">
        <f>IFERROR(INDEX(Setup!$E$44:$E$70,MATCH(M630,Setup!$K$44:$K$70,0))&amp;"","")</f>
        <v/>
      </c>
      <c r="R630" s="108" t="str">
        <f>IFERROR(INDEX(Setup!$L$44:$L$70,MATCH(M630,Setup!$K$44:$K$70,0))&amp;"","")</f>
        <v/>
      </c>
      <c r="S630" s="108" t="str">
        <f>Setup!$C$30</f>
        <v>USD</v>
      </c>
      <c r="T630" s="109" t="str">
        <f>IFERROR(INDEX('Data Sheet'!$B$198:$B$275,MATCH(I630,'Data Sheet'!$F$198:$F$275,0)),"")</f>
        <v/>
      </c>
      <c r="U630" s="110" t="str">
        <f>IFERROR(INDEX('Data Sheet'!$D$198:$D$275,MATCH(I630,'Data Sheet'!$F$198:$F$275,0)),"")</f>
        <v/>
      </c>
      <c r="V630" s="99"/>
      <c r="W630" s="195" t="str">
        <f>IF(V630=Setup!$C$30,"Grant",IF(V630=Setup!$C$31,"Local",IF(V630=Setup!$C$32,"Other",IF(ISBLANK(V630),"","Other"))))</f>
        <v/>
      </c>
      <c r="X630" s="255"/>
      <c r="Y630" s="259" t="str">
        <f>IF(X630&lt;&gt;"",X630/VLOOKUP($V630,Setup!$C$30:$D$41,2,0),"")</f>
        <v/>
      </c>
      <c r="Z630" s="262"/>
      <c r="AA630" s="256" t="str">
        <f t="shared" si="281"/>
        <v/>
      </c>
      <c r="AB630" s="262"/>
      <c r="AC630" s="258" t="str">
        <f t="shared" si="282"/>
        <v/>
      </c>
      <c r="AD630" s="262"/>
      <c r="AE630" s="258" t="str">
        <f t="shared" si="283"/>
        <v/>
      </c>
      <c r="AF630" s="262"/>
      <c r="AG630" s="256" t="str">
        <f t="shared" si="284"/>
        <v/>
      </c>
      <c r="AH630" s="256" t="str">
        <f t="shared" si="285"/>
        <v/>
      </c>
      <c r="AI630" s="256" t="str">
        <f t="shared" si="286"/>
        <v/>
      </c>
      <c r="AJ630" s="111"/>
      <c r="AK630" s="255"/>
      <c r="AL630" s="259" t="str">
        <f>IF(AK630&lt;&gt;"",AK630/VLOOKUP($V630,Setup!$C$30:$D$41,2,0),"")</f>
        <v/>
      </c>
      <c r="AM630" s="266"/>
      <c r="AN630" s="258" t="str">
        <f t="shared" si="287"/>
        <v/>
      </c>
      <c r="AO630" s="266"/>
      <c r="AP630" s="258" t="str">
        <f t="shared" si="288"/>
        <v/>
      </c>
      <c r="AQ630" s="266"/>
      <c r="AR630" s="258" t="str">
        <f t="shared" si="289"/>
        <v/>
      </c>
      <c r="AS630" s="266"/>
      <c r="AT630" s="256" t="str">
        <f t="shared" si="290"/>
        <v/>
      </c>
      <c r="AU630" s="256" t="str">
        <f t="shared" si="291"/>
        <v/>
      </c>
      <c r="AV630" s="256" t="str">
        <f t="shared" si="292"/>
        <v/>
      </c>
      <c r="AW630" s="267"/>
      <c r="AX630" s="255"/>
      <c r="AY630" s="259" t="str">
        <f>IF(AX630&lt;&gt;"",AX630/VLOOKUP($V630,Setup!$C$30:$D$41,2,0),"")</f>
        <v/>
      </c>
      <c r="AZ630" s="268"/>
      <c r="BA630" s="258" t="str">
        <f t="shared" si="293"/>
        <v/>
      </c>
      <c r="BB630" s="268"/>
      <c r="BC630" s="258" t="str">
        <f t="shared" si="294"/>
        <v/>
      </c>
      <c r="BD630" s="268"/>
      <c r="BE630" s="258" t="str">
        <f t="shared" si="295"/>
        <v/>
      </c>
      <c r="BF630" s="268"/>
      <c r="BG630" s="256" t="str">
        <f t="shared" si="296"/>
        <v/>
      </c>
      <c r="BH630" s="256" t="str">
        <f t="shared" si="297"/>
        <v/>
      </c>
      <c r="BI630" s="256" t="str">
        <f t="shared" si="298"/>
        <v/>
      </c>
      <c r="BJ630" s="267"/>
      <c r="BK630" s="255"/>
      <c r="BL630" s="259" t="str">
        <f>IF(BK630&lt;&gt;"",BK630/VLOOKUP($V630,Setup!$C$30:$D$41,2,0),"")</f>
        <v/>
      </c>
      <c r="BM630" s="268"/>
      <c r="BN630" s="258" t="str">
        <f t="shared" si="299"/>
        <v/>
      </c>
      <c r="BO630" s="268"/>
      <c r="BP630" s="258" t="str">
        <f t="shared" si="300"/>
        <v/>
      </c>
      <c r="BQ630" s="268"/>
      <c r="BR630" s="258" t="str">
        <f t="shared" si="301"/>
        <v/>
      </c>
      <c r="BS630" s="268"/>
      <c r="BT630" s="256" t="str">
        <f t="shared" si="302"/>
        <v/>
      </c>
      <c r="BU630" s="256" t="str">
        <f t="shared" si="303"/>
        <v/>
      </c>
      <c r="BV630" s="256" t="str">
        <f t="shared" si="304"/>
        <v/>
      </c>
      <c r="BW630" s="267"/>
      <c r="BX630" s="256" t="str">
        <f t="shared" si="305"/>
        <v/>
      </c>
      <c r="BY630" s="256" t="str">
        <f t="shared" si="306"/>
        <v/>
      </c>
      <c r="BZ630" s="281"/>
      <c r="CA630" s="282"/>
      <c r="CF630" s="284"/>
      <c r="CG630" s="284"/>
      <c r="CH630" s="284"/>
      <c r="CI630" s="284"/>
      <c r="CL630" s="356" t="str">
        <f>IFERROR(VLOOKUP(C630,'Data Sheet'!$A$3:$B$26,2,FALSE),"")</f>
        <v/>
      </c>
    </row>
    <row r="631" spans="1:90" ht="15.75" x14ac:dyDescent="0.2">
      <c r="A631" s="97"/>
      <c r="B631" s="105" t="str">
        <f t="shared" si="309"/>
        <v>--</v>
      </c>
      <c r="C631" s="276"/>
      <c r="D631" s="101" t="str">
        <f>IFERROR(IF(VLOOKUP(C631,'Data Sheet'!$A$3:$D$26,4,FALSE)=0,"",VLOOKUP(C631,'Data Sheet'!$A$3:$D$26,4,FALSE)),"")</f>
        <v/>
      </c>
      <c r="E631" s="279"/>
      <c r="F631" s="103" t="str">
        <f>IFERROR(IF(VLOOKUP(E631,'Data Sheet'!$C$29:$E$174,3,FALSE)=0,"",VLOOKUP(E631,'Data Sheet'!$C$29:$E$174,3,FALSE)),"")</f>
        <v/>
      </c>
      <c r="G631" s="106" t="str">
        <f t="shared" si="307"/>
        <v>-</v>
      </c>
      <c r="H631" s="273"/>
      <c r="I631" s="107"/>
      <c r="J631" s="249" t="e">
        <f t="shared" si="308"/>
        <v>#VALUE!</v>
      </c>
      <c r="K631" s="101" t="str">
        <f>IFERROR(INDEX('Data Sheet'!$C$198:$C$275,MATCH(I631,'Data Sheet'!$F$198:$F$275,0)),"")</f>
        <v/>
      </c>
      <c r="L631" s="250" t="str">
        <f>IFERROR(INDEX('Data Sheet'!$G$198:$G$275,MATCH(I631,'Data Sheet'!$F$198:$F$275,0)),"")</f>
        <v/>
      </c>
      <c r="M631" s="194"/>
      <c r="N631" s="248"/>
      <c r="O631" s="248"/>
      <c r="P631" s="108" t="str">
        <f>IFERROR(INDEX(Setup!$D$44:$D$70,MATCH(M631,Setup!$K$44:$K$70,0))&amp;"","")</f>
        <v/>
      </c>
      <c r="Q631" s="108" t="str">
        <f>IFERROR(INDEX(Setup!$E$44:$E$70,MATCH(M631,Setup!$K$44:$K$70,0))&amp;"","")</f>
        <v/>
      </c>
      <c r="R631" s="108" t="str">
        <f>IFERROR(INDEX(Setup!$L$44:$L$70,MATCH(M631,Setup!$K$44:$K$70,0))&amp;"","")</f>
        <v/>
      </c>
      <c r="S631" s="108" t="str">
        <f>Setup!$C$30</f>
        <v>USD</v>
      </c>
      <c r="T631" s="109" t="str">
        <f>IFERROR(INDEX('Data Sheet'!$B$198:$B$275,MATCH(I631,'Data Sheet'!$F$198:$F$275,0)),"")</f>
        <v/>
      </c>
      <c r="U631" s="110" t="str">
        <f>IFERROR(INDEX('Data Sheet'!$D$198:$D$275,MATCH(I631,'Data Sheet'!$F$198:$F$275,0)),"")</f>
        <v/>
      </c>
      <c r="V631" s="99"/>
      <c r="W631" s="195" t="str">
        <f>IF(V631=Setup!$C$30,"Grant",IF(V631=Setup!$C$31,"Local",IF(V631=Setup!$C$32,"Other",IF(ISBLANK(V631),"","Other"))))</f>
        <v/>
      </c>
      <c r="X631" s="255"/>
      <c r="Y631" s="259" t="str">
        <f>IF(X631&lt;&gt;"",X631/VLOOKUP($V631,Setup!$C$30:$D$41,2,0),"")</f>
        <v/>
      </c>
      <c r="Z631" s="262"/>
      <c r="AA631" s="256" t="str">
        <f t="shared" si="281"/>
        <v/>
      </c>
      <c r="AB631" s="262"/>
      <c r="AC631" s="258" t="str">
        <f t="shared" si="282"/>
        <v/>
      </c>
      <c r="AD631" s="262"/>
      <c r="AE631" s="258" t="str">
        <f t="shared" si="283"/>
        <v/>
      </c>
      <c r="AF631" s="262"/>
      <c r="AG631" s="256" t="str">
        <f t="shared" si="284"/>
        <v/>
      </c>
      <c r="AH631" s="256" t="str">
        <f t="shared" si="285"/>
        <v/>
      </c>
      <c r="AI631" s="256" t="str">
        <f t="shared" si="286"/>
        <v/>
      </c>
      <c r="AJ631" s="111"/>
      <c r="AK631" s="255"/>
      <c r="AL631" s="259" t="str">
        <f>IF(AK631&lt;&gt;"",AK631/VLOOKUP($V631,Setup!$C$30:$D$41,2,0),"")</f>
        <v/>
      </c>
      <c r="AM631" s="266"/>
      <c r="AN631" s="258" t="str">
        <f t="shared" si="287"/>
        <v/>
      </c>
      <c r="AO631" s="266"/>
      <c r="AP631" s="258" t="str">
        <f t="shared" si="288"/>
        <v/>
      </c>
      <c r="AQ631" s="266"/>
      <c r="AR631" s="258" t="str">
        <f t="shared" si="289"/>
        <v/>
      </c>
      <c r="AS631" s="266"/>
      <c r="AT631" s="256" t="str">
        <f t="shared" si="290"/>
        <v/>
      </c>
      <c r="AU631" s="256" t="str">
        <f t="shared" si="291"/>
        <v/>
      </c>
      <c r="AV631" s="256" t="str">
        <f t="shared" si="292"/>
        <v/>
      </c>
      <c r="AW631" s="267"/>
      <c r="AX631" s="255"/>
      <c r="AY631" s="259" t="str">
        <f>IF(AX631&lt;&gt;"",AX631/VLOOKUP($V631,Setup!$C$30:$D$41,2,0),"")</f>
        <v/>
      </c>
      <c r="AZ631" s="268"/>
      <c r="BA631" s="258" t="str">
        <f t="shared" si="293"/>
        <v/>
      </c>
      <c r="BB631" s="268"/>
      <c r="BC631" s="258" t="str">
        <f t="shared" si="294"/>
        <v/>
      </c>
      <c r="BD631" s="268"/>
      <c r="BE631" s="258" t="str">
        <f t="shared" si="295"/>
        <v/>
      </c>
      <c r="BF631" s="268"/>
      <c r="BG631" s="256" t="str">
        <f t="shared" si="296"/>
        <v/>
      </c>
      <c r="BH631" s="256" t="str">
        <f t="shared" si="297"/>
        <v/>
      </c>
      <c r="BI631" s="256" t="str">
        <f t="shared" si="298"/>
        <v/>
      </c>
      <c r="BJ631" s="267"/>
      <c r="BK631" s="255"/>
      <c r="BL631" s="259" t="str">
        <f>IF(BK631&lt;&gt;"",BK631/VLOOKUP($V631,Setup!$C$30:$D$41,2,0),"")</f>
        <v/>
      </c>
      <c r="BM631" s="268"/>
      <c r="BN631" s="258" t="str">
        <f t="shared" si="299"/>
        <v/>
      </c>
      <c r="BO631" s="268"/>
      <c r="BP631" s="258" t="str">
        <f t="shared" si="300"/>
        <v/>
      </c>
      <c r="BQ631" s="268"/>
      <c r="BR631" s="258" t="str">
        <f t="shared" si="301"/>
        <v/>
      </c>
      <c r="BS631" s="268"/>
      <c r="BT631" s="256" t="str">
        <f t="shared" si="302"/>
        <v/>
      </c>
      <c r="BU631" s="256" t="str">
        <f t="shared" si="303"/>
        <v/>
      </c>
      <c r="BV631" s="256" t="str">
        <f t="shared" si="304"/>
        <v/>
      </c>
      <c r="BW631" s="267"/>
      <c r="BX631" s="256" t="str">
        <f t="shared" si="305"/>
        <v/>
      </c>
      <c r="BY631" s="256" t="str">
        <f t="shared" si="306"/>
        <v/>
      </c>
      <c r="BZ631" s="281"/>
      <c r="CA631" s="282"/>
      <c r="CF631" s="284"/>
      <c r="CG631" s="284"/>
      <c r="CH631" s="284"/>
      <c r="CI631" s="284"/>
      <c r="CL631" s="356" t="str">
        <f>IFERROR(VLOOKUP(C631,'Data Sheet'!$A$3:$B$26,2,FALSE),"")</f>
        <v/>
      </c>
    </row>
    <row r="632" spans="1:90" ht="15.75" x14ac:dyDescent="0.2">
      <c r="A632" s="97"/>
      <c r="B632" s="105" t="str">
        <f t="shared" si="309"/>
        <v>--</v>
      </c>
      <c r="C632" s="276"/>
      <c r="D632" s="101" t="str">
        <f>IFERROR(IF(VLOOKUP(C632,'Data Sheet'!$A$3:$D$26,4,FALSE)=0,"",VLOOKUP(C632,'Data Sheet'!$A$3:$D$26,4,FALSE)),"")</f>
        <v/>
      </c>
      <c r="E632" s="279"/>
      <c r="F632" s="103" t="str">
        <f>IFERROR(IF(VLOOKUP(E632,'Data Sheet'!$C$29:$E$174,3,FALSE)=0,"",VLOOKUP(E632,'Data Sheet'!$C$29:$E$174,3,FALSE)),"")</f>
        <v/>
      </c>
      <c r="G632" s="106" t="str">
        <f t="shared" si="307"/>
        <v>-</v>
      </c>
      <c r="H632" s="273"/>
      <c r="I632" s="107"/>
      <c r="J632" s="249" t="e">
        <f t="shared" si="308"/>
        <v>#VALUE!</v>
      </c>
      <c r="K632" s="101" t="str">
        <f>IFERROR(INDEX('Data Sheet'!$C$198:$C$275,MATCH(I632,'Data Sheet'!$F$198:$F$275,0)),"")</f>
        <v/>
      </c>
      <c r="L632" s="250" t="str">
        <f>IFERROR(INDEX('Data Sheet'!$G$198:$G$275,MATCH(I632,'Data Sheet'!$F$198:$F$275,0)),"")</f>
        <v/>
      </c>
      <c r="M632" s="194"/>
      <c r="N632" s="248"/>
      <c r="O632" s="248"/>
      <c r="P632" s="108" t="str">
        <f>IFERROR(INDEX(Setup!$D$44:$D$70,MATCH(M632,Setup!$K$44:$K$70,0))&amp;"","")</f>
        <v/>
      </c>
      <c r="Q632" s="108" t="str">
        <f>IFERROR(INDEX(Setup!$E$44:$E$70,MATCH(M632,Setup!$K$44:$K$70,0))&amp;"","")</f>
        <v/>
      </c>
      <c r="R632" s="108" t="str">
        <f>IFERROR(INDEX(Setup!$L$44:$L$70,MATCH(M632,Setup!$K$44:$K$70,0))&amp;"","")</f>
        <v/>
      </c>
      <c r="S632" s="108" t="str">
        <f>Setup!$C$30</f>
        <v>USD</v>
      </c>
      <c r="T632" s="109" t="str">
        <f>IFERROR(INDEX('Data Sheet'!$B$198:$B$275,MATCH(I632,'Data Sheet'!$F$198:$F$275,0)),"")</f>
        <v/>
      </c>
      <c r="U632" s="110" t="str">
        <f>IFERROR(INDEX('Data Sheet'!$D$198:$D$275,MATCH(I632,'Data Sheet'!$F$198:$F$275,0)),"")</f>
        <v/>
      </c>
      <c r="V632" s="99"/>
      <c r="W632" s="195" t="str">
        <f>IF(V632=Setup!$C$30,"Grant",IF(V632=Setup!$C$31,"Local",IF(V632=Setup!$C$32,"Other",IF(ISBLANK(V632),"","Other"))))</f>
        <v/>
      </c>
      <c r="X632" s="255"/>
      <c r="Y632" s="259" t="str">
        <f>IF(X632&lt;&gt;"",X632/VLOOKUP($V632,Setup!$C$30:$D$41,2,0),"")</f>
        <v/>
      </c>
      <c r="Z632" s="262"/>
      <c r="AA632" s="256" t="str">
        <f t="shared" si="281"/>
        <v/>
      </c>
      <c r="AB632" s="262"/>
      <c r="AC632" s="258" t="str">
        <f t="shared" si="282"/>
        <v/>
      </c>
      <c r="AD632" s="262"/>
      <c r="AE632" s="258" t="str">
        <f t="shared" si="283"/>
        <v/>
      </c>
      <c r="AF632" s="262"/>
      <c r="AG632" s="256" t="str">
        <f t="shared" si="284"/>
        <v/>
      </c>
      <c r="AH632" s="256" t="str">
        <f t="shared" si="285"/>
        <v/>
      </c>
      <c r="AI632" s="256" t="str">
        <f t="shared" si="286"/>
        <v/>
      </c>
      <c r="AJ632" s="111"/>
      <c r="AK632" s="255"/>
      <c r="AL632" s="259" t="str">
        <f>IF(AK632&lt;&gt;"",AK632/VLOOKUP($V632,Setup!$C$30:$D$41,2,0),"")</f>
        <v/>
      </c>
      <c r="AM632" s="266"/>
      <c r="AN632" s="258" t="str">
        <f t="shared" si="287"/>
        <v/>
      </c>
      <c r="AO632" s="266"/>
      <c r="AP632" s="258" t="str">
        <f t="shared" si="288"/>
        <v/>
      </c>
      <c r="AQ632" s="266"/>
      <c r="AR632" s="258" t="str">
        <f t="shared" si="289"/>
        <v/>
      </c>
      <c r="AS632" s="266"/>
      <c r="AT632" s="256" t="str">
        <f t="shared" si="290"/>
        <v/>
      </c>
      <c r="AU632" s="256" t="str">
        <f t="shared" si="291"/>
        <v/>
      </c>
      <c r="AV632" s="256" t="str">
        <f t="shared" si="292"/>
        <v/>
      </c>
      <c r="AW632" s="267"/>
      <c r="AX632" s="255"/>
      <c r="AY632" s="259" t="str">
        <f>IF(AX632&lt;&gt;"",AX632/VLOOKUP($V632,Setup!$C$30:$D$41,2,0),"")</f>
        <v/>
      </c>
      <c r="AZ632" s="268"/>
      <c r="BA632" s="258" t="str">
        <f t="shared" si="293"/>
        <v/>
      </c>
      <c r="BB632" s="268"/>
      <c r="BC632" s="258" t="str">
        <f t="shared" si="294"/>
        <v/>
      </c>
      <c r="BD632" s="268"/>
      <c r="BE632" s="258" t="str">
        <f t="shared" si="295"/>
        <v/>
      </c>
      <c r="BF632" s="268"/>
      <c r="BG632" s="256" t="str">
        <f t="shared" si="296"/>
        <v/>
      </c>
      <c r="BH632" s="256" t="str">
        <f t="shared" si="297"/>
        <v/>
      </c>
      <c r="BI632" s="256" t="str">
        <f t="shared" si="298"/>
        <v/>
      </c>
      <c r="BJ632" s="267"/>
      <c r="BK632" s="255"/>
      <c r="BL632" s="259" t="str">
        <f>IF(BK632&lt;&gt;"",BK632/VLOOKUP($V632,Setup!$C$30:$D$41,2,0),"")</f>
        <v/>
      </c>
      <c r="BM632" s="268"/>
      <c r="BN632" s="258" t="str">
        <f t="shared" si="299"/>
        <v/>
      </c>
      <c r="BO632" s="268"/>
      <c r="BP632" s="258" t="str">
        <f t="shared" si="300"/>
        <v/>
      </c>
      <c r="BQ632" s="268"/>
      <c r="BR632" s="258" t="str">
        <f t="shared" si="301"/>
        <v/>
      </c>
      <c r="BS632" s="268"/>
      <c r="BT632" s="256" t="str">
        <f t="shared" si="302"/>
        <v/>
      </c>
      <c r="BU632" s="256" t="str">
        <f t="shared" si="303"/>
        <v/>
      </c>
      <c r="BV632" s="256" t="str">
        <f t="shared" si="304"/>
        <v/>
      </c>
      <c r="BW632" s="267"/>
      <c r="BX632" s="256" t="str">
        <f t="shared" si="305"/>
        <v/>
      </c>
      <c r="BY632" s="256" t="str">
        <f t="shared" si="306"/>
        <v/>
      </c>
      <c r="BZ632" s="281"/>
      <c r="CA632" s="282"/>
      <c r="CF632" s="284"/>
      <c r="CG632" s="284"/>
      <c r="CH632" s="284"/>
      <c r="CI632" s="284"/>
      <c r="CL632" s="356" t="str">
        <f>IFERROR(VLOOKUP(C632,'Data Sheet'!$A$3:$B$26,2,FALSE),"")</f>
        <v/>
      </c>
    </row>
    <row r="633" spans="1:90" ht="15.75" x14ac:dyDescent="0.2">
      <c r="A633" s="97"/>
      <c r="B633" s="105" t="str">
        <f t="shared" si="309"/>
        <v>--</v>
      </c>
      <c r="C633" s="276"/>
      <c r="D633" s="101" t="str">
        <f>IFERROR(IF(VLOOKUP(C633,'Data Sheet'!$A$3:$D$26,4,FALSE)=0,"",VLOOKUP(C633,'Data Sheet'!$A$3:$D$26,4,FALSE)),"")</f>
        <v/>
      </c>
      <c r="E633" s="279"/>
      <c r="F633" s="103" t="str">
        <f>IFERROR(IF(VLOOKUP(E633,'Data Sheet'!$C$29:$E$174,3,FALSE)=0,"",VLOOKUP(E633,'Data Sheet'!$C$29:$E$174,3,FALSE)),"")</f>
        <v/>
      </c>
      <c r="G633" s="106" t="str">
        <f t="shared" si="307"/>
        <v>-</v>
      </c>
      <c r="H633" s="273"/>
      <c r="I633" s="107"/>
      <c r="J633" s="249" t="e">
        <f t="shared" si="308"/>
        <v>#VALUE!</v>
      </c>
      <c r="K633" s="101" t="str">
        <f>IFERROR(INDEX('Data Sheet'!$C$198:$C$275,MATCH(I633,'Data Sheet'!$F$198:$F$275,0)),"")</f>
        <v/>
      </c>
      <c r="L633" s="250" t="str">
        <f>IFERROR(INDEX('Data Sheet'!$G$198:$G$275,MATCH(I633,'Data Sheet'!$F$198:$F$275,0)),"")</f>
        <v/>
      </c>
      <c r="M633" s="194"/>
      <c r="N633" s="248"/>
      <c r="O633" s="248"/>
      <c r="P633" s="108" t="str">
        <f>IFERROR(INDEX(Setup!$D$44:$D$70,MATCH(M633,Setup!$K$44:$K$70,0))&amp;"","")</f>
        <v/>
      </c>
      <c r="Q633" s="108" t="str">
        <f>IFERROR(INDEX(Setup!$E$44:$E$70,MATCH(M633,Setup!$K$44:$K$70,0))&amp;"","")</f>
        <v/>
      </c>
      <c r="R633" s="108" t="str">
        <f>IFERROR(INDEX(Setup!$L$44:$L$70,MATCH(M633,Setup!$K$44:$K$70,0))&amp;"","")</f>
        <v/>
      </c>
      <c r="S633" s="108" t="str">
        <f>Setup!$C$30</f>
        <v>USD</v>
      </c>
      <c r="T633" s="109" t="str">
        <f>IFERROR(INDEX('Data Sheet'!$B$198:$B$275,MATCH(I633,'Data Sheet'!$F$198:$F$275,0)),"")</f>
        <v/>
      </c>
      <c r="U633" s="110" t="str">
        <f>IFERROR(INDEX('Data Sheet'!$D$198:$D$275,MATCH(I633,'Data Sheet'!$F$198:$F$275,0)),"")</f>
        <v/>
      </c>
      <c r="V633" s="99"/>
      <c r="W633" s="195" t="str">
        <f>IF(V633=Setup!$C$30,"Grant",IF(V633=Setup!$C$31,"Local",IF(V633=Setup!$C$32,"Other",IF(ISBLANK(V633),"","Other"))))</f>
        <v/>
      </c>
      <c r="X633" s="255"/>
      <c r="Y633" s="259" t="str">
        <f>IF(X633&lt;&gt;"",X633/VLOOKUP($V633,Setup!$C$30:$D$41,2,0),"")</f>
        <v/>
      </c>
      <c r="Z633" s="262"/>
      <c r="AA633" s="256" t="str">
        <f t="shared" si="281"/>
        <v/>
      </c>
      <c r="AB633" s="262"/>
      <c r="AC633" s="258" t="str">
        <f t="shared" si="282"/>
        <v/>
      </c>
      <c r="AD633" s="262"/>
      <c r="AE633" s="258" t="str">
        <f t="shared" si="283"/>
        <v/>
      </c>
      <c r="AF633" s="262"/>
      <c r="AG633" s="256" t="str">
        <f t="shared" si="284"/>
        <v/>
      </c>
      <c r="AH633" s="256" t="str">
        <f t="shared" si="285"/>
        <v/>
      </c>
      <c r="AI633" s="256" t="str">
        <f t="shared" si="286"/>
        <v/>
      </c>
      <c r="AJ633" s="111"/>
      <c r="AK633" s="255"/>
      <c r="AL633" s="259" t="str">
        <f>IF(AK633&lt;&gt;"",AK633/VLOOKUP($V633,Setup!$C$30:$D$41,2,0),"")</f>
        <v/>
      </c>
      <c r="AM633" s="266"/>
      <c r="AN633" s="258" t="str">
        <f t="shared" si="287"/>
        <v/>
      </c>
      <c r="AO633" s="266"/>
      <c r="AP633" s="258" t="str">
        <f t="shared" si="288"/>
        <v/>
      </c>
      <c r="AQ633" s="266"/>
      <c r="AR633" s="258" t="str">
        <f t="shared" si="289"/>
        <v/>
      </c>
      <c r="AS633" s="266"/>
      <c r="AT633" s="256" t="str">
        <f t="shared" si="290"/>
        <v/>
      </c>
      <c r="AU633" s="256" t="str">
        <f t="shared" si="291"/>
        <v/>
      </c>
      <c r="AV633" s="256" t="str">
        <f t="shared" si="292"/>
        <v/>
      </c>
      <c r="AW633" s="267"/>
      <c r="AX633" s="255"/>
      <c r="AY633" s="259" t="str">
        <f>IF(AX633&lt;&gt;"",AX633/VLOOKUP($V633,Setup!$C$30:$D$41,2,0),"")</f>
        <v/>
      </c>
      <c r="AZ633" s="268"/>
      <c r="BA633" s="258" t="str">
        <f t="shared" si="293"/>
        <v/>
      </c>
      <c r="BB633" s="268"/>
      <c r="BC633" s="258" t="str">
        <f t="shared" si="294"/>
        <v/>
      </c>
      <c r="BD633" s="268"/>
      <c r="BE633" s="258" t="str">
        <f t="shared" si="295"/>
        <v/>
      </c>
      <c r="BF633" s="268"/>
      <c r="BG633" s="256" t="str">
        <f t="shared" si="296"/>
        <v/>
      </c>
      <c r="BH633" s="256" t="str">
        <f t="shared" si="297"/>
        <v/>
      </c>
      <c r="BI633" s="256" t="str">
        <f t="shared" si="298"/>
        <v/>
      </c>
      <c r="BJ633" s="267"/>
      <c r="BK633" s="255"/>
      <c r="BL633" s="259" t="str">
        <f>IF(BK633&lt;&gt;"",BK633/VLOOKUP($V633,Setup!$C$30:$D$41,2,0),"")</f>
        <v/>
      </c>
      <c r="BM633" s="268"/>
      <c r="BN633" s="258" t="str">
        <f t="shared" si="299"/>
        <v/>
      </c>
      <c r="BO633" s="268"/>
      <c r="BP633" s="258" t="str">
        <f t="shared" si="300"/>
        <v/>
      </c>
      <c r="BQ633" s="268"/>
      <c r="BR633" s="258" t="str">
        <f t="shared" si="301"/>
        <v/>
      </c>
      <c r="BS633" s="268"/>
      <c r="BT633" s="256" t="str">
        <f t="shared" si="302"/>
        <v/>
      </c>
      <c r="BU633" s="256" t="str">
        <f t="shared" si="303"/>
        <v/>
      </c>
      <c r="BV633" s="256" t="str">
        <f t="shared" si="304"/>
        <v/>
      </c>
      <c r="BW633" s="267"/>
      <c r="BX633" s="256" t="str">
        <f t="shared" si="305"/>
        <v/>
      </c>
      <c r="BY633" s="256" t="str">
        <f t="shared" si="306"/>
        <v/>
      </c>
      <c r="BZ633" s="281"/>
      <c r="CA633" s="282"/>
      <c r="CF633" s="284"/>
      <c r="CG633" s="284"/>
      <c r="CH633" s="284"/>
      <c r="CI633" s="284"/>
      <c r="CL633" s="356" t="str">
        <f>IFERROR(VLOOKUP(C633,'Data Sheet'!$A$3:$B$26,2,FALSE),"")</f>
        <v/>
      </c>
    </row>
    <row r="634" spans="1:90" ht="15.75" x14ac:dyDescent="0.2">
      <c r="A634" s="97"/>
      <c r="B634" s="105" t="str">
        <f t="shared" si="309"/>
        <v>--</v>
      </c>
      <c r="C634" s="276"/>
      <c r="D634" s="101" t="str">
        <f>IFERROR(IF(VLOOKUP(C634,'Data Sheet'!$A$3:$D$26,4,FALSE)=0,"",VLOOKUP(C634,'Data Sheet'!$A$3:$D$26,4,FALSE)),"")</f>
        <v/>
      </c>
      <c r="E634" s="279"/>
      <c r="F634" s="103" t="str">
        <f>IFERROR(IF(VLOOKUP(E634,'Data Sheet'!$C$29:$E$174,3,FALSE)=0,"",VLOOKUP(E634,'Data Sheet'!$C$29:$E$174,3,FALSE)),"")</f>
        <v/>
      </c>
      <c r="G634" s="106" t="str">
        <f t="shared" si="307"/>
        <v>-</v>
      </c>
      <c r="H634" s="273"/>
      <c r="I634" s="107"/>
      <c r="J634" s="249" t="e">
        <f t="shared" si="308"/>
        <v>#VALUE!</v>
      </c>
      <c r="K634" s="101" t="str">
        <f>IFERROR(INDEX('Data Sheet'!$C$198:$C$275,MATCH(I634,'Data Sheet'!$F$198:$F$275,0)),"")</f>
        <v/>
      </c>
      <c r="L634" s="250" t="str">
        <f>IFERROR(INDEX('Data Sheet'!$G$198:$G$275,MATCH(I634,'Data Sheet'!$F$198:$F$275,0)),"")</f>
        <v/>
      </c>
      <c r="M634" s="194"/>
      <c r="N634" s="248"/>
      <c r="O634" s="248"/>
      <c r="P634" s="108" t="str">
        <f>IFERROR(INDEX(Setup!$D$44:$D$70,MATCH(M634,Setup!$K$44:$K$70,0))&amp;"","")</f>
        <v/>
      </c>
      <c r="Q634" s="108" t="str">
        <f>IFERROR(INDEX(Setup!$E$44:$E$70,MATCH(M634,Setup!$K$44:$K$70,0))&amp;"","")</f>
        <v/>
      </c>
      <c r="R634" s="108" t="str">
        <f>IFERROR(INDEX(Setup!$L$44:$L$70,MATCH(M634,Setup!$K$44:$K$70,0))&amp;"","")</f>
        <v/>
      </c>
      <c r="S634" s="108" t="str">
        <f>Setup!$C$30</f>
        <v>USD</v>
      </c>
      <c r="T634" s="109" t="str">
        <f>IFERROR(INDEX('Data Sheet'!$B$198:$B$275,MATCH(I634,'Data Sheet'!$F$198:$F$275,0)),"")</f>
        <v/>
      </c>
      <c r="U634" s="110" t="str">
        <f>IFERROR(INDEX('Data Sheet'!$D$198:$D$275,MATCH(I634,'Data Sheet'!$F$198:$F$275,0)),"")</f>
        <v/>
      </c>
      <c r="V634" s="99"/>
      <c r="W634" s="195" t="str">
        <f>IF(V634=Setup!$C$30,"Grant",IF(V634=Setup!$C$31,"Local",IF(V634=Setup!$C$32,"Other",IF(ISBLANK(V634),"","Other"))))</f>
        <v/>
      </c>
      <c r="X634" s="255"/>
      <c r="Y634" s="259" t="str">
        <f>IF(X634&lt;&gt;"",X634/VLOOKUP($V634,Setup!$C$30:$D$41,2,0),"")</f>
        <v/>
      </c>
      <c r="Z634" s="262"/>
      <c r="AA634" s="256" t="str">
        <f t="shared" si="281"/>
        <v/>
      </c>
      <c r="AB634" s="262"/>
      <c r="AC634" s="258" t="str">
        <f t="shared" si="282"/>
        <v/>
      </c>
      <c r="AD634" s="262"/>
      <c r="AE634" s="258" t="str">
        <f t="shared" si="283"/>
        <v/>
      </c>
      <c r="AF634" s="262"/>
      <c r="AG634" s="256" t="str">
        <f t="shared" si="284"/>
        <v/>
      </c>
      <c r="AH634" s="256" t="str">
        <f t="shared" si="285"/>
        <v/>
      </c>
      <c r="AI634" s="256" t="str">
        <f t="shared" si="286"/>
        <v/>
      </c>
      <c r="AJ634" s="111"/>
      <c r="AK634" s="255"/>
      <c r="AL634" s="259" t="str">
        <f>IF(AK634&lt;&gt;"",AK634/VLOOKUP($V634,Setup!$C$30:$D$41,2,0),"")</f>
        <v/>
      </c>
      <c r="AM634" s="266"/>
      <c r="AN634" s="258" t="str">
        <f t="shared" si="287"/>
        <v/>
      </c>
      <c r="AO634" s="266"/>
      <c r="AP634" s="258" t="str">
        <f t="shared" si="288"/>
        <v/>
      </c>
      <c r="AQ634" s="266"/>
      <c r="AR634" s="258" t="str">
        <f t="shared" si="289"/>
        <v/>
      </c>
      <c r="AS634" s="266"/>
      <c r="AT634" s="256" t="str">
        <f t="shared" si="290"/>
        <v/>
      </c>
      <c r="AU634" s="256" t="str">
        <f t="shared" si="291"/>
        <v/>
      </c>
      <c r="AV634" s="256" t="str">
        <f t="shared" si="292"/>
        <v/>
      </c>
      <c r="AW634" s="267"/>
      <c r="AX634" s="255"/>
      <c r="AY634" s="259" t="str">
        <f>IF(AX634&lt;&gt;"",AX634/VLOOKUP($V634,Setup!$C$30:$D$41,2,0),"")</f>
        <v/>
      </c>
      <c r="AZ634" s="268"/>
      <c r="BA634" s="258" t="str">
        <f t="shared" si="293"/>
        <v/>
      </c>
      <c r="BB634" s="268"/>
      <c r="BC634" s="258" t="str">
        <f t="shared" si="294"/>
        <v/>
      </c>
      <c r="BD634" s="268"/>
      <c r="BE634" s="258" t="str">
        <f t="shared" si="295"/>
        <v/>
      </c>
      <c r="BF634" s="268"/>
      <c r="BG634" s="256" t="str">
        <f t="shared" si="296"/>
        <v/>
      </c>
      <c r="BH634" s="256" t="str">
        <f t="shared" si="297"/>
        <v/>
      </c>
      <c r="BI634" s="256" t="str">
        <f t="shared" si="298"/>
        <v/>
      </c>
      <c r="BJ634" s="267"/>
      <c r="BK634" s="255"/>
      <c r="BL634" s="259" t="str">
        <f>IF(BK634&lt;&gt;"",BK634/VLOOKUP($V634,Setup!$C$30:$D$41,2,0),"")</f>
        <v/>
      </c>
      <c r="BM634" s="268"/>
      <c r="BN634" s="258" t="str">
        <f t="shared" si="299"/>
        <v/>
      </c>
      <c r="BO634" s="268"/>
      <c r="BP634" s="258" t="str">
        <f t="shared" si="300"/>
        <v/>
      </c>
      <c r="BQ634" s="268"/>
      <c r="BR634" s="258" t="str">
        <f t="shared" si="301"/>
        <v/>
      </c>
      <c r="BS634" s="268"/>
      <c r="BT634" s="256" t="str">
        <f t="shared" si="302"/>
        <v/>
      </c>
      <c r="BU634" s="256" t="str">
        <f t="shared" si="303"/>
        <v/>
      </c>
      <c r="BV634" s="256" t="str">
        <f t="shared" si="304"/>
        <v/>
      </c>
      <c r="BW634" s="267"/>
      <c r="BX634" s="256" t="str">
        <f t="shared" si="305"/>
        <v/>
      </c>
      <c r="BY634" s="256" t="str">
        <f t="shared" si="306"/>
        <v/>
      </c>
      <c r="BZ634" s="281"/>
      <c r="CA634" s="282"/>
      <c r="CF634" s="284"/>
      <c r="CG634" s="284"/>
      <c r="CH634" s="284"/>
      <c r="CI634" s="284"/>
      <c r="CL634" s="356" t="str">
        <f>IFERROR(VLOOKUP(C634,'Data Sheet'!$A$3:$B$26,2,FALSE),"")</f>
        <v/>
      </c>
    </row>
    <row r="635" spans="1:90" ht="15.75" x14ac:dyDescent="0.2">
      <c r="A635" s="97"/>
      <c r="B635" s="105" t="str">
        <f t="shared" si="309"/>
        <v>--</v>
      </c>
      <c r="C635" s="276"/>
      <c r="D635" s="101" t="str">
        <f>IFERROR(IF(VLOOKUP(C635,'Data Sheet'!$A$3:$D$26,4,FALSE)=0,"",VLOOKUP(C635,'Data Sheet'!$A$3:$D$26,4,FALSE)),"")</f>
        <v/>
      </c>
      <c r="E635" s="279"/>
      <c r="F635" s="103" t="str">
        <f>IFERROR(IF(VLOOKUP(E635,'Data Sheet'!$C$29:$E$174,3,FALSE)=0,"",VLOOKUP(E635,'Data Sheet'!$C$29:$E$174,3,FALSE)),"")</f>
        <v/>
      </c>
      <c r="G635" s="106" t="str">
        <f t="shared" si="307"/>
        <v>-</v>
      </c>
      <c r="H635" s="273"/>
      <c r="I635" s="107"/>
      <c r="J635" s="249" t="e">
        <f t="shared" si="308"/>
        <v>#VALUE!</v>
      </c>
      <c r="K635" s="101" t="str">
        <f>IFERROR(INDEX('Data Sheet'!$C$198:$C$275,MATCH(I635,'Data Sheet'!$F$198:$F$275,0)),"")</f>
        <v/>
      </c>
      <c r="L635" s="250" t="str">
        <f>IFERROR(INDEX('Data Sheet'!$G$198:$G$275,MATCH(I635,'Data Sheet'!$F$198:$F$275,0)),"")</f>
        <v/>
      </c>
      <c r="M635" s="194"/>
      <c r="N635" s="248"/>
      <c r="O635" s="248"/>
      <c r="P635" s="108" t="str">
        <f>IFERROR(INDEX(Setup!$D$44:$D$70,MATCH(M635,Setup!$K$44:$K$70,0))&amp;"","")</f>
        <v/>
      </c>
      <c r="Q635" s="108" t="str">
        <f>IFERROR(INDEX(Setup!$E$44:$E$70,MATCH(M635,Setup!$K$44:$K$70,0))&amp;"","")</f>
        <v/>
      </c>
      <c r="R635" s="108" t="str">
        <f>IFERROR(INDEX(Setup!$L$44:$L$70,MATCH(M635,Setup!$K$44:$K$70,0))&amp;"","")</f>
        <v/>
      </c>
      <c r="S635" s="108" t="str">
        <f>Setup!$C$30</f>
        <v>USD</v>
      </c>
      <c r="T635" s="109" t="str">
        <f>IFERROR(INDEX('Data Sheet'!$B$198:$B$275,MATCH(I635,'Data Sheet'!$F$198:$F$275,0)),"")</f>
        <v/>
      </c>
      <c r="U635" s="110" t="str">
        <f>IFERROR(INDEX('Data Sheet'!$D$198:$D$275,MATCH(I635,'Data Sheet'!$F$198:$F$275,0)),"")</f>
        <v/>
      </c>
      <c r="V635" s="99"/>
      <c r="W635" s="195" t="str">
        <f>IF(V635=Setup!$C$30,"Grant",IF(V635=Setup!$C$31,"Local",IF(V635=Setup!$C$32,"Other",IF(ISBLANK(V635),"","Other"))))</f>
        <v/>
      </c>
      <c r="X635" s="255"/>
      <c r="Y635" s="259" t="str">
        <f>IF(X635&lt;&gt;"",X635/VLOOKUP($V635,Setup!$C$30:$D$41,2,0),"")</f>
        <v/>
      </c>
      <c r="Z635" s="262"/>
      <c r="AA635" s="256" t="str">
        <f t="shared" si="281"/>
        <v/>
      </c>
      <c r="AB635" s="262"/>
      <c r="AC635" s="258" t="str">
        <f t="shared" si="282"/>
        <v/>
      </c>
      <c r="AD635" s="262"/>
      <c r="AE635" s="258" t="str">
        <f t="shared" si="283"/>
        <v/>
      </c>
      <c r="AF635" s="262"/>
      <c r="AG635" s="256" t="str">
        <f t="shared" si="284"/>
        <v/>
      </c>
      <c r="AH635" s="256" t="str">
        <f t="shared" si="285"/>
        <v/>
      </c>
      <c r="AI635" s="256" t="str">
        <f t="shared" si="286"/>
        <v/>
      </c>
      <c r="AJ635" s="111"/>
      <c r="AK635" s="255"/>
      <c r="AL635" s="259" t="str">
        <f>IF(AK635&lt;&gt;"",AK635/VLOOKUP($V635,Setup!$C$30:$D$41,2,0),"")</f>
        <v/>
      </c>
      <c r="AM635" s="266"/>
      <c r="AN635" s="258" t="str">
        <f t="shared" si="287"/>
        <v/>
      </c>
      <c r="AO635" s="266"/>
      <c r="AP635" s="258" t="str">
        <f t="shared" si="288"/>
        <v/>
      </c>
      <c r="AQ635" s="266"/>
      <c r="AR635" s="258" t="str">
        <f t="shared" si="289"/>
        <v/>
      </c>
      <c r="AS635" s="266"/>
      <c r="AT635" s="256" t="str">
        <f t="shared" si="290"/>
        <v/>
      </c>
      <c r="AU635" s="256" t="str">
        <f t="shared" si="291"/>
        <v/>
      </c>
      <c r="AV635" s="256" t="str">
        <f t="shared" si="292"/>
        <v/>
      </c>
      <c r="AW635" s="267"/>
      <c r="AX635" s="255"/>
      <c r="AY635" s="259" t="str">
        <f>IF(AX635&lt;&gt;"",AX635/VLOOKUP($V635,Setup!$C$30:$D$41,2,0),"")</f>
        <v/>
      </c>
      <c r="AZ635" s="268"/>
      <c r="BA635" s="258" t="str">
        <f t="shared" si="293"/>
        <v/>
      </c>
      <c r="BB635" s="268"/>
      <c r="BC635" s="258" t="str">
        <f t="shared" si="294"/>
        <v/>
      </c>
      <c r="BD635" s="268"/>
      <c r="BE635" s="258" t="str">
        <f t="shared" si="295"/>
        <v/>
      </c>
      <c r="BF635" s="268"/>
      <c r="BG635" s="256" t="str">
        <f t="shared" si="296"/>
        <v/>
      </c>
      <c r="BH635" s="256" t="str">
        <f t="shared" si="297"/>
        <v/>
      </c>
      <c r="BI635" s="256" t="str">
        <f t="shared" si="298"/>
        <v/>
      </c>
      <c r="BJ635" s="267"/>
      <c r="BK635" s="255"/>
      <c r="BL635" s="259" t="str">
        <f>IF(BK635&lt;&gt;"",BK635/VLOOKUP($V635,Setup!$C$30:$D$41,2,0),"")</f>
        <v/>
      </c>
      <c r="BM635" s="268"/>
      <c r="BN635" s="258" t="str">
        <f t="shared" si="299"/>
        <v/>
      </c>
      <c r="BO635" s="268"/>
      <c r="BP635" s="258" t="str">
        <f t="shared" si="300"/>
        <v/>
      </c>
      <c r="BQ635" s="268"/>
      <c r="BR635" s="258" t="str">
        <f t="shared" si="301"/>
        <v/>
      </c>
      <c r="BS635" s="268"/>
      <c r="BT635" s="256" t="str">
        <f t="shared" si="302"/>
        <v/>
      </c>
      <c r="BU635" s="256" t="str">
        <f t="shared" si="303"/>
        <v/>
      </c>
      <c r="BV635" s="256" t="str">
        <f t="shared" si="304"/>
        <v/>
      </c>
      <c r="BW635" s="267"/>
      <c r="BX635" s="256" t="str">
        <f t="shared" si="305"/>
        <v/>
      </c>
      <c r="BY635" s="256" t="str">
        <f t="shared" si="306"/>
        <v/>
      </c>
      <c r="BZ635" s="281"/>
      <c r="CA635" s="282"/>
      <c r="CF635" s="284"/>
      <c r="CG635" s="284"/>
      <c r="CH635" s="284"/>
      <c r="CI635" s="284"/>
      <c r="CL635" s="356" t="str">
        <f>IFERROR(VLOOKUP(C635,'Data Sheet'!$A$3:$B$26,2,FALSE),"")</f>
        <v/>
      </c>
    </row>
    <row r="636" spans="1:90" ht="15.75" x14ac:dyDescent="0.2">
      <c r="A636" s="97"/>
      <c r="B636" s="105" t="str">
        <f t="shared" si="309"/>
        <v>--</v>
      </c>
      <c r="C636" s="276"/>
      <c r="D636" s="101" t="str">
        <f>IFERROR(IF(VLOOKUP(C636,'Data Sheet'!$A$3:$D$26,4,FALSE)=0,"",VLOOKUP(C636,'Data Sheet'!$A$3:$D$26,4,FALSE)),"")</f>
        <v/>
      </c>
      <c r="E636" s="279"/>
      <c r="F636" s="103" t="str">
        <f>IFERROR(IF(VLOOKUP(E636,'Data Sheet'!$C$29:$E$174,3,FALSE)=0,"",VLOOKUP(E636,'Data Sheet'!$C$29:$E$174,3,FALSE)),"")</f>
        <v/>
      </c>
      <c r="G636" s="106" t="str">
        <f t="shared" si="307"/>
        <v>-</v>
      </c>
      <c r="H636" s="273"/>
      <c r="I636" s="107"/>
      <c r="J636" s="249" t="e">
        <f t="shared" si="308"/>
        <v>#VALUE!</v>
      </c>
      <c r="K636" s="101" t="str">
        <f>IFERROR(INDEX('Data Sheet'!$C$198:$C$275,MATCH(I636,'Data Sheet'!$F$198:$F$275,0)),"")</f>
        <v/>
      </c>
      <c r="L636" s="250" t="str">
        <f>IFERROR(INDEX('Data Sheet'!$G$198:$G$275,MATCH(I636,'Data Sheet'!$F$198:$F$275,0)),"")</f>
        <v/>
      </c>
      <c r="M636" s="194"/>
      <c r="N636" s="248"/>
      <c r="O636" s="248"/>
      <c r="P636" s="108" t="str">
        <f>IFERROR(INDEX(Setup!$D$44:$D$70,MATCH(M636,Setup!$K$44:$K$70,0))&amp;"","")</f>
        <v/>
      </c>
      <c r="Q636" s="108" t="str">
        <f>IFERROR(INDEX(Setup!$E$44:$E$70,MATCH(M636,Setup!$K$44:$K$70,0))&amp;"","")</f>
        <v/>
      </c>
      <c r="R636" s="108" t="str">
        <f>IFERROR(INDEX(Setup!$L$44:$L$70,MATCH(M636,Setup!$K$44:$K$70,0))&amp;"","")</f>
        <v/>
      </c>
      <c r="S636" s="108" t="str">
        <f>Setup!$C$30</f>
        <v>USD</v>
      </c>
      <c r="T636" s="109" t="str">
        <f>IFERROR(INDEX('Data Sheet'!$B$198:$B$275,MATCH(I636,'Data Sheet'!$F$198:$F$275,0)),"")</f>
        <v/>
      </c>
      <c r="U636" s="110" t="str">
        <f>IFERROR(INDEX('Data Sheet'!$D$198:$D$275,MATCH(I636,'Data Sheet'!$F$198:$F$275,0)),"")</f>
        <v/>
      </c>
      <c r="V636" s="99"/>
      <c r="W636" s="195" t="str">
        <f>IF(V636=Setup!$C$30,"Grant",IF(V636=Setup!$C$31,"Local",IF(V636=Setup!$C$32,"Other",IF(ISBLANK(V636),"","Other"))))</f>
        <v/>
      </c>
      <c r="X636" s="255"/>
      <c r="Y636" s="259" t="str">
        <f>IF(X636&lt;&gt;"",X636/VLOOKUP($V636,Setup!$C$30:$D$41,2,0),"")</f>
        <v/>
      </c>
      <c r="Z636" s="262"/>
      <c r="AA636" s="256" t="str">
        <f t="shared" si="281"/>
        <v/>
      </c>
      <c r="AB636" s="262"/>
      <c r="AC636" s="258" t="str">
        <f t="shared" si="282"/>
        <v/>
      </c>
      <c r="AD636" s="262"/>
      <c r="AE636" s="258" t="str">
        <f t="shared" si="283"/>
        <v/>
      </c>
      <c r="AF636" s="262"/>
      <c r="AG636" s="256" t="str">
        <f t="shared" si="284"/>
        <v/>
      </c>
      <c r="AH636" s="256" t="str">
        <f t="shared" si="285"/>
        <v/>
      </c>
      <c r="AI636" s="256" t="str">
        <f t="shared" si="286"/>
        <v/>
      </c>
      <c r="AJ636" s="111"/>
      <c r="AK636" s="255"/>
      <c r="AL636" s="259" t="str">
        <f>IF(AK636&lt;&gt;"",AK636/VLOOKUP($V636,Setup!$C$30:$D$41,2,0),"")</f>
        <v/>
      </c>
      <c r="AM636" s="266"/>
      <c r="AN636" s="258" t="str">
        <f t="shared" si="287"/>
        <v/>
      </c>
      <c r="AO636" s="266"/>
      <c r="AP636" s="258" t="str">
        <f t="shared" si="288"/>
        <v/>
      </c>
      <c r="AQ636" s="266"/>
      <c r="AR636" s="258" t="str">
        <f t="shared" si="289"/>
        <v/>
      </c>
      <c r="AS636" s="266"/>
      <c r="AT636" s="256" t="str">
        <f t="shared" si="290"/>
        <v/>
      </c>
      <c r="AU636" s="256" t="str">
        <f t="shared" si="291"/>
        <v/>
      </c>
      <c r="AV636" s="256" t="str">
        <f t="shared" si="292"/>
        <v/>
      </c>
      <c r="AW636" s="267"/>
      <c r="AX636" s="255"/>
      <c r="AY636" s="259" t="str">
        <f>IF(AX636&lt;&gt;"",AX636/VLOOKUP($V636,Setup!$C$30:$D$41,2,0),"")</f>
        <v/>
      </c>
      <c r="AZ636" s="268"/>
      <c r="BA636" s="258" t="str">
        <f t="shared" si="293"/>
        <v/>
      </c>
      <c r="BB636" s="268"/>
      <c r="BC636" s="258" t="str">
        <f t="shared" si="294"/>
        <v/>
      </c>
      <c r="BD636" s="268"/>
      <c r="BE636" s="258" t="str">
        <f t="shared" si="295"/>
        <v/>
      </c>
      <c r="BF636" s="268"/>
      <c r="BG636" s="256" t="str">
        <f t="shared" si="296"/>
        <v/>
      </c>
      <c r="BH636" s="256" t="str">
        <f t="shared" si="297"/>
        <v/>
      </c>
      <c r="BI636" s="256" t="str">
        <f t="shared" si="298"/>
        <v/>
      </c>
      <c r="BJ636" s="267"/>
      <c r="BK636" s="255"/>
      <c r="BL636" s="259" t="str">
        <f>IF(BK636&lt;&gt;"",BK636/VLOOKUP($V636,Setup!$C$30:$D$41,2,0),"")</f>
        <v/>
      </c>
      <c r="BM636" s="268"/>
      <c r="BN636" s="258" t="str">
        <f t="shared" si="299"/>
        <v/>
      </c>
      <c r="BO636" s="268"/>
      <c r="BP636" s="258" t="str">
        <f t="shared" si="300"/>
        <v/>
      </c>
      <c r="BQ636" s="268"/>
      <c r="BR636" s="258" t="str">
        <f t="shared" si="301"/>
        <v/>
      </c>
      <c r="BS636" s="268"/>
      <c r="BT636" s="256" t="str">
        <f t="shared" si="302"/>
        <v/>
      </c>
      <c r="BU636" s="256" t="str">
        <f t="shared" si="303"/>
        <v/>
      </c>
      <c r="BV636" s="256" t="str">
        <f t="shared" si="304"/>
        <v/>
      </c>
      <c r="BW636" s="267"/>
      <c r="BX636" s="256" t="str">
        <f t="shared" si="305"/>
        <v/>
      </c>
      <c r="BY636" s="256" t="str">
        <f t="shared" si="306"/>
        <v/>
      </c>
      <c r="BZ636" s="281"/>
      <c r="CA636" s="282"/>
      <c r="CF636" s="284"/>
      <c r="CG636" s="284"/>
      <c r="CH636" s="284"/>
      <c r="CI636" s="284"/>
      <c r="CL636" s="356" t="str">
        <f>IFERROR(VLOOKUP(C636,'Data Sheet'!$A$3:$B$26,2,FALSE),"")</f>
        <v/>
      </c>
    </row>
    <row r="637" spans="1:90" ht="15.75" x14ac:dyDescent="0.2">
      <c r="A637" s="97"/>
      <c r="B637" s="105" t="str">
        <f t="shared" si="309"/>
        <v>--</v>
      </c>
      <c r="C637" s="276"/>
      <c r="D637" s="101" t="str">
        <f>IFERROR(IF(VLOOKUP(C637,'Data Sheet'!$A$3:$D$26,4,FALSE)=0,"",VLOOKUP(C637,'Data Sheet'!$A$3:$D$26,4,FALSE)),"")</f>
        <v/>
      </c>
      <c r="E637" s="279"/>
      <c r="F637" s="103" t="str">
        <f>IFERROR(IF(VLOOKUP(E637,'Data Sheet'!$C$29:$E$174,3,FALSE)=0,"",VLOOKUP(E637,'Data Sheet'!$C$29:$E$174,3,FALSE)),"")</f>
        <v/>
      </c>
      <c r="G637" s="106" t="str">
        <f t="shared" si="307"/>
        <v>-</v>
      </c>
      <c r="H637" s="273"/>
      <c r="I637" s="107"/>
      <c r="J637" s="249" t="e">
        <f t="shared" si="308"/>
        <v>#VALUE!</v>
      </c>
      <c r="K637" s="101" t="str">
        <f>IFERROR(INDEX('Data Sheet'!$C$198:$C$275,MATCH(I637,'Data Sheet'!$F$198:$F$275,0)),"")</f>
        <v/>
      </c>
      <c r="L637" s="250" t="str">
        <f>IFERROR(INDEX('Data Sheet'!$G$198:$G$275,MATCH(I637,'Data Sheet'!$F$198:$F$275,0)),"")</f>
        <v/>
      </c>
      <c r="M637" s="194"/>
      <c r="N637" s="248"/>
      <c r="O637" s="248"/>
      <c r="P637" s="108" t="str">
        <f>IFERROR(INDEX(Setup!$D$44:$D$70,MATCH(M637,Setup!$K$44:$K$70,0))&amp;"","")</f>
        <v/>
      </c>
      <c r="Q637" s="108" t="str">
        <f>IFERROR(INDEX(Setup!$E$44:$E$70,MATCH(M637,Setup!$K$44:$K$70,0))&amp;"","")</f>
        <v/>
      </c>
      <c r="R637" s="108" t="str">
        <f>IFERROR(INDEX(Setup!$L$44:$L$70,MATCH(M637,Setup!$K$44:$K$70,0))&amp;"","")</f>
        <v/>
      </c>
      <c r="S637" s="108" t="str">
        <f>Setup!$C$30</f>
        <v>USD</v>
      </c>
      <c r="T637" s="109" t="str">
        <f>IFERROR(INDEX('Data Sheet'!$B$198:$B$275,MATCH(I637,'Data Sheet'!$F$198:$F$275,0)),"")</f>
        <v/>
      </c>
      <c r="U637" s="110" t="str">
        <f>IFERROR(INDEX('Data Sheet'!$D$198:$D$275,MATCH(I637,'Data Sheet'!$F$198:$F$275,0)),"")</f>
        <v/>
      </c>
      <c r="V637" s="99"/>
      <c r="W637" s="195" t="str">
        <f>IF(V637=Setup!$C$30,"Grant",IF(V637=Setup!$C$31,"Local",IF(V637=Setup!$C$32,"Other",IF(ISBLANK(V637),"","Other"))))</f>
        <v/>
      </c>
      <c r="X637" s="255"/>
      <c r="Y637" s="259" t="str">
        <f>IF(X637&lt;&gt;"",X637/VLOOKUP($V637,Setup!$C$30:$D$41,2,0),"")</f>
        <v/>
      </c>
      <c r="Z637" s="262"/>
      <c r="AA637" s="256" t="str">
        <f t="shared" si="281"/>
        <v/>
      </c>
      <c r="AB637" s="262"/>
      <c r="AC637" s="258" t="str">
        <f t="shared" si="282"/>
        <v/>
      </c>
      <c r="AD637" s="262"/>
      <c r="AE637" s="258" t="str">
        <f t="shared" si="283"/>
        <v/>
      </c>
      <c r="AF637" s="262"/>
      <c r="AG637" s="256" t="str">
        <f t="shared" si="284"/>
        <v/>
      </c>
      <c r="AH637" s="256" t="str">
        <f t="shared" si="285"/>
        <v/>
      </c>
      <c r="AI637" s="256" t="str">
        <f t="shared" si="286"/>
        <v/>
      </c>
      <c r="AJ637" s="111"/>
      <c r="AK637" s="255"/>
      <c r="AL637" s="259" t="str">
        <f>IF(AK637&lt;&gt;"",AK637/VLOOKUP($V637,Setup!$C$30:$D$41,2,0),"")</f>
        <v/>
      </c>
      <c r="AM637" s="266"/>
      <c r="AN637" s="258" t="str">
        <f t="shared" si="287"/>
        <v/>
      </c>
      <c r="AO637" s="266"/>
      <c r="AP637" s="258" t="str">
        <f t="shared" si="288"/>
        <v/>
      </c>
      <c r="AQ637" s="266"/>
      <c r="AR637" s="258" t="str">
        <f t="shared" si="289"/>
        <v/>
      </c>
      <c r="AS637" s="266"/>
      <c r="AT637" s="256" t="str">
        <f t="shared" si="290"/>
        <v/>
      </c>
      <c r="AU637" s="256" t="str">
        <f t="shared" si="291"/>
        <v/>
      </c>
      <c r="AV637" s="256" t="str">
        <f t="shared" si="292"/>
        <v/>
      </c>
      <c r="AW637" s="267"/>
      <c r="AX637" s="255"/>
      <c r="AY637" s="259" t="str">
        <f>IF(AX637&lt;&gt;"",AX637/VLOOKUP($V637,Setup!$C$30:$D$41,2,0),"")</f>
        <v/>
      </c>
      <c r="AZ637" s="268"/>
      <c r="BA637" s="258" t="str">
        <f t="shared" si="293"/>
        <v/>
      </c>
      <c r="BB637" s="268"/>
      <c r="BC637" s="258" t="str">
        <f t="shared" si="294"/>
        <v/>
      </c>
      <c r="BD637" s="268"/>
      <c r="BE637" s="258" t="str">
        <f t="shared" si="295"/>
        <v/>
      </c>
      <c r="BF637" s="268"/>
      <c r="BG637" s="256" t="str">
        <f t="shared" si="296"/>
        <v/>
      </c>
      <c r="BH637" s="256" t="str">
        <f t="shared" si="297"/>
        <v/>
      </c>
      <c r="BI637" s="256" t="str">
        <f t="shared" si="298"/>
        <v/>
      </c>
      <c r="BJ637" s="267"/>
      <c r="BK637" s="255"/>
      <c r="BL637" s="259" t="str">
        <f>IF(BK637&lt;&gt;"",BK637/VLOOKUP($V637,Setup!$C$30:$D$41,2,0),"")</f>
        <v/>
      </c>
      <c r="BM637" s="268"/>
      <c r="BN637" s="258" t="str">
        <f t="shared" si="299"/>
        <v/>
      </c>
      <c r="BO637" s="268"/>
      <c r="BP637" s="258" t="str">
        <f t="shared" si="300"/>
        <v/>
      </c>
      <c r="BQ637" s="268"/>
      <c r="BR637" s="258" t="str">
        <f t="shared" si="301"/>
        <v/>
      </c>
      <c r="BS637" s="268"/>
      <c r="BT637" s="256" t="str">
        <f t="shared" si="302"/>
        <v/>
      </c>
      <c r="BU637" s="256" t="str">
        <f t="shared" si="303"/>
        <v/>
      </c>
      <c r="BV637" s="256" t="str">
        <f t="shared" si="304"/>
        <v/>
      </c>
      <c r="BW637" s="267"/>
      <c r="BX637" s="256" t="str">
        <f t="shared" si="305"/>
        <v/>
      </c>
      <c r="BY637" s="256" t="str">
        <f t="shared" si="306"/>
        <v/>
      </c>
      <c r="BZ637" s="281"/>
      <c r="CA637" s="282"/>
      <c r="CF637" s="284"/>
      <c r="CG637" s="284"/>
      <c r="CH637" s="284"/>
      <c r="CI637" s="284"/>
      <c r="CL637" s="356" t="str">
        <f>IFERROR(VLOOKUP(C637,'Data Sheet'!$A$3:$B$26,2,FALSE),"")</f>
        <v/>
      </c>
    </row>
    <row r="638" spans="1:90" ht="15.75" x14ac:dyDescent="0.2">
      <c r="A638" s="97"/>
      <c r="B638" s="105" t="str">
        <f t="shared" si="309"/>
        <v>--</v>
      </c>
      <c r="C638" s="276"/>
      <c r="D638" s="101" t="str">
        <f>IFERROR(IF(VLOOKUP(C638,'Data Sheet'!$A$3:$D$26,4,FALSE)=0,"",VLOOKUP(C638,'Data Sheet'!$A$3:$D$26,4,FALSE)),"")</f>
        <v/>
      </c>
      <c r="E638" s="279"/>
      <c r="F638" s="103" t="str">
        <f>IFERROR(IF(VLOOKUP(E638,'Data Sheet'!$C$29:$E$174,3,FALSE)=0,"",VLOOKUP(E638,'Data Sheet'!$C$29:$E$174,3,FALSE)),"")</f>
        <v/>
      </c>
      <c r="G638" s="106" t="str">
        <f t="shared" si="307"/>
        <v>-</v>
      </c>
      <c r="H638" s="273"/>
      <c r="I638" s="107"/>
      <c r="J638" s="249" t="e">
        <f t="shared" si="308"/>
        <v>#VALUE!</v>
      </c>
      <c r="K638" s="101" t="str">
        <f>IFERROR(INDEX('Data Sheet'!$C$198:$C$275,MATCH(I638,'Data Sheet'!$F$198:$F$275,0)),"")</f>
        <v/>
      </c>
      <c r="L638" s="250" t="str">
        <f>IFERROR(INDEX('Data Sheet'!$G$198:$G$275,MATCH(I638,'Data Sheet'!$F$198:$F$275,0)),"")</f>
        <v/>
      </c>
      <c r="M638" s="194"/>
      <c r="N638" s="248"/>
      <c r="O638" s="248"/>
      <c r="P638" s="108" t="str">
        <f>IFERROR(INDEX(Setup!$D$44:$D$70,MATCH(M638,Setup!$K$44:$K$70,0))&amp;"","")</f>
        <v/>
      </c>
      <c r="Q638" s="108" t="str">
        <f>IFERROR(INDEX(Setup!$E$44:$E$70,MATCH(M638,Setup!$K$44:$K$70,0))&amp;"","")</f>
        <v/>
      </c>
      <c r="R638" s="108" t="str">
        <f>IFERROR(INDEX(Setup!$L$44:$L$70,MATCH(M638,Setup!$K$44:$K$70,0))&amp;"","")</f>
        <v/>
      </c>
      <c r="S638" s="108" t="str">
        <f>Setup!$C$30</f>
        <v>USD</v>
      </c>
      <c r="T638" s="109" t="str">
        <f>IFERROR(INDEX('Data Sheet'!$B$198:$B$275,MATCH(I638,'Data Sheet'!$F$198:$F$275,0)),"")</f>
        <v/>
      </c>
      <c r="U638" s="110" t="str">
        <f>IFERROR(INDEX('Data Sheet'!$D$198:$D$275,MATCH(I638,'Data Sheet'!$F$198:$F$275,0)),"")</f>
        <v/>
      </c>
      <c r="V638" s="99"/>
      <c r="W638" s="195" t="str">
        <f>IF(V638=Setup!$C$30,"Grant",IF(V638=Setup!$C$31,"Local",IF(V638=Setup!$C$32,"Other",IF(ISBLANK(V638),"","Other"))))</f>
        <v/>
      </c>
      <c r="X638" s="255"/>
      <c r="Y638" s="259" t="str">
        <f>IF(X638&lt;&gt;"",X638/VLOOKUP($V638,Setup!$C$30:$D$41,2,0),"")</f>
        <v/>
      </c>
      <c r="Z638" s="262"/>
      <c r="AA638" s="256" t="str">
        <f t="shared" si="281"/>
        <v/>
      </c>
      <c r="AB638" s="262"/>
      <c r="AC638" s="258" t="str">
        <f t="shared" si="282"/>
        <v/>
      </c>
      <c r="AD638" s="262"/>
      <c r="AE638" s="258" t="str">
        <f t="shared" si="283"/>
        <v/>
      </c>
      <c r="AF638" s="262"/>
      <c r="AG638" s="256" t="str">
        <f t="shared" si="284"/>
        <v/>
      </c>
      <c r="AH638" s="256" t="str">
        <f t="shared" si="285"/>
        <v/>
      </c>
      <c r="AI638" s="256" t="str">
        <f t="shared" si="286"/>
        <v/>
      </c>
      <c r="AJ638" s="111"/>
      <c r="AK638" s="255"/>
      <c r="AL638" s="259" t="str">
        <f>IF(AK638&lt;&gt;"",AK638/VLOOKUP($V638,Setup!$C$30:$D$41,2,0),"")</f>
        <v/>
      </c>
      <c r="AM638" s="266"/>
      <c r="AN638" s="258" t="str">
        <f t="shared" si="287"/>
        <v/>
      </c>
      <c r="AO638" s="266"/>
      <c r="AP638" s="258" t="str">
        <f t="shared" si="288"/>
        <v/>
      </c>
      <c r="AQ638" s="266"/>
      <c r="AR638" s="258" t="str">
        <f t="shared" si="289"/>
        <v/>
      </c>
      <c r="AS638" s="266"/>
      <c r="AT638" s="256" t="str">
        <f t="shared" si="290"/>
        <v/>
      </c>
      <c r="AU638" s="256" t="str">
        <f t="shared" si="291"/>
        <v/>
      </c>
      <c r="AV638" s="256" t="str">
        <f t="shared" si="292"/>
        <v/>
      </c>
      <c r="AW638" s="267"/>
      <c r="AX638" s="255"/>
      <c r="AY638" s="259" t="str">
        <f>IF(AX638&lt;&gt;"",AX638/VLOOKUP($V638,Setup!$C$30:$D$41,2,0),"")</f>
        <v/>
      </c>
      <c r="AZ638" s="268"/>
      <c r="BA638" s="258" t="str">
        <f t="shared" si="293"/>
        <v/>
      </c>
      <c r="BB638" s="268"/>
      <c r="BC638" s="258" t="str">
        <f t="shared" si="294"/>
        <v/>
      </c>
      <c r="BD638" s="268"/>
      <c r="BE638" s="258" t="str">
        <f t="shared" si="295"/>
        <v/>
      </c>
      <c r="BF638" s="268"/>
      <c r="BG638" s="256" t="str">
        <f t="shared" si="296"/>
        <v/>
      </c>
      <c r="BH638" s="256" t="str">
        <f t="shared" si="297"/>
        <v/>
      </c>
      <c r="BI638" s="256" t="str">
        <f t="shared" si="298"/>
        <v/>
      </c>
      <c r="BJ638" s="267"/>
      <c r="BK638" s="255"/>
      <c r="BL638" s="259" t="str">
        <f>IF(BK638&lt;&gt;"",BK638/VLOOKUP($V638,Setup!$C$30:$D$41,2,0),"")</f>
        <v/>
      </c>
      <c r="BM638" s="268"/>
      <c r="BN638" s="258" t="str">
        <f t="shared" si="299"/>
        <v/>
      </c>
      <c r="BO638" s="268"/>
      <c r="BP638" s="258" t="str">
        <f t="shared" si="300"/>
        <v/>
      </c>
      <c r="BQ638" s="268"/>
      <c r="BR638" s="258" t="str">
        <f t="shared" si="301"/>
        <v/>
      </c>
      <c r="BS638" s="268"/>
      <c r="BT638" s="256" t="str">
        <f t="shared" si="302"/>
        <v/>
      </c>
      <c r="BU638" s="256" t="str">
        <f t="shared" si="303"/>
        <v/>
      </c>
      <c r="BV638" s="256" t="str">
        <f t="shared" si="304"/>
        <v/>
      </c>
      <c r="BW638" s="267"/>
      <c r="BX638" s="256" t="str">
        <f t="shared" si="305"/>
        <v/>
      </c>
      <c r="BY638" s="256" t="str">
        <f t="shared" si="306"/>
        <v/>
      </c>
      <c r="BZ638" s="281"/>
      <c r="CA638" s="282"/>
      <c r="CF638" s="284"/>
      <c r="CG638" s="284"/>
      <c r="CH638" s="284"/>
      <c r="CI638" s="284"/>
      <c r="CL638" s="356" t="str">
        <f>IFERROR(VLOOKUP(C638,'Data Sheet'!$A$3:$B$26,2,FALSE),"")</f>
        <v/>
      </c>
    </row>
    <row r="639" spans="1:90" ht="15.75" x14ac:dyDescent="0.2">
      <c r="A639" s="97"/>
      <c r="B639" s="105" t="str">
        <f t="shared" si="309"/>
        <v>--</v>
      </c>
      <c r="C639" s="276"/>
      <c r="D639" s="101" t="str">
        <f>IFERROR(IF(VLOOKUP(C639,'Data Sheet'!$A$3:$D$26,4,FALSE)=0,"",VLOOKUP(C639,'Data Sheet'!$A$3:$D$26,4,FALSE)),"")</f>
        <v/>
      </c>
      <c r="E639" s="279"/>
      <c r="F639" s="103" t="str">
        <f>IFERROR(IF(VLOOKUP(E639,'Data Sheet'!$C$29:$E$174,3,FALSE)=0,"",VLOOKUP(E639,'Data Sheet'!$C$29:$E$174,3,FALSE)),"")</f>
        <v/>
      </c>
      <c r="G639" s="106" t="str">
        <f t="shared" si="307"/>
        <v>-</v>
      </c>
      <c r="H639" s="273"/>
      <c r="I639" s="107"/>
      <c r="J639" s="249" t="e">
        <f t="shared" si="308"/>
        <v>#VALUE!</v>
      </c>
      <c r="K639" s="101" t="str">
        <f>IFERROR(INDEX('Data Sheet'!$C$198:$C$275,MATCH(I639,'Data Sheet'!$F$198:$F$275,0)),"")</f>
        <v/>
      </c>
      <c r="L639" s="250" t="str">
        <f>IFERROR(INDEX('Data Sheet'!$G$198:$G$275,MATCH(I639,'Data Sheet'!$F$198:$F$275,0)),"")</f>
        <v/>
      </c>
      <c r="M639" s="194"/>
      <c r="N639" s="248"/>
      <c r="O639" s="248"/>
      <c r="P639" s="108" t="str">
        <f>IFERROR(INDEX(Setup!$D$44:$D$70,MATCH(M639,Setup!$K$44:$K$70,0))&amp;"","")</f>
        <v/>
      </c>
      <c r="Q639" s="108" t="str">
        <f>IFERROR(INDEX(Setup!$E$44:$E$70,MATCH(M639,Setup!$K$44:$K$70,0))&amp;"","")</f>
        <v/>
      </c>
      <c r="R639" s="108" t="str">
        <f>IFERROR(INDEX(Setup!$L$44:$L$70,MATCH(M639,Setup!$K$44:$K$70,0))&amp;"","")</f>
        <v/>
      </c>
      <c r="S639" s="108" t="str">
        <f>Setup!$C$30</f>
        <v>USD</v>
      </c>
      <c r="T639" s="109" t="str">
        <f>IFERROR(INDEX('Data Sheet'!$B$198:$B$275,MATCH(I639,'Data Sheet'!$F$198:$F$275,0)),"")</f>
        <v/>
      </c>
      <c r="U639" s="110" t="str">
        <f>IFERROR(INDEX('Data Sheet'!$D$198:$D$275,MATCH(I639,'Data Sheet'!$F$198:$F$275,0)),"")</f>
        <v/>
      </c>
      <c r="V639" s="99"/>
      <c r="W639" s="195" t="str">
        <f>IF(V639=Setup!$C$30,"Grant",IF(V639=Setup!$C$31,"Local",IF(V639=Setup!$C$32,"Other",IF(ISBLANK(V639),"","Other"))))</f>
        <v/>
      </c>
      <c r="X639" s="255"/>
      <c r="Y639" s="259" t="str">
        <f>IF(X639&lt;&gt;"",X639/VLOOKUP($V639,Setup!$C$30:$D$41,2,0),"")</f>
        <v/>
      </c>
      <c r="Z639" s="262"/>
      <c r="AA639" s="256" t="str">
        <f t="shared" si="281"/>
        <v/>
      </c>
      <c r="AB639" s="262"/>
      <c r="AC639" s="258" t="str">
        <f t="shared" si="282"/>
        <v/>
      </c>
      <c r="AD639" s="262"/>
      <c r="AE639" s="258" t="str">
        <f t="shared" si="283"/>
        <v/>
      </c>
      <c r="AF639" s="262"/>
      <c r="AG639" s="256" t="str">
        <f t="shared" si="284"/>
        <v/>
      </c>
      <c r="AH639" s="256" t="str">
        <f t="shared" si="285"/>
        <v/>
      </c>
      <c r="AI639" s="256" t="str">
        <f t="shared" si="286"/>
        <v/>
      </c>
      <c r="AJ639" s="111"/>
      <c r="AK639" s="255"/>
      <c r="AL639" s="259" t="str">
        <f>IF(AK639&lt;&gt;"",AK639/VLOOKUP($V639,Setup!$C$30:$D$41,2,0),"")</f>
        <v/>
      </c>
      <c r="AM639" s="266"/>
      <c r="AN639" s="258" t="str">
        <f t="shared" si="287"/>
        <v/>
      </c>
      <c r="AO639" s="266"/>
      <c r="AP639" s="258" t="str">
        <f t="shared" si="288"/>
        <v/>
      </c>
      <c r="AQ639" s="266"/>
      <c r="AR639" s="258" t="str">
        <f t="shared" si="289"/>
        <v/>
      </c>
      <c r="AS639" s="266"/>
      <c r="AT639" s="256" t="str">
        <f t="shared" si="290"/>
        <v/>
      </c>
      <c r="AU639" s="256" t="str">
        <f t="shared" si="291"/>
        <v/>
      </c>
      <c r="AV639" s="256" t="str">
        <f t="shared" si="292"/>
        <v/>
      </c>
      <c r="AW639" s="267"/>
      <c r="AX639" s="255"/>
      <c r="AY639" s="259" t="str">
        <f>IF(AX639&lt;&gt;"",AX639/VLOOKUP($V639,Setup!$C$30:$D$41,2,0),"")</f>
        <v/>
      </c>
      <c r="AZ639" s="268"/>
      <c r="BA639" s="258" t="str">
        <f t="shared" si="293"/>
        <v/>
      </c>
      <c r="BB639" s="268"/>
      <c r="BC639" s="258" t="str">
        <f t="shared" si="294"/>
        <v/>
      </c>
      <c r="BD639" s="268"/>
      <c r="BE639" s="258" t="str">
        <f t="shared" si="295"/>
        <v/>
      </c>
      <c r="BF639" s="268"/>
      <c r="BG639" s="256" t="str">
        <f t="shared" si="296"/>
        <v/>
      </c>
      <c r="BH639" s="256" t="str">
        <f t="shared" si="297"/>
        <v/>
      </c>
      <c r="BI639" s="256" t="str">
        <f t="shared" si="298"/>
        <v/>
      </c>
      <c r="BJ639" s="267"/>
      <c r="BK639" s="255"/>
      <c r="BL639" s="259" t="str">
        <f>IF(BK639&lt;&gt;"",BK639/VLOOKUP($V639,Setup!$C$30:$D$41,2,0),"")</f>
        <v/>
      </c>
      <c r="BM639" s="268"/>
      <c r="BN639" s="258" t="str">
        <f t="shared" si="299"/>
        <v/>
      </c>
      <c r="BO639" s="268"/>
      <c r="BP639" s="258" t="str">
        <f t="shared" si="300"/>
        <v/>
      </c>
      <c r="BQ639" s="268"/>
      <c r="BR639" s="258" t="str">
        <f t="shared" si="301"/>
        <v/>
      </c>
      <c r="BS639" s="268"/>
      <c r="BT639" s="256" t="str">
        <f t="shared" si="302"/>
        <v/>
      </c>
      <c r="BU639" s="256" t="str">
        <f t="shared" si="303"/>
        <v/>
      </c>
      <c r="BV639" s="256" t="str">
        <f t="shared" si="304"/>
        <v/>
      </c>
      <c r="BW639" s="267"/>
      <c r="BX639" s="256" t="str">
        <f t="shared" si="305"/>
        <v/>
      </c>
      <c r="BY639" s="256" t="str">
        <f t="shared" si="306"/>
        <v/>
      </c>
      <c r="BZ639" s="281"/>
      <c r="CA639" s="282"/>
      <c r="CF639" s="284"/>
      <c r="CG639" s="284"/>
      <c r="CH639" s="284"/>
      <c r="CI639" s="284"/>
      <c r="CL639" s="356" t="str">
        <f>IFERROR(VLOOKUP(C639,'Data Sheet'!$A$3:$B$26,2,FALSE),"")</f>
        <v/>
      </c>
    </row>
    <row r="640" spans="1:90" ht="15.75" x14ac:dyDescent="0.2">
      <c r="A640" s="97"/>
      <c r="B640" s="105" t="str">
        <f t="shared" si="309"/>
        <v>--</v>
      </c>
      <c r="C640" s="276"/>
      <c r="D640" s="101" t="str">
        <f>IFERROR(IF(VLOOKUP(C640,'Data Sheet'!$A$3:$D$26,4,FALSE)=0,"",VLOOKUP(C640,'Data Sheet'!$A$3:$D$26,4,FALSE)),"")</f>
        <v/>
      </c>
      <c r="E640" s="279"/>
      <c r="F640" s="103" t="str">
        <f>IFERROR(IF(VLOOKUP(E640,'Data Sheet'!$C$29:$E$174,3,FALSE)=0,"",VLOOKUP(E640,'Data Sheet'!$C$29:$E$174,3,FALSE)),"")</f>
        <v/>
      </c>
      <c r="G640" s="106" t="str">
        <f t="shared" si="307"/>
        <v>-</v>
      </c>
      <c r="H640" s="273"/>
      <c r="I640" s="107"/>
      <c r="J640" s="249" t="e">
        <f t="shared" si="308"/>
        <v>#VALUE!</v>
      </c>
      <c r="K640" s="101" t="str">
        <f>IFERROR(INDEX('Data Sheet'!$C$198:$C$275,MATCH(I640,'Data Sheet'!$F$198:$F$275,0)),"")</f>
        <v/>
      </c>
      <c r="L640" s="250" t="str">
        <f>IFERROR(INDEX('Data Sheet'!$G$198:$G$275,MATCH(I640,'Data Sheet'!$F$198:$F$275,0)),"")</f>
        <v/>
      </c>
      <c r="M640" s="194"/>
      <c r="N640" s="248"/>
      <c r="O640" s="248"/>
      <c r="P640" s="108" t="str">
        <f>IFERROR(INDEX(Setup!$D$44:$D$70,MATCH(M640,Setup!$K$44:$K$70,0))&amp;"","")</f>
        <v/>
      </c>
      <c r="Q640" s="108" t="str">
        <f>IFERROR(INDEX(Setup!$E$44:$E$70,MATCH(M640,Setup!$K$44:$K$70,0))&amp;"","")</f>
        <v/>
      </c>
      <c r="R640" s="108" t="str">
        <f>IFERROR(INDEX(Setup!$L$44:$L$70,MATCH(M640,Setup!$K$44:$K$70,0))&amp;"","")</f>
        <v/>
      </c>
      <c r="S640" s="108" t="str">
        <f>Setup!$C$30</f>
        <v>USD</v>
      </c>
      <c r="T640" s="109" t="str">
        <f>IFERROR(INDEX('Data Sheet'!$B$198:$B$275,MATCH(I640,'Data Sheet'!$F$198:$F$275,0)),"")</f>
        <v/>
      </c>
      <c r="U640" s="110" t="str">
        <f>IFERROR(INDEX('Data Sheet'!$D$198:$D$275,MATCH(I640,'Data Sheet'!$F$198:$F$275,0)),"")</f>
        <v/>
      </c>
      <c r="V640" s="99"/>
      <c r="W640" s="195" t="str">
        <f>IF(V640=Setup!$C$30,"Grant",IF(V640=Setup!$C$31,"Local",IF(V640=Setup!$C$32,"Other",IF(ISBLANK(V640),"","Other"))))</f>
        <v/>
      </c>
      <c r="X640" s="255"/>
      <c r="Y640" s="259" t="str">
        <f>IF(X640&lt;&gt;"",X640/VLOOKUP($V640,Setup!$C$30:$D$41,2,0),"")</f>
        <v/>
      </c>
      <c r="Z640" s="262"/>
      <c r="AA640" s="256" t="str">
        <f t="shared" si="281"/>
        <v/>
      </c>
      <c r="AB640" s="262"/>
      <c r="AC640" s="258" t="str">
        <f t="shared" si="282"/>
        <v/>
      </c>
      <c r="AD640" s="262"/>
      <c r="AE640" s="258" t="str">
        <f t="shared" si="283"/>
        <v/>
      </c>
      <c r="AF640" s="262"/>
      <c r="AG640" s="256" t="str">
        <f t="shared" si="284"/>
        <v/>
      </c>
      <c r="AH640" s="256" t="str">
        <f t="shared" si="285"/>
        <v/>
      </c>
      <c r="AI640" s="256" t="str">
        <f t="shared" si="286"/>
        <v/>
      </c>
      <c r="AJ640" s="111"/>
      <c r="AK640" s="255"/>
      <c r="AL640" s="259" t="str">
        <f>IF(AK640&lt;&gt;"",AK640/VLOOKUP($V640,Setup!$C$30:$D$41,2,0),"")</f>
        <v/>
      </c>
      <c r="AM640" s="266"/>
      <c r="AN640" s="258" t="str">
        <f t="shared" si="287"/>
        <v/>
      </c>
      <c r="AO640" s="266"/>
      <c r="AP640" s="258" t="str">
        <f t="shared" si="288"/>
        <v/>
      </c>
      <c r="AQ640" s="266"/>
      <c r="AR640" s="258" t="str">
        <f t="shared" si="289"/>
        <v/>
      </c>
      <c r="AS640" s="266"/>
      <c r="AT640" s="256" t="str">
        <f t="shared" si="290"/>
        <v/>
      </c>
      <c r="AU640" s="256" t="str">
        <f t="shared" si="291"/>
        <v/>
      </c>
      <c r="AV640" s="256" t="str">
        <f t="shared" si="292"/>
        <v/>
      </c>
      <c r="AW640" s="267"/>
      <c r="AX640" s="255"/>
      <c r="AY640" s="259" t="str">
        <f>IF(AX640&lt;&gt;"",AX640/VLOOKUP($V640,Setup!$C$30:$D$41,2,0),"")</f>
        <v/>
      </c>
      <c r="AZ640" s="268"/>
      <c r="BA640" s="258" t="str">
        <f t="shared" si="293"/>
        <v/>
      </c>
      <c r="BB640" s="268"/>
      <c r="BC640" s="258" t="str">
        <f t="shared" si="294"/>
        <v/>
      </c>
      <c r="BD640" s="268"/>
      <c r="BE640" s="258" t="str">
        <f t="shared" si="295"/>
        <v/>
      </c>
      <c r="BF640" s="268"/>
      <c r="BG640" s="256" t="str">
        <f t="shared" si="296"/>
        <v/>
      </c>
      <c r="BH640" s="256" t="str">
        <f t="shared" si="297"/>
        <v/>
      </c>
      <c r="BI640" s="256" t="str">
        <f t="shared" si="298"/>
        <v/>
      </c>
      <c r="BJ640" s="267"/>
      <c r="BK640" s="255"/>
      <c r="BL640" s="259" t="str">
        <f>IF(BK640&lt;&gt;"",BK640/VLOOKUP($V640,Setup!$C$30:$D$41,2,0),"")</f>
        <v/>
      </c>
      <c r="BM640" s="268"/>
      <c r="BN640" s="258" t="str">
        <f t="shared" si="299"/>
        <v/>
      </c>
      <c r="BO640" s="268"/>
      <c r="BP640" s="258" t="str">
        <f t="shared" si="300"/>
        <v/>
      </c>
      <c r="BQ640" s="268"/>
      <c r="BR640" s="258" t="str">
        <f t="shared" si="301"/>
        <v/>
      </c>
      <c r="BS640" s="268"/>
      <c r="BT640" s="256" t="str">
        <f t="shared" si="302"/>
        <v/>
      </c>
      <c r="BU640" s="256" t="str">
        <f t="shared" si="303"/>
        <v/>
      </c>
      <c r="BV640" s="256" t="str">
        <f t="shared" si="304"/>
        <v/>
      </c>
      <c r="BW640" s="267"/>
      <c r="BX640" s="256" t="str">
        <f t="shared" si="305"/>
        <v/>
      </c>
      <c r="BY640" s="256" t="str">
        <f t="shared" si="306"/>
        <v/>
      </c>
      <c r="BZ640" s="281"/>
      <c r="CA640" s="282"/>
      <c r="CF640" s="284"/>
      <c r="CG640" s="284"/>
      <c r="CH640" s="284"/>
      <c r="CI640" s="284"/>
      <c r="CL640" s="356" t="str">
        <f>IFERROR(VLOOKUP(C640,'Data Sheet'!$A$3:$B$26,2,FALSE),"")</f>
        <v/>
      </c>
    </row>
    <row r="641" spans="1:90" ht="15.75" x14ac:dyDescent="0.2">
      <c r="A641" s="97"/>
      <c r="B641" s="105" t="str">
        <f t="shared" si="309"/>
        <v>--</v>
      </c>
      <c r="C641" s="276"/>
      <c r="D641" s="101" t="str">
        <f>IFERROR(IF(VLOOKUP(C641,'Data Sheet'!$A$3:$D$26,4,FALSE)=0,"",VLOOKUP(C641,'Data Sheet'!$A$3:$D$26,4,FALSE)),"")</f>
        <v/>
      </c>
      <c r="E641" s="279"/>
      <c r="F641" s="103" t="str">
        <f>IFERROR(IF(VLOOKUP(E641,'Data Sheet'!$C$29:$E$174,3,FALSE)=0,"",VLOOKUP(E641,'Data Sheet'!$C$29:$E$174,3,FALSE)),"")</f>
        <v/>
      </c>
      <c r="G641" s="106" t="str">
        <f t="shared" si="307"/>
        <v>-</v>
      </c>
      <c r="H641" s="273"/>
      <c r="I641" s="107"/>
      <c r="J641" s="249" t="e">
        <f t="shared" si="308"/>
        <v>#VALUE!</v>
      </c>
      <c r="K641" s="101" t="str">
        <f>IFERROR(INDEX('Data Sheet'!$C$198:$C$275,MATCH(I641,'Data Sheet'!$F$198:$F$275,0)),"")</f>
        <v/>
      </c>
      <c r="L641" s="250" t="str">
        <f>IFERROR(INDEX('Data Sheet'!$G$198:$G$275,MATCH(I641,'Data Sheet'!$F$198:$F$275,0)),"")</f>
        <v/>
      </c>
      <c r="M641" s="194"/>
      <c r="N641" s="248"/>
      <c r="O641" s="248"/>
      <c r="P641" s="108" t="str">
        <f>IFERROR(INDEX(Setup!$D$44:$D$70,MATCH(M641,Setup!$K$44:$K$70,0))&amp;"","")</f>
        <v/>
      </c>
      <c r="Q641" s="108" t="str">
        <f>IFERROR(INDEX(Setup!$E$44:$E$70,MATCH(M641,Setup!$K$44:$K$70,0))&amp;"","")</f>
        <v/>
      </c>
      <c r="R641" s="108" t="str">
        <f>IFERROR(INDEX(Setup!$L$44:$L$70,MATCH(M641,Setup!$K$44:$K$70,0))&amp;"","")</f>
        <v/>
      </c>
      <c r="S641" s="108" t="str">
        <f>Setup!$C$30</f>
        <v>USD</v>
      </c>
      <c r="T641" s="109" t="str">
        <f>IFERROR(INDEX('Data Sheet'!$B$198:$B$275,MATCH(I641,'Data Sheet'!$F$198:$F$275,0)),"")</f>
        <v/>
      </c>
      <c r="U641" s="110" t="str">
        <f>IFERROR(INDEX('Data Sheet'!$D$198:$D$275,MATCH(I641,'Data Sheet'!$F$198:$F$275,0)),"")</f>
        <v/>
      </c>
      <c r="V641" s="99"/>
      <c r="W641" s="195" t="str">
        <f>IF(V641=Setup!$C$30,"Grant",IF(V641=Setup!$C$31,"Local",IF(V641=Setup!$C$32,"Other",IF(ISBLANK(V641),"","Other"))))</f>
        <v/>
      </c>
      <c r="X641" s="255"/>
      <c r="Y641" s="259" t="str">
        <f>IF(X641&lt;&gt;"",X641/VLOOKUP($V641,Setup!$C$30:$D$41,2,0),"")</f>
        <v/>
      </c>
      <c r="Z641" s="262"/>
      <c r="AA641" s="256" t="str">
        <f t="shared" si="281"/>
        <v/>
      </c>
      <c r="AB641" s="262"/>
      <c r="AC641" s="258" t="str">
        <f t="shared" si="282"/>
        <v/>
      </c>
      <c r="AD641" s="262"/>
      <c r="AE641" s="258" t="str">
        <f t="shared" si="283"/>
        <v/>
      </c>
      <c r="AF641" s="262"/>
      <c r="AG641" s="256" t="str">
        <f t="shared" si="284"/>
        <v/>
      </c>
      <c r="AH641" s="256" t="str">
        <f t="shared" si="285"/>
        <v/>
      </c>
      <c r="AI641" s="256" t="str">
        <f t="shared" si="286"/>
        <v/>
      </c>
      <c r="AJ641" s="111"/>
      <c r="AK641" s="255"/>
      <c r="AL641" s="259" t="str">
        <f>IF(AK641&lt;&gt;"",AK641/VLOOKUP($V641,Setup!$C$30:$D$41,2,0),"")</f>
        <v/>
      </c>
      <c r="AM641" s="266"/>
      <c r="AN641" s="258" t="str">
        <f t="shared" si="287"/>
        <v/>
      </c>
      <c r="AO641" s="266"/>
      <c r="AP641" s="258" t="str">
        <f t="shared" si="288"/>
        <v/>
      </c>
      <c r="AQ641" s="266"/>
      <c r="AR641" s="258" t="str">
        <f t="shared" si="289"/>
        <v/>
      </c>
      <c r="AS641" s="266"/>
      <c r="AT641" s="256" t="str">
        <f t="shared" si="290"/>
        <v/>
      </c>
      <c r="AU641" s="256" t="str">
        <f t="shared" si="291"/>
        <v/>
      </c>
      <c r="AV641" s="256" t="str">
        <f t="shared" si="292"/>
        <v/>
      </c>
      <c r="AW641" s="267"/>
      <c r="AX641" s="255"/>
      <c r="AY641" s="259" t="str">
        <f>IF(AX641&lt;&gt;"",AX641/VLOOKUP($V641,Setup!$C$30:$D$41,2,0),"")</f>
        <v/>
      </c>
      <c r="AZ641" s="268"/>
      <c r="BA641" s="258" t="str">
        <f t="shared" si="293"/>
        <v/>
      </c>
      <c r="BB641" s="268"/>
      <c r="BC641" s="258" t="str">
        <f t="shared" si="294"/>
        <v/>
      </c>
      <c r="BD641" s="268"/>
      <c r="BE641" s="258" t="str">
        <f t="shared" si="295"/>
        <v/>
      </c>
      <c r="BF641" s="268"/>
      <c r="BG641" s="256" t="str">
        <f t="shared" si="296"/>
        <v/>
      </c>
      <c r="BH641" s="256" t="str">
        <f t="shared" si="297"/>
        <v/>
      </c>
      <c r="BI641" s="256" t="str">
        <f t="shared" si="298"/>
        <v/>
      </c>
      <c r="BJ641" s="267"/>
      <c r="BK641" s="255"/>
      <c r="BL641" s="259" t="str">
        <f>IF(BK641&lt;&gt;"",BK641/VLOOKUP($V641,Setup!$C$30:$D$41,2,0),"")</f>
        <v/>
      </c>
      <c r="BM641" s="268"/>
      <c r="BN641" s="258" t="str">
        <f t="shared" si="299"/>
        <v/>
      </c>
      <c r="BO641" s="268"/>
      <c r="BP641" s="258" t="str">
        <f t="shared" si="300"/>
        <v/>
      </c>
      <c r="BQ641" s="268"/>
      <c r="BR641" s="258" t="str">
        <f t="shared" si="301"/>
        <v/>
      </c>
      <c r="BS641" s="268"/>
      <c r="BT641" s="256" t="str">
        <f t="shared" si="302"/>
        <v/>
      </c>
      <c r="BU641" s="256" t="str">
        <f t="shared" si="303"/>
        <v/>
      </c>
      <c r="BV641" s="256" t="str">
        <f t="shared" si="304"/>
        <v/>
      </c>
      <c r="BW641" s="267"/>
      <c r="BX641" s="256" t="str">
        <f t="shared" si="305"/>
        <v/>
      </c>
      <c r="BY641" s="256" t="str">
        <f t="shared" si="306"/>
        <v/>
      </c>
      <c r="BZ641" s="281"/>
      <c r="CA641" s="282"/>
      <c r="CF641" s="284"/>
      <c r="CG641" s="284"/>
      <c r="CH641" s="284"/>
      <c r="CI641" s="284"/>
      <c r="CL641" s="356" t="str">
        <f>IFERROR(VLOOKUP(C641,'Data Sheet'!$A$3:$B$26,2,FALSE),"")</f>
        <v/>
      </c>
    </row>
    <row r="642" spans="1:90" ht="15.75" x14ac:dyDescent="0.2">
      <c r="A642" s="97"/>
      <c r="B642" s="105" t="str">
        <f t="shared" si="309"/>
        <v>--</v>
      </c>
      <c r="C642" s="276"/>
      <c r="D642" s="101" t="str">
        <f>IFERROR(IF(VLOOKUP(C642,'Data Sheet'!$A$3:$D$26,4,FALSE)=0,"",VLOOKUP(C642,'Data Sheet'!$A$3:$D$26,4,FALSE)),"")</f>
        <v/>
      </c>
      <c r="E642" s="279"/>
      <c r="F642" s="103" t="str">
        <f>IFERROR(IF(VLOOKUP(E642,'Data Sheet'!$C$29:$E$174,3,FALSE)=0,"",VLOOKUP(E642,'Data Sheet'!$C$29:$E$174,3,FALSE)),"")</f>
        <v/>
      </c>
      <c r="G642" s="106" t="str">
        <f t="shared" si="307"/>
        <v>-</v>
      </c>
      <c r="H642" s="273"/>
      <c r="I642" s="107"/>
      <c r="J642" s="249" t="e">
        <f t="shared" si="308"/>
        <v>#VALUE!</v>
      </c>
      <c r="K642" s="101" t="str">
        <f>IFERROR(INDEX('Data Sheet'!$C$198:$C$275,MATCH(I642,'Data Sheet'!$F$198:$F$275,0)),"")</f>
        <v/>
      </c>
      <c r="L642" s="250" t="str">
        <f>IFERROR(INDEX('Data Sheet'!$G$198:$G$275,MATCH(I642,'Data Sheet'!$F$198:$F$275,0)),"")</f>
        <v/>
      </c>
      <c r="M642" s="194"/>
      <c r="N642" s="248"/>
      <c r="O642" s="248"/>
      <c r="P642" s="108" t="str">
        <f>IFERROR(INDEX(Setup!$D$44:$D$70,MATCH(M642,Setup!$K$44:$K$70,0))&amp;"","")</f>
        <v/>
      </c>
      <c r="Q642" s="108" t="str">
        <f>IFERROR(INDEX(Setup!$E$44:$E$70,MATCH(M642,Setup!$K$44:$K$70,0))&amp;"","")</f>
        <v/>
      </c>
      <c r="R642" s="108" t="str">
        <f>IFERROR(INDEX(Setup!$L$44:$L$70,MATCH(M642,Setup!$K$44:$K$70,0))&amp;"","")</f>
        <v/>
      </c>
      <c r="S642" s="108" t="str">
        <f>Setup!$C$30</f>
        <v>USD</v>
      </c>
      <c r="T642" s="109" t="str">
        <f>IFERROR(INDEX('Data Sheet'!$B$198:$B$275,MATCH(I642,'Data Sheet'!$F$198:$F$275,0)),"")</f>
        <v/>
      </c>
      <c r="U642" s="110" t="str">
        <f>IFERROR(INDEX('Data Sheet'!$D$198:$D$275,MATCH(I642,'Data Sheet'!$F$198:$F$275,0)),"")</f>
        <v/>
      </c>
      <c r="V642" s="99"/>
      <c r="W642" s="195" t="str">
        <f>IF(V642=Setup!$C$30,"Grant",IF(V642=Setup!$C$31,"Local",IF(V642=Setup!$C$32,"Other",IF(ISBLANK(V642),"","Other"))))</f>
        <v/>
      </c>
      <c r="X642" s="255"/>
      <c r="Y642" s="259" t="str">
        <f>IF(X642&lt;&gt;"",X642/VLOOKUP($V642,Setup!$C$30:$D$41,2,0),"")</f>
        <v/>
      </c>
      <c r="Z642" s="262"/>
      <c r="AA642" s="256" t="str">
        <f t="shared" si="281"/>
        <v/>
      </c>
      <c r="AB642" s="262"/>
      <c r="AC642" s="258" t="str">
        <f t="shared" si="282"/>
        <v/>
      </c>
      <c r="AD642" s="262"/>
      <c r="AE642" s="258" t="str">
        <f t="shared" si="283"/>
        <v/>
      </c>
      <c r="AF642" s="262"/>
      <c r="AG642" s="256" t="str">
        <f t="shared" si="284"/>
        <v/>
      </c>
      <c r="AH642" s="256" t="str">
        <f t="shared" si="285"/>
        <v/>
      </c>
      <c r="AI642" s="256" t="str">
        <f t="shared" si="286"/>
        <v/>
      </c>
      <c r="AJ642" s="111"/>
      <c r="AK642" s="255"/>
      <c r="AL642" s="259" t="str">
        <f>IF(AK642&lt;&gt;"",AK642/VLOOKUP($V642,Setup!$C$30:$D$41,2,0),"")</f>
        <v/>
      </c>
      <c r="AM642" s="266"/>
      <c r="AN642" s="258" t="str">
        <f t="shared" si="287"/>
        <v/>
      </c>
      <c r="AO642" s="266"/>
      <c r="AP642" s="258" t="str">
        <f t="shared" si="288"/>
        <v/>
      </c>
      <c r="AQ642" s="266"/>
      <c r="AR642" s="258" t="str">
        <f t="shared" si="289"/>
        <v/>
      </c>
      <c r="AS642" s="266"/>
      <c r="AT642" s="256" t="str">
        <f t="shared" si="290"/>
        <v/>
      </c>
      <c r="AU642" s="256" t="str">
        <f t="shared" si="291"/>
        <v/>
      </c>
      <c r="AV642" s="256" t="str">
        <f t="shared" si="292"/>
        <v/>
      </c>
      <c r="AW642" s="267"/>
      <c r="AX642" s="255"/>
      <c r="AY642" s="259" t="str">
        <f>IF(AX642&lt;&gt;"",AX642/VLOOKUP($V642,Setup!$C$30:$D$41,2,0),"")</f>
        <v/>
      </c>
      <c r="AZ642" s="268"/>
      <c r="BA642" s="258" t="str">
        <f t="shared" si="293"/>
        <v/>
      </c>
      <c r="BB642" s="268"/>
      <c r="BC642" s="258" t="str">
        <f t="shared" si="294"/>
        <v/>
      </c>
      <c r="BD642" s="268"/>
      <c r="BE642" s="258" t="str">
        <f t="shared" si="295"/>
        <v/>
      </c>
      <c r="BF642" s="268"/>
      <c r="BG642" s="256" t="str">
        <f t="shared" si="296"/>
        <v/>
      </c>
      <c r="BH642" s="256" t="str">
        <f t="shared" si="297"/>
        <v/>
      </c>
      <c r="BI642" s="256" t="str">
        <f t="shared" si="298"/>
        <v/>
      </c>
      <c r="BJ642" s="267"/>
      <c r="BK642" s="255"/>
      <c r="BL642" s="259" t="str">
        <f>IF(BK642&lt;&gt;"",BK642/VLOOKUP($V642,Setup!$C$30:$D$41,2,0),"")</f>
        <v/>
      </c>
      <c r="BM642" s="268"/>
      <c r="BN642" s="258" t="str">
        <f t="shared" si="299"/>
        <v/>
      </c>
      <c r="BO642" s="268"/>
      <c r="BP642" s="258" t="str">
        <f t="shared" si="300"/>
        <v/>
      </c>
      <c r="BQ642" s="268"/>
      <c r="BR642" s="258" t="str">
        <f t="shared" si="301"/>
        <v/>
      </c>
      <c r="BS642" s="268"/>
      <c r="BT642" s="256" t="str">
        <f t="shared" si="302"/>
        <v/>
      </c>
      <c r="BU642" s="256" t="str">
        <f t="shared" si="303"/>
        <v/>
      </c>
      <c r="BV642" s="256" t="str">
        <f t="shared" si="304"/>
        <v/>
      </c>
      <c r="BW642" s="267"/>
      <c r="BX642" s="256" t="str">
        <f t="shared" si="305"/>
        <v/>
      </c>
      <c r="BY642" s="256" t="str">
        <f t="shared" si="306"/>
        <v/>
      </c>
      <c r="BZ642" s="281"/>
      <c r="CA642" s="282"/>
      <c r="CF642" s="284"/>
      <c r="CG642" s="284"/>
      <c r="CH642" s="284"/>
      <c r="CI642" s="284"/>
      <c r="CL642" s="356" t="str">
        <f>IFERROR(VLOOKUP(C642,'Data Sheet'!$A$3:$B$26,2,FALSE),"")</f>
        <v/>
      </c>
    </row>
    <row r="643" spans="1:90" ht="15.75" x14ac:dyDescent="0.2">
      <c r="A643" s="97"/>
      <c r="B643" s="105" t="str">
        <f t="shared" si="309"/>
        <v>--</v>
      </c>
      <c r="C643" s="276"/>
      <c r="D643" s="101" t="str">
        <f>IFERROR(IF(VLOOKUP(C643,'Data Sheet'!$A$3:$D$26,4,FALSE)=0,"",VLOOKUP(C643,'Data Sheet'!$A$3:$D$26,4,FALSE)),"")</f>
        <v/>
      </c>
      <c r="E643" s="279"/>
      <c r="F643" s="103" t="str">
        <f>IFERROR(IF(VLOOKUP(E643,'Data Sheet'!$C$29:$E$174,3,FALSE)=0,"",VLOOKUP(E643,'Data Sheet'!$C$29:$E$174,3,FALSE)),"")</f>
        <v/>
      </c>
      <c r="G643" s="106" t="str">
        <f t="shared" si="307"/>
        <v>-</v>
      </c>
      <c r="H643" s="273"/>
      <c r="I643" s="107"/>
      <c r="J643" s="249" t="e">
        <f t="shared" si="308"/>
        <v>#VALUE!</v>
      </c>
      <c r="K643" s="101" t="str">
        <f>IFERROR(INDEX('Data Sheet'!$C$198:$C$275,MATCH(I643,'Data Sheet'!$F$198:$F$275,0)),"")</f>
        <v/>
      </c>
      <c r="L643" s="250" t="str">
        <f>IFERROR(INDEX('Data Sheet'!$G$198:$G$275,MATCH(I643,'Data Sheet'!$F$198:$F$275,0)),"")</f>
        <v/>
      </c>
      <c r="M643" s="194"/>
      <c r="N643" s="248"/>
      <c r="O643" s="248"/>
      <c r="P643" s="108" t="str">
        <f>IFERROR(INDEX(Setup!$D$44:$D$70,MATCH(M643,Setup!$K$44:$K$70,0))&amp;"","")</f>
        <v/>
      </c>
      <c r="Q643" s="108" t="str">
        <f>IFERROR(INDEX(Setup!$E$44:$E$70,MATCH(M643,Setup!$K$44:$K$70,0))&amp;"","")</f>
        <v/>
      </c>
      <c r="R643" s="108" t="str">
        <f>IFERROR(INDEX(Setup!$L$44:$L$70,MATCH(M643,Setup!$K$44:$K$70,0))&amp;"","")</f>
        <v/>
      </c>
      <c r="S643" s="108" t="str">
        <f>Setup!$C$30</f>
        <v>USD</v>
      </c>
      <c r="T643" s="109" t="str">
        <f>IFERROR(INDEX('Data Sheet'!$B$198:$B$275,MATCH(I643,'Data Sheet'!$F$198:$F$275,0)),"")</f>
        <v/>
      </c>
      <c r="U643" s="110" t="str">
        <f>IFERROR(INDEX('Data Sheet'!$D$198:$D$275,MATCH(I643,'Data Sheet'!$F$198:$F$275,0)),"")</f>
        <v/>
      </c>
      <c r="V643" s="99"/>
      <c r="W643" s="195" t="str">
        <f>IF(V643=Setup!$C$30,"Grant",IF(V643=Setup!$C$31,"Local",IF(V643=Setup!$C$32,"Other",IF(ISBLANK(V643),"","Other"))))</f>
        <v/>
      </c>
      <c r="X643" s="255"/>
      <c r="Y643" s="259" t="str">
        <f>IF(X643&lt;&gt;"",X643/VLOOKUP($V643,Setup!$C$30:$D$41,2,0),"")</f>
        <v/>
      </c>
      <c r="Z643" s="262"/>
      <c r="AA643" s="256" t="str">
        <f t="shared" si="281"/>
        <v/>
      </c>
      <c r="AB643" s="262"/>
      <c r="AC643" s="258" t="str">
        <f t="shared" si="282"/>
        <v/>
      </c>
      <c r="AD643" s="262"/>
      <c r="AE643" s="258" t="str">
        <f t="shared" si="283"/>
        <v/>
      </c>
      <c r="AF643" s="262"/>
      <c r="AG643" s="256" t="str">
        <f t="shared" si="284"/>
        <v/>
      </c>
      <c r="AH643" s="256" t="str">
        <f t="shared" si="285"/>
        <v/>
      </c>
      <c r="AI643" s="256" t="str">
        <f t="shared" si="286"/>
        <v/>
      </c>
      <c r="AJ643" s="111"/>
      <c r="AK643" s="255"/>
      <c r="AL643" s="259" t="str">
        <f>IF(AK643&lt;&gt;"",AK643/VLOOKUP($V643,Setup!$C$30:$D$41,2,0),"")</f>
        <v/>
      </c>
      <c r="AM643" s="266"/>
      <c r="AN643" s="258" t="str">
        <f t="shared" si="287"/>
        <v/>
      </c>
      <c r="AO643" s="266"/>
      <c r="AP643" s="258" t="str">
        <f t="shared" si="288"/>
        <v/>
      </c>
      <c r="AQ643" s="266"/>
      <c r="AR643" s="258" t="str">
        <f t="shared" si="289"/>
        <v/>
      </c>
      <c r="AS643" s="266"/>
      <c r="AT643" s="256" t="str">
        <f t="shared" si="290"/>
        <v/>
      </c>
      <c r="AU643" s="256" t="str">
        <f t="shared" si="291"/>
        <v/>
      </c>
      <c r="AV643" s="256" t="str">
        <f t="shared" si="292"/>
        <v/>
      </c>
      <c r="AW643" s="267"/>
      <c r="AX643" s="255"/>
      <c r="AY643" s="259" t="str">
        <f>IF(AX643&lt;&gt;"",AX643/VLOOKUP($V643,Setup!$C$30:$D$41,2,0),"")</f>
        <v/>
      </c>
      <c r="AZ643" s="268"/>
      <c r="BA643" s="258" t="str">
        <f t="shared" si="293"/>
        <v/>
      </c>
      <c r="BB643" s="268"/>
      <c r="BC643" s="258" t="str">
        <f t="shared" si="294"/>
        <v/>
      </c>
      <c r="BD643" s="268"/>
      <c r="BE643" s="258" t="str">
        <f t="shared" si="295"/>
        <v/>
      </c>
      <c r="BF643" s="268"/>
      <c r="BG643" s="256" t="str">
        <f t="shared" si="296"/>
        <v/>
      </c>
      <c r="BH643" s="256" t="str">
        <f t="shared" si="297"/>
        <v/>
      </c>
      <c r="BI643" s="256" t="str">
        <f t="shared" si="298"/>
        <v/>
      </c>
      <c r="BJ643" s="267"/>
      <c r="BK643" s="255"/>
      <c r="BL643" s="259" t="str">
        <f>IF(BK643&lt;&gt;"",BK643/VLOOKUP($V643,Setup!$C$30:$D$41,2,0),"")</f>
        <v/>
      </c>
      <c r="BM643" s="268"/>
      <c r="BN643" s="258" t="str">
        <f t="shared" si="299"/>
        <v/>
      </c>
      <c r="BO643" s="268"/>
      <c r="BP643" s="258" t="str">
        <f t="shared" si="300"/>
        <v/>
      </c>
      <c r="BQ643" s="268"/>
      <c r="BR643" s="258" t="str">
        <f t="shared" si="301"/>
        <v/>
      </c>
      <c r="BS643" s="268"/>
      <c r="BT643" s="256" t="str">
        <f t="shared" si="302"/>
        <v/>
      </c>
      <c r="BU643" s="256" t="str">
        <f t="shared" si="303"/>
        <v/>
      </c>
      <c r="BV643" s="256" t="str">
        <f t="shared" si="304"/>
        <v/>
      </c>
      <c r="BW643" s="267"/>
      <c r="BX643" s="256" t="str">
        <f t="shared" si="305"/>
        <v/>
      </c>
      <c r="BY643" s="256" t="str">
        <f t="shared" si="306"/>
        <v/>
      </c>
      <c r="BZ643" s="281"/>
      <c r="CA643" s="282"/>
      <c r="CF643" s="284"/>
      <c r="CG643" s="284"/>
      <c r="CH643" s="284"/>
      <c r="CI643" s="284"/>
      <c r="CL643" s="356" t="str">
        <f>IFERROR(VLOOKUP(C643,'Data Sheet'!$A$3:$B$26,2,FALSE),"")</f>
        <v/>
      </c>
    </row>
    <row r="644" spans="1:90" ht="15.75" x14ac:dyDescent="0.2">
      <c r="A644" s="97"/>
      <c r="B644" s="105" t="str">
        <f t="shared" si="309"/>
        <v>--</v>
      </c>
      <c r="C644" s="276"/>
      <c r="D644" s="101" t="str">
        <f>IFERROR(IF(VLOOKUP(C644,'Data Sheet'!$A$3:$D$26,4,FALSE)=0,"",VLOOKUP(C644,'Data Sheet'!$A$3:$D$26,4,FALSE)),"")</f>
        <v/>
      </c>
      <c r="E644" s="279"/>
      <c r="F644" s="103" t="str">
        <f>IFERROR(IF(VLOOKUP(E644,'Data Sheet'!$C$29:$E$174,3,FALSE)=0,"",VLOOKUP(E644,'Data Sheet'!$C$29:$E$174,3,FALSE)),"")</f>
        <v/>
      </c>
      <c r="G644" s="106" t="str">
        <f t="shared" si="307"/>
        <v>-</v>
      </c>
      <c r="H644" s="273"/>
      <c r="I644" s="107"/>
      <c r="J644" s="249" t="e">
        <f t="shared" si="308"/>
        <v>#VALUE!</v>
      </c>
      <c r="K644" s="101" t="str">
        <f>IFERROR(INDEX('Data Sheet'!$C$198:$C$275,MATCH(I644,'Data Sheet'!$F$198:$F$275,0)),"")</f>
        <v/>
      </c>
      <c r="L644" s="250" t="str">
        <f>IFERROR(INDEX('Data Sheet'!$G$198:$G$275,MATCH(I644,'Data Sheet'!$F$198:$F$275,0)),"")</f>
        <v/>
      </c>
      <c r="M644" s="194"/>
      <c r="N644" s="248"/>
      <c r="O644" s="248"/>
      <c r="P644" s="108" t="str">
        <f>IFERROR(INDEX(Setup!$D$44:$D$70,MATCH(M644,Setup!$K$44:$K$70,0))&amp;"","")</f>
        <v/>
      </c>
      <c r="Q644" s="108" t="str">
        <f>IFERROR(INDEX(Setup!$E$44:$E$70,MATCH(M644,Setup!$K$44:$K$70,0))&amp;"","")</f>
        <v/>
      </c>
      <c r="R644" s="108" t="str">
        <f>IFERROR(INDEX(Setup!$L$44:$L$70,MATCH(M644,Setup!$K$44:$K$70,0))&amp;"","")</f>
        <v/>
      </c>
      <c r="S644" s="108" t="str">
        <f>Setup!$C$30</f>
        <v>USD</v>
      </c>
      <c r="T644" s="109" t="str">
        <f>IFERROR(INDEX('Data Sheet'!$B$198:$B$275,MATCH(I644,'Data Sheet'!$F$198:$F$275,0)),"")</f>
        <v/>
      </c>
      <c r="U644" s="110" t="str">
        <f>IFERROR(INDEX('Data Sheet'!$D$198:$D$275,MATCH(I644,'Data Sheet'!$F$198:$F$275,0)),"")</f>
        <v/>
      </c>
      <c r="V644" s="99"/>
      <c r="W644" s="195" t="str">
        <f>IF(V644=Setup!$C$30,"Grant",IF(V644=Setup!$C$31,"Local",IF(V644=Setup!$C$32,"Other",IF(ISBLANK(V644),"","Other"))))</f>
        <v/>
      </c>
      <c r="X644" s="255"/>
      <c r="Y644" s="259" t="str">
        <f>IF(X644&lt;&gt;"",X644/VLOOKUP($V644,Setup!$C$30:$D$41,2,0),"")</f>
        <v/>
      </c>
      <c r="Z644" s="262"/>
      <c r="AA644" s="256" t="str">
        <f t="shared" si="281"/>
        <v/>
      </c>
      <c r="AB644" s="262"/>
      <c r="AC644" s="258" t="str">
        <f t="shared" si="282"/>
        <v/>
      </c>
      <c r="AD644" s="262"/>
      <c r="AE644" s="258" t="str">
        <f t="shared" si="283"/>
        <v/>
      </c>
      <c r="AF644" s="262"/>
      <c r="AG644" s="256" t="str">
        <f t="shared" si="284"/>
        <v/>
      </c>
      <c r="AH644" s="256" t="str">
        <f t="shared" si="285"/>
        <v/>
      </c>
      <c r="AI644" s="256" t="str">
        <f t="shared" si="286"/>
        <v/>
      </c>
      <c r="AJ644" s="111"/>
      <c r="AK644" s="255"/>
      <c r="AL644" s="259" t="str">
        <f>IF(AK644&lt;&gt;"",AK644/VLOOKUP($V644,Setup!$C$30:$D$41,2,0),"")</f>
        <v/>
      </c>
      <c r="AM644" s="266"/>
      <c r="AN644" s="258" t="str">
        <f t="shared" si="287"/>
        <v/>
      </c>
      <c r="AO644" s="266"/>
      <c r="AP644" s="258" t="str">
        <f t="shared" si="288"/>
        <v/>
      </c>
      <c r="AQ644" s="266"/>
      <c r="AR644" s="258" t="str">
        <f t="shared" si="289"/>
        <v/>
      </c>
      <c r="AS644" s="266"/>
      <c r="AT644" s="256" t="str">
        <f t="shared" si="290"/>
        <v/>
      </c>
      <c r="AU644" s="256" t="str">
        <f t="shared" si="291"/>
        <v/>
      </c>
      <c r="AV644" s="256" t="str">
        <f t="shared" si="292"/>
        <v/>
      </c>
      <c r="AW644" s="267"/>
      <c r="AX644" s="255"/>
      <c r="AY644" s="259" t="str">
        <f>IF(AX644&lt;&gt;"",AX644/VLOOKUP($V644,Setup!$C$30:$D$41,2,0),"")</f>
        <v/>
      </c>
      <c r="AZ644" s="268"/>
      <c r="BA644" s="258" t="str">
        <f t="shared" si="293"/>
        <v/>
      </c>
      <c r="BB644" s="268"/>
      <c r="BC644" s="258" t="str">
        <f t="shared" si="294"/>
        <v/>
      </c>
      <c r="BD644" s="268"/>
      <c r="BE644" s="258" t="str">
        <f t="shared" si="295"/>
        <v/>
      </c>
      <c r="BF644" s="268"/>
      <c r="BG644" s="256" t="str">
        <f t="shared" si="296"/>
        <v/>
      </c>
      <c r="BH644" s="256" t="str">
        <f t="shared" si="297"/>
        <v/>
      </c>
      <c r="BI644" s="256" t="str">
        <f t="shared" si="298"/>
        <v/>
      </c>
      <c r="BJ644" s="267"/>
      <c r="BK644" s="255"/>
      <c r="BL644" s="259" t="str">
        <f>IF(BK644&lt;&gt;"",BK644/VLOOKUP($V644,Setup!$C$30:$D$41,2,0),"")</f>
        <v/>
      </c>
      <c r="BM644" s="268"/>
      <c r="BN644" s="258" t="str">
        <f t="shared" si="299"/>
        <v/>
      </c>
      <c r="BO644" s="268"/>
      <c r="BP644" s="258" t="str">
        <f t="shared" si="300"/>
        <v/>
      </c>
      <c r="BQ644" s="268"/>
      <c r="BR644" s="258" t="str">
        <f t="shared" si="301"/>
        <v/>
      </c>
      <c r="BS644" s="268"/>
      <c r="BT644" s="256" t="str">
        <f t="shared" si="302"/>
        <v/>
      </c>
      <c r="BU644" s="256" t="str">
        <f t="shared" si="303"/>
        <v/>
      </c>
      <c r="BV644" s="256" t="str">
        <f t="shared" si="304"/>
        <v/>
      </c>
      <c r="BW644" s="267"/>
      <c r="BX644" s="256" t="str">
        <f t="shared" si="305"/>
        <v/>
      </c>
      <c r="BY644" s="256" t="str">
        <f t="shared" si="306"/>
        <v/>
      </c>
      <c r="BZ644" s="281"/>
      <c r="CA644" s="282"/>
      <c r="CF644" s="284"/>
      <c r="CG644" s="284"/>
      <c r="CH644" s="284"/>
      <c r="CI644" s="284"/>
      <c r="CL644" s="356" t="str">
        <f>IFERROR(VLOOKUP(C644,'Data Sheet'!$A$3:$B$26,2,FALSE),"")</f>
        <v/>
      </c>
    </row>
    <row r="645" spans="1:90" ht="15.75" x14ac:dyDescent="0.2">
      <c r="A645" s="97"/>
      <c r="B645" s="105" t="str">
        <f t="shared" si="309"/>
        <v>--</v>
      </c>
      <c r="C645" s="276"/>
      <c r="D645" s="101" t="str">
        <f>IFERROR(IF(VLOOKUP(C645,'Data Sheet'!$A$3:$D$26,4,FALSE)=0,"",VLOOKUP(C645,'Data Sheet'!$A$3:$D$26,4,FALSE)),"")</f>
        <v/>
      </c>
      <c r="E645" s="279"/>
      <c r="F645" s="103" t="str">
        <f>IFERROR(IF(VLOOKUP(E645,'Data Sheet'!$C$29:$E$174,3,FALSE)=0,"",VLOOKUP(E645,'Data Sheet'!$C$29:$E$174,3,FALSE)),"")</f>
        <v/>
      </c>
      <c r="G645" s="106" t="str">
        <f t="shared" si="307"/>
        <v>-</v>
      </c>
      <c r="H645" s="273"/>
      <c r="I645" s="107"/>
      <c r="J645" s="249" t="e">
        <f t="shared" si="308"/>
        <v>#VALUE!</v>
      </c>
      <c r="K645" s="101" t="str">
        <f>IFERROR(INDEX('Data Sheet'!$C$198:$C$275,MATCH(I645,'Data Sheet'!$F$198:$F$275,0)),"")</f>
        <v/>
      </c>
      <c r="L645" s="250" t="str">
        <f>IFERROR(INDEX('Data Sheet'!$G$198:$G$275,MATCH(I645,'Data Sheet'!$F$198:$F$275,0)),"")</f>
        <v/>
      </c>
      <c r="M645" s="194"/>
      <c r="N645" s="248"/>
      <c r="O645" s="248"/>
      <c r="P645" s="108" t="str">
        <f>IFERROR(INDEX(Setup!$D$44:$D$70,MATCH(M645,Setup!$K$44:$K$70,0))&amp;"","")</f>
        <v/>
      </c>
      <c r="Q645" s="108" t="str">
        <f>IFERROR(INDEX(Setup!$E$44:$E$70,MATCH(M645,Setup!$K$44:$K$70,0))&amp;"","")</f>
        <v/>
      </c>
      <c r="R645" s="108" t="str">
        <f>IFERROR(INDEX(Setup!$L$44:$L$70,MATCH(M645,Setup!$K$44:$K$70,0))&amp;"","")</f>
        <v/>
      </c>
      <c r="S645" s="108" t="str">
        <f>Setup!$C$30</f>
        <v>USD</v>
      </c>
      <c r="T645" s="109" t="str">
        <f>IFERROR(INDEX('Data Sheet'!$B$198:$B$275,MATCH(I645,'Data Sheet'!$F$198:$F$275,0)),"")</f>
        <v/>
      </c>
      <c r="U645" s="110" t="str">
        <f>IFERROR(INDEX('Data Sheet'!$D$198:$D$275,MATCH(I645,'Data Sheet'!$F$198:$F$275,0)),"")</f>
        <v/>
      </c>
      <c r="V645" s="99"/>
      <c r="W645" s="195" t="str">
        <f>IF(V645=Setup!$C$30,"Grant",IF(V645=Setup!$C$31,"Local",IF(V645=Setup!$C$32,"Other",IF(ISBLANK(V645),"","Other"))))</f>
        <v/>
      </c>
      <c r="X645" s="255"/>
      <c r="Y645" s="259" t="str">
        <f>IF(X645&lt;&gt;"",X645/VLOOKUP($V645,Setup!$C$30:$D$41,2,0),"")</f>
        <v/>
      </c>
      <c r="Z645" s="262"/>
      <c r="AA645" s="256" t="str">
        <f t="shared" ref="AA645:AA708" si="310">IFERROR(IF(AND(NOT(Z645=""),NOT(Y645="")),Z645*Y645,""),"")</f>
        <v/>
      </c>
      <c r="AB645" s="262"/>
      <c r="AC645" s="258" t="str">
        <f t="shared" ref="AC645:AC708" si="311">IFERROR(IF(AND(NOT(AB645=""),NOT(Y645="")),AB645*Y645,""),"")</f>
        <v/>
      </c>
      <c r="AD645" s="262"/>
      <c r="AE645" s="258" t="str">
        <f t="shared" ref="AE645:AE708" si="312">IFERROR(IF(AND(NOT(AD645=""),NOT(Y645="")),AD645*Y645,""),"")</f>
        <v/>
      </c>
      <c r="AF645" s="262"/>
      <c r="AG645" s="256" t="str">
        <f t="shared" ref="AG645:AG708" si="313">IFERROR(IF(AND(NOT(AF645=""),NOT(Y645="")),AF645*Y645,""),"")</f>
        <v/>
      </c>
      <c r="AH645" s="256" t="str">
        <f t="shared" ref="AH645:AH708" si="314">IFERROR(IF(OR(NOT(Z645=""),NOT(AF645=""),NOT(AB645=""),NOT(AD645="")),Z645+AF645+AB645+AD645,""),"")</f>
        <v/>
      </c>
      <c r="AI645" s="256" t="str">
        <f t="shared" ref="AI645:AI708" si="315">IF(SUM(AA645,AC645,AE645,AG645)&gt;0,SUM(AA645,AC645,AE645,AG645),"")</f>
        <v/>
      </c>
      <c r="AJ645" s="111"/>
      <c r="AK645" s="255"/>
      <c r="AL645" s="259" t="str">
        <f>IF(AK645&lt;&gt;"",AK645/VLOOKUP($V645,Setup!$C$30:$D$41,2,0),"")</f>
        <v/>
      </c>
      <c r="AM645" s="266"/>
      <c r="AN645" s="258" t="str">
        <f t="shared" ref="AN645:AN708" si="316">IFERROR(IF(AND(NOT(AM645=""),NOT(AL645="")),AM645*$AL645,""),"")</f>
        <v/>
      </c>
      <c r="AO645" s="266"/>
      <c r="AP645" s="258" t="str">
        <f t="shared" ref="AP645:AP708" si="317">IFERROR(IF(AND(NOT(AO645=""),NOT(AL645="")),AO645*$AL645,""),"")</f>
        <v/>
      </c>
      <c r="AQ645" s="266"/>
      <c r="AR645" s="258" t="str">
        <f t="shared" ref="AR645:AR708" si="318">IFERROR(IF(AND(NOT(AQ645=""),NOT(AL645="")),AQ645*$AL645,""),"")</f>
        <v/>
      </c>
      <c r="AS645" s="266"/>
      <c r="AT645" s="256" t="str">
        <f t="shared" ref="AT645:AT708" si="319">IFERROR(IF(AND(NOT(AS645=""),NOT(AL645="")),AS645*$AL645,""),"")</f>
        <v/>
      </c>
      <c r="AU645" s="256" t="str">
        <f t="shared" ref="AU645:AU708" si="320">IFERROR(IF(OR(NOT(AM645=""),NOT(AS645=""),NOT(AO645=""),NOT(AQ645="")),AM645+AS645+AO645+AQ645,""),"")</f>
        <v/>
      </c>
      <c r="AV645" s="256" t="str">
        <f t="shared" ref="AV645:AV708" si="321">IF(SUM(AN645,AT645,AP645,AR645)&gt;0,SUM(AN645,AT645,AP645,AR645),"")</f>
        <v/>
      </c>
      <c r="AW645" s="267"/>
      <c r="AX645" s="255"/>
      <c r="AY645" s="259" t="str">
        <f>IF(AX645&lt;&gt;"",AX645/VLOOKUP($V645,Setup!$C$30:$D$41,2,0),"")</f>
        <v/>
      </c>
      <c r="AZ645" s="268"/>
      <c r="BA645" s="258" t="str">
        <f t="shared" ref="BA645:BA708" si="322">IFERROR(IF(AND(NOT(AZ645=""),NOT(AY645="")),AZ645*$AY645,""),"")</f>
        <v/>
      </c>
      <c r="BB645" s="268"/>
      <c r="BC645" s="258" t="str">
        <f t="shared" ref="BC645:BC708" si="323">IFERROR(IF(AND(NOT(BB645=""),NOT(AY645="")),BB645*$AY645,""),"")</f>
        <v/>
      </c>
      <c r="BD645" s="268"/>
      <c r="BE645" s="258" t="str">
        <f t="shared" ref="BE645:BE708" si="324">IFERROR(IF(AND(NOT(BD645=""),NOT(AY645="")),BD645*$AY645,""),"")</f>
        <v/>
      </c>
      <c r="BF645" s="268"/>
      <c r="BG645" s="256" t="str">
        <f t="shared" ref="BG645:BG708" si="325">IFERROR(IF(AND(NOT(BF645=""),NOT(AY645="")),BF645*$AY645,""),"")</f>
        <v/>
      </c>
      <c r="BH645" s="256" t="str">
        <f t="shared" ref="BH645:BH708" si="326">IFERROR(IF(OR(NOT(AZ645=""),NOT(BF645=""),NOT(BB645=""),NOT(BD645="")),AZ645+BF645+BB645+BD645,""),"")</f>
        <v/>
      </c>
      <c r="BI645" s="256" t="str">
        <f t="shared" ref="BI645:BI708" si="327">IF(SUM(BA645,BG645,BC645,BE645)&gt;0,SUM(BA645,BG645,BC645,BE645),"")</f>
        <v/>
      </c>
      <c r="BJ645" s="267"/>
      <c r="BK645" s="255"/>
      <c r="BL645" s="259" t="str">
        <f>IF(BK645&lt;&gt;"",BK645/VLOOKUP($V645,Setup!$C$30:$D$41,2,0),"")</f>
        <v/>
      </c>
      <c r="BM645" s="268"/>
      <c r="BN645" s="258" t="str">
        <f t="shared" ref="BN645:BN708" si="328">IFERROR(IF(AND(NOT(BM645=""),NOT(BL645="")),BM645*$BL645,""),"")</f>
        <v/>
      </c>
      <c r="BO645" s="268"/>
      <c r="BP645" s="258" t="str">
        <f t="shared" ref="BP645:BP708" si="329">IFERROR(IF(AND(NOT(BO645=""),NOT(BL645="")),BO645*$BL645,""),"")</f>
        <v/>
      </c>
      <c r="BQ645" s="268"/>
      <c r="BR645" s="258" t="str">
        <f t="shared" ref="BR645:BR708" si="330">IFERROR(IF(AND(NOT(BQ645=""),NOT(BL645="")),BQ645*$BL645,""),"")</f>
        <v/>
      </c>
      <c r="BS645" s="268"/>
      <c r="BT645" s="256" t="str">
        <f t="shared" ref="BT645:BT708" si="331">IFERROR(IF(AND(NOT(BS645=""),NOT(BL645="")),BS645*$BL645,""),"")</f>
        <v/>
      </c>
      <c r="BU645" s="256" t="str">
        <f t="shared" ref="BU645:BU708" si="332">IFERROR(IF(OR(NOT(BM645=""),NOT(BS645=""),NOT(BO645=""),NOT(BQ645="")),BM645+BS645+BO645+BQ645,""),"")</f>
        <v/>
      </c>
      <c r="BV645" s="256" t="str">
        <f t="shared" ref="BV645:BV708" si="333">IF(SUM(BN645,BT645,BP645,BR645)&gt;0,SUM(BN645,BT645,BP645,BR645),"")</f>
        <v/>
      </c>
      <c r="BW645" s="267"/>
      <c r="BX645" s="256" t="str">
        <f t="shared" ref="BX645:BX708" si="334">IF(SUM(AH645,AU645,BH645,BU645)&gt;0,SUM(AH645,AU645,BH645,BU645),"")</f>
        <v/>
      </c>
      <c r="BY645" s="256" t="str">
        <f t="shared" ref="BY645:BY708" si="335">IF(SUM(AI645,AV645,BI645,BV645)&gt;0,SUM(AI645,AV645,BI645,BV645),"")</f>
        <v/>
      </c>
      <c r="BZ645" s="281"/>
      <c r="CA645" s="282"/>
      <c r="CF645" s="284"/>
      <c r="CG645" s="284"/>
      <c r="CH645" s="284"/>
      <c r="CI645" s="284"/>
      <c r="CL645" s="356" t="str">
        <f>IFERROR(VLOOKUP(C645,'Data Sheet'!$A$3:$B$26,2,FALSE),"")</f>
        <v/>
      </c>
    </row>
    <row r="646" spans="1:90" ht="15.75" x14ac:dyDescent="0.2">
      <c r="A646" s="97"/>
      <c r="B646" s="105" t="str">
        <f t="shared" si="309"/>
        <v>--</v>
      </c>
      <c r="C646" s="276"/>
      <c r="D646" s="101" t="str">
        <f>IFERROR(IF(VLOOKUP(C646,'Data Sheet'!$A$3:$D$26,4,FALSE)=0,"",VLOOKUP(C646,'Data Sheet'!$A$3:$D$26,4,FALSE)),"")</f>
        <v/>
      </c>
      <c r="E646" s="279"/>
      <c r="F646" s="103" t="str">
        <f>IFERROR(IF(VLOOKUP(E646,'Data Sheet'!$C$29:$E$174,3,FALSE)=0,"",VLOOKUP(E646,'Data Sheet'!$C$29:$E$174,3,FALSE)),"")</f>
        <v/>
      </c>
      <c r="G646" s="106" t="str">
        <f t="shared" ref="G646:G709" si="336">CONCATENATE(D646,"-",F646)</f>
        <v>-</v>
      </c>
      <c r="H646" s="273"/>
      <c r="I646" s="107"/>
      <c r="J646" s="249" t="e">
        <f t="shared" ref="J646:J709" si="337">LEFT(I646,SEARCH(".",I646,1)+1)</f>
        <v>#VALUE!</v>
      </c>
      <c r="K646" s="101" t="str">
        <f>IFERROR(INDEX('Data Sheet'!$C$198:$C$275,MATCH(I646,'Data Sheet'!$F$198:$F$275,0)),"")</f>
        <v/>
      </c>
      <c r="L646" s="250" t="str">
        <f>IFERROR(INDEX('Data Sheet'!$G$198:$G$275,MATCH(I646,'Data Sheet'!$F$198:$F$275,0)),"")</f>
        <v/>
      </c>
      <c r="M646" s="194"/>
      <c r="N646" s="248"/>
      <c r="O646" s="248"/>
      <c r="P646" s="108" t="str">
        <f>IFERROR(INDEX(Setup!$D$44:$D$70,MATCH(M646,Setup!$K$44:$K$70,0))&amp;"","")</f>
        <v/>
      </c>
      <c r="Q646" s="108" t="str">
        <f>IFERROR(INDEX(Setup!$E$44:$E$70,MATCH(M646,Setup!$K$44:$K$70,0))&amp;"","")</f>
        <v/>
      </c>
      <c r="R646" s="108" t="str">
        <f>IFERROR(INDEX(Setup!$L$44:$L$70,MATCH(M646,Setup!$K$44:$K$70,0))&amp;"","")</f>
        <v/>
      </c>
      <c r="S646" s="108" t="str">
        <f>Setup!$C$30</f>
        <v>USD</v>
      </c>
      <c r="T646" s="109" t="str">
        <f>IFERROR(INDEX('Data Sheet'!$B$198:$B$275,MATCH(I646,'Data Sheet'!$F$198:$F$275,0)),"")</f>
        <v/>
      </c>
      <c r="U646" s="110" t="str">
        <f>IFERROR(INDEX('Data Sheet'!$D$198:$D$275,MATCH(I646,'Data Sheet'!$F$198:$F$275,0)),"")</f>
        <v/>
      </c>
      <c r="V646" s="99"/>
      <c r="W646" s="195" t="str">
        <f>IF(V646=Setup!$C$30,"Grant",IF(V646=Setup!$C$31,"Local",IF(V646=Setup!$C$32,"Other",IF(ISBLANK(V646),"","Other"))))</f>
        <v/>
      </c>
      <c r="X646" s="255"/>
      <c r="Y646" s="259" t="str">
        <f>IF(X646&lt;&gt;"",X646/VLOOKUP($V646,Setup!$C$30:$D$41,2,0),"")</f>
        <v/>
      </c>
      <c r="Z646" s="262"/>
      <c r="AA646" s="256" t="str">
        <f t="shared" si="310"/>
        <v/>
      </c>
      <c r="AB646" s="262"/>
      <c r="AC646" s="258" t="str">
        <f t="shared" si="311"/>
        <v/>
      </c>
      <c r="AD646" s="262"/>
      <c r="AE646" s="258" t="str">
        <f t="shared" si="312"/>
        <v/>
      </c>
      <c r="AF646" s="262"/>
      <c r="AG646" s="256" t="str">
        <f t="shared" si="313"/>
        <v/>
      </c>
      <c r="AH646" s="256" t="str">
        <f t="shared" si="314"/>
        <v/>
      </c>
      <c r="AI646" s="256" t="str">
        <f t="shared" si="315"/>
        <v/>
      </c>
      <c r="AJ646" s="111"/>
      <c r="AK646" s="255"/>
      <c r="AL646" s="259" t="str">
        <f>IF(AK646&lt;&gt;"",AK646/VLOOKUP($V646,Setup!$C$30:$D$41,2,0),"")</f>
        <v/>
      </c>
      <c r="AM646" s="266"/>
      <c r="AN646" s="258" t="str">
        <f t="shared" si="316"/>
        <v/>
      </c>
      <c r="AO646" s="266"/>
      <c r="AP646" s="258" t="str">
        <f t="shared" si="317"/>
        <v/>
      </c>
      <c r="AQ646" s="266"/>
      <c r="AR646" s="258" t="str">
        <f t="shared" si="318"/>
        <v/>
      </c>
      <c r="AS646" s="266"/>
      <c r="AT646" s="256" t="str">
        <f t="shared" si="319"/>
        <v/>
      </c>
      <c r="AU646" s="256" t="str">
        <f t="shared" si="320"/>
        <v/>
      </c>
      <c r="AV646" s="256" t="str">
        <f t="shared" si="321"/>
        <v/>
      </c>
      <c r="AW646" s="267"/>
      <c r="AX646" s="255"/>
      <c r="AY646" s="259" t="str">
        <f>IF(AX646&lt;&gt;"",AX646/VLOOKUP($V646,Setup!$C$30:$D$41,2,0),"")</f>
        <v/>
      </c>
      <c r="AZ646" s="268"/>
      <c r="BA646" s="258" t="str">
        <f t="shared" si="322"/>
        <v/>
      </c>
      <c r="BB646" s="268"/>
      <c r="BC646" s="258" t="str">
        <f t="shared" si="323"/>
        <v/>
      </c>
      <c r="BD646" s="268"/>
      <c r="BE646" s="258" t="str">
        <f t="shared" si="324"/>
        <v/>
      </c>
      <c r="BF646" s="268"/>
      <c r="BG646" s="256" t="str">
        <f t="shared" si="325"/>
        <v/>
      </c>
      <c r="BH646" s="256" t="str">
        <f t="shared" si="326"/>
        <v/>
      </c>
      <c r="BI646" s="256" t="str">
        <f t="shared" si="327"/>
        <v/>
      </c>
      <c r="BJ646" s="267"/>
      <c r="BK646" s="255"/>
      <c r="BL646" s="259" t="str">
        <f>IF(BK646&lt;&gt;"",BK646/VLOOKUP($V646,Setup!$C$30:$D$41,2,0),"")</f>
        <v/>
      </c>
      <c r="BM646" s="268"/>
      <c r="BN646" s="258" t="str">
        <f t="shared" si="328"/>
        <v/>
      </c>
      <c r="BO646" s="268"/>
      <c r="BP646" s="258" t="str">
        <f t="shared" si="329"/>
        <v/>
      </c>
      <c r="BQ646" s="268"/>
      <c r="BR646" s="258" t="str">
        <f t="shared" si="330"/>
        <v/>
      </c>
      <c r="BS646" s="268"/>
      <c r="BT646" s="256" t="str">
        <f t="shared" si="331"/>
        <v/>
      </c>
      <c r="BU646" s="256" t="str">
        <f t="shared" si="332"/>
        <v/>
      </c>
      <c r="BV646" s="256" t="str">
        <f t="shared" si="333"/>
        <v/>
      </c>
      <c r="BW646" s="267"/>
      <c r="BX646" s="256" t="str">
        <f t="shared" si="334"/>
        <v/>
      </c>
      <c r="BY646" s="256" t="str">
        <f t="shared" si="335"/>
        <v/>
      </c>
      <c r="BZ646" s="281"/>
      <c r="CA646" s="282"/>
      <c r="CF646" s="284"/>
      <c r="CG646" s="284"/>
      <c r="CH646" s="284"/>
      <c r="CI646" s="284"/>
      <c r="CL646" s="356" t="str">
        <f>IFERROR(VLOOKUP(C646,'Data Sheet'!$A$3:$B$26,2,FALSE),"")</f>
        <v/>
      </c>
    </row>
    <row r="647" spans="1:90" ht="15.75" x14ac:dyDescent="0.2">
      <c r="A647" s="97"/>
      <c r="B647" s="105" t="str">
        <f t="shared" si="309"/>
        <v>--</v>
      </c>
      <c r="C647" s="276"/>
      <c r="D647" s="101" t="str">
        <f>IFERROR(IF(VLOOKUP(C647,'Data Sheet'!$A$3:$D$26,4,FALSE)=0,"",VLOOKUP(C647,'Data Sheet'!$A$3:$D$26,4,FALSE)),"")</f>
        <v/>
      </c>
      <c r="E647" s="279"/>
      <c r="F647" s="103" t="str">
        <f>IFERROR(IF(VLOOKUP(E647,'Data Sheet'!$C$29:$E$174,3,FALSE)=0,"",VLOOKUP(E647,'Data Sheet'!$C$29:$E$174,3,FALSE)),"")</f>
        <v/>
      </c>
      <c r="G647" s="106" t="str">
        <f t="shared" si="336"/>
        <v>-</v>
      </c>
      <c r="H647" s="273"/>
      <c r="I647" s="107"/>
      <c r="J647" s="249" t="e">
        <f t="shared" si="337"/>
        <v>#VALUE!</v>
      </c>
      <c r="K647" s="101" t="str">
        <f>IFERROR(INDEX('Data Sheet'!$C$198:$C$275,MATCH(I647,'Data Sheet'!$F$198:$F$275,0)),"")</f>
        <v/>
      </c>
      <c r="L647" s="250" t="str">
        <f>IFERROR(INDEX('Data Sheet'!$G$198:$G$275,MATCH(I647,'Data Sheet'!$F$198:$F$275,0)),"")</f>
        <v/>
      </c>
      <c r="M647" s="194"/>
      <c r="N647" s="248"/>
      <c r="O647" s="248"/>
      <c r="P647" s="108" t="str">
        <f>IFERROR(INDEX(Setup!$D$44:$D$70,MATCH(M647,Setup!$K$44:$K$70,0))&amp;"","")</f>
        <v/>
      </c>
      <c r="Q647" s="108" t="str">
        <f>IFERROR(INDEX(Setup!$E$44:$E$70,MATCH(M647,Setup!$K$44:$K$70,0))&amp;"","")</f>
        <v/>
      </c>
      <c r="R647" s="108" t="str">
        <f>IFERROR(INDEX(Setup!$L$44:$L$70,MATCH(M647,Setup!$K$44:$K$70,0))&amp;"","")</f>
        <v/>
      </c>
      <c r="S647" s="108" t="str">
        <f>Setup!$C$30</f>
        <v>USD</v>
      </c>
      <c r="T647" s="109" t="str">
        <f>IFERROR(INDEX('Data Sheet'!$B$198:$B$275,MATCH(I647,'Data Sheet'!$F$198:$F$275,0)),"")</f>
        <v/>
      </c>
      <c r="U647" s="110" t="str">
        <f>IFERROR(INDEX('Data Sheet'!$D$198:$D$275,MATCH(I647,'Data Sheet'!$F$198:$F$275,0)),"")</f>
        <v/>
      </c>
      <c r="V647" s="99"/>
      <c r="W647" s="195" t="str">
        <f>IF(V647=Setup!$C$30,"Grant",IF(V647=Setup!$C$31,"Local",IF(V647=Setup!$C$32,"Other",IF(ISBLANK(V647),"","Other"))))</f>
        <v/>
      </c>
      <c r="X647" s="255"/>
      <c r="Y647" s="259" t="str">
        <f>IF(X647&lt;&gt;"",X647/VLOOKUP($V647,Setup!$C$30:$D$41,2,0),"")</f>
        <v/>
      </c>
      <c r="Z647" s="262"/>
      <c r="AA647" s="256" t="str">
        <f t="shared" si="310"/>
        <v/>
      </c>
      <c r="AB647" s="262"/>
      <c r="AC647" s="258" t="str">
        <f t="shared" si="311"/>
        <v/>
      </c>
      <c r="AD647" s="262"/>
      <c r="AE647" s="258" t="str">
        <f t="shared" si="312"/>
        <v/>
      </c>
      <c r="AF647" s="262"/>
      <c r="AG647" s="256" t="str">
        <f t="shared" si="313"/>
        <v/>
      </c>
      <c r="AH647" s="256" t="str">
        <f t="shared" si="314"/>
        <v/>
      </c>
      <c r="AI647" s="256" t="str">
        <f t="shared" si="315"/>
        <v/>
      </c>
      <c r="AJ647" s="111"/>
      <c r="AK647" s="255"/>
      <c r="AL647" s="259" t="str">
        <f>IF(AK647&lt;&gt;"",AK647/VLOOKUP($V647,Setup!$C$30:$D$41,2,0),"")</f>
        <v/>
      </c>
      <c r="AM647" s="266"/>
      <c r="AN647" s="258" t="str">
        <f t="shared" si="316"/>
        <v/>
      </c>
      <c r="AO647" s="266"/>
      <c r="AP647" s="258" t="str">
        <f t="shared" si="317"/>
        <v/>
      </c>
      <c r="AQ647" s="266"/>
      <c r="AR647" s="258" t="str">
        <f t="shared" si="318"/>
        <v/>
      </c>
      <c r="AS647" s="266"/>
      <c r="AT647" s="256" t="str">
        <f t="shared" si="319"/>
        <v/>
      </c>
      <c r="AU647" s="256" t="str">
        <f t="shared" si="320"/>
        <v/>
      </c>
      <c r="AV647" s="256" t="str">
        <f t="shared" si="321"/>
        <v/>
      </c>
      <c r="AW647" s="267"/>
      <c r="AX647" s="255"/>
      <c r="AY647" s="259" t="str">
        <f>IF(AX647&lt;&gt;"",AX647/VLOOKUP($V647,Setup!$C$30:$D$41,2,0),"")</f>
        <v/>
      </c>
      <c r="AZ647" s="268"/>
      <c r="BA647" s="258" t="str">
        <f t="shared" si="322"/>
        <v/>
      </c>
      <c r="BB647" s="268"/>
      <c r="BC647" s="258" t="str">
        <f t="shared" si="323"/>
        <v/>
      </c>
      <c r="BD647" s="268"/>
      <c r="BE647" s="258" t="str">
        <f t="shared" si="324"/>
        <v/>
      </c>
      <c r="BF647" s="268"/>
      <c r="BG647" s="256" t="str">
        <f t="shared" si="325"/>
        <v/>
      </c>
      <c r="BH647" s="256" t="str">
        <f t="shared" si="326"/>
        <v/>
      </c>
      <c r="BI647" s="256" t="str">
        <f t="shared" si="327"/>
        <v/>
      </c>
      <c r="BJ647" s="267"/>
      <c r="BK647" s="255"/>
      <c r="BL647" s="259" t="str">
        <f>IF(BK647&lt;&gt;"",BK647/VLOOKUP($V647,Setup!$C$30:$D$41,2,0),"")</f>
        <v/>
      </c>
      <c r="BM647" s="268"/>
      <c r="BN647" s="258" t="str">
        <f t="shared" si="328"/>
        <v/>
      </c>
      <c r="BO647" s="268"/>
      <c r="BP647" s="258" t="str">
        <f t="shared" si="329"/>
        <v/>
      </c>
      <c r="BQ647" s="268"/>
      <c r="BR647" s="258" t="str">
        <f t="shared" si="330"/>
        <v/>
      </c>
      <c r="BS647" s="268"/>
      <c r="BT647" s="256" t="str">
        <f t="shared" si="331"/>
        <v/>
      </c>
      <c r="BU647" s="256" t="str">
        <f t="shared" si="332"/>
        <v/>
      </c>
      <c r="BV647" s="256" t="str">
        <f t="shared" si="333"/>
        <v/>
      </c>
      <c r="BW647" s="267"/>
      <c r="BX647" s="256" t="str">
        <f t="shared" si="334"/>
        <v/>
      </c>
      <c r="BY647" s="256" t="str">
        <f t="shared" si="335"/>
        <v/>
      </c>
      <c r="BZ647" s="281"/>
      <c r="CA647" s="282"/>
      <c r="CF647" s="284"/>
      <c r="CG647" s="284"/>
      <c r="CH647" s="284"/>
      <c r="CI647" s="284"/>
      <c r="CL647" s="356" t="str">
        <f>IFERROR(VLOOKUP(C647,'Data Sheet'!$A$3:$B$26,2,FALSE),"")</f>
        <v/>
      </c>
    </row>
    <row r="648" spans="1:90" ht="15.75" x14ac:dyDescent="0.2">
      <c r="A648" s="97"/>
      <c r="B648" s="105" t="str">
        <f t="shared" si="309"/>
        <v>--</v>
      </c>
      <c r="C648" s="276"/>
      <c r="D648" s="101" t="str">
        <f>IFERROR(IF(VLOOKUP(C648,'Data Sheet'!$A$3:$D$26,4,FALSE)=0,"",VLOOKUP(C648,'Data Sheet'!$A$3:$D$26,4,FALSE)),"")</f>
        <v/>
      </c>
      <c r="E648" s="279"/>
      <c r="F648" s="103" t="str">
        <f>IFERROR(IF(VLOOKUP(E648,'Data Sheet'!$C$29:$E$174,3,FALSE)=0,"",VLOOKUP(E648,'Data Sheet'!$C$29:$E$174,3,FALSE)),"")</f>
        <v/>
      </c>
      <c r="G648" s="106" t="str">
        <f t="shared" si="336"/>
        <v>-</v>
      </c>
      <c r="H648" s="273"/>
      <c r="I648" s="107"/>
      <c r="J648" s="249" t="e">
        <f t="shared" si="337"/>
        <v>#VALUE!</v>
      </c>
      <c r="K648" s="101" t="str">
        <f>IFERROR(INDEX('Data Sheet'!$C$198:$C$275,MATCH(I648,'Data Sheet'!$F$198:$F$275,0)),"")</f>
        <v/>
      </c>
      <c r="L648" s="250" t="str">
        <f>IFERROR(INDEX('Data Sheet'!$G$198:$G$275,MATCH(I648,'Data Sheet'!$F$198:$F$275,0)),"")</f>
        <v/>
      </c>
      <c r="M648" s="194"/>
      <c r="N648" s="248"/>
      <c r="O648" s="248"/>
      <c r="P648" s="108" t="str">
        <f>IFERROR(INDEX(Setup!$D$44:$D$70,MATCH(M648,Setup!$K$44:$K$70,0))&amp;"","")</f>
        <v/>
      </c>
      <c r="Q648" s="108" t="str">
        <f>IFERROR(INDEX(Setup!$E$44:$E$70,MATCH(M648,Setup!$K$44:$K$70,0))&amp;"","")</f>
        <v/>
      </c>
      <c r="R648" s="108" t="str">
        <f>IFERROR(INDEX(Setup!$L$44:$L$70,MATCH(M648,Setup!$K$44:$K$70,0))&amp;"","")</f>
        <v/>
      </c>
      <c r="S648" s="108" t="str">
        <f>Setup!$C$30</f>
        <v>USD</v>
      </c>
      <c r="T648" s="109" t="str">
        <f>IFERROR(INDEX('Data Sheet'!$B$198:$B$275,MATCH(I648,'Data Sheet'!$F$198:$F$275,0)),"")</f>
        <v/>
      </c>
      <c r="U648" s="110" t="str">
        <f>IFERROR(INDEX('Data Sheet'!$D$198:$D$275,MATCH(I648,'Data Sheet'!$F$198:$F$275,0)),"")</f>
        <v/>
      </c>
      <c r="V648" s="99"/>
      <c r="W648" s="195" t="str">
        <f>IF(V648=Setup!$C$30,"Grant",IF(V648=Setup!$C$31,"Local",IF(V648=Setup!$C$32,"Other",IF(ISBLANK(V648),"","Other"))))</f>
        <v/>
      </c>
      <c r="X648" s="255"/>
      <c r="Y648" s="259" t="str">
        <f>IF(X648&lt;&gt;"",X648/VLOOKUP($V648,Setup!$C$30:$D$41,2,0),"")</f>
        <v/>
      </c>
      <c r="Z648" s="262"/>
      <c r="AA648" s="256" t="str">
        <f t="shared" si="310"/>
        <v/>
      </c>
      <c r="AB648" s="262"/>
      <c r="AC648" s="258" t="str">
        <f t="shared" si="311"/>
        <v/>
      </c>
      <c r="AD648" s="262"/>
      <c r="AE648" s="258" t="str">
        <f t="shared" si="312"/>
        <v/>
      </c>
      <c r="AF648" s="262"/>
      <c r="AG648" s="256" t="str">
        <f t="shared" si="313"/>
        <v/>
      </c>
      <c r="AH648" s="256" t="str">
        <f t="shared" si="314"/>
        <v/>
      </c>
      <c r="AI648" s="256" t="str">
        <f t="shared" si="315"/>
        <v/>
      </c>
      <c r="AJ648" s="111"/>
      <c r="AK648" s="255"/>
      <c r="AL648" s="259" t="str">
        <f>IF(AK648&lt;&gt;"",AK648/VLOOKUP($V648,Setup!$C$30:$D$41,2,0),"")</f>
        <v/>
      </c>
      <c r="AM648" s="266"/>
      <c r="AN648" s="258" t="str">
        <f t="shared" si="316"/>
        <v/>
      </c>
      <c r="AO648" s="266"/>
      <c r="AP648" s="258" t="str">
        <f t="shared" si="317"/>
        <v/>
      </c>
      <c r="AQ648" s="266"/>
      <c r="AR648" s="258" t="str">
        <f t="shared" si="318"/>
        <v/>
      </c>
      <c r="AS648" s="266"/>
      <c r="AT648" s="256" t="str">
        <f t="shared" si="319"/>
        <v/>
      </c>
      <c r="AU648" s="256" t="str">
        <f t="shared" si="320"/>
        <v/>
      </c>
      <c r="AV648" s="256" t="str">
        <f t="shared" si="321"/>
        <v/>
      </c>
      <c r="AW648" s="267"/>
      <c r="AX648" s="255"/>
      <c r="AY648" s="259" t="str">
        <f>IF(AX648&lt;&gt;"",AX648/VLOOKUP($V648,Setup!$C$30:$D$41,2,0),"")</f>
        <v/>
      </c>
      <c r="AZ648" s="268"/>
      <c r="BA648" s="258" t="str">
        <f t="shared" si="322"/>
        <v/>
      </c>
      <c r="BB648" s="268"/>
      <c r="BC648" s="258" t="str">
        <f t="shared" si="323"/>
        <v/>
      </c>
      <c r="BD648" s="268"/>
      <c r="BE648" s="258" t="str">
        <f t="shared" si="324"/>
        <v/>
      </c>
      <c r="BF648" s="268"/>
      <c r="BG648" s="256" t="str">
        <f t="shared" si="325"/>
        <v/>
      </c>
      <c r="BH648" s="256" t="str">
        <f t="shared" si="326"/>
        <v/>
      </c>
      <c r="BI648" s="256" t="str">
        <f t="shared" si="327"/>
        <v/>
      </c>
      <c r="BJ648" s="267"/>
      <c r="BK648" s="255"/>
      <c r="BL648" s="259" t="str">
        <f>IF(BK648&lt;&gt;"",BK648/VLOOKUP($V648,Setup!$C$30:$D$41,2,0),"")</f>
        <v/>
      </c>
      <c r="BM648" s="268"/>
      <c r="BN648" s="258" t="str">
        <f t="shared" si="328"/>
        <v/>
      </c>
      <c r="BO648" s="268"/>
      <c r="BP648" s="258" t="str">
        <f t="shared" si="329"/>
        <v/>
      </c>
      <c r="BQ648" s="268"/>
      <c r="BR648" s="258" t="str">
        <f t="shared" si="330"/>
        <v/>
      </c>
      <c r="BS648" s="268"/>
      <c r="BT648" s="256" t="str">
        <f t="shared" si="331"/>
        <v/>
      </c>
      <c r="BU648" s="256" t="str">
        <f t="shared" si="332"/>
        <v/>
      </c>
      <c r="BV648" s="256" t="str">
        <f t="shared" si="333"/>
        <v/>
      </c>
      <c r="BW648" s="267"/>
      <c r="BX648" s="256" t="str">
        <f t="shared" si="334"/>
        <v/>
      </c>
      <c r="BY648" s="256" t="str">
        <f t="shared" si="335"/>
        <v/>
      </c>
      <c r="BZ648" s="281"/>
      <c r="CA648" s="282"/>
      <c r="CF648" s="284"/>
      <c r="CG648" s="284"/>
      <c r="CH648" s="284"/>
      <c r="CI648" s="284"/>
      <c r="CL648" s="356" t="str">
        <f>IFERROR(VLOOKUP(C648,'Data Sheet'!$A$3:$B$26,2,FALSE),"")</f>
        <v/>
      </c>
    </row>
    <row r="649" spans="1:90" ht="15.75" x14ac:dyDescent="0.2">
      <c r="A649" s="97"/>
      <c r="B649" s="105" t="str">
        <f t="shared" si="309"/>
        <v>--</v>
      </c>
      <c r="C649" s="276"/>
      <c r="D649" s="101" t="str">
        <f>IFERROR(IF(VLOOKUP(C649,'Data Sheet'!$A$3:$D$26,4,FALSE)=0,"",VLOOKUP(C649,'Data Sheet'!$A$3:$D$26,4,FALSE)),"")</f>
        <v/>
      </c>
      <c r="E649" s="279"/>
      <c r="F649" s="103" t="str">
        <f>IFERROR(IF(VLOOKUP(E649,'Data Sheet'!$C$29:$E$174,3,FALSE)=0,"",VLOOKUP(E649,'Data Sheet'!$C$29:$E$174,3,FALSE)),"")</f>
        <v/>
      </c>
      <c r="G649" s="106" t="str">
        <f t="shared" si="336"/>
        <v>-</v>
      </c>
      <c r="H649" s="273"/>
      <c r="I649" s="107"/>
      <c r="J649" s="249" t="e">
        <f t="shared" si="337"/>
        <v>#VALUE!</v>
      </c>
      <c r="K649" s="101" t="str">
        <f>IFERROR(INDEX('Data Sheet'!$C$198:$C$275,MATCH(I649,'Data Sheet'!$F$198:$F$275,0)),"")</f>
        <v/>
      </c>
      <c r="L649" s="250" t="str">
        <f>IFERROR(INDEX('Data Sheet'!$G$198:$G$275,MATCH(I649,'Data Sheet'!$F$198:$F$275,0)),"")</f>
        <v/>
      </c>
      <c r="M649" s="194"/>
      <c r="N649" s="248"/>
      <c r="O649" s="248"/>
      <c r="P649" s="108" t="str">
        <f>IFERROR(INDEX(Setup!$D$44:$D$70,MATCH(M649,Setup!$K$44:$K$70,0))&amp;"","")</f>
        <v/>
      </c>
      <c r="Q649" s="108" t="str">
        <f>IFERROR(INDEX(Setup!$E$44:$E$70,MATCH(M649,Setup!$K$44:$K$70,0))&amp;"","")</f>
        <v/>
      </c>
      <c r="R649" s="108" t="str">
        <f>IFERROR(INDEX(Setup!$L$44:$L$70,MATCH(M649,Setup!$K$44:$K$70,0))&amp;"","")</f>
        <v/>
      </c>
      <c r="S649" s="108" t="str">
        <f>Setup!$C$30</f>
        <v>USD</v>
      </c>
      <c r="T649" s="109" t="str">
        <f>IFERROR(INDEX('Data Sheet'!$B$198:$B$275,MATCH(I649,'Data Sheet'!$F$198:$F$275,0)),"")</f>
        <v/>
      </c>
      <c r="U649" s="110" t="str">
        <f>IFERROR(INDEX('Data Sheet'!$D$198:$D$275,MATCH(I649,'Data Sheet'!$F$198:$F$275,0)),"")</f>
        <v/>
      </c>
      <c r="V649" s="99"/>
      <c r="W649" s="195" t="str">
        <f>IF(V649=Setup!$C$30,"Grant",IF(V649=Setup!$C$31,"Local",IF(V649=Setup!$C$32,"Other",IF(ISBLANK(V649),"","Other"))))</f>
        <v/>
      </c>
      <c r="X649" s="255"/>
      <c r="Y649" s="259" t="str">
        <f>IF(X649&lt;&gt;"",X649/VLOOKUP($V649,Setup!$C$30:$D$41,2,0),"")</f>
        <v/>
      </c>
      <c r="Z649" s="262"/>
      <c r="AA649" s="256" t="str">
        <f t="shared" si="310"/>
        <v/>
      </c>
      <c r="AB649" s="262"/>
      <c r="AC649" s="258" t="str">
        <f t="shared" si="311"/>
        <v/>
      </c>
      <c r="AD649" s="262"/>
      <c r="AE649" s="258" t="str">
        <f t="shared" si="312"/>
        <v/>
      </c>
      <c r="AF649" s="262"/>
      <c r="AG649" s="256" t="str">
        <f t="shared" si="313"/>
        <v/>
      </c>
      <c r="AH649" s="256" t="str">
        <f t="shared" si="314"/>
        <v/>
      </c>
      <c r="AI649" s="256" t="str">
        <f t="shared" si="315"/>
        <v/>
      </c>
      <c r="AJ649" s="111"/>
      <c r="AK649" s="255"/>
      <c r="AL649" s="259" t="str">
        <f>IF(AK649&lt;&gt;"",AK649/VLOOKUP($V649,Setup!$C$30:$D$41,2,0),"")</f>
        <v/>
      </c>
      <c r="AM649" s="266"/>
      <c r="AN649" s="258" t="str">
        <f t="shared" si="316"/>
        <v/>
      </c>
      <c r="AO649" s="266"/>
      <c r="AP649" s="258" t="str">
        <f t="shared" si="317"/>
        <v/>
      </c>
      <c r="AQ649" s="266"/>
      <c r="AR649" s="258" t="str">
        <f t="shared" si="318"/>
        <v/>
      </c>
      <c r="AS649" s="266"/>
      <c r="AT649" s="256" t="str">
        <f t="shared" si="319"/>
        <v/>
      </c>
      <c r="AU649" s="256" t="str">
        <f t="shared" si="320"/>
        <v/>
      </c>
      <c r="AV649" s="256" t="str">
        <f t="shared" si="321"/>
        <v/>
      </c>
      <c r="AW649" s="267"/>
      <c r="AX649" s="255"/>
      <c r="AY649" s="259" t="str">
        <f>IF(AX649&lt;&gt;"",AX649/VLOOKUP($V649,Setup!$C$30:$D$41,2,0),"")</f>
        <v/>
      </c>
      <c r="AZ649" s="268"/>
      <c r="BA649" s="258" t="str">
        <f t="shared" si="322"/>
        <v/>
      </c>
      <c r="BB649" s="268"/>
      <c r="BC649" s="258" t="str">
        <f t="shared" si="323"/>
        <v/>
      </c>
      <c r="BD649" s="268"/>
      <c r="BE649" s="258" t="str">
        <f t="shared" si="324"/>
        <v/>
      </c>
      <c r="BF649" s="268"/>
      <c r="BG649" s="256" t="str">
        <f t="shared" si="325"/>
        <v/>
      </c>
      <c r="BH649" s="256" t="str">
        <f t="shared" si="326"/>
        <v/>
      </c>
      <c r="BI649" s="256" t="str">
        <f t="shared" si="327"/>
        <v/>
      </c>
      <c r="BJ649" s="267"/>
      <c r="BK649" s="255"/>
      <c r="BL649" s="259" t="str">
        <f>IF(BK649&lt;&gt;"",BK649/VLOOKUP($V649,Setup!$C$30:$D$41,2,0),"")</f>
        <v/>
      </c>
      <c r="BM649" s="268"/>
      <c r="BN649" s="258" t="str">
        <f t="shared" si="328"/>
        <v/>
      </c>
      <c r="BO649" s="268"/>
      <c r="BP649" s="258" t="str">
        <f t="shared" si="329"/>
        <v/>
      </c>
      <c r="BQ649" s="268"/>
      <c r="BR649" s="258" t="str">
        <f t="shared" si="330"/>
        <v/>
      </c>
      <c r="BS649" s="268"/>
      <c r="BT649" s="256" t="str">
        <f t="shared" si="331"/>
        <v/>
      </c>
      <c r="BU649" s="256" t="str">
        <f t="shared" si="332"/>
        <v/>
      </c>
      <c r="BV649" s="256" t="str">
        <f t="shared" si="333"/>
        <v/>
      </c>
      <c r="BW649" s="267"/>
      <c r="BX649" s="256" t="str">
        <f t="shared" si="334"/>
        <v/>
      </c>
      <c r="BY649" s="256" t="str">
        <f t="shared" si="335"/>
        <v/>
      </c>
      <c r="BZ649" s="281"/>
      <c r="CA649" s="282"/>
      <c r="CF649" s="284"/>
      <c r="CG649" s="284"/>
      <c r="CH649" s="284"/>
      <c r="CI649" s="284"/>
      <c r="CL649" s="356" t="str">
        <f>IFERROR(VLOOKUP(C649,'Data Sheet'!$A$3:$B$26,2,FALSE),"")</f>
        <v/>
      </c>
    </row>
    <row r="650" spans="1:90" ht="15.75" x14ac:dyDescent="0.2">
      <c r="A650" s="97"/>
      <c r="B650" s="105" t="str">
        <f t="shared" si="309"/>
        <v>--</v>
      </c>
      <c r="C650" s="276"/>
      <c r="D650" s="101" t="str">
        <f>IFERROR(IF(VLOOKUP(C650,'Data Sheet'!$A$3:$D$26,4,FALSE)=0,"",VLOOKUP(C650,'Data Sheet'!$A$3:$D$26,4,FALSE)),"")</f>
        <v/>
      </c>
      <c r="E650" s="279"/>
      <c r="F650" s="103" t="str">
        <f>IFERROR(IF(VLOOKUP(E650,'Data Sheet'!$C$29:$E$174,3,FALSE)=0,"",VLOOKUP(E650,'Data Sheet'!$C$29:$E$174,3,FALSE)),"")</f>
        <v/>
      </c>
      <c r="G650" s="106" t="str">
        <f t="shared" si="336"/>
        <v>-</v>
      </c>
      <c r="H650" s="273"/>
      <c r="I650" s="107"/>
      <c r="J650" s="249" t="e">
        <f t="shared" si="337"/>
        <v>#VALUE!</v>
      </c>
      <c r="K650" s="101" t="str">
        <f>IFERROR(INDEX('Data Sheet'!$C$198:$C$275,MATCH(I650,'Data Sheet'!$F$198:$F$275,0)),"")</f>
        <v/>
      </c>
      <c r="L650" s="250" t="str">
        <f>IFERROR(INDEX('Data Sheet'!$G$198:$G$275,MATCH(I650,'Data Sheet'!$F$198:$F$275,0)),"")</f>
        <v/>
      </c>
      <c r="M650" s="194"/>
      <c r="N650" s="248"/>
      <c r="O650" s="248"/>
      <c r="P650" s="108" t="str">
        <f>IFERROR(INDEX(Setup!$D$44:$D$70,MATCH(M650,Setup!$K$44:$K$70,0))&amp;"","")</f>
        <v/>
      </c>
      <c r="Q650" s="108" t="str">
        <f>IFERROR(INDEX(Setup!$E$44:$E$70,MATCH(M650,Setup!$K$44:$K$70,0))&amp;"","")</f>
        <v/>
      </c>
      <c r="R650" s="108" t="str">
        <f>IFERROR(INDEX(Setup!$L$44:$L$70,MATCH(M650,Setup!$K$44:$K$70,0))&amp;"","")</f>
        <v/>
      </c>
      <c r="S650" s="108" t="str">
        <f>Setup!$C$30</f>
        <v>USD</v>
      </c>
      <c r="T650" s="109" t="str">
        <f>IFERROR(INDEX('Data Sheet'!$B$198:$B$275,MATCH(I650,'Data Sheet'!$F$198:$F$275,0)),"")</f>
        <v/>
      </c>
      <c r="U650" s="110" t="str">
        <f>IFERROR(INDEX('Data Sheet'!$D$198:$D$275,MATCH(I650,'Data Sheet'!$F$198:$F$275,0)),"")</f>
        <v/>
      </c>
      <c r="V650" s="99"/>
      <c r="W650" s="195" t="str">
        <f>IF(V650=Setup!$C$30,"Grant",IF(V650=Setup!$C$31,"Local",IF(V650=Setup!$C$32,"Other",IF(ISBLANK(V650),"","Other"))))</f>
        <v/>
      </c>
      <c r="X650" s="255"/>
      <c r="Y650" s="259" t="str">
        <f>IF(X650&lt;&gt;"",X650/VLOOKUP($V650,Setup!$C$30:$D$41,2,0),"")</f>
        <v/>
      </c>
      <c r="Z650" s="262"/>
      <c r="AA650" s="256" t="str">
        <f t="shared" si="310"/>
        <v/>
      </c>
      <c r="AB650" s="262"/>
      <c r="AC650" s="258" t="str">
        <f t="shared" si="311"/>
        <v/>
      </c>
      <c r="AD650" s="262"/>
      <c r="AE650" s="258" t="str">
        <f t="shared" si="312"/>
        <v/>
      </c>
      <c r="AF650" s="262"/>
      <c r="AG650" s="256" t="str">
        <f t="shared" si="313"/>
        <v/>
      </c>
      <c r="AH650" s="256" t="str">
        <f t="shared" si="314"/>
        <v/>
      </c>
      <c r="AI650" s="256" t="str">
        <f t="shared" si="315"/>
        <v/>
      </c>
      <c r="AJ650" s="111"/>
      <c r="AK650" s="255"/>
      <c r="AL650" s="259" t="str">
        <f>IF(AK650&lt;&gt;"",AK650/VLOOKUP($V650,Setup!$C$30:$D$41,2,0),"")</f>
        <v/>
      </c>
      <c r="AM650" s="266"/>
      <c r="AN650" s="258" t="str">
        <f t="shared" si="316"/>
        <v/>
      </c>
      <c r="AO650" s="266"/>
      <c r="AP650" s="258" t="str">
        <f t="shared" si="317"/>
        <v/>
      </c>
      <c r="AQ650" s="266"/>
      <c r="AR650" s="258" t="str">
        <f t="shared" si="318"/>
        <v/>
      </c>
      <c r="AS650" s="266"/>
      <c r="AT650" s="256" t="str">
        <f t="shared" si="319"/>
        <v/>
      </c>
      <c r="AU650" s="256" t="str">
        <f t="shared" si="320"/>
        <v/>
      </c>
      <c r="AV650" s="256" t="str">
        <f t="shared" si="321"/>
        <v/>
      </c>
      <c r="AW650" s="267"/>
      <c r="AX650" s="255"/>
      <c r="AY650" s="259" t="str">
        <f>IF(AX650&lt;&gt;"",AX650/VLOOKUP($V650,Setup!$C$30:$D$41,2,0),"")</f>
        <v/>
      </c>
      <c r="AZ650" s="268"/>
      <c r="BA650" s="258" t="str">
        <f t="shared" si="322"/>
        <v/>
      </c>
      <c r="BB650" s="268"/>
      <c r="BC650" s="258" t="str">
        <f t="shared" si="323"/>
        <v/>
      </c>
      <c r="BD650" s="268"/>
      <c r="BE650" s="258" t="str">
        <f t="shared" si="324"/>
        <v/>
      </c>
      <c r="BF650" s="268"/>
      <c r="BG650" s="256" t="str">
        <f t="shared" si="325"/>
        <v/>
      </c>
      <c r="BH650" s="256" t="str">
        <f t="shared" si="326"/>
        <v/>
      </c>
      <c r="BI650" s="256" t="str">
        <f t="shared" si="327"/>
        <v/>
      </c>
      <c r="BJ650" s="267"/>
      <c r="BK650" s="255"/>
      <c r="BL650" s="259" t="str">
        <f>IF(BK650&lt;&gt;"",BK650/VLOOKUP($V650,Setup!$C$30:$D$41,2,0),"")</f>
        <v/>
      </c>
      <c r="BM650" s="268"/>
      <c r="BN650" s="258" t="str">
        <f t="shared" si="328"/>
        <v/>
      </c>
      <c r="BO650" s="268"/>
      <c r="BP650" s="258" t="str">
        <f t="shared" si="329"/>
        <v/>
      </c>
      <c r="BQ650" s="268"/>
      <c r="BR650" s="258" t="str">
        <f t="shared" si="330"/>
        <v/>
      </c>
      <c r="BS650" s="268"/>
      <c r="BT650" s="256" t="str">
        <f t="shared" si="331"/>
        <v/>
      </c>
      <c r="BU650" s="256" t="str">
        <f t="shared" si="332"/>
        <v/>
      </c>
      <c r="BV650" s="256" t="str">
        <f t="shared" si="333"/>
        <v/>
      </c>
      <c r="BW650" s="267"/>
      <c r="BX650" s="256" t="str">
        <f t="shared" si="334"/>
        <v/>
      </c>
      <c r="BY650" s="256" t="str">
        <f t="shared" si="335"/>
        <v/>
      </c>
      <c r="BZ650" s="281"/>
      <c r="CA650" s="282"/>
      <c r="CF650" s="284"/>
      <c r="CG650" s="284"/>
      <c r="CH650" s="284"/>
      <c r="CI650" s="284"/>
      <c r="CL650" s="356" t="str">
        <f>IFERROR(VLOOKUP(C650,'Data Sheet'!$A$3:$B$26,2,FALSE),"")</f>
        <v/>
      </c>
    </row>
    <row r="651" spans="1:90" ht="15.75" x14ac:dyDescent="0.2">
      <c r="A651" s="97"/>
      <c r="B651" s="105" t="str">
        <f t="shared" si="309"/>
        <v>--</v>
      </c>
      <c r="C651" s="276"/>
      <c r="D651" s="101" t="str">
        <f>IFERROR(IF(VLOOKUP(C651,'Data Sheet'!$A$3:$D$26,4,FALSE)=0,"",VLOOKUP(C651,'Data Sheet'!$A$3:$D$26,4,FALSE)),"")</f>
        <v/>
      </c>
      <c r="E651" s="279"/>
      <c r="F651" s="103" t="str">
        <f>IFERROR(IF(VLOOKUP(E651,'Data Sheet'!$C$29:$E$174,3,FALSE)=0,"",VLOOKUP(E651,'Data Sheet'!$C$29:$E$174,3,FALSE)),"")</f>
        <v/>
      </c>
      <c r="G651" s="106" t="str">
        <f t="shared" si="336"/>
        <v>-</v>
      </c>
      <c r="H651" s="273"/>
      <c r="I651" s="107"/>
      <c r="J651" s="249" t="e">
        <f t="shared" si="337"/>
        <v>#VALUE!</v>
      </c>
      <c r="K651" s="101" t="str">
        <f>IFERROR(INDEX('Data Sheet'!$C$198:$C$275,MATCH(I651,'Data Sheet'!$F$198:$F$275,0)),"")</f>
        <v/>
      </c>
      <c r="L651" s="250" t="str">
        <f>IFERROR(INDEX('Data Sheet'!$G$198:$G$275,MATCH(I651,'Data Sheet'!$F$198:$F$275,0)),"")</f>
        <v/>
      </c>
      <c r="M651" s="194"/>
      <c r="N651" s="248"/>
      <c r="O651" s="248"/>
      <c r="P651" s="108" t="str">
        <f>IFERROR(INDEX(Setup!$D$44:$D$70,MATCH(M651,Setup!$K$44:$K$70,0))&amp;"","")</f>
        <v/>
      </c>
      <c r="Q651" s="108" t="str">
        <f>IFERROR(INDEX(Setup!$E$44:$E$70,MATCH(M651,Setup!$K$44:$K$70,0))&amp;"","")</f>
        <v/>
      </c>
      <c r="R651" s="108" t="str">
        <f>IFERROR(INDEX(Setup!$L$44:$L$70,MATCH(M651,Setup!$K$44:$K$70,0))&amp;"","")</f>
        <v/>
      </c>
      <c r="S651" s="108" t="str">
        <f>Setup!$C$30</f>
        <v>USD</v>
      </c>
      <c r="T651" s="109" t="str">
        <f>IFERROR(INDEX('Data Sheet'!$B$198:$B$275,MATCH(I651,'Data Sheet'!$F$198:$F$275,0)),"")</f>
        <v/>
      </c>
      <c r="U651" s="110" t="str">
        <f>IFERROR(INDEX('Data Sheet'!$D$198:$D$275,MATCH(I651,'Data Sheet'!$F$198:$F$275,0)),"")</f>
        <v/>
      </c>
      <c r="V651" s="99"/>
      <c r="W651" s="195" t="str">
        <f>IF(V651=Setup!$C$30,"Grant",IF(V651=Setup!$C$31,"Local",IF(V651=Setup!$C$32,"Other",IF(ISBLANK(V651),"","Other"))))</f>
        <v/>
      </c>
      <c r="X651" s="255"/>
      <c r="Y651" s="259" t="str">
        <f>IF(X651&lt;&gt;"",X651/VLOOKUP($V651,Setup!$C$30:$D$41,2,0),"")</f>
        <v/>
      </c>
      <c r="Z651" s="262"/>
      <c r="AA651" s="256" t="str">
        <f t="shared" si="310"/>
        <v/>
      </c>
      <c r="AB651" s="262"/>
      <c r="AC651" s="258" t="str">
        <f t="shared" si="311"/>
        <v/>
      </c>
      <c r="AD651" s="262"/>
      <c r="AE651" s="258" t="str">
        <f t="shared" si="312"/>
        <v/>
      </c>
      <c r="AF651" s="262"/>
      <c r="AG651" s="256" t="str">
        <f t="shared" si="313"/>
        <v/>
      </c>
      <c r="AH651" s="256" t="str">
        <f t="shared" si="314"/>
        <v/>
      </c>
      <c r="AI651" s="256" t="str">
        <f t="shared" si="315"/>
        <v/>
      </c>
      <c r="AJ651" s="111"/>
      <c r="AK651" s="255"/>
      <c r="AL651" s="259" t="str">
        <f>IF(AK651&lt;&gt;"",AK651/VLOOKUP($V651,Setup!$C$30:$D$41,2,0),"")</f>
        <v/>
      </c>
      <c r="AM651" s="266"/>
      <c r="AN651" s="258" t="str">
        <f t="shared" si="316"/>
        <v/>
      </c>
      <c r="AO651" s="266"/>
      <c r="AP651" s="258" t="str">
        <f t="shared" si="317"/>
        <v/>
      </c>
      <c r="AQ651" s="266"/>
      <c r="AR651" s="258" t="str">
        <f t="shared" si="318"/>
        <v/>
      </c>
      <c r="AS651" s="266"/>
      <c r="AT651" s="256" t="str">
        <f t="shared" si="319"/>
        <v/>
      </c>
      <c r="AU651" s="256" t="str">
        <f t="shared" si="320"/>
        <v/>
      </c>
      <c r="AV651" s="256" t="str">
        <f t="shared" si="321"/>
        <v/>
      </c>
      <c r="AW651" s="267"/>
      <c r="AX651" s="255"/>
      <c r="AY651" s="259" t="str">
        <f>IF(AX651&lt;&gt;"",AX651/VLOOKUP($V651,Setup!$C$30:$D$41,2,0),"")</f>
        <v/>
      </c>
      <c r="AZ651" s="268"/>
      <c r="BA651" s="258" t="str">
        <f t="shared" si="322"/>
        <v/>
      </c>
      <c r="BB651" s="268"/>
      <c r="BC651" s="258" t="str">
        <f t="shared" si="323"/>
        <v/>
      </c>
      <c r="BD651" s="268"/>
      <c r="BE651" s="258" t="str">
        <f t="shared" si="324"/>
        <v/>
      </c>
      <c r="BF651" s="268"/>
      <c r="BG651" s="256" t="str">
        <f t="shared" si="325"/>
        <v/>
      </c>
      <c r="BH651" s="256" t="str">
        <f t="shared" si="326"/>
        <v/>
      </c>
      <c r="BI651" s="256" t="str">
        <f t="shared" si="327"/>
        <v/>
      </c>
      <c r="BJ651" s="267"/>
      <c r="BK651" s="255"/>
      <c r="BL651" s="259" t="str">
        <f>IF(BK651&lt;&gt;"",BK651/VLOOKUP($V651,Setup!$C$30:$D$41,2,0),"")</f>
        <v/>
      </c>
      <c r="BM651" s="268"/>
      <c r="BN651" s="258" t="str">
        <f t="shared" si="328"/>
        <v/>
      </c>
      <c r="BO651" s="268"/>
      <c r="BP651" s="258" t="str">
        <f t="shared" si="329"/>
        <v/>
      </c>
      <c r="BQ651" s="268"/>
      <c r="BR651" s="258" t="str">
        <f t="shared" si="330"/>
        <v/>
      </c>
      <c r="BS651" s="268"/>
      <c r="BT651" s="256" t="str">
        <f t="shared" si="331"/>
        <v/>
      </c>
      <c r="BU651" s="256" t="str">
        <f t="shared" si="332"/>
        <v/>
      </c>
      <c r="BV651" s="256" t="str">
        <f t="shared" si="333"/>
        <v/>
      </c>
      <c r="BW651" s="267"/>
      <c r="BX651" s="256" t="str">
        <f t="shared" si="334"/>
        <v/>
      </c>
      <c r="BY651" s="256" t="str">
        <f t="shared" si="335"/>
        <v/>
      </c>
      <c r="BZ651" s="281"/>
      <c r="CA651" s="282"/>
      <c r="CF651" s="284"/>
      <c r="CG651" s="284"/>
      <c r="CH651" s="284"/>
      <c r="CI651" s="284"/>
      <c r="CL651" s="356" t="str">
        <f>IFERROR(VLOOKUP(C651,'Data Sheet'!$A$3:$B$26,2,FALSE),"")</f>
        <v/>
      </c>
    </row>
    <row r="652" spans="1:90" ht="15.75" x14ac:dyDescent="0.2">
      <c r="A652" s="97"/>
      <c r="B652" s="105" t="str">
        <f t="shared" si="309"/>
        <v>--</v>
      </c>
      <c r="C652" s="276"/>
      <c r="D652" s="101" t="str">
        <f>IFERROR(IF(VLOOKUP(C652,'Data Sheet'!$A$3:$D$26,4,FALSE)=0,"",VLOOKUP(C652,'Data Sheet'!$A$3:$D$26,4,FALSE)),"")</f>
        <v/>
      </c>
      <c r="E652" s="279"/>
      <c r="F652" s="103" t="str">
        <f>IFERROR(IF(VLOOKUP(E652,'Data Sheet'!$C$29:$E$174,3,FALSE)=0,"",VLOOKUP(E652,'Data Sheet'!$C$29:$E$174,3,FALSE)),"")</f>
        <v/>
      </c>
      <c r="G652" s="106" t="str">
        <f t="shared" si="336"/>
        <v>-</v>
      </c>
      <c r="H652" s="273"/>
      <c r="I652" s="107"/>
      <c r="J652" s="249" t="e">
        <f t="shared" si="337"/>
        <v>#VALUE!</v>
      </c>
      <c r="K652" s="101" t="str">
        <f>IFERROR(INDEX('Data Sheet'!$C$198:$C$275,MATCH(I652,'Data Sheet'!$F$198:$F$275,0)),"")</f>
        <v/>
      </c>
      <c r="L652" s="250" t="str">
        <f>IFERROR(INDEX('Data Sheet'!$G$198:$G$275,MATCH(I652,'Data Sheet'!$F$198:$F$275,0)),"")</f>
        <v/>
      </c>
      <c r="M652" s="194"/>
      <c r="N652" s="248"/>
      <c r="O652" s="248"/>
      <c r="P652" s="108" t="str">
        <f>IFERROR(INDEX(Setup!$D$44:$D$70,MATCH(M652,Setup!$K$44:$K$70,0))&amp;"","")</f>
        <v/>
      </c>
      <c r="Q652" s="108" t="str">
        <f>IFERROR(INDEX(Setup!$E$44:$E$70,MATCH(M652,Setup!$K$44:$K$70,0))&amp;"","")</f>
        <v/>
      </c>
      <c r="R652" s="108" t="str">
        <f>IFERROR(INDEX(Setup!$L$44:$L$70,MATCH(M652,Setup!$K$44:$K$70,0))&amp;"","")</f>
        <v/>
      </c>
      <c r="S652" s="108" t="str">
        <f>Setup!$C$30</f>
        <v>USD</v>
      </c>
      <c r="T652" s="109" t="str">
        <f>IFERROR(INDEX('Data Sheet'!$B$198:$B$275,MATCH(I652,'Data Sheet'!$F$198:$F$275,0)),"")</f>
        <v/>
      </c>
      <c r="U652" s="110" t="str">
        <f>IFERROR(INDEX('Data Sheet'!$D$198:$D$275,MATCH(I652,'Data Sheet'!$F$198:$F$275,0)),"")</f>
        <v/>
      </c>
      <c r="V652" s="99"/>
      <c r="W652" s="195" t="str">
        <f>IF(V652=Setup!$C$30,"Grant",IF(V652=Setup!$C$31,"Local",IF(V652=Setup!$C$32,"Other",IF(ISBLANK(V652),"","Other"))))</f>
        <v/>
      </c>
      <c r="X652" s="255"/>
      <c r="Y652" s="259" t="str">
        <f>IF(X652&lt;&gt;"",X652/VLOOKUP($V652,Setup!$C$30:$D$41,2,0),"")</f>
        <v/>
      </c>
      <c r="Z652" s="262"/>
      <c r="AA652" s="256" t="str">
        <f t="shared" si="310"/>
        <v/>
      </c>
      <c r="AB652" s="262"/>
      <c r="AC652" s="258" t="str">
        <f t="shared" si="311"/>
        <v/>
      </c>
      <c r="AD652" s="262"/>
      <c r="AE652" s="258" t="str">
        <f t="shared" si="312"/>
        <v/>
      </c>
      <c r="AF652" s="262"/>
      <c r="AG652" s="256" t="str">
        <f t="shared" si="313"/>
        <v/>
      </c>
      <c r="AH652" s="256" t="str">
        <f t="shared" si="314"/>
        <v/>
      </c>
      <c r="AI652" s="256" t="str">
        <f t="shared" si="315"/>
        <v/>
      </c>
      <c r="AJ652" s="111"/>
      <c r="AK652" s="255"/>
      <c r="AL652" s="259" t="str">
        <f>IF(AK652&lt;&gt;"",AK652/VLOOKUP($V652,Setup!$C$30:$D$41,2,0),"")</f>
        <v/>
      </c>
      <c r="AM652" s="266"/>
      <c r="AN652" s="258" t="str">
        <f t="shared" si="316"/>
        <v/>
      </c>
      <c r="AO652" s="266"/>
      <c r="AP652" s="258" t="str">
        <f t="shared" si="317"/>
        <v/>
      </c>
      <c r="AQ652" s="266"/>
      <c r="AR652" s="258" t="str">
        <f t="shared" si="318"/>
        <v/>
      </c>
      <c r="AS652" s="266"/>
      <c r="AT652" s="256" t="str">
        <f t="shared" si="319"/>
        <v/>
      </c>
      <c r="AU652" s="256" t="str">
        <f t="shared" si="320"/>
        <v/>
      </c>
      <c r="AV652" s="256" t="str">
        <f t="shared" si="321"/>
        <v/>
      </c>
      <c r="AW652" s="267"/>
      <c r="AX652" s="255"/>
      <c r="AY652" s="259" t="str">
        <f>IF(AX652&lt;&gt;"",AX652/VLOOKUP($V652,Setup!$C$30:$D$41,2,0),"")</f>
        <v/>
      </c>
      <c r="AZ652" s="268"/>
      <c r="BA652" s="258" t="str">
        <f t="shared" si="322"/>
        <v/>
      </c>
      <c r="BB652" s="268"/>
      <c r="BC652" s="258" t="str">
        <f t="shared" si="323"/>
        <v/>
      </c>
      <c r="BD652" s="268"/>
      <c r="BE652" s="258" t="str">
        <f t="shared" si="324"/>
        <v/>
      </c>
      <c r="BF652" s="268"/>
      <c r="BG652" s="256" t="str">
        <f t="shared" si="325"/>
        <v/>
      </c>
      <c r="BH652" s="256" t="str">
        <f t="shared" si="326"/>
        <v/>
      </c>
      <c r="BI652" s="256" t="str">
        <f t="shared" si="327"/>
        <v/>
      </c>
      <c r="BJ652" s="267"/>
      <c r="BK652" s="255"/>
      <c r="BL652" s="259" t="str">
        <f>IF(BK652&lt;&gt;"",BK652/VLOOKUP($V652,Setup!$C$30:$D$41,2,0),"")</f>
        <v/>
      </c>
      <c r="BM652" s="268"/>
      <c r="BN652" s="258" t="str">
        <f t="shared" si="328"/>
        <v/>
      </c>
      <c r="BO652" s="268"/>
      <c r="BP652" s="258" t="str">
        <f t="shared" si="329"/>
        <v/>
      </c>
      <c r="BQ652" s="268"/>
      <c r="BR652" s="258" t="str">
        <f t="shared" si="330"/>
        <v/>
      </c>
      <c r="BS652" s="268"/>
      <c r="BT652" s="256" t="str">
        <f t="shared" si="331"/>
        <v/>
      </c>
      <c r="BU652" s="256" t="str">
        <f t="shared" si="332"/>
        <v/>
      </c>
      <c r="BV652" s="256" t="str">
        <f t="shared" si="333"/>
        <v/>
      </c>
      <c r="BW652" s="267"/>
      <c r="BX652" s="256" t="str">
        <f t="shared" si="334"/>
        <v/>
      </c>
      <c r="BY652" s="256" t="str">
        <f t="shared" si="335"/>
        <v/>
      </c>
      <c r="BZ652" s="281"/>
      <c r="CA652" s="282"/>
      <c r="CF652" s="284"/>
      <c r="CG652" s="284"/>
      <c r="CH652" s="284"/>
      <c r="CI652" s="284"/>
      <c r="CL652" s="356" t="str">
        <f>IFERROR(VLOOKUP(C652,'Data Sheet'!$A$3:$B$26,2,FALSE),"")</f>
        <v/>
      </c>
    </row>
    <row r="653" spans="1:90" ht="15.75" x14ac:dyDescent="0.2">
      <c r="A653" s="97"/>
      <c r="B653" s="105" t="str">
        <f t="shared" si="309"/>
        <v>--</v>
      </c>
      <c r="C653" s="276"/>
      <c r="D653" s="101" t="str">
        <f>IFERROR(IF(VLOOKUP(C653,'Data Sheet'!$A$3:$D$26,4,FALSE)=0,"",VLOOKUP(C653,'Data Sheet'!$A$3:$D$26,4,FALSE)),"")</f>
        <v/>
      </c>
      <c r="E653" s="279"/>
      <c r="F653" s="103" t="str">
        <f>IFERROR(IF(VLOOKUP(E653,'Data Sheet'!$C$29:$E$174,3,FALSE)=0,"",VLOOKUP(E653,'Data Sheet'!$C$29:$E$174,3,FALSE)),"")</f>
        <v/>
      </c>
      <c r="G653" s="106" t="str">
        <f t="shared" si="336"/>
        <v>-</v>
      </c>
      <c r="H653" s="273"/>
      <c r="I653" s="107"/>
      <c r="J653" s="249" t="e">
        <f t="shared" si="337"/>
        <v>#VALUE!</v>
      </c>
      <c r="K653" s="101" t="str">
        <f>IFERROR(INDEX('Data Sheet'!$C$198:$C$275,MATCH(I653,'Data Sheet'!$F$198:$F$275,0)),"")</f>
        <v/>
      </c>
      <c r="L653" s="250" t="str">
        <f>IFERROR(INDEX('Data Sheet'!$G$198:$G$275,MATCH(I653,'Data Sheet'!$F$198:$F$275,0)),"")</f>
        <v/>
      </c>
      <c r="M653" s="194"/>
      <c r="N653" s="248"/>
      <c r="O653" s="248"/>
      <c r="P653" s="108" t="str">
        <f>IFERROR(INDEX(Setup!$D$44:$D$70,MATCH(M653,Setup!$K$44:$K$70,0))&amp;"","")</f>
        <v/>
      </c>
      <c r="Q653" s="108" t="str">
        <f>IFERROR(INDEX(Setup!$E$44:$E$70,MATCH(M653,Setup!$K$44:$K$70,0))&amp;"","")</f>
        <v/>
      </c>
      <c r="R653" s="108" t="str">
        <f>IFERROR(INDEX(Setup!$L$44:$L$70,MATCH(M653,Setup!$K$44:$K$70,0))&amp;"","")</f>
        <v/>
      </c>
      <c r="S653" s="108" t="str">
        <f>Setup!$C$30</f>
        <v>USD</v>
      </c>
      <c r="T653" s="109" t="str">
        <f>IFERROR(INDEX('Data Sheet'!$B$198:$B$275,MATCH(I653,'Data Sheet'!$F$198:$F$275,0)),"")</f>
        <v/>
      </c>
      <c r="U653" s="110" t="str">
        <f>IFERROR(INDEX('Data Sheet'!$D$198:$D$275,MATCH(I653,'Data Sheet'!$F$198:$F$275,0)),"")</f>
        <v/>
      </c>
      <c r="V653" s="99"/>
      <c r="W653" s="195" t="str">
        <f>IF(V653=Setup!$C$30,"Grant",IF(V653=Setup!$C$31,"Local",IF(V653=Setup!$C$32,"Other",IF(ISBLANK(V653),"","Other"))))</f>
        <v/>
      </c>
      <c r="X653" s="255"/>
      <c r="Y653" s="259" t="str">
        <f>IF(X653&lt;&gt;"",X653/VLOOKUP($V653,Setup!$C$30:$D$41,2,0),"")</f>
        <v/>
      </c>
      <c r="Z653" s="262"/>
      <c r="AA653" s="256" t="str">
        <f t="shared" si="310"/>
        <v/>
      </c>
      <c r="AB653" s="262"/>
      <c r="AC653" s="258" t="str">
        <f t="shared" si="311"/>
        <v/>
      </c>
      <c r="AD653" s="262"/>
      <c r="AE653" s="258" t="str">
        <f t="shared" si="312"/>
        <v/>
      </c>
      <c r="AF653" s="262"/>
      <c r="AG653" s="256" t="str">
        <f t="shared" si="313"/>
        <v/>
      </c>
      <c r="AH653" s="256" t="str">
        <f t="shared" si="314"/>
        <v/>
      </c>
      <c r="AI653" s="256" t="str">
        <f t="shared" si="315"/>
        <v/>
      </c>
      <c r="AJ653" s="111"/>
      <c r="AK653" s="255"/>
      <c r="AL653" s="259" t="str">
        <f>IF(AK653&lt;&gt;"",AK653/VLOOKUP($V653,Setup!$C$30:$D$41,2,0),"")</f>
        <v/>
      </c>
      <c r="AM653" s="266"/>
      <c r="AN653" s="258" t="str">
        <f t="shared" si="316"/>
        <v/>
      </c>
      <c r="AO653" s="266"/>
      <c r="AP653" s="258" t="str">
        <f t="shared" si="317"/>
        <v/>
      </c>
      <c r="AQ653" s="266"/>
      <c r="AR653" s="258" t="str">
        <f t="shared" si="318"/>
        <v/>
      </c>
      <c r="AS653" s="266"/>
      <c r="AT653" s="256" t="str">
        <f t="shared" si="319"/>
        <v/>
      </c>
      <c r="AU653" s="256" t="str">
        <f t="shared" si="320"/>
        <v/>
      </c>
      <c r="AV653" s="256" t="str">
        <f t="shared" si="321"/>
        <v/>
      </c>
      <c r="AW653" s="267"/>
      <c r="AX653" s="255"/>
      <c r="AY653" s="259" t="str">
        <f>IF(AX653&lt;&gt;"",AX653/VLOOKUP($V653,Setup!$C$30:$D$41,2,0),"")</f>
        <v/>
      </c>
      <c r="AZ653" s="268"/>
      <c r="BA653" s="258" t="str">
        <f t="shared" si="322"/>
        <v/>
      </c>
      <c r="BB653" s="268"/>
      <c r="BC653" s="258" t="str">
        <f t="shared" si="323"/>
        <v/>
      </c>
      <c r="BD653" s="268"/>
      <c r="BE653" s="258" t="str">
        <f t="shared" si="324"/>
        <v/>
      </c>
      <c r="BF653" s="268"/>
      <c r="BG653" s="256" t="str">
        <f t="shared" si="325"/>
        <v/>
      </c>
      <c r="BH653" s="256" t="str">
        <f t="shared" si="326"/>
        <v/>
      </c>
      <c r="BI653" s="256" t="str">
        <f t="shared" si="327"/>
        <v/>
      </c>
      <c r="BJ653" s="267"/>
      <c r="BK653" s="255"/>
      <c r="BL653" s="259" t="str">
        <f>IF(BK653&lt;&gt;"",BK653/VLOOKUP($V653,Setup!$C$30:$D$41,2,0),"")</f>
        <v/>
      </c>
      <c r="BM653" s="268"/>
      <c r="BN653" s="258" t="str">
        <f t="shared" si="328"/>
        <v/>
      </c>
      <c r="BO653" s="268"/>
      <c r="BP653" s="258" t="str">
        <f t="shared" si="329"/>
        <v/>
      </c>
      <c r="BQ653" s="268"/>
      <c r="BR653" s="258" t="str">
        <f t="shared" si="330"/>
        <v/>
      </c>
      <c r="BS653" s="268"/>
      <c r="BT653" s="256" t="str">
        <f t="shared" si="331"/>
        <v/>
      </c>
      <c r="BU653" s="256" t="str">
        <f t="shared" si="332"/>
        <v/>
      </c>
      <c r="BV653" s="256" t="str">
        <f t="shared" si="333"/>
        <v/>
      </c>
      <c r="BW653" s="267"/>
      <c r="BX653" s="256" t="str">
        <f t="shared" si="334"/>
        <v/>
      </c>
      <c r="BY653" s="256" t="str">
        <f t="shared" si="335"/>
        <v/>
      </c>
      <c r="BZ653" s="281"/>
      <c r="CA653" s="282"/>
      <c r="CF653" s="284"/>
      <c r="CG653" s="284"/>
      <c r="CH653" s="284"/>
      <c r="CI653" s="284"/>
      <c r="CL653" s="356" t="str">
        <f>IFERROR(VLOOKUP(C653,'Data Sheet'!$A$3:$B$26,2,FALSE),"")</f>
        <v/>
      </c>
    </row>
    <row r="654" spans="1:90" ht="15.75" x14ac:dyDescent="0.2">
      <c r="A654" s="97"/>
      <c r="B654" s="105" t="str">
        <f t="shared" ref="B654:B717" si="338">CONCATENATE(D654,"-",F654,"-",N654)</f>
        <v>--</v>
      </c>
      <c r="C654" s="276"/>
      <c r="D654" s="101" t="str">
        <f>IFERROR(IF(VLOOKUP(C654,'Data Sheet'!$A$3:$D$26,4,FALSE)=0,"",VLOOKUP(C654,'Data Sheet'!$A$3:$D$26,4,FALSE)),"")</f>
        <v/>
      </c>
      <c r="E654" s="279"/>
      <c r="F654" s="103" t="str">
        <f>IFERROR(IF(VLOOKUP(E654,'Data Sheet'!$C$29:$E$174,3,FALSE)=0,"",VLOOKUP(E654,'Data Sheet'!$C$29:$E$174,3,FALSE)),"")</f>
        <v/>
      </c>
      <c r="G654" s="106" t="str">
        <f t="shared" si="336"/>
        <v>-</v>
      </c>
      <c r="H654" s="273"/>
      <c r="I654" s="107"/>
      <c r="J654" s="249" t="e">
        <f t="shared" si="337"/>
        <v>#VALUE!</v>
      </c>
      <c r="K654" s="101" t="str">
        <f>IFERROR(INDEX('Data Sheet'!$C$198:$C$275,MATCH(I654,'Data Sheet'!$F$198:$F$275,0)),"")</f>
        <v/>
      </c>
      <c r="L654" s="250" t="str">
        <f>IFERROR(INDEX('Data Sheet'!$G$198:$G$275,MATCH(I654,'Data Sheet'!$F$198:$F$275,0)),"")</f>
        <v/>
      </c>
      <c r="M654" s="194"/>
      <c r="N654" s="248"/>
      <c r="O654" s="248"/>
      <c r="P654" s="108" t="str">
        <f>IFERROR(INDEX(Setup!$D$44:$D$70,MATCH(M654,Setup!$K$44:$K$70,0))&amp;"","")</f>
        <v/>
      </c>
      <c r="Q654" s="108" t="str">
        <f>IFERROR(INDEX(Setup!$E$44:$E$70,MATCH(M654,Setup!$K$44:$K$70,0))&amp;"","")</f>
        <v/>
      </c>
      <c r="R654" s="108" t="str">
        <f>IFERROR(INDEX(Setup!$L$44:$L$70,MATCH(M654,Setup!$K$44:$K$70,0))&amp;"","")</f>
        <v/>
      </c>
      <c r="S654" s="108" t="str">
        <f>Setup!$C$30</f>
        <v>USD</v>
      </c>
      <c r="T654" s="109" t="str">
        <f>IFERROR(INDEX('Data Sheet'!$B$198:$B$275,MATCH(I654,'Data Sheet'!$F$198:$F$275,0)),"")</f>
        <v/>
      </c>
      <c r="U654" s="110" t="str">
        <f>IFERROR(INDEX('Data Sheet'!$D$198:$D$275,MATCH(I654,'Data Sheet'!$F$198:$F$275,0)),"")</f>
        <v/>
      </c>
      <c r="V654" s="99"/>
      <c r="W654" s="195" t="str">
        <f>IF(V654=Setup!$C$30,"Grant",IF(V654=Setup!$C$31,"Local",IF(V654=Setup!$C$32,"Other",IF(ISBLANK(V654),"","Other"))))</f>
        <v/>
      </c>
      <c r="X654" s="255"/>
      <c r="Y654" s="259" t="str">
        <f>IF(X654&lt;&gt;"",X654/VLOOKUP($V654,Setup!$C$30:$D$41,2,0),"")</f>
        <v/>
      </c>
      <c r="Z654" s="262"/>
      <c r="AA654" s="256" t="str">
        <f t="shared" si="310"/>
        <v/>
      </c>
      <c r="AB654" s="262"/>
      <c r="AC654" s="258" t="str">
        <f t="shared" si="311"/>
        <v/>
      </c>
      <c r="AD654" s="262"/>
      <c r="AE654" s="258" t="str">
        <f t="shared" si="312"/>
        <v/>
      </c>
      <c r="AF654" s="262"/>
      <c r="AG654" s="256" t="str">
        <f t="shared" si="313"/>
        <v/>
      </c>
      <c r="AH654" s="256" t="str">
        <f t="shared" si="314"/>
        <v/>
      </c>
      <c r="AI654" s="256" t="str">
        <f t="shared" si="315"/>
        <v/>
      </c>
      <c r="AJ654" s="111"/>
      <c r="AK654" s="255"/>
      <c r="AL654" s="259" t="str">
        <f>IF(AK654&lt;&gt;"",AK654/VLOOKUP($V654,Setup!$C$30:$D$41,2,0),"")</f>
        <v/>
      </c>
      <c r="AM654" s="266"/>
      <c r="AN654" s="258" t="str">
        <f t="shared" si="316"/>
        <v/>
      </c>
      <c r="AO654" s="266"/>
      <c r="AP654" s="258" t="str">
        <f t="shared" si="317"/>
        <v/>
      </c>
      <c r="AQ654" s="266"/>
      <c r="AR654" s="258" t="str">
        <f t="shared" si="318"/>
        <v/>
      </c>
      <c r="AS654" s="266"/>
      <c r="AT654" s="256" t="str">
        <f t="shared" si="319"/>
        <v/>
      </c>
      <c r="AU654" s="256" t="str">
        <f t="shared" si="320"/>
        <v/>
      </c>
      <c r="AV654" s="256" t="str">
        <f t="shared" si="321"/>
        <v/>
      </c>
      <c r="AW654" s="267"/>
      <c r="AX654" s="255"/>
      <c r="AY654" s="259" t="str">
        <f>IF(AX654&lt;&gt;"",AX654/VLOOKUP($V654,Setup!$C$30:$D$41,2,0),"")</f>
        <v/>
      </c>
      <c r="AZ654" s="268"/>
      <c r="BA654" s="258" t="str">
        <f t="shared" si="322"/>
        <v/>
      </c>
      <c r="BB654" s="268"/>
      <c r="BC654" s="258" t="str">
        <f t="shared" si="323"/>
        <v/>
      </c>
      <c r="BD654" s="268"/>
      <c r="BE654" s="258" t="str">
        <f t="shared" si="324"/>
        <v/>
      </c>
      <c r="BF654" s="268"/>
      <c r="BG654" s="256" t="str">
        <f t="shared" si="325"/>
        <v/>
      </c>
      <c r="BH654" s="256" t="str">
        <f t="shared" si="326"/>
        <v/>
      </c>
      <c r="BI654" s="256" t="str">
        <f t="shared" si="327"/>
        <v/>
      </c>
      <c r="BJ654" s="267"/>
      <c r="BK654" s="255"/>
      <c r="BL654" s="259" t="str">
        <f>IF(BK654&lt;&gt;"",BK654/VLOOKUP($V654,Setup!$C$30:$D$41,2,0),"")</f>
        <v/>
      </c>
      <c r="BM654" s="268"/>
      <c r="BN654" s="258" t="str">
        <f t="shared" si="328"/>
        <v/>
      </c>
      <c r="BO654" s="268"/>
      <c r="BP654" s="258" t="str">
        <f t="shared" si="329"/>
        <v/>
      </c>
      <c r="BQ654" s="268"/>
      <c r="BR654" s="258" t="str">
        <f t="shared" si="330"/>
        <v/>
      </c>
      <c r="BS654" s="268"/>
      <c r="BT654" s="256" t="str">
        <f t="shared" si="331"/>
        <v/>
      </c>
      <c r="BU654" s="256" t="str">
        <f t="shared" si="332"/>
        <v/>
      </c>
      <c r="BV654" s="256" t="str">
        <f t="shared" si="333"/>
        <v/>
      </c>
      <c r="BW654" s="267"/>
      <c r="BX654" s="256" t="str">
        <f t="shared" si="334"/>
        <v/>
      </c>
      <c r="BY654" s="256" t="str">
        <f t="shared" si="335"/>
        <v/>
      </c>
      <c r="BZ654" s="281"/>
      <c r="CA654" s="282"/>
      <c r="CF654" s="284"/>
      <c r="CG654" s="284"/>
      <c r="CH654" s="284"/>
      <c r="CI654" s="284"/>
      <c r="CL654" s="356" t="str">
        <f>IFERROR(VLOOKUP(C654,'Data Sheet'!$A$3:$B$26,2,FALSE),"")</f>
        <v/>
      </c>
    </row>
    <row r="655" spans="1:90" ht="15.75" x14ac:dyDescent="0.2">
      <c r="A655" s="97"/>
      <c r="B655" s="105" t="str">
        <f t="shared" si="338"/>
        <v>--</v>
      </c>
      <c r="C655" s="276"/>
      <c r="D655" s="101" t="str">
        <f>IFERROR(IF(VLOOKUP(C655,'Data Sheet'!$A$3:$D$26,4,FALSE)=0,"",VLOOKUP(C655,'Data Sheet'!$A$3:$D$26,4,FALSE)),"")</f>
        <v/>
      </c>
      <c r="E655" s="279"/>
      <c r="F655" s="103" t="str">
        <f>IFERROR(IF(VLOOKUP(E655,'Data Sheet'!$C$29:$E$174,3,FALSE)=0,"",VLOOKUP(E655,'Data Sheet'!$C$29:$E$174,3,FALSE)),"")</f>
        <v/>
      </c>
      <c r="G655" s="106" t="str">
        <f t="shared" si="336"/>
        <v>-</v>
      </c>
      <c r="H655" s="273"/>
      <c r="I655" s="107"/>
      <c r="J655" s="249" t="e">
        <f t="shared" si="337"/>
        <v>#VALUE!</v>
      </c>
      <c r="K655" s="101" t="str">
        <f>IFERROR(INDEX('Data Sheet'!$C$198:$C$275,MATCH(I655,'Data Sheet'!$F$198:$F$275,0)),"")</f>
        <v/>
      </c>
      <c r="L655" s="250" t="str">
        <f>IFERROR(INDEX('Data Sheet'!$G$198:$G$275,MATCH(I655,'Data Sheet'!$F$198:$F$275,0)),"")</f>
        <v/>
      </c>
      <c r="M655" s="194"/>
      <c r="N655" s="248"/>
      <c r="O655" s="248"/>
      <c r="P655" s="108" t="str">
        <f>IFERROR(INDEX(Setup!$D$44:$D$70,MATCH(M655,Setup!$K$44:$K$70,0))&amp;"","")</f>
        <v/>
      </c>
      <c r="Q655" s="108" t="str">
        <f>IFERROR(INDEX(Setup!$E$44:$E$70,MATCH(M655,Setup!$K$44:$K$70,0))&amp;"","")</f>
        <v/>
      </c>
      <c r="R655" s="108" t="str">
        <f>IFERROR(INDEX(Setup!$L$44:$L$70,MATCH(M655,Setup!$K$44:$K$70,0))&amp;"","")</f>
        <v/>
      </c>
      <c r="S655" s="108" t="str">
        <f>Setup!$C$30</f>
        <v>USD</v>
      </c>
      <c r="T655" s="109" t="str">
        <f>IFERROR(INDEX('Data Sheet'!$B$198:$B$275,MATCH(I655,'Data Sheet'!$F$198:$F$275,0)),"")</f>
        <v/>
      </c>
      <c r="U655" s="110" t="str">
        <f>IFERROR(INDEX('Data Sheet'!$D$198:$D$275,MATCH(I655,'Data Sheet'!$F$198:$F$275,0)),"")</f>
        <v/>
      </c>
      <c r="V655" s="99"/>
      <c r="W655" s="195" t="str">
        <f>IF(V655=Setup!$C$30,"Grant",IF(V655=Setup!$C$31,"Local",IF(V655=Setup!$C$32,"Other",IF(ISBLANK(V655),"","Other"))))</f>
        <v/>
      </c>
      <c r="X655" s="255"/>
      <c r="Y655" s="259" t="str">
        <f>IF(X655&lt;&gt;"",X655/VLOOKUP($V655,Setup!$C$30:$D$41,2,0),"")</f>
        <v/>
      </c>
      <c r="Z655" s="262"/>
      <c r="AA655" s="256" t="str">
        <f t="shared" si="310"/>
        <v/>
      </c>
      <c r="AB655" s="262"/>
      <c r="AC655" s="258" t="str">
        <f t="shared" si="311"/>
        <v/>
      </c>
      <c r="AD655" s="262"/>
      <c r="AE655" s="258" t="str">
        <f t="shared" si="312"/>
        <v/>
      </c>
      <c r="AF655" s="262"/>
      <c r="AG655" s="256" t="str">
        <f t="shared" si="313"/>
        <v/>
      </c>
      <c r="AH655" s="256" t="str">
        <f t="shared" si="314"/>
        <v/>
      </c>
      <c r="AI655" s="256" t="str">
        <f t="shared" si="315"/>
        <v/>
      </c>
      <c r="AJ655" s="111"/>
      <c r="AK655" s="255"/>
      <c r="AL655" s="259" t="str">
        <f>IF(AK655&lt;&gt;"",AK655/VLOOKUP($V655,Setup!$C$30:$D$41,2,0),"")</f>
        <v/>
      </c>
      <c r="AM655" s="266"/>
      <c r="AN655" s="258" t="str">
        <f t="shared" si="316"/>
        <v/>
      </c>
      <c r="AO655" s="266"/>
      <c r="AP655" s="258" t="str">
        <f t="shared" si="317"/>
        <v/>
      </c>
      <c r="AQ655" s="266"/>
      <c r="AR655" s="258" t="str">
        <f t="shared" si="318"/>
        <v/>
      </c>
      <c r="AS655" s="266"/>
      <c r="AT655" s="256" t="str">
        <f t="shared" si="319"/>
        <v/>
      </c>
      <c r="AU655" s="256" t="str">
        <f t="shared" si="320"/>
        <v/>
      </c>
      <c r="AV655" s="256" t="str">
        <f t="shared" si="321"/>
        <v/>
      </c>
      <c r="AW655" s="267"/>
      <c r="AX655" s="255"/>
      <c r="AY655" s="259" t="str">
        <f>IF(AX655&lt;&gt;"",AX655/VLOOKUP($V655,Setup!$C$30:$D$41,2,0),"")</f>
        <v/>
      </c>
      <c r="AZ655" s="268"/>
      <c r="BA655" s="258" t="str">
        <f t="shared" si="322"/>
        <v/>
      </c>
      <c r="BB655" s="268"/>
      <c r="BC655" s="258" t="str">
        <f t="shared" si="323"/>
        <v/>
      </c>
      <c r="BD655" s="268"/>
      <c r="BE655" s="258" t="str">
        <f t="shared" si="324"/>
        <v/>
      </c>
      <c r="BF655" s="268"/>
      <c r="BG655" s="256" t="str">
        <f t="shared" si="325"/>
        <v/>
      </c>
      <c r="BH655" s="256" t="str">
        <f t="shared" si="326"/>
        <v/>
      </c>
      <c r="BI655" s="256" t="str">
        <f t="shared" si="327"/>
        <v/>
      </c>
      <c r="BJ655" s="267"/>
      <c r="BK655" s="255"/>
      <c r="BL655" s="259" t="str">
        <f>IF(BK655&lt;&gt;"",BK655/VLOOKUP($V655,Setup!$C$30:$D$41,2,0),"")</f>
        <v/>
      </c>
      <c r="BM655" s="268"/>
      <c r="BN655" s="258" t="str">
        <f t="shared" si="328"/>
        <v/>
      </c>
      <c r="BO655" s="268"/>
      <c r="BP655" s="258" t="str">
        <f t="shared" si="329"/>
        <v/>
      </c>
      <c r="BQ655" s="268"/>
      <c r="BR655" s="258" t="str">
        <f t="shared" si="330"/>
        <v/>
      </c>
      <c r="BS655" s="268"/>
      <c r="BT655" s="256" t="str">
        <f t="shared" si="331"/>
        <v/>
      </c>
      <c r="BU655" s="256" t="str">
        <f t="shared" si="332"/>
        <v/>
      </c>
      <c r="BV655" s="256" t="str">
        <f t="shared" si="333"/>
        <v/>
      </c>
      <c r="BW655" s="267"/>
      <c r="BX655" s="256" t="str">
        <f t="shared" si="334"/>
        <v/>
      </c>
      <c r="BY655" s="256" t="str">
        <f t="shared" si="335"/>
        <v/>
      </c>
      <c r="BZ655" s="281"/>
      <c r="CA655" s="282"/>
      <c r="CF655" s="284"/>
      <c r="CG655" s="284"/>
      <c r="CH655" s="284"/>
      <c r="CI655" s="284"/>
      <c r="CL655" s="356" t="str">
        <f>IFERROR(VLOOKUP(C655,'Data Sheet'!$A$3:$B$26,2,FALSE),"")</f>
        <v/>
      </c>
    </row>
    <row r="656" spans="1:90" ht="15.75" x14ac:dyDescent="0.2">
      <c r="A656" s="97"/>
      <c r="B656" s="105" t="str">
        <f t="shared" si="338"/>
        <v>--</v>
      </c>
      <c r="C656" s="276"/>
      <c r="D656" s="101" t="str">
        <f>IFERROR(IF(VLOOKUP(C656,'Data Sheet'!$A$3:$D$26,4,FALSE)=0,"",VLOOKUP(C656,'Data Sheet'!$A$3:$D$26,4,FALSE)),"")</f>
        <v/>
      </c>
      <c r="E656" s="279"/>
      <c r="F656" s="103" t="str">
        <f>IFERROR(IF(VLOOKUP(E656,'Data Sheet'!$C$29:$E$174,3,FALSE)=0,"",VLOOKUP(E656,'Data Sheet'!$C$29:$E$174,3,FALSE)),"")</f>
        <v/>
      </c>
      <c r="G656" s="106" t="str">
        <f t="shared" si="336"/>
        <v>-</v>
      </c>
      <c r="H656" s="273"/>
      <c r="I656" s="107"/>
      <c r="J656" s="249" t="e">
        <f t="shared" si="337"/>
        <v>#VALUE!</v>
      </c>
      <c r="K656" s="101" t="str">
        <f>IFERROR(INDEX('Data Sheet'!$C$198:$C$275,MATCH(I656,'Data Sheet'!$F$198:$F$275,0)),"")</f>
        <v/>
      </c>
      <c r="L656" s="250" t="str">
        <f>IFERROR(INDEX('Data Sheet'!$G$198:$G$275,MATCH(I656,'Data Sheet'!$F$198:$F$275,0)),"")</f>
        <v/>
      </c>
      <c r="M656" s="194"/>
      <c r="N656" s="248"/>
      <c r="O656" s="248"/>
      <c r="P656" s="108" t="str">
        <f>IFERROR(INDEX(Setup!$D$44:$D$70,MATCH(M656,Setup!$K$44:$K$70,0))&amp;"","")</f>
        <v/>
      </c>
      <c r="Q656" s="108" t="str">
        <f>IFERROR(INDEX(Setup!$E$44:$E$70,MATCH(M656,Setup!$K$44:$K$70,0))&amp;"","")</f>
        <v/>
      </c>
      <c r="R656" s="108" t="str">
        <f>IFERROR(INDEX(Setup!$L$44:$L$70,MATCH(M656,Setup!$K$44:$K$70,0))&amp;"","")</f>
        <v/>
      </c>
      <c r="S656" s="108" t="str">
        <f>Setup!$C$30</f>
        <v>USD</v>
      </c>
      <c r="T656" s="109" t="str">
        <f>IFERROR(INDEX('Data Sheet'!$B$198:$B$275,MATCH(I656,'Data Sheet'!$F$198:$F$275,0)),"")</f>
        <v/>
      </c>
      <c r="U656" s="110" t="str">
        <f>IFERROR(INDEX('Data Sheet'!$D$198:$D$275,MATCH(I656,'Data Sheet'!$F$198:$F$275,0)),"")</f>
        <v/>
      </c>
      <c r="V656" s="99"/>
      <c r="W656" s="195" t="str">
        <f>IF(V656=Setup!$C$30,"Grant",IF(V656=Setup!$C$31,"Local",IF(V656=Setup!$C$32,"Other",IF(ISBLANK(V656),"","Other"))))</f>
        <v/>
      </c>
      <c r="X656" s="255"/>
      <c r="Y656" s="259" t="str">
        <f>IF(X656&lt;&gt;"",X656/VLOOKUP($V656,Setup!$C$30:$D$41,2,0),"")</f>
        <v/>
      </c>
      <c r="Z656" s="262"/>
      <c r="AA656" s="256" t="str">
        <f t="shared" si="310"/>
        <v/>
      </c>
      <c r="AB656" s="262"/>
      <c r="AC656" s="258" t="str">
        <f t="shared" si="311"/>
        <v/>
      </c>
      <c r="AD656" s="262"/>
      <c r="AE656" s="258" t="str">
        <f t="shared" si="312"/>
        <v/>
      </c>
      <c r="AF656" s="262"/>
      <c r="AG656" s="256" t="str">
        <f t="shared" si="313"/>
        <v/>
      </c>
      <c r="AH656" s="256" t="str">
        <f t="shared" si="314"/>
        <v/>
      </c>
      <c r="AI656" s="256" t="str">
        <f t="shared" si="315"/>
        <v/>
      </c>
      <c r="AJ656" s="111"/>
      <c r="AK656" s="255"/>
      <c r="AL656" s="259" t="str">
        <f>IF(AK656&lt;&gt;"",AK656/VLOOKUP($V656,Setup!$C$30:$D$41,2,0),"")</f>
        <v/>
      </c>
      <c r="AM656" s="266"/>
      <c r="AN656" s="258" t="str">
        <f t="shared" si="316"/>
        <v/>
      </c>
      <c r="AO656" s="266"/>
      <c r="AP656" s="258" t="str">
        <f t="shared" si="317"/>
        <v/>
      </c>
      <c r="AQ656" s="266"/>
      <c r="AR656" s="258" t="str">
        <f t="shared" si="318"/>
        <v/>
      </c>
      <c r="AS656" s="266"/>
      <c r="AT656" s="256" t="str">
        <f t="shared" si="319"/>
        <v/>
      </c>
      <c r="AU656" s="256" t="str">
        <f t="shared" si="320"/>
        <v/>
      </c>
      <c r="AV656" s="256" t="str">
        <f t="shared" si="321"/>
        <v/>
      </c>
      <c r="AW656" s="267"/>
      <c r="AX656" s="255"/>
      <c r="AY656" s="259" t="str">
        <f>IF(AX656&lt;&gt;"",AX656/VLOOKUP($V656,Setup!$C$30:$D$41,2,0),"")</f>
        <v/>
      </c>
      <c r="AZ656" s="268"/>
      <c r="BA656" s="258" t="str">
        <f t="shared" si="322"/>
        <v/>
      </c>
      <c r="BB656" s="268"/>
      <c r="BC656" s="258" t="str">
        <f t="shared" si="323"/>
        <v/>
      </c>
      <c r="BD656" s="268"/>
      <c r="BE656" s="258" t="str">
        <f t="shared" si="324"/>
        <v/>
      </c>
      <c r="BF656" s="268"/>
      <c r="BG656" s="256" t="str">
        <f t="shared" si="325"/>
        <v/>
      </c>
      <c r="BH656" s="256" t="str">
        <f t="shared" si="326"/>
        <v/>
      </c>
      <c r="BI656" s="256" t="str">
        <f t="shared" si="327"/>
        <v/>
      </c>
      <c r="BJ656" s="267"/>
      <c r="BK656" s="255"/>
      <c r="BL656" s="259" t="str">
        <f>IF(BK656&lt;&gt;"",BK656/VLOOKUP($V656,Setup!$C$30:$D$41,2,0),"")</f>
        <v/>
      </c>
      <c r="BM656" s="268"/>
      <c r="BN656" s="258" t="str">
        <f t="shared" si="328"/>
        <v/>
      </c>
      <c r="BO656" s="268"/>
      <c r="BP656" s="258" t="str">
        <f t="shared" si="329"/>
        <v/>
      </c>
      <c r="BQ656" s="268"/>
      <c r="BR656" s="258" t="str">
        <f t="shared" si="330"/>
        <v/>
      </c>
      <c r="BS656" s="268"/>
      <c r="BT656" s="256" t="str">
        <f t="shared" si="331"/>
        <v/>
      </c>
      <c r="BU656" s="256" t="str">
        <f t="shared" si="332"/>
        <v/>
      </c>
      <c r="BV656" s="256" t="str">
        <f t="shared" si="333"/>
        <v/>
      </c>
      <c r="BW656" s="267"/>
      <c r="BX656" s="256" t="str">
        <f t="shared" si="334"/>
        <v/>
      </c>
      <c r="BY656" s="256" t="str">
        <f t="shared" si="335"/>
        <v/>
      </c>
      <c r="BZ656" s="281"/>
      <c r="CA656" s="282"/>
      <c r="CF656" s="284"/>
      <c r="CG656" s="284"/>
      <c r="CH656" s="284"/>
      <c r="CI656" s="284"/>
      <c r="CL656" s="356" t="str">
        <f>IFERROR(VLOOKUP(C656,'Data Sheet'!$A$3:$B$26,2,FALSE),"")</f>
        <v/>
      </c>
    </row>
    <row r="657" spans="1:90" ht="15.75" x14ac:dyDescent="0.2">
      <c r="A657" s="97"/>
      <c r="B657" s="105" t="str">
        <f t="shared" si="338"/>
        <v>--</v>
      </c>
      <c r="C657" s="276"/>
      <c r="D657" s="101" t="str">
        <f>IFERROR(IF(VLOOKUP(C657,'Data Sheet'!$A$3:$D$26,4,FALSE)=0,"",VLOOKUP(C657,'Data Sheet'!$A$3:$D$26,4,FALSE)),"")</f>
        <v/>
      </c>
      <c r="E657" s="279"/>
      <c r="F657" s="103" t="str">
        <f>IFERROR(IF(VLOOKUP(E657,'Data Sheet'!$C$29:$E$174,3,FALSE)=0,"",VLOOKUP(E657,'Data Sheet'!$C$29:$E$174,3,FALSE)),"")</f>
        <v/>
      </c>
      <c r="G657" s="106" t="str">
        <f t="shared" si="336"/>
        <v>-</v>
      </c>
      <c r="H657" s="273"/>
      <c r="I657" s="107"/>
      <c r="J657" s="249" t="e">
        <f t="shared" si="337"/>
        <v>#VALUE!</v>
      </c>
      <c r="K657" s="101" t="str">
        <f>IFERROR(INDEX('Data Sheet'!$C$198:$C$275,MATCH(I657,'Data Sheet'!$F$198:$F$275,0)),"")</f>
        <v/>
      </c>
      <c r="L657" s="250" t="str">
        <f>IFERROR(INDEX('Data Sheet'!$G$198:$G$275,MATCH(I657,'Data Sheet'!$F$198:$F$275,0)),"")</f>
        <v/>
      </c>
      <c r="M657" s="194"/>
      <c r="N657" s="248"/>
      <c r="O657" s="248"/>
      <c r="P657" s="108" t="str">
        <f>IFERROR(INDEX(Setup!$D$44:$D$70,MATCH(M657,Setup!$K$44:$K$70,0))&amp;"","")</f>
        <v/>
      </c>
      <c r="Q657" s="108" t="str">
        <f>IFERROR(INDEX(Setup!$E$44:$E$70,MATCH(M657,Setup!$K$44:$K$70,0))&amp;"","")</f>
        <v/>
      </c>
      <c r="R657" s="108" t="str">
        <f>IFERROR(INDEX(Setup!$L$44:$L$70,MATCH(M657,Setup!$K$44:$K$70,0))&amp;"","")</f>
        <v/>
      </c>
      <c r="S657" s="108" t="str">
        <f>Setup!$C$30</f>
        <v>USD</v>
      </c>
      <c r="T657" s="109" t="str">
        <f>IFERROR(INDEX('Data Sheet'!$B$198:$B$275,MATCH(I657,'Data Sheet'!$F$198:$F$275,0)),"")</f>
        <v/>
      </c>
      <c r="U657" s="110" t="str">
        <f>IFERROR(INDEX('Data Sheet'!$D$198:$D$275,MATCH(I657,'Data Sheet'!$F$198:$F$275,0)),"")</f>
        <v/>
      </c>
      <c r="V657" s="99"/>
      <c r="W657" s="195" t="str">
        <f>IF(V657=Setup!$C$30,"Grant",IF(V657=Setup!$C$31,"Local",IF(V657=Setup!$C$32,"Other",IF(ISBLANK(V657),"","Other"))))</f>
        <v/>
      </c>
      <c r="X657" s="255"/>
      <c r="Y657" s="259" t="str">
        <f>IF(X657&lt;&gt;"",X657/VLOOKUP($V657,Setup!$C$30:$D$41,2,0),"")</f>
        <v/>
      </c>
      <c r="Z657" s="262"/>
      <c r="AA657" s="256" t="str">
        <f t="shared" si="310"/>
        <v/>
      </c>
      <c r="AB657" s="262"/>
      <c r="AC657" s="258" t="str">
        <f t="shared" si="311"/>
        <v/>
      </c>
      <c r="AD657" s="262"/>
      <c r="AE657" s="258" t="str">
        <f t="shared" si="312"/>
        <v/>
      </c>
      <c r="AF657" s="262"/>
      <c r="AG657" s="256" t="str">
        <f t="shared" si="313"/>
        <v/>
      </c>
      <c r="AH657" s="256" t="str">
        <f t="shared" si="314"/>
        <v/>
      </c>
      <c r="AI657" s="256" t="str">
        <f t="shared" si="315"/>
        <v/>
      </c>
      <c r="AJ657" s="111"/>
      <c r="AK657" s="255"/>
      <c r="AL657" s="259" t="str">
        <f>IF(AK657&lt;&gt;"",AK657/VLOOKUP($V657,Setup!$C$30:$D$41,2,0),"")</f>
        <v/>
      </c>
      <c r="AM657" s="266"/>
      <c r="AN657" s="258" t="str">
        <f t="shared" si="316"/>
        <v/>
      </c>
      <c r="AO657" s="266"/>
      <c r="AP657" s="258" t="str">
        <f t="shared" si="317"/>
        <v/>
      </c>
      <c r="AQ657" s="266"/>
      <c r="AR657" s="258" t="str">
        <f t="shared" si="318"/>
        <v/>
      </c>
      <c r="AS657" s="266"/>
      <c r="AT657" s="256" t="str">
        <f t="shared" si="319"/>
        <v/>
      </c>
      <c r="AU657" s="256" t="str">
        <f t="shared" si="320"/>
        <v/>
      </c>
      <c r="AV657" s="256" t="str">
        <f t="shared" si="321"/>
        <v/>
      </c>
      <c r="AW657" s="267"/>
      <c r="AX657" s="255"/>
      <c r="AY657" s="259" t="str">
        <f>IF(AX657&lt;&gt;"",AX657/VLOOKUP($V657,Setup!$C$30:$D$41,2,0),"")</f>
        <v/>
      </c>
      <c r="AZ657" s="268"/>
      <c r="BA657" s="258" t="str">
        <f t="shared" si="322"/>
        <v/>
      </c>
      <c r="BB657" s="268"/>
      <c r="BC657" s="258" t="str">
        <f t="shared" si="323"/>
        <v/>
      </c>
      <c r="BD657" s="268"/>
      <c r="BE657" s="258" t="str">
        <f t="shared" si="324"/>
        <v/>
      </c>
      <c r="BF657" s="268"/>
      <c r="BG657" s="256" t="str">
        <f t="shared" si="325"/>
        <v/>
      </c>
      <c r="BH657" s="256" t="str">
        <f t="shared" si="326"/>
        <v/>
      </c>
      <c r="BI657" s="256" t="str">
        <f t="shared" si="327"/>
        <v/>
      </c>
      <c r="BJ657" s="267"/>
      <c r="BK657" s="255"/>
      <c r="BL657" s="259" t="str">
        <f>IF(BK657&lt;&gt;"",BK657/VLOOKUP($V657,Setup!$C$30:$D$41,2,0),"")</f>
        <v/>
      </c>
      <c r="BM657" s="268"/>
      <c r="BN657" s="258" t="str">
        <f t="shared" si="328"/>
        <v/>
      </c>
      <c r="BO657" s="268"/>
      <c r="BP657" s="258" t="str">
        <f t="shared" si="329"/>
        <v/>
      </c>
      <c r="BQ657" s="268"/>
      <c r="BR657" s="258" t="str">
        <f t="shared" si="330"/>
        <v/>
      </c>
      <c r="BS657" s="268"/>
      <c r="BT657" s="256" t="str">
        <f t="shared" si="331"/>
        <v/>
      </c>
      <c r="BU657" s="256" t="str">
        <f t="shared" si="332"/>
        <v/>
      </c>
      <c r="BV657" s="256" t="str">
        <f t="shared" si="333"/>
        <v/>
      </c>
      <c r="BW657" s="267"/>
      <c r="BX657" s="256" t="str">
        <f t="shared" si="334"/>
        <v/>
      </c>
      <c r="BY657" s="256" t="str">
        <f t="shared" si="335"/>
        <v/>
      </c>
      <c r="BZ657" s="281"/>
      <c r="CA657" s="282"/>
      <c r="CF657" s="284"/>
      <c r="CG657" s="284"/>
      <c r="CH657" s="284"/>
      <c r="CI657" s="284"/>
      <c r="CL657" s="356" t="str">
        <f>IFERROR(VLOOKUP(C657,'Data Sheet'!$A$3:$B$26,2,FALSE),"")</f>
        <v/>
      </c>
    </row>
    <row r="658" spans="1:90" ht="15.75" x14ac:dyDescent="0.2">
      <c r="A658" s="97"/>
      <c r="B658" s="105" t="str">
        <f t="shared" si="338"/>
        <v>--</v>
      </c>
      <c r="C658" s="276"/>
      <c r="D658" s="101" t="str">
        <f>IFERROR(IF(VLOOKUP(C658,'Data Sheet'!$A$3:$D$26,4,FALSE)=0,"",VLOOKUP(C658,'Data Sheet'!$A$3:$D$26,4,FALSE)),"")</f>
        <v/>
      </c>
      <c r="E658" s="279"/>
      <c r="F658" s="103" t="str">
        <f>IFERROR(IF(VLOOKUP(E658,'Data Sheet'!$C$29:$E$174,3,FALSE)=0,"",VLOOKUP(E658,'Data Sheet'!$C$29:$E$174,3,FALSE)),"")</f>
        <v/>
      </c>
      <c r="G658" s="106" t="str">
        <f t="shared" si="336"/>
        <v>-</v>
      </c>
      <c r="H658" s="273"/>
      <c r="I658" s="107"/>
      <c r="J658" s="249" t="e">
        <f t="shared" si="337"/>
        <v>#VALUE!</v>
      </c>
      <c r="K658" s="101" t="str">
        <f>IFERROR(INDEX('Data Sheet'!$C$198:$C$275,MATCH(I658,'Data Sheet'!$F$198:$F$275,0)),"")</f>
        <v/>
      </c>
      <c r="L658" s="250" t="str">
        <f>IFERROR(INDEX('Data Sheet'!$G$198:$G$275,MATCH(I658,'Data Sheet'!$F$198:$F$275,0)),"")</f>
        <v/>
      </c>
      <c r="M658" s="194"/>
      <c r="N658" s="248"/>
      <c r="O658" s="248"/>
      <c r="P658" s="108" t="str">
        <f>IFERROR(INDEX(Setup!$D$44:$D$70,MATCH(M658,Setup!$K$44:$K$70,0))&amp;"","")</f>
        <v/>
      </c>
      <c r="Q658" s="108" t="str">
        <f>IFERROR(INDEX(Setup!$E$44:$E$70,MATCH(M658,Setup!$K$44:$K$70,0))&amp;"","")</f>
        <v/>
      </c>
      <c r="R658" s="108" t="str">
        <f>IFERROR(INDEX(Setup!$L$44:$L$70,MATCH(M658,Setup!$K$44:$K$70,0))&amp;"","")</f>
        <v/>
      </c>
      <c r="S658" s="108" t="str">
        <f>Setup!$C$30</f>
        <v>USD</v>
      </c>
      <c r="T658" s="109" t="str">
        <f>IFERROR(INDEX('Data Sheet'!$B$198:$B$275,MATCH(I658,'Data Sheet'!$F$198:$F$275,0)),"")</f>
        <v/>
      </c>
      <c r="U658" s="110" t="str">
        <f>IFERROR(INDEX('Data Sheet'!$D$198:$D$275,MATCH(I658,'Data Sheet'!$F$198:$F$275,0)),"")</f>
        <v/>
      </c>
      <c r="V658" s="99"/>
      <c r="W658" s="195" t="str">
        <f>IF(V658=Setup!$C$30,"Grant",IF(V658=Setup!$C$31,"Local",IF(V658=Setup!$C$32,"Other",IF(ISBLANK(V658),"","Other"))))</f>
        <v/>
      </c>
      <c r="X658" s="255"/>
      <c r="Y658" s="259" t="str">
        <f>IF(X658&lt;&gt;"",X658/VLOOKUP($V658,Setup!$C$30:$D$41,2,0),"")</f>
        <v/>
      </c>
      <c r="Z658" s="262"/>
      <c r="AA658" s="256" t="str">
        <f t="shared" si="310"/>
        <v/>
      </c>
      <c r="AB658" s="262"/>
      <c r="AC658" s="258" t="str">
        <f t="shared" si="311"/>
        <v/>
      </c>
      <c r="AD658" s="262"/>
      <c r="AE658" s="258" t="str">
        <f t="shared" si="312"/>
        <v/>
      </c>
      <c r="AF658" s="262"/>
      <c r="AG658" s="256" t="str">
        <f t="shared" si="313"/>
        <v/>
      </c>
      <c r="AH658" s="256" t="str">
        <f t="shared" si="314"/>
        <v/>
      </c>
      <c r="AI658" s="256" t="str">
        <f t="shared" si="315"/>
        <v/>
      </c>
      <c r="AJ658" s="111"/>
      <c r="AK658" s="255"/>
      <c r="AL658" s="259" t="str">
        <f>IF(AK658&lt;&gt;"",AK658/VLOOKUP($V658,Setup!$C$30:$D$41,2,0),"")</f>
        <v/>
      </c>
      <c r="AM658" s="266"/>
      <c r="AN658" s="258" t="str">
        <f t="shared" si="316"/>
        <v/>
      </c>
      <c r="AO658" s="266"/>
      <c r="AP658" s="258" t="str">
        <f t="shared" si="317"/>
        <v/>
      </c>
      <c r="AQ658" s="266"/>
      <c r="AR658" s="258" t="str">
        <f t="shared" si="318"/>
        <v/>
      </c>
      <c r="AS658" s="266"/>
      <c r="AT658" s="256" t="str">
        <f t="shared" si="319"/>
        <v/>
      </c>
      <c r="AU658" s="256" t="str">
        <f t="shared" si="320"/>
        <v/>
      </c>
      <c r="AV658" s="256" t="str">
        <f t="shared" si="321"/>
        <v/>
      </c>
      <c r="AW658" s="267"/>
      <c r="AX658" s="255"/>
      <c r="AY658" s="259" t="str">
        <f>IF(AX658&lt;&gt;"",AX658/VLOOKUP($V658,Setup!$C$30:$D$41,2,0),"")</f>
        <v/>
      </c>
      <c r="AZ658" s="268"/>
      <c r="BA658" s="258" t="str">
        <f t="shared" si="322"/>
        <v/>
      </c>
      <c r="BB658" s="268"/>
      <c r="BC658" s="258" t="str">
        <f t="shared" si="323"/>
        <v/>
      </c>
      <c r="BD658" s="268"/>
      <c r="BE658" s="258" t="str">
        <f t="shared" si="324"/>
        <v/>
      </c>
      <c r="BF658" s="268"/>
      <c r="BG658" s="256" t="str">
        <f t="shared" si="325"/>
        <v/>
      </c>
      <c r="BH658" s="256" t="str">
        <f t="shared" si="326"/>
        <v/>
      </c>
      <c r="BI658" s="256" t="str">
        <f t="shared" si="327"/>
        <v/>
      </c>
      <c r="BJ658" s="267"/>
      <c r="BK658" s="255"/>
      <c r="BL658" s="259" t="str">
        <f>IF(BK658&lt;&gt;"",BK658/VLOOKUP($V658,Setup!$C$30:$D$41,2,0),"")</f>
        <v/>
      </c>
      <c r="BM658" s="268"/>
      <c r="BN658" s="258" t="str">
        <f t="shared" si="328"/>
        <v/>
      </c>
      <c r="BO658" s="268"/>
      <c r="BP658" s="258" t="str">
        <f t="shared" si="329"/>
        <v/>
      </c>
      <c r="BQ658" s="268"/>
      <c r="BR658" s="258" t="str">
        <f t="shared" si="330"/>
        <v/>
      </c>
      <c r="BS658" s="268"/>
      <c r="BT658" s="256" t="str">
        <f t="shared" si="331"/>
        <v/>
      </c>
      <c r="BU658" s="256" t="str">
        <f t="shared" si="332"/>
        <v/>
      </c>
      <c r="BV658" s="256" t="str">
        <f t="shared" si="333"/>
        <v/>
      </c>
      <c r="BW658" s="267"/>
      <c r="BX658" s="256" t="str">
        <f t="shared" si="334"/>
        <v/>
      </c>
      <c r="BY658" s="256" t="str">
        <f t="shared" si="335"/>
        <v/>
      </c>
      <c r="BZ658" s="281"/>
      <c r="CA658" s="282"/>
      <c r="CF658" s="284"/>
      <c r="CG658" s="284"/>
      <c r="CH658" s="284"/>
      <c r="CI658" s="284"/>
      <c r="CL658" s="356" t="str">
        <f>IFERROR(VLOOKUP(C658,'Data Sheet'!$A$3:$B$26,2,FALSE),"")</f>
        <v/>
      </c>
    </row>
    <row r="659" spans="1:90" ht="15.75" x14ac:dyDescent="0.2">
      <c r="A659" s="97"/>
      <c r="B659" s="105" t="str">
        <f t="shared" si="338"/>
        <v>--</v>
      </c>
      <c r="C659" s="276"/>
      <c r="D659" s="101" t="str">
        <f>IFERROR(IF(VLOOKUP(C659,'Data Sheet'!$A$3:$D$26,4,FALSE)=0,"",VLOOKUP(C659,'Data Sheet'!$A$3:$D$26,4,FALSE)),"")</f>
        <v/>
      </c>
      <c r="E659" s="279"/>
      <c r="F659" s="103" t="str">
        <f>IFERROR(IF(VLOOKUP(E659,'Data Sheet'!$C$29:$E$174,3,FALSE)=0,"",VLOOKUP(E659,'Data Sheet'!$C$29:$E$174,3,FALSE)),"")</f>
        <v/>
      </c>
      <c r="G659" s="106" t="str">
        <f t="shared" si="336"/>
        <v>-</v>
      </c>
      <c r="H659" s="273"/>
      <c r="I659" s="107"/>
      <c r="J659" s="249" t="e">
        <f t="shared" si="337"/>
        <v>#VALUE!</v>
      </c>
      <c r="K659" s="101" t="str">
        <f>IFERROR(INDEX('Data Sheet'!$C$198:$C$275,MATCH(I659,'Data Sheet'!$F$198:$F$275,0)),"")</f>
        <v/>
      </c>
      <c r="L659" s="250" t="str">
        <f>IFERROR(INDEX('Data Sheet'!$G$198:$G$275,MATCH(I659,'Data Sheet'!$F$198:$F$275,0)),"")</f>
        <v/>
      </c>
      <c r="M659" s="194"/>
      <c r="N659" s="248"/>
      <c r="O659" s="248"/>
      <c r="P659" s="108" t="str">
        <f>IFERROR(INDEX(Setup!$D$44:$D$70,MATCH(M659,Setup!$K$44:$K$70,0))&amp;"","")</f>
        <v/>
      </c>
      <c r="Q659" s="108" t="str">
        <f>IFERROR(INDEX(Setup!$E$44:$E$70,MATCH(M659,Setup!$K$44:$K$70,0))&amp;"","")</f>
        <v/>
      </c>
      <c r="R659" s="108" t="str">
        <f>IFERROR(INDEX(Setup!$L$44:$L$70,MATCH(M659,Setup!$K$44:$K$70,0))&amp;"","")</f>
        <v/>
      </c>
      <c r="S659" s="108" t="str">
        <f>Setup!$C$30</f>
        <v>USD</v>
      </c>
      <c r="T659" s="109" t="str">
        <f>IFERROR(INDEX('Data Sheet'!$B$198:$B$275,MATCH(I659,'Data Sheet'!$F$198:$F$275,0)),"")</f>
        <v/>
      </c>
      <c r="U659" s="110" t="str">
        <f>IFERROR(INDEX('Data Sheet'!$D$198:$D$275,MATCH(I659,'Data Sheet'!$F$198:$F$275,0)),"")</f>
        <v/>
      </c>
      <c r="V659" s="99"/>
      <c r="W659" s="195" t="str">
        <f>IF(V659=Setup!$C$30,"Grant",IF(V659=Setup!$C$31,"Local",IF(V659=Setup!$C$32,"Other",IF(ISBLANK(V659),"","Other"))))</f>
        <v/>
      </c>
      <c r="X659" s="255"/>
      <c r="Y659" s="259" t="str">
        <f>IF(X659&lt;&gt;"",X659/VLOOKUP($V659,Setup!$C$30:$D$41,2,0),"")</f>
        <v/>
      </c>
      <c r="Z659" s="262"/>
      <c r="AA659" s="256" t="str">
        <f t="shared" si="310"/>
        <v/>
      </c>
      <c r="AB659" s="262"/>
      <c r="AC659" s="258" t="str">
        <f t="shared" si="311"/>
        <v/>
      </c>
      <c r="AD659" s="262"/>
      <c r="AE659" s="258" t="str">
        <f t="shared" si="312"/>
        <v/>
      </c>
      <c r="AF659" s="262"/>
      <c r="AG659" s="256" t="str">
        <f t="shared" si="313"/>
        <v/>
      </c>
      <c r="AH659" s="256" t="str">
        <f t="shared" si="314"/>
        <v/>
      </c>
      <c r="AI659" s="256" t="str">
        <f t="shared" si="315"/>
        <v/>
      </c>
      <c r="AJ659" s="111"/>
      <c r="AK659" s="255"/>
      <c r="AL659" s="259" t="str">
        <f>IF(AK659&lt;&gt;"",AK659/VLOOKUP($V659,Setup!$C$30:$D$41,2,0),"")</f>
        <v/>
      </c>
      <c r="AM659" s="266"/>
      <c r="AN659" s="258" t="str">
        <f t="shared" si="316"/>
        <v/>
      </c>
      <c r="AO659" s="266"/>
      <c r="AP659" s="258" t="str">
        <f t="shared" si="317"/>
        <v/>
      </c>
      <c r="AQ659" s="266"/>
      <c r="AR659" s="258" t="str">
        <f t="shared" si="318"/>
        <v/>
      </c>
      <c r="AS659" s="266"/>
      <c r="AT659" s="256" t="str">
        <f t="shared" si="319"/>
        <v/>
      </c>
      <c r="AU659" s="256" t="str">
        <f t="shared" si="320"/>
        <v/>
      </c>
      <c r="AV659" s="256" t="str">
        <f t="shared" si="321"/>
        <v/>
      </c>
      <c r="AW659" s="267"/>
      <c r="AX659" s="255"/>
      <c r="AY659" s="259" t="str">
        <f>IF(AX659&lt;&gt;"",AX659/VLOOKUP($V659,Setup!$C$30:$D$41,2,0),"")</f>
        <v/>
      </c>
      <c r="AZ659" s="268"/>
      <c r="BA659" s="258" t="str">
        <f t="shared" si="322"/>
        <v/>
      </c>
      <c r="BB659" s="268"/>
      <c r="BC659" s="258" t="str">
        <f t="shared" si="323"/>
        <v/>
      </c>
      <c r="BD659" s="268"/>
      <c r="BE659" s="258" t="str">
        <f t="shared" si="324"/>
        <v/>
      </c>
      <c r="BF659" s="268"/>
      <c r="BG659" s="256" t="str">
        <f t="shared" si="325"/>
        <v/>
      </c>
      <c r="BH659" s="256" t="str">
        <f t="shared" si="326"/>
        <v/>
      </c>
      <c r="BI659" s="256" t="str">
        <f t="shared" si="327"/>
        <v/>
      </c>
      <c r="BJ659" s="267"/>
      <c r="BK659" s="255"/>
      <c r="BL659" s="259" t="str">
        <f>IF(BK659&lt;&gt;"",BK659/VLOOKUP($V659,Setup!$C$30:$D$41,2,0),"")</f>
        <v/>
      </c>
      <c r="BM659" s="268"/>
      <c r="BN659" s="258" t="str">
        <f t="shared" si="328"/>
        <v/>
      </c>
      <c r="BO659" s="268"/>
      <c r="BP659" s="258" t="str">
        <f t="shared" si="329"/>
        <v/>
      </c>
      <c r="BQ659" s="268"/>
      <c r="BR659" s="258" t="str">
        <f t="shared" si="330"/>
        <v/>
      </c>
      <c r="BS659" s="268"/>
      <c r="BT659" s="256" t="str">
        <f t="shared" si="331"/>
        <v/>
      </c>
      <c r="BU659" s="256" t="str">
        <f t="shared" si="332"/>
        <v/>
      </c>
      <c r="BV659" s="256" t="str">
        <f t="shared" si="333"/>
        <v/>
      </c>
      <c r="BW659" s="267"/>
      <c r="BX659" s="256" t="str">
        <f t="shared" si="334"/>
        <v/>
      </c>
      <c r="BY659" s="256" t="str">
        <f t="shared" si="335"/>
        <v/>
      </c>
      <c r="BZ659" s="281"/>
      <c r="CA659" s="282"/>
      <c r="CF659" s="284"/>
      <c r="CG659" s="284"/>
      <c r="CH659" s="284"/>
      <c r="CI659" s="284"/>
      <c r="CL659" s="356" t="str">
        <f>IFERROR(VLOOKUP(C659,'Data Sheet'!$A$3:$B$26,2,FALSE),"")</f>
        <v/>
      </c>
    </row>
    <row r="660" spans="1:90" ht="15.75" x14ac:dyDescent="0.2">
      <c r="A660" s="97"/>
      <c r="B660" s="105" t="str">
        <f t="shared" si="338"/>
        <v>--</v>
      </c>
      <c r="C660" s="276"/>
      <c r="D660" s="101" t="str">
        <f>IFERROR(IF(VLOOKUP(C660,'Data Sheet'!$A$3:$D$26,4,FALSE)=0,"",VLOOKUP(C660,'Data Sheet'!$A$3:$D$26,4,FALSE)),"")</f>
        <v/>
      </c>
      <c r="E660" s="279"/>
      <c r="F660" s="103" t="str">
        <f>IFERROR(IF(VLOOKUP(E660,'Data Sheet'!$C$29:$E$174,3,FALSE)=0,"",VLOOKUP(E660,'Data Sheet'!$C$29:$E$174,3,FALSE)),"")</f>
        <v/>
      </c>
      <c r="G660" s="106" t="str">
        <f t="shared" si="336"/>
        <v>-</v>
      </c>
      <c r="H660" s="273"/>
      <c r="I660" s="107"/>
      <c r="J660" s="249" t="e">
        <f t="shared" si="337"/>
        <v>#VALUE!</v>
      </c>
      <c r="K660" s="101" t="str">
        <f>IFERROR(INDEX('Data Sheet'!$C$198:$C$275,MATCH(I660,'Data Sheet'!$F$198:$F$275,0)),"")</f>
        <v/>
      </c>
      <c r="L660" s="250" t="str">
        <f>IFERROR(INDEX('Data Sheet'!$G$198:$G$275,MATCH(I660,'Data Sheet'!$F$198:$F$275,0)),"")</f>
        <v/>
      </c>
      <c r="M660" s="194"/>
      <c r="N660" s="248"/>
      <c r="O660" s="248"/>
      <c r="P660" s="108" t="str">
        <f>IFERROR(INDEX(Setup!$D$44:$D$70,MATCH(M660,Setup!$K$44:$K$70,0))&amp;"","")</f>
        <v/>
      </c>
      <c r="Q660" s="108" t="str">
        <f>IFERROR(INDEX(Setup!$E$44:$E$70,MATCH(M660,Setup!$K$44:$K$70,0))&amp;"","")</f>
        <v/>
      </c>
      <c r="R660" s="108" t="str">
        <f>IFERROR(INDEX(Setup!$L$44:$L$70,MATCH(M660,Setup!$K$44:$K$70,0))&amp;"","")</f>
        <v/>
      </c>
      <c r="S660" s="108" t="str">
        <f>Setup!$C$30</f>
        <v>USD</v>
      </c>
      <c r="T660" s="109" t="str">
        <f>IFERROR(INDEX('Data Sheet'!$B$198:$B$275,MATCH(I660,'Data Sheet'!$F$198:$F$275,0)),"")</f>
        <v/>
      </c>
      <c r="U660" s="110" t="str">
        <f>IFERROR(INDEX('Data Sheet'!$D$198:$D$275,MATCH(I660,'Data Sheet'!$F$198:$F$275,0)),"")</f>
        <v/>
      </c>
      <c r="V660" s="99"/>
      <c r="W660" s="195" t="str">
        <f>IF(V660=Setup!$C$30,"Grant",IF(V660=Setup!$C$31,"Local",IF(V660=Setup!$C$32,"Other",IF(ISBLANK(V660),"","Other"))))</f>
        <v/>
      </c>
      <c r="X660" s="255"/>
      <c r="Y660" s="259" t="str">
        <f>IF(X660&lt;&gt;"",X660/VLOOKUP($V660,Setup!$C$30:$D$41,2,0),"")</f>
        <v/>
      </c>
      <c r="Z660" s="262"/>
      <c r="AA660" s="256" t="str">
        <f t="shared" si="310"/>
        <v/>
      </c>
      <c r="AB660" s="262"/>
      <c r="AC660" s="258" t="str">
        <f t="shared" si="311"/>
        <v/>
      </c>
      <c r="AD660" s="262"/>
      <c r="AE660" s="258" t="str">
        <f t="shared" si="312"/>
        <v/>
      </c>
      <c r="AF660" s="262"/>
      <c r="AG660" s="256" t="str">
        <f t="shared" si="313"/>
        <v/>
      </c>
      <c r="AH660" s="256" t="str">
        <f t="shared" si="314"/>
        <v/>
      </c>
      <c r="AI660" s="256" t="str">
        <f t="shared" si="315"/>
        <v/>
      </c>
      <c r="AJ660" s="111"/>
      <c r="AK660" s="255"/>
      <c r="AL660" s="259" t="str">
        <f>IF(AK660&lt;&gt;"",AK660/VLOOKUP($V660,Setup!$C$30:$D$41,2,0),"")</f>
        <v/>
      </c>
      <c r="AM660" s="266"/>
      <c r="AN660" s="258" t="str">
        <f t="shared" si="316"/>
        <v/>
      </c>
      <c r="AO660" s="266"/>
      <c r="AP660" s="258" t="str">
        <f t="shared" si="317"/>
        <v/>
      </c>
      <c r="AQ660" s="266"/>
      <c r="AR660" s="258" t="str">
        <f t="shared" si="318"/>
        <v/>
      </c>
      <c r="AS660" s="266"/>
      <c r="AT660" s="256" t="str">
        <f t="shared" si="319"/>
        <v/>
      </c>
      <c r="AU660" s="256" t="str">
        <f t="shared" si="320"/>
        <v/>
      </c>
      <c r="AV660" s="256" t="str">
        <f t="shared" si="321"/>
        <v/>
      </c>
      <c r="AW660" s="267"/>
      <c r="AX660" s="255"/>
      <c r="AY660" s="259" t="str">
        <f>IF(AX660&lt;&gt;"",AX660/VLOOKUP($V660,Setup!$C$30:$D$41,2,0),"")</f>
        <v/>
      </c>
      <c r="AZ660" s="268"/>
      <c r="BA660" s="258" t="str">
        <f t="shared" si="322"/>
        <v/>
      </c>
      <c r="BB660" s="268"/>
      <c r="BC660" s="258" t="str">
        <f t="shared" si="323"/>
        <v/>
      </c>
      <c r="BD660" s="268"/>
      <c r="BE660" s="258" t="str">
        <f t="shared" si="324"/>
        <v/>
      </c>
      <c r="BF660" s="268"/>
      <c r="BG660" s="256" t="str">
        <f t="shared" si="325"/>
        <v/>
      </c>
      <c r="BH660" s="256" t="str">
        <f t="shared" si="326"/>
        <v/>
      </c>
      <c r="BI660" s="256" t="str">
        <f t="shared" si="327"/>
        <v/>
      </c>
      <c r="BJ660" s="267"/>
      <c r="BK660" s="255"/>
      <c r="BL660" s="259" t="str">
        <f>IF(BK660&lt;&gt;"",BK660/VLOOKUP($V660,Setup!$C$30:$D$41,2,0),"")</f>
        <v/>
      </c>
      <c r="BM660" s="268"/>
      <c r="BN660" s="258" t="str">
        <f t="shared" si="328"/>
        <v/>
      </c>
      <c r="BO660" s="268"/>
      <c r="BP660" s="258" t="str">
        <f t="shared" si="329"/>
        <v/>
      </c>
      <c r="BQ660" s="268"/>
      <c r="BR660" s="258" t="str">
        <f t="shared" si="330"/>
        <v/>
      </c>
      <c r="BS660" s="268"/>
      <c r="BT660" s="256" t="str">
        <f t="shared" si="331"/>
        <v/>
      </c>
      <c r="BU660" s="256" t="str">
        <f t="shared" si="332"/>
        <v/>
      </c>
      <c r="BV660" s="256" t="str">
        <f t="shared" si="333"/>
        <v/>
      </c>
      <c r="BW660" s="267"/>
      <c r="BX660" s="256" t="str">
        <f t="shared" si="334"/>
        <v/>
      </c>
      <c r="BY660" s="256" t="str">
        <f t="shared" si="335"/>
        <v/>
      </c>
      <c r="BZ660" s="281"/>
      <c r="CA660" s="282"/>
      <c r="CF660" s="284"/>
      <c r="CG660" s="284"/>
      <c r="CH660" s="284"/>
      <c r="CI660" s="284"/>
      <c r="CL660" s="356" t="str">
        <f>IFERROR(VLOOKUP(C660,'Data Sheet'!$A$3:$B$26,2,FALSE),"")</f>
        <v/>
      </c>
    </row>
    <row r="661" spans="1:90" ht="15.75" x14ac:dyDescent="0.2">
      <c r="A661" s="97"/>
      <c r="B661" s="105" t="str">
        <f t="shared" si="338"/>
        <v>--</v>
      </c>
      <c r="C661" s="276"/>
      <c r="D661" s="101" t="str">
        <f>IFERROR(IF(VLOOKUP(C661,'Data Sheet'!$A$3:$D$26,4,FALSE)=0,"",VLOOKUP(C661,'Data Sheet'!$A$3:$D$26,4,FALSE)),"")</f>
        <v/>
      </c>
      <c r="E661" s="279"/>
      <c r="F661" s="103" t="str">
        <f>IFERROR(IF(VLOOKUP(E661,'Data Sheet'!$C$29:$E$174,3,FALSE)=0,"",VLOOKUP(E661,'Data Sheet'!$C$29:$E$174,3,FALSE)),"")</f>
        <v/>
      </c>
      <c r="G661" s="106" t="str">
        <f t="shared" si="336"/>
        <v>-</v>
      </c>
      <c r="H661" s="273"/>
      <c r="I661" s="107"/>
      <c r="J661" s="249" t="e">
        <f t="shared" si="337"/>
        <v>#VALUE!</v>
      </c>
      <c r="K661" s="101" t="str">
        <f>IFERROR(INDEX('Data Sheet'!$C$198:$C$275,MATCH(I661,'Data Sheet'!$F$198:$F$275,0)),"")</f>
        <v/>
      </c>
      <c r="L661" s="250" t="str">
        <f>IFERROR(INDEX('Data Sheet'!$G$198:$G$275,MATCH(I661,'Data Sheet'!$F$198:$F$275,0)),"")</f>
        <v/>
      </c>
      <c r="M661" s="194"/>
      <c r="N661" s="248"/>
      <c r="O661" s="248"/>
      <c r="P661" s="108" t="str">
        <f>IFERROR(INDEX(Setup!$D$44:$D$70,MATCH(M661,Setup!$K$44:$K$70,0))&amp;"","")</f>
        <v/>
      </c>
      <c r="Q661" s="108" t="str">
        <f>IFERROR(INDEX(Setup!$E$44:$E$70,MATCH(M661,Setup!$K$44:$K$70,0))&amp;"","")</f>
        <v/>
      </c>
      <c r="R661" s="108" t="str">
        <f>IFERROR(INDEX(Setup!$L$44:$L$70,MATCH(M661,Setup!$K$44:$K$70,0))&amp;"","")</f>
        <v/>
      </c>
      <c r="S661" s="108" t="str">
        <f>Setup!$C$30</f>
        <v>USD</v>
      </c>
      <c r="T661" s="109" t="str">
        <f>IFERROR(INDEX('Data Sheet'!$B$198:$B$275,MATCH(I661,'Data Sheet'!$F$198:$F$275,0)),"")</f>
        <v/>
      </c>
      <c r="U661" s="110" t="str">
        <f>IFERROR(INDEX('Data Sheet'!$D$198:$D$275,MATCH(I661,'Data Sheet'!$F$198:$F$275,0)),"")</f>
        <v/>
      </c>
      <c r="V661" s="99"/>
      <c r="W661" s="195" t="str">
        <f>IF(V661=Setup!$C$30,"Grant",IF(V661=Setup!$C$31,"Local",IF(V661=Setup!$C$32,"Other",IF(ISBLANK(V661),"","Other"))))</f>
        <v/>
      </c>
      <c r="X661" s="255"/>
      <c r="Y661" s="259" t="str">
        <f>IF(X661&lt;&gt;"",X661/VLOOKUP($V661,Setup!$C$30:$D$41,2,0),"")</f>
        <v/>
      </c>
      <c r="Z661" s="262"/>
      <c r="AA661" s="256" t="str">
        <f t="shared" si="310"/>
        <v/>
      </c>
      <c r="AB661" s="262"/>
      <c r="AC661" s="258" t="str">
        <f t="shared" si="311"/>
        <v/>
      </c>
      <c r="AD661" s="262"/>
      <c r="AE661" s="258" t="str">
        <f t="shared" si="312"/>
        <v/>
      </c>
      <c r="AF661" s="262"/>
      <c r="AG661" s="256" t="str">
        <f t="shared" si="313"/>
        <v/>
      </c>
      <c r="AH661" s="256" t="str">
        <f t="shared" si="314"/>
        <v/>
      </c>
      <c r="AI661" s="256" t="str">
        <f t="shared" si="315"/>
        <v/>
      </c>
      <c r="AJ661" s="111"/>
      <c r="AK661" s="255"/>
      <c r="AL661" s="259" t="str">
        <f>IF(AK661&lt;&gt;"",AK661/VLOOKUP($V661,Setup!$C$30:$D$41,2,0),"")</f>
        <v/>
      </c>
      <c r="AM661" s="266"/>
      <c r="AN661" s="258" t="str">
        <f t="shared" si="316"/>
        <v/>
      </c>
      <c r="AO661" s="266"/>
      <c r="AP661" s="258" t="str">
        <f t="shared" si="317"/>
        <v/>
      </c>
      <c r="AQ661" s="266"/>
      <c r="AR661" s="258" t="str">
        <f t="shared" si="318"/>
        <v/>
      </c>
      <c r="AS661" s="266"/>
      <c r="AT661" s="256" t="str">
        <f t="shared" si="319"/>
        <v/>
      </c>
      <c r="AU661" s="256" t="str">
        <f t="shared" si="320"/>
        <v/>
      </c>
      <c r="AV661" s="256" t="str">
        <f t="shared" si="321"/>
        <v/>
      </c>
      <c r="AW661" s="267"/>
      <c r="AX661" s="255"/>
      <c r="AY661" s="259" t="str">
        <f>IF(AX661&lt;&gt;"",AX661/VLOOKUP($V661,Setup!$C$30:$D$41,2,0),"")</f>
        <v/>
      </c>
      <c r="AZ661" s="268"/>
      <c r="BA661" s="258" t="str">
        <f t="shared" si="322"/>
        <v/>
      </c>
      <c r="BB661" s="268"/>
      <c r="BC661" s="258" t="str">
        <f t="shared" si="323"/>
        <v/>
      </c>
      <c r="BD661" s="268"/>
      <c r="BE661" s="258" t="str">
        <f t="shared" si="324"/>
        <v/>
      </c>
      <c r="BF661" s="268"/>
      <c r="BG661" s="256" t="str">
        <f t="shared" si="325"/>
        <v/>
      </c>
      <c r="BH661" s="256" t="str">
        <f t="shared" si="326"/>
        <v/>
      </c>
      <c r="BI661" s="256" t="str">
        <f t="shared" si="327"/>
        <v/>
      </c>
      <c r="BJ661" s="267"/>
      <c r="BK661" s="255"/>
      <c r="BL661" s="259" t="str">
        <f>IF(BK661&lt;&gt;"",BK661/VLOOKUP($V661,Setup!$C$30:$D$41,2,0),"")</f>
        <v/>
      </c>
      <c r="BM661" s="268"/>
      <c r="BN661" s="258" t="str">
        <f t="shared" si="328"/>
        <v/>
      </c>
      <c r="BO661" s="268"/>
      <c r="BP661" s="258" t="str">
        <f t="shared" si="329"/>
        <v/>
      </c>
      <c r="BQ661" s="268"/>
      <c r="BR661" s="258" t="str">
        <f t="shared" si="330"/>
        <v/>
      </c>
      <c r="BS661" s="268"/>
      <c r="BT661" s="256" t="str">
        <f t="shared" si="331"/>
        <v/>
      </c>
      <c r="BU661" s="256" t="str">
        <f t="shared" si="332"/>
        <v/>
      </c>
      <c r="BV661" s="256" t="str">
        <f t="shared" si="333"/>
        <v/>
      </c>
      <c r="BW661" s="267"/>
      <c r="BX661" s="256" t="str">
        <f t="shared" si="334"/>
        <v/>
      </c>
      <c r="BY661" s="256" t="str">
        <f t="shared" si="335"/>
        <v/>
      </c>
      <c r="BZ661" s="281"/>
      <c r="CA661" s="282"/>
      <c r="CF661" s="284"/>
      <c r="CG661" s="284"/>
      <c r="CH661" s="284"/>
      <c r="CI661" s="284"/>
      <c r="CL661" s="356" t="str">
        <f>IFERROR(VLOOKUP(C661,'Data Sheet'!$A$3:$B$26,2,FALSE),"")</f>
        <v/>
      </c>
    </row>
    <row r="662" spans="1:90" ht="15.75" x14ac:dyDescent="0.2">
      <c r="A662" s="97"/>
      <c r="B662" s="105" t="str">
        <f t="shared" si="338"/>
        <v>--</v>
      </c>
      <c r="C662" s="276"/>
      <c r="D662" s="101" t="str">
        <f>IFERROR(IF(VLOOKUP(C662,'Data Sheet'!$A$3:$D$26,4,FALSE)=0,"",VLOOKUP(C662,'Data Sheet'!$A$3:$D$26,4,FALSE)),"")</f>
        <v/>
      </c>
      <c r="E662" s="279"/>
      <c r="F662" s="103" t="str">
        <f>IFERROR(IF(VLOOKUP(E662,'Data Sheet'!$C$29:$E$174,3,FALSE)=0,"",VLOOKUP(E662,'Data Sheet'!$C$29:$E$174,3,FALSE)),"")</f>
        <v/>
      </c>
      <c r="G662" s="106" t="str">
        <f t="shared" si="336"/>
        <v>-</v>
      </c>
      <c r="H662" s="273"/>
      <c r="I662" s="107"/>
      <c r="J662" s="249" t="e">
        <f t="shared" si="337"/>
        <v>#VALUE!</v>
      </c>
      <c r="K662" s="101" t="str">
        <f>IFERROR(INDEX('Data Sheet'!$C$198:$C$275,MATCH(I662,'Data Sheet'!$F$198:$F$275,0)),"")</f>
        <v/>
      </c>
      <c r="L662" s="250" t="str">
        <f>IFERROR(INDEX('Data Sheet'!$G$198:$G$275,MATCH(I662,'Data Sheet'!$F$198:$F$275,0)),"")</f>
        <v/>
      </c>
      <c r="M662" s="194"/>
      <c r="N662" s="248"/>
      <c r="O662" s="248"/>
      <c r="P662" s="108" t="str">
        <f>IFERROR(INDEX(Setup!$D$44:$D$70,MATCH(M662,Setup!$K$44:$K$70,0))&amp;"","")</f>
        <v/>
      </c>
      <c r="Q662" s="108" t="str">
        <f>IFERROR(INDEX(Setup!$E$44:$E$70,MATCH(M662,Setup!$K$44:$K$70,0))&amp;"","")</f>
        <v/>
      </c>
      <c r="R662" s="108" t="str">
        <f>IFERROR(INDEX(Setup!$L$44:$L$70,MATCH(M662,Setup!$K$44:$K$70,0))&amp;"","")</f>
        <v/>
      </c>
      <c r="S662" s="108" t="str">
        <f>Setup!$C$30</f>
        <v>USD</v>
      </c>
      <c r="T662" s="109" t="str">
        <f>IFERROR(INDEX('Data Sheet'!$B$198:$B$275,MATCH(I662,'Data Sheet'!$F$198:$F$275,0)),"")</f>
        <v/>
      </c>
      <c r="U662" s="110" t="str">
        <f>IFERROR(INDEX('Data Sheet'!$D$198:$D$275,MATCH(I662,'Data Sheet'!$F$198:$F$275,0)),"")</f>
        <v/>
      </c>
      <c r="V662" s="99"/>
      <c r="W662" s="195" t="str">
        <f>IF(V662=Setup!$C$30,"Grant",IF(V662=Setup!$C$31,"Local",IF(V662=Setup!$C$32,"Other",IF(ISBLANK(V662),"","Other"))))</f>
        <v/>
      </c>
      <c r="X662" s="255"/>
      <c r="Y662" s="259" t="str">
        <f>IF(X662&lt;&gt;"",X662/VLOOKUP($V662,Setup!$C$30:$D$41,2,0),"")</f>
        <v/>
      </c>
      <c r="Z662" s="262"/>
      <c r="AA662" s="256" t="str">
        <f t="shared" si="310"/>
        <v/>
      </c>
      <c r="AB662" s="262"/>
      <c r="AC662" s="258" t="str">
        <f t="shared" si="311"/>
        <v/>
      </c>
      <c r="AD662" s="262"/>
      <c r="AE662" s="258" t="str">
        <f t="shared" si="312"/>
        <v/>
      </c>
      <c r="AF662" s="262"/>
      <c r="AG662" s="256" t="str">
        <f t="shared" si="313"/>
        <v/>
      </c>
      <c r="AH662" s="256" t="str">
        <f t="shared" si="314"/>
        <v/>
      </c>
      <c r="AI662" s="256" t="str">
        <f t="shared" si="315"/>
        <v/>
      </c>
      <c r="AJ662" s="111"/>
      <c r="AK662" s="255"/>
      <c r="AL662" s="259" t="str">
        <f>IF(AK662&lt;&gt;"",AK662/VLOOKUP($V662,Setup!$C$30:$D$41,2,0),"")</f>
        <v/>
      </c>
      <c r="AM662" s="266"/>
      <c r="AN662" s="258" t="str">
        <f t="shared" si="316"/>
        <v/>
      </c>
      <c r="AO662" s="266"/>
      <c r="AP662" s="258" t="str">
        <f t="shared" si="317"/>
        <v/>
      </c>
      <c r="AQ662" s="266"/>
      <c r="AR662" s="258" t="str">
        <f t="shared" si="318"/>
        <v/>
      </c>
      <c r="AS662" s="266"/>
      <c r="AT662" s="256" t="str">
        <f t="shared" si="319"/>
        <v/>
      </c>
      <c r="AU662" s="256" t="str">
        <f t="shared" si="320"/>
        <v/>
      </c>
      <c r="AV662" s="256" t="str">
        <f t="shared" si="321"/>
        <v/>
      </c>
      <c r="AW662" s="267"/>
      <c r="AX662" s="255"/>
      <c r="AY662" s="259" t="str">
        <f>IF(AX662&lt;&gt;"",AX662/VLOOKUP($V662,Setup!$C$30:$D$41,2,0),"")</f>
        <v/>
      </c>
      <c r="AZ662" s="268"/>
      <c r="BA662" s="258" t="str">
        <f t="shared" si="322"/>
        <v/>
      </c>
      <c r="BB662" s="268"/>
      <c r="BC662" s="258" t="str">
        <f t="shared" si="323"/>
        <v/>
      </c>
      <c r="BD662" s="268"/>
      <c r="BE662" s="258" t="str">
        <f t="shared" si="324"/>
        <v/>
      </c>
      <c r="BF662" s="268"/>
      <c r="BG662" s="256" t="str">
        <f t="shared" si="325"/>
        <v/>
      </c>
      <c r="BH662" s="256" t="str">
        <f t="shared" si="326"/>
        <v/>
      </c>
      <c r="BI662" s="256" t="str">
        <f t="shared" si="327"/>
        <v/>
      </c>
      <c r="BJ662" s="267"/>
      <c r="BK662" s="255"/>
      <c r="BL662" s="259" t="str">
        <f>IF(BK662&lt;&gt;"",BK662/VLOOKUP($V662,Setup!$C$30:$D$41,2,0),"")</f>
        <v/>
      </c>
      <c r="BM662" s="268"/>
      <c r="BN662" s="258" t="str">
        <f t="shared" si="328"/>
        <v/>
      </c>
      <c r="BO662" s="268"/>
      <c r="BP662" s="258" t="str">
        <f t="shared" si="329"/>
        <v/>
      </c>
      <c r="BQ662" s="268"/>
      <c r="BR662" s="258" t="str">
        <f t="shared" si="330"/>
        <v/>
      </c>
      <c r="BS662" s="268"/>
      <c r="BT662" s="256" t="str">
        <f t="shared" si="331"/>
        <v/>
      </c>
      <c r="BU662" s="256" t="str">
        <f t="shared" si="332"/>
        <v/>
      </c>
      <c r="BV662" s="256" t="str">
        <f t="shared" si="333"/>
        <v/>
      </c>
      <c r="BW662" s="267"/>
      <c r="BX662" s="256" t="str">
        <f t="shared" si="334"/>
        <v/>
      </c>
      <c r="BY662" s="256" t="str">
        <f t="shared" si="335"/>
        <v/>
      </c>
      <c r="BZ662" s="281"/>
      <c r="CA662" s="282"/>
      <c r="CF662" s="284"/>
      <c r="CG662" s="284"/>
      <c r="CH662" s="284"/>
      <c r="CI662" s="284"/>
      <c r="CL662" s="356" t="str">
        <f>IFERROR(VLOOKUP(C662,'Data Sheet'!$A$3:$B$26,2,FALSE),"")</f>
        <v/>
      </c>
    </row>
    <row r="663" spans="1:90" ht="15.75" x14ac:dyDescent="0.2">
      <c r="A663" s="97"/>
      <c r="B663" s="105" t="str">
        <f t="shared" si="338"/>
        <v>--</v>
      </c>
      <c r="C663" s="276"/>
      <c r="D663" s="101" t="str">
        <f>IFERROR(IF(VLOOKUP(C663,'Data Sheet'!$A$3:$D$26,4,FALSE)=0,"",VLOOKUP(C663,'Data Sheet'!$A$3:$D$26,4,FALSE)),"")</f>
        <v/>
      </c>
      <c r="E663" s="279"/>
      <c r="F663" s="103" t="str">
        <f>IFERROR(IF(VLOOKUP(E663,'Data Sheet'!$C$29:$E$174,3,FALSE)=0,"",VLOOKUP(E663,'Data Sheet'!$C$29:$E$174,3,FALSE)),"")</f>
        <v/>
      </c>
      <c r="G663" s="106" t="str">
        <f t="shared" si="336"/>
        <v>-</v>
      </c>
      <c r="H663" s="273"/>
      <c r="I663" s="107"/>
      <c r="J663" s="249" t="e">
        <f t="shared" si="337"/>
        <v>#VALUE!</v>
      </c>
      <c r="K663" s="101" t="str">
        <f>IFERROR(INDEX('Data Sheet'!$C$198:$C$275,MATCH(I663,'Data Sheet'!$F$198:$F$275,0)),"")</f>
        <v/>
      </c>
      <c r="L663" s="250" t="str">
        <f>IFERROR(INDEX('Data Sheet'!$G$198:$G$275,MATCH(I663,'Data Sheet'!$F$198:$F$275,0)),"")</f>
        <v/>
      </c>
      <c r="M663" s="194"/>
      <c r="N663" s="248"/>
      <c r="O663" s="248"/>
      <c r="P663" s="108" t="str">
        <f>IFERROR(INDEX(Setup!$D$44:$D$70,MATCH(M663,Setup!$K$44:$K$70,0))&amp;"","")</f>
        <v/>
      </c>
      <c r="Q663" s="108" t="str">
        <f>IFERROR(INDEX(Setup!$E$44:$E$70,MATCH(M663,Setup!$K$44:$K$70,0))&amp;"","")</f>
        <v/>
      </c>
      <c r="R663" s="108" t="str">
        <f>IFERROR(INDEX(Setup!$L$44:$L$70,MATCH(M663,Setup!$K$44:$K$70,0))&amp;"","")</f>
        <v/>
      </c>
      <c r="S663" s="108" t="str">
        <f>Setup!$C$30</f>
        <v>USD</v>
      </c>
      <c r="T663" s="109" t="str">
        <f>IFERROR(INDEX('Data Sheet'!$B$198:$B$275,MATCH(I663,'Data Sheet'!$F$198:$F$275,0)),"")</f>
        <v/>
      </c>
      <c r="U663" s="110" t="str">
        <f>IFERROR(INDEX('Data Sheet'!$D$198:$D$275,MATCH(I663,'Data Sheet'!$F$198:$F$275,0)),"")</f>
        <v/>
      </c>
      <c r="V663" s="99"/>
      <c r="W663" s="195" t="str">
        <f>IF(V663=Setup!$C$30,"Grant",IF(V663=Setup!$C$31,"Local",IF(V663=Setup!$C$32,"Other",IF(ISBLANK(V663),"","Other"))))</f>
        <v/>
      </c>
      <c r="X663" s="255"/>
      <c r="Y663" s="259" t="str">
        <f>IF(X663&lt;&gt;"",X663/VLOOKUP($V663,Setup!$C$30:$D$41,2,0),"")</f>
        <v/>
      </c>
      <c r="Z663" s="262"/>
      <c r="AA663" s="256" t="str">
        <f t="shared" si="310"/>
        <v/>
      </c>
      <c r="AB663" s="262"/>
      <c r="AC663" s="258" t="str">
        <f t="shared" si="311"/>
        <v/>
      </c>
      <c r="AD663" s="262"/>
      <c r="AE663" s="258" t="str">
        <f t="shared" si="312"/>
        <v/>
      </c>
      <c r="AF663" s="262"/>
      <c r="AG663" s="256" t="str">
        <f t="shared" si="313"/>
        <v/>
      </c>
      <c r="AH663" s="256" t="str">
        <f t="shared" si="314"/>
        <v/>
      </c>
      <c r="AI663" s="256" t="str">
        <f t="shared" si="315"/>
        <v/>
      </c>
      <c r="AJ663" s="111"/>
      <c r="AK663" s="255"/>
      <c r="AL663" s="259" t="str">
        <f>IF(AK663&lt;&gt;"",AK663/VLOOKUP($V663,Setup!$C$30:$D$41,2,0),"")</f>
        <v/>
      </c>
      <c r="AM663" s="266"/>
      <c r="AN663" s="258" t="str">
        <f t="shared" si="316"/>
        <v/>
      </c>
      <c r="AO663" s="266"/>
      <c r="AP663" s="258" t="str">
        <f t="shared" si="317"/>
        <v/>
      </c>
      <c r="AQ663" s="266"/>
      <c r="AR663" s="258" t="str">
        <f t="shared" si="318"/>
        <v/>
      </c>
      <c r="AS663" s="266"/>
      <c r="AT663" s="256" t="str">
        <f t="shared" si="319"/>
        <v/>
      </c>
      <c r="AU663" s="256" t="str">
        <f t="shared" si="320"/>
        <v/>
      </c>
      <c r="AV663" s="256" t="str">
        <f t="shared" si="321"/>
        <v/>
      </c>
      <c r="AW663" s="267"/>
      <c r="AX663" s="255"/>
      <c r="AY663" s="259" t="str">
        <f>IF(AX663&lt;&gt;"",AX663/VLOOKUP($V663,Setup!$C$30:$D$41,2,0),"")</f>
        <v/>
      </c>
      <c r="AZ663" s="268"/>
      <c r="BA663" s="258" t="str">
        <f t="shared" si="322"/>
        <v/>
      </c>
      <c r="BB663" s="268"/>
      <c r="BC663" s="258" t="str">
        <f t="shared" si="323"/>
        <v/>
      </c>
      <c r="BD663" s="268"/>
      <c r="BE663" s="258" t="str">
        <f t="shared" si="324"/>
        <v/>
      </c>
      <c r="BF663" s="268"/>
      <c r="BG663" s="256" t="str">
        <f t="shared" si="325"/>
        <v/>
      </c>
      <c r="BH663" s="256" t="str">
        <f t="shared" si="326"/>
        <v/>
      </c>
      <c r="BI663" s="256" t="str">
        <f t="shared" si="327"/>
        <v/>
      </c>
      <c r="BJ663" s="267"/>
      <c r="BK663" s="255"/>
      <c r="BL663" s="259" t="str">
        <f>IF(BK663&lt;&gt;"",BK663/VLOOKUP($V663,Setup!$C$30:$D$41,2,0),"")</f>
        <v/>
      </c>
      <c r="BM663" s="268"/>
      <c r="BN663" s="258" t="str">
        <f t="shared" si="328"/>
        <v/>
      </c>
      <c r="BO663" s="268"/>
      <c r="BP663" s="258" t="str">
        <f t="shared" si="329"/>
        <v/>
      </c>
      <c r="BQ663" s="268"/>
      <c r="BR663" s="258" t="str">
        <f t="shared" si="330"/>
        <v/>
      </c>
      <c r="BS663" s="268"/>
      <c r="BT663" s="256" t="str">
        <f t="shared" si="331"/>
        <v/>
      </c>
      <c r="BU663" s="256" t="str">
        <f t="shared" si="332"/>
        <v/>
      </c>
      <c r="BV663" s="256" t="str">
        <f t="shared" si="333"/>
        <v/>
      </c>
      <c r="BW663" s="267"/>
      <c r="BX663" s="256" t="str">
        <f t="shared" si="334"/>
        <v/>
      </c>
      <c r="BY663" s="256" t="str">
        <f t="shared" si="335"/>
        <v/>
      </c>
      <c r="BZ663" s="281"/>
      <c r="CA663" s="282"/>
      <c r="CF663" s="284"/>
      <c r="CG663" s="284"/>
      <c r="CH663" s="284"/>
      <c r="CI663" s="284"/>
      <c r="CL663" s="356" t="str">
        <f>IFERROR(VLOOKUP(C663,'Data Sheet'!$A$3:$B$26,2,FALSE),"")</f>
        <v/>
      </c>
    </row>
    <row r="664" spans="1:90" ht="15.75" x14ac:dyDescent="0.2">
      <c r="A664" s="97"/>
      <c r="B664" s="105" t="str">
        <f t="shared" si="338"/>
        <v>--</v>
      </c>
      <c r="C664" s="276"/>
      <c r="D664" s="101" t="str">
        <f>IFERROR(IF(VLOOKUP(C664,'Data Sheet'!$A$3:$D$26,4,FALSE)=0,"",VLOOKUP(C664,'Data Sheet'!$A$3:$D$26,4,FALSE)),"")</f>
        <v/>
      </c>
      <c r="E664" s="279"/>
      <c r="F664" s="103" t="str">
        <f>IFERROR(IF(VLOOKUP(E664,'Data Sheet'!$C$29:$E$174,3,FALSE)=0,"",VLOOKUP(E664,'Data Sheet'!$C$29:$E$174,3,FALSE)),"")</f>
        <v/>
      </c>
      <c r="G664" s="106" t="str">
        <f t="shared" si="336"/>
        <v>-</v>
      </c>
      <c r="H664" s="273"/>
      <c r="I664" s="107"/>
      <c r="J664" s="249" t="e">
        <f t="shared" si="337"/>
        <v>#VALUE!</v>
      </c>
      <c r="K664" s="101" t="str">
        <f>IFERROR(INDEX('Data Sheet'!$C$198:$C$275,MATCH(I664,'Data Sheet'!$F$198:$F$275,0)),"")</f>
        <v/>
      </c>
      <c r="L664" s="250" t="str">
        <f>IFERROR(INDEX('Data Sheet'!$G$198:$G$275,MATCH(I664,'Data Sheet'!$F$198:$F$275,0)),"")</f>
        <v/>
      </c>
      <c r="M664" s="194"/>
      <c r="N664" s="248"/>
      <c r="O664" s="248"/>
      <c r="P664" s="108" t="str">
        <f>IFERROR(INDEX(Setup!$D$44:$D$70,MATCH(M664,Setup!$K$44:$K$70,0))&amp;"","")</f>
        <v/>
      </c>
      <c r="Q664" s="108" t="str">
        <f>IFERROR(INDEX(Setup!$E$44:$E$70,MATCH(M664,Setup!$K$44:$K$70,0))&amp;"","")</f>
        <v/>
      </c>
      <c r="R664" s="108" t="str">
        <f>IFERROR(INDEX(Setup!$L$44:$L$70,MATCH(M664,Setup!$K$44:$K$70,0))&amp;"","")</f>
        <v/>
      </c>
      <c r="S664" s="108" t="str">
        <f>Setup!$C$30</f>
        <v>USD</v>
      </c>
      <c r="T664" s="109" t="str">
        <f>IFERROR(INDEX('Data Sheet'!$B$198:$B$275,MATCH(I664,'Data Sheet'!$F$198:$F$275,0)),"")</f>
        <v/>
      </c>
      <c r="U664" s="110" t="str">
        <f>IFERROR(INDEX('Data Sheet'!$D$198:$D$275,MATCH(I664,'Data Sheet'!$F$198:$F$275,0)),"")</f>
        <v/>
      </c>
      <c r="V664" s="99"/>
      <c r="W664" s="195" t="str">
        <f>IF(V664=Setup!$C$30,"Grant",IF(V664=Setup!$C$31,"Local",IF(V664=Setup!$C$32,"Other",IF(ISBLANK(V664),"","Other"))))</f>
        <v/>
      </c>
      <c r="X664" s="255"/>
      <c r="Y664" s="259" t="str">
        <f>IF(X664&lt;&gt;"",X664/VLOOKUP($V664,Setup!$C$30:$D$41,2,0),"")</f>
        <v/>
      </c>
      <c r="Z664" s="262"/>
      <c r="AA664" s="256" t="str">
        <f t="shared" si="310"/>
        <v/>
      </c>
      <c r="AB664" s="262"/>
      <c r="AC664" s="258" t="str">
        <f t="shared" si="311"/>
        <v/>
      </c>
      <c r="AD664" s="262"/>
      <c r="AE664" s="258" t="str">
        <f t="shared" si="312"/>
        <v/>
      </c>
      <c r="AF664" s="262"/>
      <c r="AG664" s="256" t="str">
        <f t="shared" si="313"/>
        <v/>
      </c>
      <c r="AH664" s="256" t="str">
        <f t="shared" si="314"/>
        <v/>
      </c>
      <c r="AI664" s="256" t="str">
        <f t="shared" si="315"/>
        <v/>
      </c>
      <c r="AJ664" s="111"/>
      <c r="AK664" s="255"/>
      <c r="AL664" s="259" t="str">
        <f>IF(AK664&lt;&gt;"",AK664/VLOOKUP($V664,Setup!$C$30:$D$41,2,0),"")</f>
        <v/>
      </c>
      <c r="AM664" s="266"/>
      <c r="AN664" s="258" t="str">
        <f t="shared" si="316"/>
        <v/>
      </c>
      <c r="AO664" s="266"/>
      <c r="AP664" s="258" t="str">
        <f t="shared" si="317"/>
        <v/>
      </c>
      <c r="AQ664" s="266"/>
      <c r="AR664" s="258" t="str">
        <f t="shared" si="318"/>
        <v/>
      </c>
      <c r="AS664" s="266"/>
      <c r="AT664" s="256" t="str">
        <f t="shared" si="319"/>
        <v/>
      </c>
      <c r="AU664" s="256" t="str">
        <f t="shared" si="320"/>
        <v/>
      </c>
      <c r="AV664" s="256" t="str">
        <f t="shared" si="321"/>
        <v/>
      </c>
      <c r="AW664" s="267"/>
      <c r="AX664" s="255"/>
      <c r="AY664" s="259" t="str">
        <f>IF(AX664&lt;&gt;"",AX664/VLOOKUP($V664,Setup!$C$30:$D$41,2,0),"")</f>
        <v/>
      </c>
      <c r="AZ664" s="268"/>
      <c r="BA664" s="258" t="str">
        <f t="shared" si="322"/>
        <v/>
      </c>
      <c r="BB664" s="268"/>
      <c r="BC664" s="258" t="str">
        <f t="shared" si="323"/>
        <v/>
      </c>
      <c r="BD664" s="268"/>
      <c r="BE664" s="258" t="str">
        <f t="shared" si="324"/>
        <v/>
      </c>
      <c r="BF664" s="268"/>
      <c r="BG664" s="256" t="str">
        <f t="shared" si="325"/>
        <v/>
      </c>
      <c r="BH664" s="256" t="str">
        <f t="shared" si="326"/>
        <v/>
      </c>
      <c r="BI664" s="256" t="str">
        <f t="shared" si="327"/>
        <v/>
      </c>
      <c r="BJ664" s="267"/>
      <c r="BK664" s="255"/>
      <c r="BL664" s="259" t="str">
        <f>IF(BK664&lt;&gt;"",BK664/VLOOKUP($V664,Setup!$C$30:$D$41,2,0),"")</f>
        <v/>
      </c>
      <c r="BM664" s="268"/>
      <c r="BN664" s="258" t="str">
        <f t="shared" si="328"/>
        <v/>
      </c>
      <c r="BO664" s="268"/>
      <c r="BP664" s="258" t="str">
        <f t="shared" si="329"/>
        <v/>
      </c>
      <c r="BQ664" s="268"/>
      <c r="BR664" s="258" t="str">
        <f t="shared" si="330"/>
        <v/>
      </c>
      <c r="BS664" s="268"/>
      <c r="BT664" s="256" t="str">
        <f t="shared" si="331"/>
        <v/>
      </c>
      <c r="BU664" s="256" t="str">
        <f t="shared" si="332"/>
        <v/>
      </c>
      <c r="BV664" s="256" t="str">
        <f t="shared" si="333"/>
        <v/>
      </c>
      <c r="BW664" s="267"/>
      <c r="BX664" s="256" t="str">
        <f t="shared" si="334"/>
        <v/>
      </c>
      <c r="BY664" s="256" t="str">
        <f t="shared" si="335"/>
        <v/>
      </c>
      <c r="BZ664" s="281"/>
      <c r="CA664" s="282"/>
      <c r="CF664" s="284"/>
      <c r="CG664" s="284"/>
      <c r="CH664" s="284"/>
      <c r="CI664" s="284"/>
      <c r="CL664" s="356" t="str">
        <f>IFERROR(VLOOKUP(C664,'Data Sheet'!$A$3:$B$26,2,FALSE),"")</f>
        <v/>
      </c>
    </row>
    <row r="665" spans="1:90" ht="15.75" x14ac:dyDescent="0.2">
      <c r="A665" s="97"/>
      <c r="B665" s="105" t="str">
        <f t="shared" si="338"/>
        <v>--</v>
      </c>
      <c r="C665" s="276"/>
      <c r="D665" s="101" t="str">
        <f>IFERROR(IF(VLOOKUP(C665,'Data Sheet'!$A$3:$D$26,4,FALSE)=0,"",VLOOKUP(C665,'Data Sheet'!$A$3:$D$26,4,FALSE)),"")</f>
        <v/>
      </c>
      <c r="E665" s="279"/>
      <c r="F665" s="103" t="str">
        <f>IFERROR(IF(VLOOKUP(E665,'Data Sheet'!$C$29:$E$174,3,FALSE)=0,"",VLOOKUP(E665,'Data Sheet'!$C$29:$E$174,3,FALSE)),"")</f>
        <v/>
      </c>
      <c r="G665" s="106" t="str">
        <f t="shared" si="336"/>
        <v>-</v>
      </c>
      <c r="H665" s="273"/>
      <c r="I665" s="107"/>
      <c r="J665" s="249" t="e">
        <f t="shared" si="337"/>
        <v>#VALUE!</v>
      </c>
      <c r="K665" s="101" t="str">
        <f>IFERROR(INDEX('Data Sheet'!$C$198:$C$275,MATCH(I665,'Data Sheet'!$F$198:$F$275,0)),"")</f>
        <v/>
      </c>
      <c r="L665" s="250" t="str">
        <f>IFERROR(INDEX('Data Sheet'!$G$198:$G$275,MATCH(I665,'Data Sheet'!$F$198:$F$275,0)),"")</f>
        <v/>
      </c>
      <c r="M665" s="194"/>
      <c r="N665" s="248"/>
      <c r="O665" s="248"/>
      <c r="P665" s="108" t="str">
        <f>IFERROR(INDEX(Setup!$D$44:$D$70,MATCH(M665,Setup!$K$44:$K$70,0))&amp;"","")</f>
        <v/>
      </c>
      <c r="Q665" s="108" t="str">
        <f>IFERROR(INDEX(Setup!$E$44:$E$70,MATCH(M665,Setup!$K$44:$K$70,0))&amp;"","")</f>
        <v/>
      </c>
      <c r="R665" s="108" t="str">
        <f>IFERROR(INDEX(Setup!$L$44:$L$70,MATCH(M665,Setup!$K$44:$K$70,0))&amp;"","")</f>
        <v/>
      </c>
      <c r="S665" s="108" t="str">
        <f>Setup!$C$30</f>
        <v>USD</v>
      </c>
      <c r="T665" s="109" t="str">
        <f>IFERROR(INDEX('Data Sheet'!$B$198:$B$275,MATCH(I665,'Data Sheet'!$F$198:$F$275,0)),"")</f>
        <v/>
      </c>
      <c r="U665" s="110" t="str">
        <f>IFERROR(INDEX('Data Sheet'!$D$198:$D$275,MATCH(I665,'Data Sheet'!$F$198:$F$275,0)),"")</f>
        <v/>
      </c>
      <c r="V665" s="99"/>
      <c r="W665" s="195" t="str">
        <f>IF(V665=Setup!$C$30,"Grant",IF(V665=Setup!$C$31,"Local",IF(V665=Setup!$C$32,"Other",IF(ISBLANK(V665),"","Other"))))</f>
        <v/>
      </c>
      <c r="X665" s="255"/>
      <c r="Y665" s="259" t="str">
        <f>IF(X665&lt;&gt;"",X665/VLOOKUP($V665,Setup!$C$30:$D$41,2,0),"")</f>
        <v/>
      </c>
      <c r="Z665" s="262"/>
      <c r="AA665" s="256" t="str">
        <f t="shared" si="310"/>
        <v/>
      </c>
      <c r="AB665" s="262"/>
      <c r="AC665" s="258" t="str">
        <f t="shared" si="311"/>
        <v/>
      </c>
      <c r="AD665" s="262"/>
      <c r="AE665" s="258" t="str">
        <f t="shared" si="312"/>
        <v/>
      </c>
      <c r="AF665" s="262"/>
      <c r="AG665" s="256" t="str">
        <f t="shared" si="313"/>
        <v/>
      </c>
      <c r="AH665" s="256" t="str">
        <f t="shared" si="314"/>
        <v/>
      </c>
      <c r="AI665" s="256" t="str">
        <f t="shared" si="315"/>
        <v/>
      </c>
      <c r="AJ665" s="111"/>
      <c r="AK665" s="255"/>
      <c r="AL665" s="259" t="str">
        <f>IF(AK665&lt;&gt;"",AK665/VLOOKUP($V665,Setup!$C$30:$D$41,2,0),"")</f>
        <v/>
      </c>
      <c r="AM665" s="266"/>
      <c r="AN665" s="258" t="str">
        <f t="shared" si="316"/>
        <v/>
      </c>
      <c r="AO665" s="266"/>
      <c r="AP665" s="258" t="str">
        <f t="shared" si="317"/>
        <v/>
      </c>
      <c r="AQ665" s="266"/>
      <c r="AR665" s="258" t="str">
        <f t="shared" si="318"/>
        <v/>
      </c>
      <c r="AS665" s="266"/>
      <c r="AT665" s="256" t="str">
        <f t="shared" si="319"/>
        <v/>
      </c>
      <c r="AU665" s="256" t="str">
        <f t="shared" si="320"/>
        <v/>
      </c>
      <c r="AV665" s="256" t="str">
        <f t="shared" si="321"/>
        <v/>
      </c>
      <c r="AW665" s="267"/>
      <c r="AX665" s="255"/>
      <c r="AY665" s="259" t="str">
        <f>IF(AX665&lt;&gt;"",AX665/VLOOKUP($V665,Setup!$C$30:$D$41,2,0),"")</f>
        <v/>
      </c>
      <c r="AZ665" s="268"/>
      <c r="BA665" s="258" t="str">
        <f t="shared" si="322"/>
        <v/>
      </c>
      <c r="BB665" s="268"/>
      <c r="BC665" s="258" t="str">
        <f t="shared" si="323"/>
        <v/>
      </c>
      <c r="BD665" s="268"/>
      <c r="BE665" s="258" t="str">
        <f t="shared" si="324"/>
        <v/>
      </c>
      <c r="BF665" s="268"/>
      <c r="BG665" s="256" t="str">
        <f t="shared" si="325"/>
        <v/>
      </c>
      <c r="BH665" s="256" t="str">
        <f t="shared" si="326"/>
        <v/>
      </c>
      <c r="BI665" s="256" t="str">
        <f t="shared" si="327"/>
        <v/>
      </c>
      <c r="BJ665" s="267"/>
      <c r="BK665" s="255"/>
      <c r="BL665" s="259" t="str">
        <f>IF(BK665&lt;&gt;"",BK665/VLOOKUP($V665,Setup!$C$30:$D$41,2,0),"")</f>
        <v/>
      </c>
      <c r="BM665" s="268"/>
      <c r="BN665" s="258" t="str">
        <f t="shared" si="328"/>
        <v/>
      </c>
      <c r="BO665" s="268"/>
      <c r="BP665" s="258" t="str">
        <f t="shared" si="329"/>
        <v/>
      </c>
      <c r="BQ665" s="268"/>
      <c r="BR665" s="258" t="str">
        <f t="shared" si="330"/>
        <v/>
      </c>
      <c r="BS665" s="268"/>
      <c r="BT665" s="256" t="str">
        <f t="shared" si="331"/>
        <v/>
      </c>
      <c r="BU665" s="256" t="str">
        <f t="shared" si="332"/>
        <v/>
      </c>
      <c r="BV665" s="256" t="str">
        <f t="shared" si="333"/>
        <v/>
      </c>
      <c r="BW665" s="267"/>
      <c r="BX665" s="256" t="str">
        <f t="shared" si="334"/>
        <v/>
      </c>
      <c r="BY665" s="256" t="str">
        <f t="shared" si="335"/>
        <v/>
      </c>
      <c r="BZ665" s="281"/>
      <c r="CA665" s="282"/>
      <c r="CF665" s="284"/>
      <c r="CG665" s="284"/>
      <c r="CH665" s="284"/>
      <c r="CI665" s="284"/>
      <c r="CL665" s="356" t="str">
        <f>IFERROR(VLOOKUP(C665,'Data Sheet'!$A$3:$B$26,2,FALSE),"")</f>
        <v/>
      </c>
    </row>
    <row r="666" spans="1:90" ht="15.75" x14ac:dyDescent="0.2">
      <c r="A666" s="97"/>
      <c r="B666" s="105" t="str">
        <f t="shared" si="338"/>
        <v>--</v>
      </c>
      <c r="C666" s="276"/>
      <c r="D666" s="101" t="str">
        <f>IFERROR(IF(VLOOKUP(C666,'Data Sheet'!$A$3:$D$26,4,FALSE)=0,"",VLOOKUP(C666,'Data Sheet'!$A$3:$D$26,4,FALSE)),"")</f>
        <v/>
      </c>
      <c r="E666" s="279"/>
      <c r="F666" s="103" t="str">
        <f>IFERROR(IF(VLOOKUP(E666,'Data Sheet'!$C$29:$E$174,3,FALSE)=0,"",VLOOKUP(E666,'Data Sheet'!$C$29:$E$174,3,FALSE)),"")</f>
        <v/>
      </c>
      <c r="G666" s="106" t="str">
        <f t="shared" si="336"/>
        <v>-</v>
      </c>
      <c r="H666" s="273"/>
      <c r="I666" s="107"/>
      <c r="J666" s="249" t="e">
        <f t="shared" si="337"/>
        <v>#VALUE!</v>
      </c>
      <c r="K666" s="101" t="str">
        <f>IFERROR(INDEX('Data Sheet'!$C$198:$C$275,MATCH(I666,'Data Sheet'!$F$198:$F$275,0)),"")</f>
        <v/>
      </c>
      <c r="L666" s="250" t="str">
        <f>IFERROR(INDEX('Data Sheet'!$G$198:$G$275,MATCH(I666,'Data Sheet'!$F$198:$F$275,0)),"")</f>
        <v/>
      </c>
      <c r="M666" s="194"/>
      <c r="N666" s="248"/>
      <c r="O666" s="248"/>
      <c r="P666" s="108" t="str">
        <f>IFERROR(INDEX(Setup!$D$44:$D$70,MATCH(M666,Setup!$K$44:$K$70,0))&amp;"","")</f>
        <v/>
      </c>
      <c r="Q666" s="108" t="str">
        <f>IFERROR(INDEX(Setup!$E$44:$E$70,MATCH(M666,Setup!$K$44:$K$70,0))&amp;"","")</f>
        <v/>
      </c>
      <c r="R666" s="108" t="str">
        <f>IFERROR(INDEX(Setup!$L$44:$L$70,MATCH(M666,Setup!$K$44:$K$70,0))&amp;"","")</f>
        <v/>
      </c>
      <c r="S666" s="108" t="str">
        <f>Setup!$C$30</f>
        <v>USD</v>
      </c>
      <c r="T666" s="109" t="str">
        <f>IFERROR(INDEX('Data Sheet'!$B$198:$B$275,MATCH(I666,'Data Sheet'!$F$198:$F$275,0)),"")</f>
        <v/>
      </c>
      <c r="U666" s="110" t="str">
        <f>IFERROR(INDEX('Data Sheet'!$D$198:$D$275,MATCH(I666,'Data Sheet'!$F$198:$F$275,0)),"")</f>
        <v/>
      </c>
      <c r="V666" s="99"/>
      <c r="W666" s="195" t="str">
        <f>IF(V666=Setup!$C$30,"Grant",IF(V666=Setup!$C$31,"Local",IF(V666=Setup!$C$32,"Other",IF(ISBLANK(V666),"","Other"))))</f>
        <v/>
      </c>
      <c r="X666" s="255"/>
      <c r="Y666" s="259" t="str">
        <f>IF(X666&lt;&gt;"",X666/VLOOKUP($V666,Setup!$C$30:$D$41,2,0),"")</f>
        <v/>
      </c>
      <c r="Z666" s="262"/>
      <c r="AA666" s="256" t="str">
        <f t="shared" si="310"/>
        <v/>
      </c>
      <c r="AB666" s="262"/>
      <c r="AC666" s="258" t="str">
        <f t="shared" si="311"/>
        <v/>
      </c>
      <c r="AD666" s="262"/>
      <c r="AE666" s="258" t="str">
        <f t="shared" si="312"/>
        <v/>
      </c>
      <c r="AF666" s="262"/>
      <c r="AG666" s="256" t="str">
        <f t="shared" si="313"/>
        <v/>
      </c>
      <c r="AH666" s="256" t="str">
        <f t="shared" si="314"/>
        <v/>
      </c>
      <c r="AI666" s="256" t="str">
        <f t="shared" si="315"/>
        <v/>
      </c>
      <c r="AJ666" s="111"/>
      <c r="AK666" s="255"/>
      <c r="AL666" s="259" t="str">
        <f>IF(AK666&lt;&gt;"",AK666/VLOOKUP($V666,Setup!$C$30:$D$41,2,0),"")</f>
        <v/>
      </c>
      <c r="AM666" s="266"/>
      <c r="AN666" s="258" t="str">
        <f t="shared" si="316"/>
        <v/>
      </c>
      <c r="AO666" s="266"/>
      <c r="AP666" s="258" t="str">
        <f t="shared" si="317"/>
        <v/>
      </c>
      <c r="AQ666" s="266"/>
      <c r="AR666" s="258" t="str">
        <f t="shared" si="318"/>
        <v/>
      </c>
      <c r="AS666" s="266"/>
      <c r="AT666" s="256" t="str">
        <f t="shared" si="319"/>
        <v/>
      </c>
      <c r="AU666" s="256" t="str">
        <f t="shared" si="320"/>
        <v/>
      </c>
      <c r="AV666" s="256" t="str">
        <f t="shared" si="321"/>
        <v/>
      </c>
      <c r="AW666" s="267"/>
      <c r="AX666" s="255"/>
      <c r="AY666" s="259" t="str">
        <f>IF(AX666&lt;&gt;"",AX666/VLOOKUP($V666,Setup!$C$30:$D$41,2,0),"")</f>
        <v/>
      </c>
      <c r="AZ666" s="268"/>
      <c r="BA666" s="258" t="str">
        <f t="shared" si="322"/>
        <v/>
      </c>
      <c r="BB666" s="268"/>
      <c r="BC666" s="258" t="str">
        <f t="shared" si="323"/>
        <v/>
      </c>
      <c r="BD666" s="268"/>
      <c r="BE666" s="258" t="str">
        <f t="shared" si="324"/>
        <v/>
      </c>
      <c r="BF666" s="268"/>
      <c r="BG666" s="256" t="str">
        <f t="shared" si="325"/>
        <v/>
      </c>
      <c r="BH666" s="256" t="str">
        <f t="shared" si="326"/>
        <v/>
      </c>
      <c r="BI666" s="256" t="str">
        <f t="shared" si="327"/>
        <v/>
      </c>
      <c r="BJ666" s="267"/>
      <c r="BK666" s="255"/>
      <c r="BL666" s="259" t="str">
        <f>IF(BK666&lt;&gt;"",BK666/VLOOKUP($V666,Setup!$C$30:$D$41,2,0),"")</f>
        <v/>
      </c>
      <c r="BM666" s="268"/>
      <c r="BN666" s="258" t="str">
        <f t="shared" si="328"/>
        <v/>
      </c>
      <c r="BO666" s="268"/>
      <c r="BP666" s="258" t="str">
        <f t="shared" si="329"/>
        <v/>
      </c>
      <c r="BQ666" s="268"/>
      <c r="BR666" s="258" t="str">
        <f t="shared" si="330"/>
        <v/>
      </c>
      <c r="BS666" s="268"/>
      <c r="BT666" s="256" t="str">
        <f t="shared" si="331"/>
        <v/>
      </c>
      <c r="BU666" s="256" t="str">
        <f t="shared" si="332"/>
        <v/>
      </c>
      <c r="BV666" s="256" t="str">
        <f t="shared" si="333"/>
        <v/>
      </c>
      <c r="BW666" s="267"/>
      <c r="BX666" s="256" t="str">
        <f t="shared" si="334"/>
        <v/>
      </c>
      <c r="BY666" s="256" t="str">
        <f t="shared" si="335"/>
        <v/>
      </c>
      <c r="BZ666" s="281"/>
      <c r="CA666" s="282"/>
      <c r="CF666" s="284"/>
      <c r="CG666" s="284"/>
      <c r="CH666" s="284"/>
      <c r="CI666" s="284"/>
      <c r="CL666" s="356" t="str">
        <f>IFERROR(VLOOKUP(C666,'Data Sheet'!$A$3:$B$26,2,FALSE),"")</f>
        <v/>
      </c>
    </row>
    <row r="667" spans="1:90" ht="15.75" x14ac:dyDescent="0.2">
      <c r="A667" s="97"/>
      <c r="B667" s="105" t="str">
        <f t="shared" si="338"/>
        <v>--</v>
      </c>
      <c r="C667" s="276"/>
      <c r="D667" s="101" t="str">
        <f>IFERROR(IF(VLOOKUP(C667,'Data Sheet'!$A$3:$D$26,4,FALSE)=0,"",VLOOKUP(C667,'Data Sheet'!$A$3:$D$26,4,FALSE)),"")</f>
        <v/>
      </c>
      <c r="E667" s="279"/>
      <c r="F667" s="103" t="str">
        <f>IFERROR(IF(VLOOKUP(E667,'Data Sheet'!$C$29:$E$174,3,FALSE)=0,"",VLOOKUP(E667,'Data Sheet'!$C$29:$E$174,3,FALSE)),"")</f>
        <v/>
      </c>
      <c r="G667" s="106" t="str">
        <f t="shared" si="336"/>
        <v>-</v>
      </c>
      <c r="H667" s="273"/>
      <c r="I667" s="107"/>
      <c r="J667" s="249" t="e">
        <f t="shared" si="337"/>
        <v>#VALUE!</v>
      </c>
      <c r="K667" s="101" t="str">
        <f>IFERROR(INDEX('Data Sheet'!$C$198:$C$275,MATCH(I667,'Data Sheet'!$F$198:$F$275,0)),"")</f>
        <v/>
      </c>
      <c r="L667" s="250" t="str">
        <f>IFERROR(INDEX('Data Sheet'!$G$198:$G$275,MATCH(I667,'Data Sheet'!$F$198:$F$275,0)),"")</f>
        <v/>
      </c>
      <c r="M667" s="194"/>
      <c r="N667" s="248"/>
      <c r="O667" s="248"/>
      <c r="P667" s="108" t="str">
        <f>IFERROR(INDEX(Setup!$D$44:$D$70,MATCH(M667,Setup!$K$44:$K$70,0))&amp;"","")</f>
        <v/>
      </c>
      <c r="Q667" s="108" t="str">
        <f>IFERROR(INDEX(Setup!$E$44:$E$70,MATCH(M667,Setup!$K$44:$K$70,0))&amp;"","")</f>
        <v/>
      </c>
      <c r="R667" s="108" t="str">
        <f>IFERROR(INDEX(Setup!$L$44:$L$70,MATCH(M667,Setup!$K$44:$K$70,0))&amp;"","")</f>
        <v/>
      </c>
      <c r="S667" s="108" t="str">
        <f>Setup!$C$30</f>
        <v>USD</v>
      </c>
      <c r="T667" s="109" t="str">
        <f>IFERROR(INDEX('Data Sheet'!$B$198:$B$275,MATCH(I667,'Data Sheet'!$F$198:$F$275,0)),"")</f>
        <v/>
      </c>
      <c r="U667" s="110" t="str">
        <f>IFERROR(INDEX('Data Sheet'!$D$198:$D$275,MATCH(I667,'Data Sheet'!$F$198:$F$275,0)),"")</f>
        <v/>
      </c>
      <c r="V667" s="99"/>
      <c r="W667" s="195" t="str">
        <f>IF(V667=Setup!$C$30,"Grant",IF(V667=Setup!$C$31,"Local",IF(V667=Setup!$C$32,"Other",IF(ISBLANK(V667),"","Other"))))</f>
        <v/>
      </c>
      <c r="X667" s="255"/>
      <c r="Y667" s="259" t="str">
        <f>IF(X667&lt;&gt;"",X667/VLOOKUP($V667,Setup!$C$30:$D$41,2,0),"")</f>
        <v/>
      </c>
      <c r="Z667" s="262"/>
      <c r="AA667" s="256" t="str">
        <f t="shared" si="310"/>
        <v/>
      </c>
      <c r="AB667" s="262"/>
      <c r="AC667" s="258" t="str">
        <f t="shared" si="311"/>
        <v/>
      </c>
      <c r="AD667" s="262"/>
      <c r="AE667" s="258" t="str">
        <f t="shared" si="312"/>
        <v/>
      </c>
      <c r="AF667" s="262"/>
      <c r="AG667" s="256" t="str">
        <f t="shared" si="313"/>
        <v/>
      </c>
      <c r="AH667" s="256" t="str">
        <f t="shared" si="314"/>
        <v/>
      </c>
      <c r="AI667" s="256" t="str">
        <f t="shared" si="315"/>
        <v/>
      </c>
      <c r="AJ667" s="111"/>
      <c r="AK667" s="255"/>
      <c r="AL667" s="259" t="str">
        <f>IF(AK667&lt;&gt;"",AK667/VLOOKUP($V667,Setup!$C$30:$D$41,2,0),"")</f>
        <v/>
      </c>
      <c r="AM667" s="266"/>
      <c r="AN667" s="258" t="str">
        <f t="shared" si="316"/>
        <v/>
      </c>
      <c r="AO667" s="266"/>
      <c r="AP667" s="258" t="str">
        <f t="shared" si="317"/>
        <v/>
      </c>
      <c r="AQ667" s="266"/>
      <c r="AR667" s="258" t="str">
        <f t="shared" si="318"/>
        <v/>
      </c>
      <c r="AS667" s="266"/>
      <c r="AT667" s="256" t="str">
        <f t="shared" si="319"/>
        <v/>
      </c>
      <c r="AU667" s="256" t="str">
        <f t="shared" si="320"/>
        <v/>
      </c>
      <c r="AV667" s="256" t="str">
        <f t="shared" si="321"/>
        <v/>
      </c>
      <c r="AW667" s="267"/>
      <c r="AX667" s="255"/>
      <c r="AY667" s="259" t="str">
        <f>IF(AX667&lt;&gt;"",AX667/VLOOKUP($V667,Setup!$C$30:$D$41,2,0),"")</f>
        <v/>
      </c>
      <c r="AZ667" s="268"/>
      <c r="BA667" s="258" t="str">
        <f t="shared" si="322"/>
        <v/>
      </c>
      <c r="BB667" s="268"/>
      <c r="BC667" s="258" t="str">
        <f t="shared" si="323"/>
        <v/>
      </c>
      <c r="BD667" s="268"/>
      <c r="BE667" s="258" t="str">
        <f t="shared" si="324"/>
        <v/>
      </c>
      <c r="BF667" s="268"/>
      <c r="BG667" s="256" t="str">
        <f t="shared" si="325"/>
        <v/>
      </c>
      <c r="BH667" s="256" t="str">
        <f t="shared" si="326"/>
        <v/>
      </c>
      <c r="BI667" s="256" t="str">
        <f t="shared" si="327"/>
        <v/>
      </c>
      <c r="BJ667" s="267"/>
      <c r="BK667" s="255"/>
      <c r="BL667" s="259" t="str">
        <f>IF(BK667&lt;&gt;"",BK667/VLOOKUP($V667,Setup!$C$30:$D$41,2,0),"")</f>
        <v/>
      </c>
      <c r="BM667" s="268"/>
      <c r="BN667" s="258" t="str">
        <f t="shared" si="328"/>
        <v/>
      </c>
      <c r="BO667" s="268"/>
      <c r="BP667" s="258" t="str">
        <f t="shared" si="329"/>
        <v/>
      </c>
      <c r="BQ667" s="268"/>
      <c r="BR667" s="258" t="str">
        <f t="shared" si="330"/>
        <v/>
      </c>
      <c r="BS667" s="268"/>
      <c r="BT667" s="256" t="str">
        <f t="shared" si="331"/>
        <v/>
      </c>
      <c r="BU667" s="256" t="str">
        <f t="shared" si="332"/>
        <v/>
      </c>
      <c r="BV667" s="256" t="str">
        <f t="shared" si="333"/>
        <v/>
      </c>
      <c r="BW667" s="267"/>
      <c r="BX667" s="256" t="str">
        <f t="shared" si="334"/>
        <v/>
      </c>
      <c r="BY667" s="256" t="str">
        <f t="shared" si="335"/>
        <v/>
      </c>
      <c r="BZ667" s="281"/>
      <c r="CA667" s="282"/>
      <c r="CF667" s="284"/>
      <c r="CG667" s="284"/>
      <c r="CH667" s="284"/>
      <c r="CI667" s="284"/>
      <c r="CL667" s="356" t="str">
        <f>IFERROR(VLOOKUP(C667,'Data Sheet'!$A$3:$B$26,2,FALSE),"")</f>
        <v/>
      </c>
    </row>
    <row r="668" spans="1:90" ht="15.75" x14ac:dyDescent="0.2">
      <c r="A668" s="97"/>
      <c r="B668" s="105" t="str">
        <f t="shared" si="338"/>
        <v>--</v>
      </c>
      <c r="C668" s="276"/>
      <c r="D668" s="101" t="str">
        <f>IFERROR(IF(VLOOKUP(C668,'Data Sheet'!$A$3:$D$26,4,FALSE)=0,"",VLOOKUP(C668,'Data Sheet'!$A$3:$D$26,4,FALSE)),"")</f>
        <v/>
      </c>
      <c r="E668" s="279"/>
      <c r="F668" s="103" t="str">
        <f>IFERROR(IF(VLOOKUP(E668,'Data Sheet'!$C$29:$E$174,3,FALSE)=0,"",VLOOKUP(E668,'Data Sheet'!$C$29:$E$174,3,FALSE)),"")</f>
        <v/>
      </c>
      <c r="G668" s="106" t="str">
        <f t="shared" si="336"/>
        <v>-</v>
      </c>
      <c r="H668" s="273"/>
      <c r="I668" s="107"/>
      <c r="J668" s="249" t="e">
        <f t="shared" si="337"/>
        <v>#VALUE!</v>
      </c>
      <c r="K668" s="101" t="str">
        <f>IFERROR(INDEX('Data Sheet'!$C$198:$C$275,MATCH(I668,'Data Sheet'!$F$198:$F$275,0)),"")</f>
        <v/>
      </c>
      <c r="L668" s="250" t="str">
        <f>IFERROR(INDEX('Data Sheet'!$G$198:$G$275,MATCH(I668,'Data Sheet'!$F$198:$F$275,0)),"")</f>
        <v/>
      </c>
      <c r="M668" s="194"/>
      <c r="N668" s="248"/>
      <c r="O668" s="248"/>
      <c r="P668" s="108" t="str">
        <f>IFERROR(INDEX(Setup!$D$44:$D$70,MATCH(M668,Setup!$K$44:$K$70,0))&amp;"","")</f>
        <v/>
      </c>
      <c r="Q668" s="108" t="str">
        <f>IFERROR(INDEX(Setup!$E$44:$E$70,MATCH(M668,Setup!$K$44:$K$70,0))&amp;"","")</f>
        <v/>
      </c>
      <c r="R668" s="108" t="str">
        <f>IFERROR(INDEX(Setup!$L$44:$L$70,MATCH(M668,Setup!$K$44:$K$70,0))&amp;"","")</f>
        <v/>
      </c>
      <c r="S668" s="108" t="str">
        <f>Setup!$C$30</f>
        <v>USD</v>
      </c>
      <c r="T668" s="109" t="str">
        <f>IFERROR(INDEX('Data Sheet'!$B$198:$B$275,MATCH(I668,'Data Sheet'!$F$198:$F$275,0)),"")</f>
        <v/>
      </c>
      <c r="U668" s="110" t="str">
        <f>IFERROR(INDEX('Data Sheet'!$D$198:$D$275,MATCH(I668,'Data Sheet'!$F$198:$F$275,0)),"")</f>
        <v/>
      </c>
      <c r="V668" s="99"/>
      <c r="W668" s="195" t="str">
        <f>IF(V668=Setup!$C$30,"Grant",IF(V668=Setup!$C$31,"Local",IF(V668=Setup!$C$32,"Other",IF(ISBLANK(V668),"","Other"))))</f>
        <v/>
      </c>
      <c r="X668" s="255"/>
      <c r="Y668" s="259" t="str">
        <f>IF(X668&lt;&gt;"",X668/VLOOKUP($V668,Setup!$C$30:$D$41,2,0),"")</f>
        <v/>
      </c>
      <c r="Z668" s="262"/>
      <c r="AA668" s="256" t="str">
        <f t="shared" si="310"/>
        <v/>
      </c>
      <c r="AB668" s="262"/>
      <c r="AC668" s="258" t="str">
        <f t="shared" si="311"/>
        <v/>
      </c>
      <c r="AD668" s="262"/>
      <c r="AE668" s="258" t="str">
        <f t="shared" si="312"/>
        <v/>
      </c>
      <c r="AF668" s="262"/>
      <c r="AG668" s="256" t="str">
        <f t="shared" si="313"/>
        <v/>
      </c>
      <c r="AH668" s="256" t="str">
        <f t="shared" si="314"/>
        <v/>
      </c>
      <c r="AI668" s="256" t="str">
        <f t="shared" si="315"/>
        <v/>
      </c>
      <c r="AJ668" s="111"/>
      <c r="AK668" s="255"/>
      <c r="AL668" s="259" t="str">
        <f>IF(AK668&lt;&gt;"",AK668/VLOOKUP($V668,Setup!$C$30:$D$41,2,0),"")</f>
        <v/>
      </c>
      <c r="AM668" s="266"/>
      <c r="AN668" s="258" t="str">
        <f t="shared" si="316"/>
        <v/>
      </c>
      <c r="AO668" s="266"/>
      <c r="AP668" s="258" t="str">
        <f t="shared" si="317"/>
        <v/>
      </c>
      <c r="AQ668" s="266"/>
      <c r="AR668" s="258" t="str">
        <f t="shared" si="318"/>
        <v/>
      </c>
      <c r="AS668" s="266"/>
      <c r="AT668" s="256" t="str">
        <f t="shared" si="319"/>
        <v/>
      </c>
      <c r="AU668" s="256" t="str">
        <f t="shared" si="320"/>
        <v/>
      </c>
      <c r="AV668" s="256" t="str">
        <f t="shared" si="321"/>
        <v/>
      </c>
      <c r="AW668" s="267"/>
      <c r="AX668" s="255"/>
      <c r="AY668" s="259" t="str">
        <f>IF(AX668&lt;&gt;"",AX668/VLOOKUP($V668,Setup!$C$30:$D$41,2,0),"")</f>
        <v/>
      </c>
      <c r="AZ668" s="268"/>
      <c r="BA668" s="258" t="str">
        <f t="shared" si="322"/>
        <v/>
      </c>
      <c r="BB668" s="268"/>
      <c r="BC668" s="258" t="str">
        <f t="shared" si="323"/>
        <v/>
      </c>
      <c r="BD668" s="268"/>
      <c r="BE668" s="258" t="str">
        <f t="shared" si="324"/>
        <v/>
      </c>
      <c r="BF668" s="268"/>
      <c r="BG668" s="256" t="str">
        <f t="shared" si="325"/>
        <v/>
      </c>
      <c r="BH668" s="256" t="str">
        <f t="shared" si="326"/>
        <v/>
      </c>
      <c r="BI668" s="256" t="str">
        <f t="shared" si="327"/>
        <v/>
      </c>
      <c r="BJ668" s="267"/>
      <c r="BK668" s="255"/>
      <c r="BL668" s="259" t="str">
        <f>IF(BK668&lt;&gt;"",BK668/VLOOKUP($V668,Setup!$C$30:$D$41,2,0),"")</f>
        <v/>
      </c>
      <c r="BM668" s="268"/>
      <c r="BN668" s="258" t="str">
        <f t="shared" si="328"/>
        <v/>
      </c>
      <c r="BO668" s="268"/>
      <c r="BP668" s="258" t="str">
        <f t="shared" si="329"/>
        <v/>
      </c>
      <c r="BQ668" s="268"/>
      <c r="BR668" s="258" t="str">
        <f t="shared" si="330"/>
        <v/>
      </c>
      <c r="BS668" s="268"/>
      <c r="BT668" s="256" t="str">
        <f t="shared" si="331"/>
        <v/>
      </c>
      <c r="BU668" s="256" t="str">
        <f t="shared" si="332"/>
        <v/>
      </c>
      <c r="BV668" s="256" t="str">
        <f t="shared" si="333"/>
        <v/>
      </c>
      <c r="BW668" s="267"/>
      <c r="BX668" s="256" t="str">
        <f t="shared" si="334"/>
        <v/>
      </c>
      <c r="BY668" s="256" t="str">
        <f t="shared" si="335"/>
        <v/>
      </c>
      <c r="BZ668" s="281"/>
      <c r="CA668" s="282"/>
      <c r="CF668" s="284"/>
      <c r="CG668" s="284"/>
      <c r="CH668" s="284"/>
      <c r="CI668" s="284"/>
      <c r="CL668" s="356" t="str">
        <f>IFERROR(VLOOKUP(C668,'Data Sheet'!$A$3:$B$26,2,FALSE),"")</f>
        <v/>
      </c>
    </row>
    <row r="669" spans="1:90" ht="15.75" x14ac:dyDescent="0.2">
      <c r="A669" s="97"/>
      <c r="B669" s="105" t="str">
        <f t="shared" si="338"/>
        <v>--</v>
      </c>
      <c r="C669" s="276"/>
      <c r="D669" s="101" t="str">
        <f>IFERROR(IF(VLOOKUP(C669,'Data Sheet'!$A$3:$D$26,4,FALSE)=0,"",VLOOKUP(C669,'Data Sheet'!$A$3:$D$26,4,FALSE)),"")</f>
        <v/>
      </c>
      <c r="E669" s="279"/>
      <c r="F669" s="103" t="str">
        <f>IFERROR(IF(VLOOKUP(E669,'Data Sheet'!$C$29:$E$174,3,FALSE)=0,"",VLOOKUP(E669,'Data Sheet'!$C$29:$E$174,3,FALSE)),"")</f>
        <v/>
      </c>
      <c r="G669" s="106" t="str">
        <f t="shared" si="336"/>
        <v>-</v>
      </c>
      <c r="H669" s="273"/>
      <c r="I669" s="107"/>
      <c r="J669" s="249" t="e">
        <f t="shared" si="337"/>
        <v>#VALUE!</v>
      </c>
      <c r="K669" s="101" t="str">
        <f>IFERROR(INDEX('Data Sheet'!$C$198:$C$275,MATCH(I669,'Data Sheet'!$F$198:$F$275,0)),"")</f>
        <v/>
      </c>
      <c r="L669" s="250" t="str">
        <f>IFERROR(INDEX('Data Sheet'!$G$198:$G$275,MATCH(I669,'Data Sheet'!$F$198:$F$275,0)),"")</f>
        <v/>
      </c>
      <c r="M669" s="194"/>
      <c r="N669" s="248"/>
      <c r="O669" s="248"/>
      <c r="P669" s="108" t="str">
        <f>IFERROR(INDEX(Setup!$D$44:$D$70,MATCH(M669,Setup!$K$44:$K$70,0))&amp;"","")</f>
        <v/>
      </c>
      <c r="Q669" s="108" t="str">
        <f>IFERROR(INDEX(Setup!$E$44:$E$70,MATCH(M669,Setup!$K$44:$K$70,0))&amp;"","")</f>
        <v/>
      </c>
      <c r="R669" s="108" t="str">
        <f>IFERROR(INDEX(Setup!$L$44:$L$70,MATCH(M669,Setup!$K$44:$K$70,0))&amp;"","")</f>
        <v/>
      </c>
      <c r="S669" s="108" t="str">
        <f>Setup!$C$30</f>
        <v>USD</v>
      </c>
      <c r="T669" s="109" t="str">
        <f>IFERROR(INDEX('Data Sheet'!$B$198:$B$275,MATCH(I669,'Data Sheet'!$F$198:$F$275,0)),"")</f>
        <v/>
      </c>
      <c r="U669" s="110" t="str">
        <f>IFERROR(INDEX('Data Sheet'!$D$198:$D$275,MATCH(I669,'Data Sheet'!$F$198:$F$275,0)),"")</f>
        <v/>
      </c>
      <c r="V669" s="99"/>
      <c r="W669" s="195" t="str">
        <f>IF(V669=Setup!$C$30,"Grant",IF(V669=Setup!$C$31,"Local",IF(V669=Setup!$C$32,"Other",IF(ISBLANK(V669),"","Other"))))</f>
        <v/>
      </c>
      <c r="X669" s="255"/>
      <c r="Y669" s="259" t="str">
        <f>IF(X669&lt;&gt;"",X669/VLOOKUP($V669,Setup!$C$30:$D$41,2,0),"")</f>
        <v/>
      </c>
      <c r="Z669" s="262"/>
      <c r="AA669" s="256" t="str">
        <f t="shared" si="310"/>
        <v/>
      </c>
      <c r="AB669" s="262"/>
      <c r="AC669" s="258" t="str">
        <f t="shared" si="311"/>
        <v/>
      </c>
      <c r="AD669" s="262"/>
      <c r="AE669" s="258" t="str">
        <f t="shared" si="312"/>
        <v/>
      </c>
      <c r="AF669" s="262"/>
      <c r="AG669" s="256" t="str">
        <f t="shared" si="313"/>
        <v/>
      </c>
      <c r="AH669" s="256" t="str">
        <f t="shared" si="314"/>
        <v/>
      </c>
      <c r="AI669" s="256" t="str">
        <f t="shared" si="315"/>
        <v/>
      </c>
      <c r="AJ669" s="111"/>
      <c r="AK669" s="255"/>
      <c r="AL669" s="259" t="str">
        <f>IF(AK669&lt;&gt;"",AK669/VLOOKUP($V669,Setup!$C$30:$D$41,2,0),"")</f>
        <v/>
      </c>
      <c r="AM669" s="266"/>
      <c r="AN669" s="258" t="str">
        <f t="shared" si="316"/>
        <v/>
      </c>
      <c r="AO669" s="266"/>
      <c r="AP669" s="258" t="str">
        <f t="shared" si="317"/>
        <v/>
      </c>
      <c r="AQ669" s="266"/>
      <c r="AR669" s="258" t="str">
        <f t="shared" si="318"/>
        <v/>
      </c>
      <c r="AS669" s="266"/>
      <c r="AT669" s="256" t="str">
        <f t="shared" si="319"/>
        <v/>
      </c>
      <c r="AU669" s="256" t="str">
        <f t="shared" si="320"/>
        <v/>
      </c>
      <c r="AV669" s="256" t="str">
        <f t="shared" si="321"/>
        <v/>
      </c>
      <c r="AW669" s="267"/>
      <c r="AX669" s="255"/>
      <c r="AY669" s="259" t="str">
        <f>IF(AX669&lt;&gt;"",AX669/VLOOKUP($V669,Setup!$C$30:$D$41,2,0),"")</f>
        <v/>
      </c>
      <c r="AZ669" s="268"/>
      <c r="BA669" s="258" t="str">
        <f t="shared" si="322"/>
        <v/>
      </c>
      <c r="BB669" s="268"/>
      <c r="BC669" s="258" t="str">
        <f t="shared" si="323"/>
        <v/>
      </c>
      <c r="BD669" s="268"/>
      <c r="BE669" s="258" t="str">
        <f t="shared" si="324"/>
        <v/>
      </c>
      <c r="BF669" s="268"/>
      <c r="BG669" s="256" t="str">
        <f t="shared" si="325"/>
        <v/>
      </c>
      <c r="BH669" s="256" t="str">
        <f t="shared" si="326"/>
        <v/>
      </c>
      <c r="BI669" s="256" t="str">
        <f t="shared" si="327"/>
        <v/>
      </c>
      <c r="BJ669" s="267"/>
      <c r="BK669" s="255"/>
      <c r="BL669" s="259" t="str">
        <f>IF(BK669&lt;&gt;"",BK669/VLOOKUP($V669,Setup!$C$30:$D$41,2,0),"")</f>
        <v/>
      </c>
      <c r="BM669" s="268"/>
      <c r="BN669" s="258" t="str">
        <f t="shared" si="328"/>
        <v/>
      </c>
      <c r="BO669" s="268"/>
      <c r="BP669" s="258" t="str">
        <f t="shared" si="329"/>
        <v/>
      </c>
      <c r="BQ669" s="268"/>
      <c r="BR669" s="258" t="str">
        <f t="shared" si="330"/>
        <v/>
      </c>
      <c r="BS669" s="268"/>
      <c r="BT669" s="256" t="str">
        <f t="shared" si="331"/>
        <v/>
      </c>
      <c r="BU669" s="256" t="str">
        <f t="shared" si="332"/>
        <v/>
      </c>
      <c r="BV669" s="256" t="str">
        <f t="shared" si="333"/>
        <v/>
      </c>
      <c r="BW669" s="267"/>
      <c r="BX669" s="256" t="str">
        <f t="shared" si="334"/>
        <v/>
      </c>
      <c r="BY669" s="256" t="str">
        <f t="shared" si="335"/>
        <v/>
      </c>
      <c r="BZ669" s="281"/>
      <c r="CA669" s="282"/>
      <c r="CF669" s="284"/>
      <c r="CG669" s="284"/>
      <c r="CH669" s="284"/>
      <c r="CI669" s="284"/>
      <c r="CL669" s="356" t="str">
        <f>IFERROR(VLOOKUP(C669,'Data Sheet'!$A$3:$B$26,2,FALSE),"")</f>
        <v/>
      </c>
    </row>
    <row r="670" spans="1:90" ht="15.75" x14ac:dyDescent="0.2">
      <c r="A670" s="97"/>
      <c r="B670" s="105" t="str">
        <f t="shared" si="338"/>
        <v>--</v>
      </c>
      <c r="C670" s="276"/>
      <c r="D670" s="101" t="str">
        <f>IFERROR(IF(VLOOKUP(C670,'Data Sheet'!$A$3:$D$26,4,FALSE)=0,"",VLOOKUP(C670,'Data Sheet'!$A$3:$D$26,4,FALSE)),"")</f>
        <v/>
      </c>
      <c r="E670" s="279"/>
      <c r="F670" s="103" t="str">
        <f>IFERROR(IF(VLOOKUP(E670,'Data Sheet'!$C$29:$E$174,3,FALSE)=0,"",VLOOKUP(E670,'Data Sheet'!$C$29:$E$174,3,FALSE)),"")</f>
        <v/>
      </c>
      <c r="G670" s="106" t="str">
        <f t="shared" si="336"/>
        <v>-</v>
      </c>
      <c r="H670" s="273"/>
      <c r="I670" s="107"/>
      <c r="J670" s="249" t="e">
        <f t="shared" si="337"/>
        <v>#VALUE!</v>
      </c>
      <c r="K670" s="101" t="str">
        <f>IFERROR(INDEX('Data Sheet'!$C$198:$C$275,MATCH(I670,'Data Sheet'!$F$198:$F$275,0)),"")</f>
        <v/>
      </c>
      <c r="L670" s="250" t="str">
        <f>IFERROR(INDEX('Data Sheet'!$G$198:$G$275,MATCH(I670,'Data Sheet'!$F$198:$F$275,0)),"")</f>
        <v/>
      </c>
      <c r="M670" s="194"/>
      <c r="N670" s="248"/>
      <c r="O670" s="248"/>
      <c r="P670" s="108" t="str">
        <f>IFERROR(INDEX(Setup!$D$44:$D$70,MATCH(M670,Setup!$K$44:$K$70,0))&amp;"","")</f>
        <v/>
      </c>
      <c r="Q670" s="108" t="str">
        <f>IFERROR(INDEX(Setup!$E$44:$E$70,MATCH(M670,Setup!$K$44:$K$70,0))&amp;"","")</f>
        <v/>
      </c>
      <c r="R670" s="108" t="str">
        <f>IFERROR(INDEX(Setup!$L$44:$L$70,MATCH(M670,Setup!$K$44:$K$70,0))&amp;"","")</f>
        <v/>
      </c>
      <c r="S670" s="108" t="str">
        <f>Setup!$C$30</f>
        <v>USD</v>
      </c>
      <c r="T670" s="109" t="str">
        <f>IFERROR(INDEX('Data Sheet'!$B$198:$B$275,MATCH(I670,'Data Sheet'!$F$198:$F$275,0)),"")</f>
        <v/>
      </c>
      <c r="U670" s="110" t="str">
        <f>IFERROR(INDEX('Data Sheet'!$D$198:$D$275,MATCH(I670,'Data Sheet'!$F$198:$F$275,0)),"")</f>
        <v/>
      </c>
      <c r="V670" s="99"/>
      <c r="W670" s="195" t="str">
        <f>IF(V670=Setup!$C$30,"Grant",IF(V670=Setup!$C$31,"Local",IF(V670=Setup!$C$32,"Other",IF(ISBLANK(V670),"","Other"))))</f>
        <v/>
      </c>
      <c r="X670" s="255"/>
      <c r="Y670" s="259" t="str">
        <f>IF(X670&lt;&gt;"",X670/VLOOKUP($V670,Setup!$C$30:$D$41,2,0),"")</f>
        <v/>
      </c>
      <c r="Z670" s="262"/>
      <c r="AA670" s="256" t="str">
        <f t="shared" si="310"/>
        <v/>
      </c>
      <c r="AB670" s="262"/>
      <c r="AC670" s="258" t="str">
        <f t="shared" si="311"/>
        <v/>
      </c>
      <c r="AD670" s="262"/>
      <c r="AE670" s="258" t="str">
        <f t="shared" si="312"/>
        <v/>
      </c>
      <c r="AF670" s="262"/>
      <c r="AG670" s="256" t="str">
        <f t="shared" si="313"/>
        <v/>
      </c>
      <c r="AH670" s="256" t="str">
        <f t="shared" si="314"/>
        <v/>
      </c>
      <c r="AI670" s="256" t="str">
        <f t="shared" si="315"/>
        <v/>
      </c>
      <c r="AJ670" s="111"/>
      <c r="AK670" s="255"/>
      <c r="AL670" s="259" t="str">
        <f>IF(AK670&lt;&gt;"",AK670/VLOOKUP($V670,Setup!$C$30:$D$41,2,0),"")</f>
        <v/>
      </c>
      <c r="AM670" s="266"/>
      <c r="AN670" s="258" t="str">
        <f t="shared" si="316"/>
        <v/>
      </c>
      <c r="AO670" s="266"/>
      <c r="AP670" s="258" t="str">
        <f t="shared" si="317"/>
        <v/>
      </c>
      <c r="AQ670" s="266"/>
      <c r="AR670" s="258" t="str">
        <f t="shared" si="318"/>
        <v/>
      </c>
      <c r="AS670" s="266"/>
      <c r="AT670" s="256" t="str">
        <f t="shared" si="319"/>
        <v/>
      </c>
      <c r="AU670" s="256" t="str">
        <f t="shared" si="320"/>
        <v/>
      </c>
      <c r="AV670" s="256" t="str">
        <f t="shared" si="321"/>
        <v/>
      </c>
      <c r="AW670" s="267"/>
      <c r="AX670" s="255"/>
      <c r="AY670" s="259" t="str">
        <f>IF(AX670&lt;&gt;"",AX670/VLOOKUP($V670,Setup!$C$30:$D$41,2,0),"")</f>
        <v/>
      </c>
      <c r="AZ670" s="268"/>
      <c r="BA670" s="258" t="str">
        <f t="shared" si="322"/>
        <v/>
      </c>
      <c r="BB670" s="268"/>
      <c r="BC670" s="258" t="str">
        <f t="shared" si="323"/>
        <v/>
      </c>
      <c r="BD670" s="268"/>
      <c r="BE670" s="258" t="str">
        <f t="shared" si="324"/>
        <v/>
      </c>
      <c r="BF670" s="268"/>
      <c r="BG670" s="256" t="str">
        <f t="shared" si="325"/>
        <v/>
      </c>
      <c r="BH670" s="256" t="str">
        <f t="shared" si="326"/>
        <v/>
      </c>
      <c r="BI670" s="256" t="str">
        <f t="shared" si="327"/>
        <v/>
      </c>
      <c r="BJ670" s="267"/>
      <c r="BK670" s="255"/>
      <c r="BL670" s="259" t="str">
        <f>IF(BK670&lt;&gt;"",BK670/VLOOKUP($V670,Setup!$C$30:$D$41,2,0),"")</f>
        <v/>
      </c>
      <c r="BM670" s="268"/>
      <c r="BN670" s="258" t="str">
        <f t="shared" si="328"/>
        <v/>
      </c>
      <c r="BO670" s="268"/>
      <c r="BP670" s="258" t="str">
        <f t="shared" si="329"/>
        <v/>
      </c>
      <c r="BQ670" s="268"/>
      <c r="BR670" s="258" t="str">
        <f t="shared" si="330"/>
        <v/>
      </c>
      <c r="BS670" s="268"/>
      <c r="BT670" s="256" t="str">
        <f t="shared" si="331"/>
        <v/>
      </c>
      <c r="BU670" s="256" t="str">
        <f t="shared" si="332"/>
        <v/>
      </c>
      <c r="BV670" s="256" t="str">
        <f t="shared" si="333"/>
        <v/>
      </c>
      <c r="BW670" s="267"/>
      <c r="BX670" s="256" t="str">
        <f t="shared" si="334"/>
        <v/>
      </c>
      <c r="BY670" s="256" t="str">
        <f t="shared" si="335"/>
        <v/>
      </c>
      <c r="BZ670" s="281"/>
      <c r="CA670" s="282"/>
      <c r="CF670" s="284"/>
      <c r="CG670" s="284"/>
      <c r="CH670" s="284"/>
      <c r="CI670" s="284"/>
      <c r="CL670" s="356" t="str">
        <f>IFERROR(VLOOKUP(C670,'Data Sheet'!$A$3:$B$26,2,FALSE),"")</f>
        <v/>
      </c>
    </row>
    <row r="671" spans="1:90" ht="15.75" x14ac:dyDescent="0.2">
      <c r="A671" s="97"/>
      <c r="B671" s="105" t="str">
        <f t="shared" si="338"/>
        <v>--</v>
      </c>
      <c r="C671" s="276"/>
      <c r="D671" s="101" t="str">
        <f>IFERROR(IF(VLOOKUP(C671,'Data Sheet'!$A$3:$D$26,4,FALSE)=0,"",VLOOKUP(C671,'Data Sheet'!$A$3:$D$26,4,FALSE)),"")</f>
        <v/>
      </c>
      <c r="E671" s="279"/>
      <c r="F671" s="103" t="str">
        <f>IFERROR(IF(VLOOKUP(E671,'Data Sheet'!$C$29:$E$174,3,FALSE)=0,"",VLOOKUP(E671,'Data Sheet'!$C$29:$E$174,3,FALSE)),"")</f>
        <v/>
      </c>
      <c r="G671" s="106" t="str">
        <f t="shared" si="336"/>
        <v>-</v>
      </c>
      <c r="H671" s="273"/>
      <c r="I671" s="107"/>
      <c r="J671" s="249" t="e">
        <f t="shared" si="337"/>
        <v>#VALUE!</v>
      </c>
      <c r="K671" s="101" t="str">
        <f>IFERROR(INDEX('Data Sheet'!$C$198:$C$275,MATCH(I671,'Data Sheet'!$F$198:$F$275,0)),"")</f>
        <v/>
      </c>
      <c r="L671" s="250" t="str">
        <f>IFERROR(INDEX('Data Sheet'!$G$198:$G$275,MATCH(I671,'Data Sheet'!$F$198:$F$275,0)),"")</f>
        <v/>
      </c>
      <c r="M671" s="194"/>
      <c r="N671" s="248"/>
      <c r="O671" s="248"/>
      <c r="P671" s="108" t="str">
        <f>IFERROR(INDEX(Setup!$D$44:$D$70,MATCH(M671,Setup!$K$44:$K$70,0))&amp;"","")</f>
        <v/>
      </c>
      <c r="Q671" s="108" t="str">
        <f>IFERROR(INDEX(Setup!$E$44:$E$70,MATCH(M671,Setup!$K$44:$K$70,0))&amp;"","")</f>
        <v/>
      </c>
      <c r="R671" s="108" t="str">
        <f>IFERROR(INDEX(Setup!$L$44:$L$70,MATCH(M671,Setup!$K$44:$K$70,0))&amp;"","")</f>
        <v/>
      </c>
      <c r="S671" s="108" t="str">
        <f>Setup!$C$30</f>
        <v>USD</v>
      </c>
      <c r="T671" s="109" t="str">
        <f>IFERROR(INDEX('Data Sheet'!$B$198:$B$275,MATCH(I671,'Data Sheet'!$F$198:$F$275,0)),"")</f>
        <v/>
      </c>
      <c r="U671" s="110" t="str">
        <f>IFERROR(INDEX('Data Sheet'!$D$198:$D$275,MATCH(I671,'Data Sheet'!$F$198:$F$275,0)),"")</f>
        <v/>
      </c>
      <c r="V671" s="99"/>
      <c r="W671" s="195" t="str">
        <f>IF(V671=Setup!$C$30,"Grant",IF(V671=Setup!$C$31,"Local",IF(V671=Setup!$C$32,"Other",IF(ISBLANK(V671),"","Other"))))</f>
        <v/>
      </c>
      <c r="X671" s="255"/>
      <c r="Y671" s="259" t="str">
        <f>IF(X671&lt;&gt;"",X671/VLOOKUP($V671,Setup!$C$30:$D$41,2,0),"")</f>
        <v/>
      </c>
      <c r="Z671" s="262"/>
      <c r="AA671" s="256" t="str">
        <f t="shared" si="310"/>
        <v/>
      </c>
      <c r="AB671" s="262"/>
      <c r="AC671" s="258" t="str">
        <f t="shared" si="311"/>
        <v/>
      </c>
      <c r="AD671" s="262"/>
      <c r="AE671" s="258" t="str">
        <f t="shared" si="312"/>
        <v/>
      </c>
      <c r="AF671" s="262"/>
      <c r="AG671" s="256" t="str">
        <f t="shared" si="313"/>
        <v/>
      </c>
      <c r="AH671" s="256" t="str">
        <f t="shared" si="314"/>
        <v/>
      </c>
      <c r="AI671" s="256" t="str">
        <f t="shared" si="315"/>
        <v/>
      </c>
      <c r="AJ671" s="111"/>
      <c r="AK671" s="255"/>
      <c r="AL671" s="259" t="str">
        <f>IF(AK671&lt;&gt;"",AK671/VLOOKUP($V671,Setup!$C$30:$D$41,2,0),"")</f>
        <v/>
      </c>
      <c r="AM671" s="266"/>
      <c r="AN671" s="258" t="str">
        <f t="shared" si="316"/>
        <v/>
      </c>
      <c r="AO671" s="266"/>
      <c r="AP671" s="258" t="str">
        <f t="shared" si="317"/>
        <v/>
      </c>
      <c r="AQ671" s="266"/>
      <c r="AR671" s="258" t="str">
        <f t="shared" si="318"/>
        <v/>
      </c>
      <c r="AS671" s="266"/>
      <c r="AT671" s="256" t="str">
        <f t="shared" si="319"/>
        <v/>
      </c>
      <c r="AU671" s="256" t="str">
        <f t="shared" si="320"/>
        <v/>
      </c>
      <c r="AV671" s="256" t="str">
        <f t="shared" si="321"/>
        <v/>
      </c>
      <c r="AW671" s="267"/>
      <c r="AX671" s="255"/>
      <c r="AY671" s="259" t="str">
        <f>IF(AX671&lt;&gt;"",AX671/VLOOKUP($V671,Setup!$C$30:$D$41,2,0),"")</f>
        <v/>
      </c>
      <c r="AZ671" s="268"/>
      <c r="BA671" s="258" t="str">
        <f t="shared" si="322"/>
        <v/>
      </c>
      <c r="BB671" s="268"/>
      <c r="BC671" s="258" t="str">
        <f t="shared" si="323"/>
        <v/>
      </c>
      <c r="BD671" s="268"/>
      <c r="BE671" s="258" t="str">
        <f t="shared" si="324"/>
        <v/>
      </c>
      <c r="BF671" s="268"/>
      <c r="BG671" s="256" t="str">
        <f t="shared" si="325"/>
        <v/>
      </c>
      <c r="BH671" s="256" t="str">
        <f t="shared" si="326"/>
        <v/>
      </c>
      <c r="BI671" s="256" t="str">
        <f t="shared" si="327"/>
        <v/>
      </c>
      <c r="BJ671" s="267"/>
      <c r="BK671" s="255"/>
      <c r="BL671" s="259" t="str">
        <f>IF(BK671&lt;&gt;"",BK671/VLOOKUP($V671,Setup!$C$30:$D$41,2,0),"")</f>
        <v/>
      </c>
      <c r="BM671" s="268"/>
      <c r="BN671" s="258" t="str">
        <f t="shared" si="328"/>
        <v/>
      </c>
      <c r="BO671" s="268"/>
      <c r="BP671" s="258" t="str">
        <f t="shared" si="329"/>
        <v/>
      </c>
      <c r="BQ671" s="268"/>
      <c r="BR671" s="258" t="str">
        <f t="shared" si="330"/>
        <v/>
      </c>
      <c r="BS671" s="268"/>
      <c r="BT671" s="256" t="str">
        <f t="shared" si="331"/>
        <v/>
      </c>
      <c r="BU671" s="256" t="str">
        <f t="shared" si="332"/>
        <v/>
      </c>
      <c r="BV671" s="256" t="str">
        <f t="shared" si="333"/>
        <v/>
      </c>
      <c r="BW671" s="267"/>
      <c r="BX671" s="256" t="str">
        <f t="shared" si="334"/>
        <v/>
      </c>
      <c r="BY671" s="256" t="str">
        <f t="shared" si="335"/>
        <v/>
      </c>
      <c r="BZ671" s="281"/>
      <c r="CA671" s="282"/>
      <c r="CF671" s="284"/>
      <c r="CG671" s="284"/>
      <c r="CH671" s="284"/>
      <c r="CI671" s="284"/>
      <c r="CL671" s="356" t="str">
        <f>IFERROR(VLOOKUP(C671,'Data Sheet'!$A$3:$B$26,2,FALSE),"")</f>
        <v/>
      </c>
    </row>
    <row r="672" spans="1:90" ht="15.75" x14ac:dyDescent="0.2">
      <c r="A672" s="97"/>
      <c r="B672" s="105" t="str">
        <f t="shared" si="338"/>
        <v>--</v>
      </c>
      <c r="C672" s="276"/>
      <c r="D672" s="101" t="str">
        <f>IFERROR(IF(VLOOKUP(C672,'Data Sheet'!$A$3:$D$26,4,FALSE)=0,"",VLOOKUP(C672,'Data Sheet'!$A$3:$D$26,4,FALSE)),"")</f>
        <v/>
      </c>
      <c r="E672" s="279"/>
      <c r="F672" s="103" t="str">
        <f>IFERROR(IF(VLOOKUP(E672,'Data Sheet'!$C$29:$E$174,3,FALSE)=0,"",VLOOKUP(E672,'Data Sheet'!$C$29:$E$174,3,FALSE)),"")</f>
        <v/>
      </c>
      <c r="G672" s="106" t="str">
        <f t="shared" si="336"/>
        <v>-</v>
      </c>
      <c r="H672" s="273"/>
      <c r="I672" s="107"/>
      <c r="J672" s="249" t="e">
        <f t="shared" si="337"/>
        <v>#VALUE!</v>
      </c>
      <c r="K672" s="101" t="str">
        <f>IFERROR(INDEX('Data Sheet'!$C$198:$C$275,MATCH(I672,'Data Sheet'!$F$198:$F$275,0)),"")</f>
        <v/>
      </c>
      <c r="L672" s="250" t="str">
        <f>IFERROR(INDEX('Data Sheet'!$G$198:$G$275,MATCH(I672,'Data Sheet'!$F$198:$F$275,0)),"")</f>
        <v/>
      </c>
      <c r="M672" s="194"/>
      <c r="N672" s="248"/>
      <c r="O672" s="248"/>
      <c r="P672" s="108" t="str">
        <f>IFERROR(INDEX(Setup!$D$44:$D$70,MATCH(M672,Setup!$K$44:$K$70,0))&amp;"","")</f>
        <v/>
      </c>
      <c r="Q672" s="108" t="str">
        <f>IFERROR(INDEX(Setup!$E$44:$E$70,MATCH(M672,Setup!$K$44:$K$70,0))&amp;"","")</f>
        <v/>
      </c>
      <c r="R672" s="108" t="str">
        <f>IFERROR(INDEX(Setup!$L$44:$L$70,MATCH(M672,Setup!$K$44:$K$70,0))&amp;"","")</f>
        <v/>
      </c>
      <c r="S672" s="108" t="str">
        <f>Setup!$C$30</f>
        <v>USD</v>
      </c>
      <c r="T672" s="109" t="str">
        <f>IFERROR(INDEX('Data Sheet'!$B$198:$B$275,MATCH(I672,'Data Sheet'!$F$198:$F$275,0)),"")</f>
        <v/>
      </c>
      <c r="U672" s="110" t="str">
        <f>IFERROR(INDEX('Data Sheet'!$D$198:$D$275,MATCH(I672,'Data Sheet'!$F$198:$F$275,0)),"")</f>
        <v/>
      </c>
      <c r="V672" s="99"/>
      <c r="W672" s="195" t="str">
        <f>IF(V672=Setup!$C$30,"Grant",IF(V672=Setup!$C$31,"Local",IF(V672=Setup!$C$32,"Other",IF(ISBLANK(V672),"","Other"))))</f>
        <v/>
      </c>
      <c r="X672" s="255"/>
      <c r="Y672" s="259" t="str">
        <f>IF(X672&lt;&gt;"",X672/VLOOKUP($V672,Setup!$C$30:$D$41,2,0),"")</f>
        <v/>
      </c>
      <c r="Z672" s="262"/>
      <c r="AA672" s="256" t="str">
        <f t="shared" si="310"/>
        <v/>
      </c>
      <c r="AB672" s="262"/>
      <c r="AC672" s="258" t="str">
        <f t="shared" si="311"/>
        <v/>
      </c>
      <c r="AD672" s="262"/>
      <c r="AE672" s="258" t="str">
        <f t="shared" si="312"/>
        <v/>
      </c>
      <c r="AF672" s="262"/>
      <c r="AG672" s="256" t="str">
        <f t="shared" si="313"/>
        <v/>
      </c>
      <c r="AH672" s="256" t="str">
        <f t="shared" si="314"/>
        <v/>
      </c>
      <c r="AI672" s="256" t="str">
        <f t="shared" si="315"/>
        <v/>
      </c>
      <c r="AJ672" s="111"/>
      <c r="AK672" s="255"/>
      <c r="AL672" s="259" t="str">
        <f>IF(AK672&lt;&gt;"",AK672/VLOOKUP($V672,Setup!$C$30:$D$41,2,0),"")</f>
        <v/>
      </c>
      <c r="AM672" s="266"/>
      <c r="AN672" s="258" t="str">
        <f t="shared" si="316"/>
        <v/>
      </c>
      <c r="AO672" s="266"/>
      <c r="AP672" s="258" t="str">
        <f t="shared" si="317"/>
        <v/>
      </c>
      <c r="AQ672" s="266"/>
      <c r="AR672" s="258" t="str">
        <f t="shared" si="318"/>
        <v/>
      </c>
      <c r="AS672" s="266"/>
      <c r="AT672" s="256" t="str">
        <f t="shared" si="319"/>
        <v/>
      </c>
      <c r="AU672" s="256" t="str">
        <f t="shared" si="320"/>
        <v/>
      </c>
      <c r="AV672" s="256" t="str">
        <f t="shared" si="321"/>
        <v/>
      </c>
      <c r="AW672" s="267"/>
      <c r="AX672" s="255"/>
      <c r="AY672" s="259" t="str">
        <f>IF(AX672&lt;&gt;"",AX672/VLOOKUP($V672,Setup!$C$30:$D$41,2,0),"")</f>
        <v/>
      </c>
      <c r="AZ672" s="268"/>
      <c r="BA672" s="258" t="str">
        <f t="shared" si="322"/>
        <v/>
      </c>
      <c r="BB672" s="268"/>
      <c r="BC672" s="258" t="str">
        <f t="shared" si="323"/>
        <v/>
      </c>
      <c r="BD672" s="268"/>
      <c r="BE672" s="258" t="str">
        <f t="shared" si="324"/>
        <v/>
      </c>
      <c r="BF672" s="268"/>
      <c r="BG672" s="256" t="str">
        <f t="shared" si="325"/>
        <v/>
      </c>
      <c r="BH672" s="256" t="str">
        <f t="shared" si="326"/>
        <v/>
      </c>
      <c r="BI672" s="256" t="str">
        <f t="shared" si="327"/>
        <v/>
      </c>
      <c r="BJ672" s="267"/>
      <c r="BK672" s="255"/>
      <c r="BL672" s="259" t="str">
        <f>IF(BK672&lt;&gt;"",BK672/VLOOKUP($V672,Setup!$C$30:$D$41,2,0),"")</f>
        <v/>
      </c>
      <c r="BM672" s="268"/>
      <c r="BN672" s="258" t="str">
        <f t="shared" si="328"/>
        <v/>
      </c>
      <c r="BO672" s="268"/>
      <c r="BP672" s="258" t="str">
        <f t="shared" si="329"/>
        <v/>
      </c>
      <c r="BQ672" s="268"/>
      <c r="BR672" s="258" t="str">
        <f t="shared" si="330"/>
        <v/>
      </c>
      <c r="BS672" s="268"/>
      <c r="BT672" s="256" t="str">
        <f t="shared" si="331"/>
        <v/>
      </c>
      <c r="BU672" s="256" t="str">
        <f t="shared" si="332"/>
        <v/>
      </c>
      <c r="BV672" s="256" t="str">
        <f t="shared" si="333"/>
        <v/>
      </c>
      <c r="BW672" s="267"/>
      <c r="BX672" s="256" t="str">
        <f t="shared" si="334"/>
        <v/>
      </c>
      <c r="BY672" s="256" t="str">
        <f t="shared" si="335"/>
        <v/>
      </c>
      <c r="BZ672" s="281"/>
      <c r="CA672" s="282"/>
      <c r="CF672" s="284"/>
      <c r="CG672" s="284"/>
      <c r="CH672" s="284"/>
      <c r="CI672" s="284"/>
      <c r="CL672" s="356" t="str">
        <f>IFERROR(VLOOKUP(C672,'Data Sheet'!$A$3:$B$26,2,FALSE),"")</f>
        <v/>
      </c>
    </row>
    <row r="673" spans="1:90" ht="15.75" x14ac:dyDescent="0.2">
      <c r="A673" s="97"/>
      <c r="B673" s="105" t="str">
        <f t="shared" si="338"/>
        <v>--</v>
      </c>
      <c r="C673" s="276"/>
      <c r="D673" s="101" t="str">
        <f>IFERROR(IF(VLOOKUP(C673,'Data Sheet'!$A$3:$D$26,4,FALSE)=0,"",VLOOKUP(C673,'Data Sheet'!$A$3:$D$26,4,FALSE)),"")</f>
        <v/>
      </c>
      <c r="E673" s="279"/>
      <c r="F673" s="103" t="str">
        <f>IFERROR(IF(VLOOKUP(E673,'Data Sheet'!$C$29:$E$174,3,FALSE)=0,"",VLOOKUP(E673,'Data Sheet'!$C$29:$E$174,3,FALSE)),"")</f>
        <v/>
      </c>
      <c r="G673" s="106" t="str">
        <f t="shared" si="336"/>
        <v>-</v>
      </c>
      <c r="H673" s="273"/>
      <c r="I673" s="107"/>
      <c r="J673" s="249" t="e">
        <f t="shared" si="337"/>
        <v>#VALUE!</v>
      </c>
      <c r="K673" s="101" t="str">
        <f>IFERROR(INDEX('Data Sheet'!$C$198:$C$275,MATCH(I673,'Data Sheet'!$F$198:$F$275,0)),"")</f>
        <v/>
      </c>
      <c r="L673" s="250" t="str">
        <f>IFERROR(INDEX('Data Sheet'!$G$198:$G$275,MATCH(I673,'Data Sheet'!$F$198:$F$275,0)),"")</f>
        <v/>
      </c>
      <c r="M673" s="194"/>
      <c r="N673" s="248"/>
      <c r="O673" s="248"/>
      <c r="P673" s="108" t="str">
        <f>IFERROR(INDEX(Setup!$D$44:$D$70,MATCH(M673,Setup!$K$44:$K$70,0))&amp;"","")</f>
        <v/>
      </c>
      <c r="Q673" s="108" t="str">
        <f>IFERROR(INDEX(Setup!$E$44:$E$70,MATCH(M673,Setup!$K$44:$K$70,0))&amp;"","")</f>
        <v/>
      </c>
      <c r="R673" s="108" t="str">
        <f>IFERROR(INDEX(Setup!$L$44:$L$70,MATCH(M673,Setup!$K$44:$K$70,0))&amp;"","")</f>
        <v/>
      </c>
      <c r="S673" s="108" t="str">
        <f>Setup!$C$30</f>
        <v>USD</v>
      </c>
      <c r="T673" s="109" t="str">
        <f>IFERROR(INDEX('Data Sheet'!$B$198:$B$275,MATCH(I673,'Data Sheet'!$F$198:$F$275,0)),"")</f>
        <v/>
      </c>
      <c r="U673" s="110" t="str">
        <f>IFERROR(INDEX('Data Sheet'!$D$198:$D$275,MATCH(I673,'Data Sheet'!$F$198:$F$275,0)),"")</f>
        <v/>
      </c>
      <c r="V673" s="99"/>
      <c r="W673" s="195" t="str">
        <f>IF(V673=Setup!$C$30,"Grant",IF(V673=Setup!$C$31,"Local",IF(V673=Setup!$C$32,"Other",IF(ISBLANK(V673),"","Other"))))</f>
        <v/>
      </c>
      <c r="X673" s="255"/>
      <c r="Y673" s="259" t="str">
        <f>IF(X673&lt;&gt;"",X673/VLOOKUP($V673,Setup!$C$30:$D$41,2,0),"")</f>
        <v/>
      </c>
      <c r="Z673" s="262"/>
      <c r="AA673" s="256" t="str">
        <f t="shared" si="310"/>
        <v/>
      </c>
      <c r="AB673" s="262"/>
      <c r="AC673" s="258" t="str">
        <f t="shared" si="311"/>
        <v/>
      </c>
      <c r="AD673" s="262"/>
      <c r="AE673" s="258" t="str">
        <f t="shared" si="312"/>
        <v/>
      </c>
      <c r="AF673" s="262"/>
      <c r="AG673" s="256" t="str">
        <f t="shared" si="313"/>
        <v/>
      </c>
      <c r="AH673" s="256" t="str">
        <f t="shared" si="314"/>
        <v/>
      </c>
      <c r="AI673" s="256" t="str">
        <f t="shared" si="315"/>
        <v/>
      </c>
      <c r="AJ673" s="111"/>
      <c r="AK673" s="255"/>
      <c r="AL673" s="259" t="str">
        <f>IF(AK673&lt;&gt;"",AK673/VLOOKUP($V673,Setup!$C$30:$D$41,2,0),"")</f>
        <v/>
      </c>
      <c r="AM673" s="266"/>
      <c r="AN673" s="258" t="str">
        <f t="shared" si="316"/>
        <v/>
      </c>
      <c r="AO673" s="266"/>
      <c r="AP673" s="258" t="str">
        <f t="shared" si="317"/>
        <v/>
      </c>
      <c r="AQ673" s="266"/>
      <c r="AR673" s="258" t="str">
        <f t="shared" si="318"/>
        <v/>
      </c>
      <c r="AS673" s="266"/>
      <c r="AT673" s="256" t="str">
        <f t="shared" si="319"/>
        <v/>
      </c>
      <c r="AU673" s="256" t="str">
        <f t="shared" si="320"/>
        <v/>
      </c>
      <c r="AV673" s="256" t="str">
        <f t="shared" si="321"/>
        <v/>
      </c>
      <c r="AW673" s="267"/>
      <c r="AX673" s="255"/>
      <c r="AY673" s="259" t="str">
        <f>IF(AX673&lt;&gt;"",AX673/VLOOKUP($V673,Setup!$C$30:$D$41,2,0),"")</f>
        <v/>
      </c>
      <c r="AZ673" s="268"/>
      <c r="BA673" s="258" t="str">
        <f t="shared" si="322"/>
        <v/>
      </c>
      <c r="BB673" s="268"/>
      <c r="BC673" s="258" t="str">
        <f t="shared" si="323"/>
        <v/>
      </c>
      <c r="BD673" s="268"/>
      <c r="BE673" s="258" t="str">
        <f t="shared" si="324"/>
        <v/>
      </c>
      <c r="BF673" s="268"/>
      <c r="BG673" s="256" t="str">
        <f t="shared" si="325"/>
        <v/>
      </c>
      <c r="BH673" s="256" t="str">
        <f t="shared" si="326"/>
        <v/>
      </c>
      <c r="BI673" s="256" t="str">
        <f t="shared" si="327"/>
        <v/>
      </c>
      <c r="BJ673" s="267"/>
      <c r="BK673" s="255"/>
      <c r="BL673" s="259" t="str">
        <f>IF(BK673&lt;&gt;"",BK673/VLOOKUP($V673,Setup!$C$30:$D$41,2,0),"")</f>
        <v/>
      </c>
      <c r="BM673" s="268"/>
      <c r="BN673" s="258" t="str">
        <f t="shared" si="328"/>
        <v/>
      </c>
      <c r="BO673" s="268"/>
      <c r="BP673" s="258" t="str">
        <f t="shared" si="329"/>
        <v/>
      </c>
      <c r="BQ673" s="268"/>
      <c r="BR673" s="258" t="str">
        <f t="shared" si="330"/>
        <v/>
      </c>
      <c r="BS673" s="268"/>
      <c r="BT673" s="256" t="str">
        <f t="shared" si="331"/>
        <v/>
      </c>
      <c r="BU673" s="256" t="str">
        <f t="shared" si="332"/>
        <v/>
      </c>
      <c r="BV673" s="256" t="str">
        <f t="shared" si="333"/>
        <v/>
      </c>
      <c r="BW673" s="267"/>
      <c r="BX673" s="256" t="str">
        <f t="shared" si="334"/>
        <v/>
      </c>
      <c r="BY673" s="256" t="str">
        <f t="shared" si="335"/>
        <v/>
      </c>
      <c r="BZ673" s="281"/>
      <c r="CA673" s="282"/>
      <c r="CF673" s="284"/>
      <c r="CG673" s="284"/>
      <c r="CH673" s="284"/>
      <c r="CI673" s="284"/>
      <c r="CL673" s="356" t="str">
        <f>IFERROR(VLOOKUP(C673,'Data Sheet'!$A$3:$B$26,2,FALSE),"")</f>
        <v/>
      </c>
    </row>
    <row r="674" spans="1:90" ht="15.75" x14ac:dyDescent="0.2">
      <c r="A674" s="97"/>
      <c r="B674" s="105" t="str">
        <f t="shared" si="338"/>
        <v>--</v>
      </c>
      <c r="C674" s="276"/>
      <c r="D674" s="101" t="str">
        <f>IFERROR(IF(VLOOKUP(C674,'Data Sheet'!$A$3:$D$26,4,FALSE)=0,"",VLOOKUP(C674,'Data Sheet'!$A$3:$D$26,4,FALSE)),"")</f>
        <v/>
      </c>
      <c r="E674" s="279"/>
      <c r="F674" s="103" t="str">
        <f>IFERROR(IF(VLOOKUP(E674,'Data Sheet'!$C$29:$E$174,3,FALSE)=0,"",VLOOKUP(E674,'Data Sheet'!$C$29:$E$174,3,FALSE)),"")</f>
        <v/>
      </c>
      <c r="G674" s="106" t="str">
        <f t="shared" si="336"/>
        <v>-</v>
      </c>
      <c r="H674" s="273"/>
      <c r="I674" s="107"/>
      <c r="J674" s="249" t="e">
        <f t="shared" si="337"/>
        <v>#VALUE!</v>
      </c>
      <c r="K674" s="101" t="str">
        <f>IFERROR(INDEX('Data Sheet'!$C$198:$C$275,MATCH(I674,'Data Sheet'!$F$198:$F$275,0)),"")</f>
        <v/>
      </c>
      <c r="L674" s="250" t="str">
        <f>IFERROR(INDEX('Data Sheet'!$G$198:$G$275,MATCH(I674,'Data Sheet'!$F$198:$F$275,0)),"")</f>
        <v/>
      </c>
      <c r="M674" s="194"/>
      <c r="N674" s="248"/>
      <c r="O674" s="248"/>
      <c r="P674" s="108" t="str">
        <f>IFERROR(INDEX(Setup!$D$44:$D$70,MATCH(M674,Setup!$K$44:$K$70,0))&amp;"","")</f>
        <v/>
      </c>
      <c r="Q674" s="108" t="str">
        <f>IFERROR(INDEX(Setup!$E$44:$E$70,MATCH(M674,Setup!$K$44:$K$70,0))&amp;"","")</f>
        <v/>
      </c>
      <c r="R674" s="108" t="str">
        <f>IFERROR(INDEX(Setup!$L$44:$L$70,MATCH(M674,Setup!$K$44:$K$70,0))&amp;"","")</f>
        <v/>
      </c>
      <c r="S674" s="108" t="str">
        <f>Setup!$C$30</f>
        <v>USD</v>
      </c>
      <c r="T674" s="109" t="str">
        <f>IFERROR(INDEX('Data Sheet'!$B$198:$B$275,MATCH(I674,'Data Sheet'!$F$198:$F$275,0)),"")</f>
        <v/>
      </c>
      <c r="U674" s="110" t="str">
        <f>IFERROR(INDEX('Data Sheet'!$D$198:$D$275,MATCH(I674,'Data Sheet'!$F$198:$F$275,0)),"")</f>
        <v/>
      </c>
      <c r="V674" s="99"/>
      <c r="W674" s="195" t="str">
        <f>IF(V674=Setup!$C$30,"Grant",IF(V674=Setup!$C$31,"Local",IF(V674=Setup!$C$32,"Other",IF(ISBLANK(V674),"","Other"))))</f>
        <v/>
      </c>
      <c r="X674" s="255"/>
      <c r="Y674" s="259" t="str">
        <f>IF(X674&lt;&gt;"",X674/VLOOKUP($V674,Setup!$C$30:$D$41,2,0),"")</f>
        <v/>
      </c>
      <c r="Z674" s="262"/>
      <c r="AA674" s="256" t="str">
        <f t="shared" si="310"/>
        <v/>
      </c>
      <c r="AB674" s="262"/>
      <c r="AC674" s="258" t="str">
        <f t="shared" si="311"/>
        <v/>
      </c>
      <c r="AD674" s="262"/>
      <c r="AE674" s="258" t="str">
        <f t="shared" si="312"/>
        <v/>
      </c>
      <c r="AF674" s="262"/>
      <c r="AG674" s="256" t="str">
        <f t="shared" si="313"/>
        <v/>
      </c>
      <c r="AH674" s="256" t="str">
        <f t="shared" si="314"/>
        <v/>
      </c>
      <c r="AI674" s="256" t="str">
        <f t="shared" si="315"/>
        <v/>
      </c>
      <c r="AJ674" s="111"/>
      <c r="AK674" s="255"/>
      <c r="AL674" s="259" t="str">
        <f>IF(AK674&lt;&gt;"",AK674/VLOOKUP($V674,Setup!$C$30:$D$41,2,0),"")</f>
        <v/>
      </c>
      <c r="AM674" s="266"/>
      <c r="AN674" s="258" t="str">
        <f t="shared" si="316"/>
        <v/>
      </c>
      <c r="AO674" s="266"/>
      <c r="AP674" s="258" t="str">
        <f t="shared" si="317"/>
        <v/>
      </c>
      <c r="AQ674" s="266"/>
      <c r="AR674" s="258" t="str">
        <f t="shared" si="318"/>
        <v/>
      </c>
      <c r="AS674" s="266"/>
      <c r="AT674" s="256" t="str">
        <f t="shared" si="319"/>
        <v/>
      </c>
      <c r="AU674" s="256" t="str">
        <f t="shared" si="320"/>
        <v/>
      </c>
      <c r="AV674" s="256" t="str">
        <f t="shared" si="321"/>
        <v/>
      </c>
      <c r="AW674" s="267"/>
      <c r="AX674" s="255"/>
      <c r="AY674" s="259" t="str">
        <f>IF(AX674&lt;&gt;"",AX674/VLOOKUP($V674,Setup!$C$30:$D$41,2,0),"")</f>
        <v/>
      </c>
      <c r="AZ674" s="268"/>
      <c r="BA674" s="258" t="str">
        <f t="shared" si="322"/>
        <v/>
      </c>
      <c r="BB674" s="268"/>
      <c r="BC674" s="258" t="str">
        <f t="shared" si="323"/>
        <v/>
      </c>
      <c r="BD674" s="268"/>
      <c r="BE674" s="258" t="str">
        <f t="shared" si="324"/>
        <v/>
      </c>
      <c r="BF674" s="268"/>
      <c r="BG674" s="256" t="str">
        <f t="shared" si="325"/>
        <v/>
      </c>
      <c r="BH674" s="256" t="str">
        <f t="shared" si="326"/>
        <v/>
      </c>
      <c r="BI674" s="256" t="str">
        <f t="shared" si="327"/>
        <v/>
      </c>
      <c r="BJ674" s="267"/>
      <c r="BK674" s="255"/>
      <c r="BL674" s="259" t="str">
        <f>IF(BK674&lt;&gt;"",BK674/VLOOKUP($V674,Setup!$C$30:$D$41,2,0),"")</f>
        <v/>
      </c>
      <c r="BM674" s="268"/>
      <c r="BN674" s="258" t="str">
        <f t="shared" si="328"/>
        <v/>
      </c>
      <c r="BO674" s="268"/>
      <c r="BP674" s="258" t="str">
        <f t="shared" si="329"/>
        <v/>
      </c>
      <c r="BQ674" s="268"/>
      <c r="BR674" s="258" t="str">
        <f t="shared" si="330"/>
        <v/>
      </c>
      <c r="BS674" s="268"/>
      <c r="BT674" s="256" t="str">
        <f t="shared" si="331"/>
        <v/>
      </c>
      <c r="BU674" s="256" t="str">
        <f t="shared" si="332"/>
        <v/>
      </c>
      <c r="BV674" s="256" t="str">
        <f t="shared" si="333"/>
        <v/>
      </c>
      <c r="BW674" s="267"/>
      <c r="BX674" s="256" t="str">
        <f t="shared" si="334"/>
        <v/>
      </c>
      <c r="BY674" s="256" t="str">
        <f t="shared" si="335"/>
        <v/>
      </c>
      <c r="BZ674" s="281"/>
      <c r="CA674" s="282"/>
      <c r="CF674" s="284"/>
      <c r="CG674" s="284"/>
      <c r="CH674" s="284"/>
      <c r="CI674" s="284"/>
      <c r="CL674" s="356" t="str">
        <f>IFERROR(VLOOKUP(C674,'Data Sheet'!$A$3:$B$26,2,FALSE),"")</f>
        <v/>
      </c>
    </row>
    <row r="675" spans="1:90" ht="15.75" x14ac:dyDescent="0.2">
      <c r="A675" s="97"/>
      <c r="B675" s="105" t="str">
        <f t="shared" si="338"/>
        <v>--</v>
      </c>
      <c r="C675" s="276"/>
      <c r="D675" s="101" t="str">
        <f>IFERROR(IF(VLOOKUP(C675,'Data Sheet'!$A$3:$D$26,4,FALSE)=0,"",VLOOKUP(C675,'Data Sheet'!$A$3:$D$26,4,FALSE)),"")</f>
        <v/>
      </c>
      <c r="E675" s="279"/>
      <c r="F675" s="103" t="str">
        <f>IFERROR(IF(VLOOKUP(E675,'Data Sheet'!$C$29:$E$174,3,FALSE)=0,"",VLOOKUP(E675,'Data Sheet'!$C$29:$E$174,3,FALSE)),"")</f>
        <v/>
      </c>
      <c r="G675" s="106" t="str">
        <f t="shared" si="336"/>
        <v>-</v>
      </c>
      <c r="H675" s="273"/>
      <c r="I675" s="107"/>
      <c r="J675" s="249" t="e">
        <f t="shared" si="337"/>
        <v>#VALUE!</v>
      </c>
      <c r="K675" s="101" t="str">
        <f>IFERROR(INDEX('Data Sheet'!$C$198:$C$275,MATCH(I675,'Data Sheet'!$F$198:$F$275,0)),"")</f>
        <v/>
      </c>
      <c r="L675" s="250" t="str">
        <f>IFERROR(INDEX('Data Sheet'!$G$198:$G$275,MATCH(I675,'Data Sheet'!$F$198:$F$275,0)),"")</f>
        <v/>
      </c>
      <c r="M675" s="194"/>
      <c r="N675" s="248"/>
      <c r="O675" s="248"/>
      <c r="P675" s="108" t="str">
        <f>IFERROR(INDEX(Setup!$D$44:$D$70,MATCH(M675,Setup!$K$44:$K$70,0))&amp;"","")</f>
        <v/>
      </c>
      <c r="Q675" s="108" t="str">
        <f>IFERROR(INDEX(Setup!$E$44:$E$70,MATCH(M675,Setup!$K$44:$K$70,0))&amp;"","")</f>
        <v/>
      </c>
      <c r="R675" s="108" t="str">
        <f>IFERROR(INDEX(Setup!$L$44:$L$70,MATCH(M675,Setup!$K$44:$K$70,0))&amp;"","")</f>
        <v/>
      </c>
      <c r="S675" s="108" t="str">
        <f>Setup!$C$30</f>
        <v>USD</v>
      </c>
      <c r="T675" s="109" t="str">
        <f>IFERROR(INDEX('Data Sheet'!$B$198:$B$275,MATCH(I675,'Data Sheet'!$F$198:$F$275,0)),"")</f>
        <v/>
      </c>
      <c r="U675" s="110" t="str">
        <f>IFERROR(INDEX('Data Sheet'!$D$198:$D$275,MATCH(I675,'Data Sheet'!$F$198:$F$275,0)),"")</f>
        <v/>
      </c>
      <c r="V675" s="99"/>
      <c r="W675" s="195" t="str">
        <f>IF(V675=Setup!$C$30,"Grant",IF(V675=Setup!$C$31,"Local",IF(V675=Setup!$C$32,"Other",IF(ISBLANK(V675),"","Other"))))</f>
        <v/>
      </c>
      <c r="X675" s="255"/>
      <c r="Y675" s="259" t="str">
        <f>IF(X675&lt;&gt;"",X675/VLOOKUP($V675,Setup!$C$30:$D$41,2,0),"")</f>
        <v/>
      </c>
      <c r="Z675" s="262"/>
      <c r="AA675" s="256" t="str">
        <f t="shared" si="310"/>
        <v/>
      </c>
      <c r="AB675" s="262"/>
      <c r="AC675" s="258" t="str">
        <f t="shared" si="311"/>
        <v/>
      </c>
      <c r="AD675" s="262"/>
      <c r="AE675" s="258" t="str">
        <f t="shared" si="312"/>
        <v/>
      </c>
      <c r="AF675" s="262"/>
      <c r="AG675" s="256" t="str">
        <f t="shared" si="313"/>
        <v/>
      </c>
      <c r="AH675" s="256" t="str">
        <f t="shared" si="314"/>
        <v/>
      </c>
      <c r="AI675" s="256" t="str">
        <f t="shared" si="315"/>
        <v/>
      </c>
      <c r="AJ675" s="111"/>
      <c r="AK675" s="255"/>
      <c r="AL675" s="259" t="str">
        <f>IF(AK675&lt;&gt;"",AK675/VLOOKUP($V675,Setup!$C$30:$D$41,2,0),"")</f>
        <v/>
      </c>
      <c r="AM675" s="266"/>
      <c r="AN675" s="258" t="str">
        <f t="shared" si="316"/>
        <v/>
      </c>
      <c r="AO675" s="266"/>
      <c r="AP675" s="258" t="str">
        <f t="shared" si="317"/>
        <v/>
      </c>
      <c r="AQ675" s="266"/>
      <c r="AR675" s="258" t="str">
        <f t="shared" si="318"/>
        <v/>
      </c>
      <c r="AS675" s="266"/>
      <c r="AT675" s="256" t="str">
        <f t="shared" si="319"/>
        <v/>
      </c>
      <c r="AU675" s="256" t="str">
        <f t="shared" si="320"/>
        <v/>
      </c>
      <c r="AV675" s="256" t="str">
        <f t="shared" si="321"/>
        <v/>
      </c>
      <c r="AW675" s="267"/>
      <c r="AX675" s="255"/>
      <c r="AY675" s="259" t="str">
        <f>IF(AX675&lt;&gt;"",AX675/VLOOKUP($V675,Setup!$C$30:$D$41,2,0),"")</f>
        <v/>
      </c>
      <c r="AZ675" s="268"/>
      <c r="BA675" s="258" t="str">
        <f t="shared" si="322"/>
        <v/>
      </c>
      <c r="BB675" s="268"/>
      <c r="BC675" s="258" t="str">
        <f t="shared" si="323"/>
        <v/>
      </c>
      <c r="BD675" s="268"/>
      <c r="BE675" s="258" t="str">
        <f t="shared" si="324"/>
        <v/>
      </c>
      <c r="BF675" s="268"/>
      <c r="BG675" s="256" t="str">
        <f t="shared" si="325"/>
        <v/>
      </c>
      <c r="BH675" s="256" t="str">
        <f t="shared" si="326"/>
        <v/>
      </c>
      <c r="BI675" s="256" t="str">
        <f t="shared" si="327"/>
        <v/>
      </c>
      <c r="BJ675" s="267"/>
      <c r="BK675" s="255"/>
      <c r="BL675" s="259" t="str">
        <f>IF(BK675&lt;&gt;"",BK675/VLOOKUP($V675,Setup!$C$30:$D$41,2,0),"")</f>
        <v/>
      </c>
      <c r="BM675" s="268"/>
      <c r="BN675" s="258" t="str">
        <f t="shared" si="328"/>
        <v/>
      </c>
      <c r="BO675" s="268"/>
      <c r="BP675" s="258" t="str">
        <f t="shared" si="329"/>
        <v/>
      </c>
      <c r="BQ675" s="268"/>
      <c r="BR675" s="258" t="str">
        <f t="shared" si="330"/>
        <v/>
      </c>
      <c r="BS675" s="268"/>
      <c r="BT675" s="256" t="str">
        <f t="shared" si="331"/>
        <v/>
      </c>
      <c r="BU675" s="256" t="str">
        <f t="shared" si="332"/>
        <v/>
      </c>
      <c r="BV675" s="256" t="str">
        <f t="shared" si="333"/>
        <v/>
      </c>
      <c r="BW675" s="267"/>
      <c r="BX675" s="256" t="str">
        <f t="shared" si="334"/>
        <v/>
      </c>
      <c r="BY675" s="256" t="str">
        <f t="shared" si="335"/>
        <v/>
      </c>
      <c r="BZ675" s="281"/>
      <c r="CA675" s="282"/>
      <c r="CF675" s="284"/>
      <c r="CG675" s="284"/>
      <c r="CH675" s="284"/>
      <c r="CI675" s="284"/>
      <c r="CL675" s="356" t="str">
        <f>IFERROR(VLOOKUP(C675,'Data Sheet'!$A$3:$B$26,2,FALSE),"")</f>
        <v/>
      </c>
    </row>
    <row r="676" spans="1:90" ht="15.75" x14ac:dyDescent="0.2">
      <c r="A676" s="97"/>
      <c r="B676" s="105" t="str">
        <f t="shared" si="338"/>
        <v>--</v>
      </c>
      <c r="C676" s="276"/>
      <c r="D676" s="101" t="str">
        <f>IFERROR(IF(VLOOKUP(C676,'Data Sheet'!$A$3:$D$26,4,FALSE)=0,"",VLOOKUP(C676,'Data Sheet'!$A$3:$D$26,4,FALSE)),"")</f>
        <v/>
      </c>
      <c r="E676" s="279"/>
      <c r="F676" s="103" t="str">
        <f>IFERROR(IF(VLOOKUP(E676,'Data Sheet'!$C$29:$E$174,3,FALSE)=0,"",VLOOKUP(E676,'Data Sheet'!$C$29:$E$174,3,FALSE)),"")</f>
        <v/>
      </c>
      <c r="G676" s="106" t="str">
        <f t="shared" si="336"/>
        <v>-</v>
      </c>
      <c r="H676" s="273"/>
      <c r="I676" s="107"/>
      <c r="J676" s="249" t="e">
        <f t="shared" si="337"/>
        <v>#VALUE!</v>
      </c>
      <c r="K676" s="101" t="str">
        <f>IFERROR(INDEX('Data Sheet'!$C$198:$C$275,MATCH(I676,'Data Sheet'!$F$198:$F$275,0)),"")</f>
        <v/>
      </c>
      <c r="L676" s="250" t="str">
        <f>IFERROR(INDEX('Data Sheet'!$G$198:$G$275,MATCH(I676,'Data Sheet'!$F$198:$F$275,0)),"")</f>
        <v/>
      </c>
      <c r="M676" s="194"/>
      <c r="N676" s="248"/>
      <c r="O676" s="248"/>
      <c r="P676" s="108" t="str">
        <f>IFERROR(INDEX(Setup!$D$44:$D$70,MATCH(M676,Setup!$K$44:$K$70,0))&amp;"","")</f>
        <v/>
      </c>
      <c r="Q676" s="108" t="str">
        <f>IFERROR(INDEX(Setup!$E$44:$E$70,MATCH(M676,Setup!$K$44:$K$70,0))&amp;"","")</f>
        <v/>
      </c>
      <c r="R676" s="108" t="str">
        <f>IFERROR(INDEX(Setup!$L$44:$L$70,MATCH(M676,Setup!$K$44:$K$70,0))&amp;"","")</f>
        <v/>
      </c>
      <c r="S676" s="108" t="str">
        <f>Setup!$C$30</f>
        <v>USD</v>
      </c>
      <c r="T676" s="109" t="str">
        <f>IFERROR(INDEX('Data Sheet'!$B$198:$B$275,MATCH(I676,'Data Sheet'!$F$198:$F$275,0)),"")</f>
        <v/>
      </c>
      <c r="U676" s="110" t="str">
        <f>IFERROR(INDEX('Data Sheet'!$D$198:$D$275,MATCH(I676,'Data Sheet'!$F$198:$F$275,0)),"")</f>
        <v/>
      </c>
      <c r="V676" s="99"/>
      <c r="W676" s="195" t="str">
        <f>IF(V676=Setup!$C$30,"Grant",IF(V676=Setup!$C$31,"Local",IF(V676=Setup!$C$32,"Other",IF(ISBLANK(V676),"","Other"))))</f>
        <v/>
      </c>
      <c r="X676" s="255"/>
      <c r="Y676" s="259" t="str">
        <f>IF(X676&lt;&gt;"",X676/VLOOKUP($V676,Setup!$C$30:$D$41,2,0),"")</f>
        <v/>
      </c>
      <c r="Z676" s="262"/>
      <c r="AA676" s="256" t="str">
        <f t="shared" si="310"/>
        <v/>
      </c>
      <c r="AB676" s="262"/>
      <c r="AC676" s="258" t="str">
        <f t="shared" si="311"/>
        <v/>
      </c>
      <c r="AD676" s="262"/>
      <c r="AE676" s="258" t="str">
        <f t="shared" si="312"/>
        <v/>
      </c>
      <c r="AF676" s="262"/>
      <c r="AG676" s="256" t="str">
        <f t="shared" si="313"/>
        <v/>
      </c>
      <c r="AH676" s="256" t="str">
        <f t="shared" si="314"/>
        <v/>
      </c>
      <c r="AI676" s="256" t="str">
        <f t="shared" si="315"/>
        <v/>
      </c>
      <c r="AJ676" s="111"/>
      <c r="AK676" s="255"/>
      <c r="AL676" s="259" t="str">
        <f>IF(AK676&lt;&gt;"",AK676/VLOOKUP($V676,Setup!$C$30:$D$41,2,0),"")</f>
        <v/>
      </c>
      <c r="AM676" s="266"/>
      <c r="AN676" s="258" t="str">
        <f t="shared" si="316"/>
        <v/>
      </c>
      <c r="AO676" s="266"/>
      <c r="AP676" s="258" t="str">
        <f t="shared" si="317"/>
        <v/>
      </c>
      <c r="AQ676" s="266"/>
      <c r="AR676" s="258" t="str">
        <f t="shared" si="318"/>
        <v/>
      </c>
      <c r="AS676" s="266"/>
      <c r="AT676" s="256" t="str">
        <f t="shared" si="319"/>
        <v/>
      </c>
      <c r="AU676" s="256" t="str">
        <f t="shared" si="320"/>
        <v/>
      </c>
      <c r="AV676" s="256" t="str">
        <f t="shared" si="321"/>
        <v/>
      </c>
      <c r="AW676" s="267"/>
      <c r="AX676" s="255"/>
      <c r="AY676" s="259" t="str">
        <f>IF(AX676&lt;&gt;"",AX676/VLOOKUP($V676,Setup!$C$30:$D$41,2,0),"")</f>
        <v/>
      </c>
      <c r="AZ676" s="268"/>
      <c r="BA676" s="258" t="str">
        <f t="shared" si="322"/>
        <v/>
      </c>
      <c r="BB676" s="268"/>
      <c r="BC676" s="258" t="str">
        <f t="shared" si="323"/>
        <v/>
      </c>
      <c r="BD676" s="268"/>
      <c r="BE676" s="258" t="str">
        <f t="shared" si="324"/>
        <v/>
      </c>
      <c r="BF676" s="268"/>
      <c r="BG676" s="256" t="str">
        <f t="shared" si="325"/>
        <v/>
      </c>
      <c r="BH676" s="256" t="str">
        <f t="shared" si="326"/>
        <v/>
      </c>
      <c r="BI676" s="256" t="str">
        <f t="shared" si="327"/>
        <v/>
      </c>
      <c r="BJ676" s="267"/>
      <c r="BK676" s="255"/>
      <c r="BL676" s="259" t="str">
        <f>IF(BK676&lt;&gt;"",BK676/VLOOKUP($V676,Setup!$C$30:$D$41,2,0),"")</f>
        <v/>
      </c>
      <c r="BM676" s="268"/>
      <c r="BN676" s="258" t="str">
        <f t="shared" si="328"/>
        <v/>
      </c>
      <c r="BO676" s="268"/>
      <c r="BP676" s="258" t="str">
        <f t="shared" si="329"/>
        <v/>
      </c>
      <c r="BQ676" s="268"/>
      <c r="BR676" s="258" t="str">
        <f t="shared" si="330"/>
        <v/>
      </c>
      <c r="BS676" s="268"/>
      <c r="BT676" s="256" t="str">
        <f t="shared" si="331"/>
        <v/>
      </c>
      <c r="BU676" s="256" t="str">
        <f t="shared" si="332"/>
        <v/>
      </c>
      <c r="BV676" s="256" t="str">
        <f t="shared" si="333"/>
        <v/>
      </c>
      <c r="BW676" s="267"/>
      <c r="BX676" s="256" t="str">
        <f t="shared" si="334"/>
        <v/>
      </c>
      <c r="BY676" s="256" t="str">
        <f t="shared" si="335"/>
        <v/>
      </c>
      <c r="BZ676" s="281"/>
      <c r="CA676" s="282"/>
      <c r="CF676" s="284"/>
      <c r="CG676" s="284"/>
      <c r="CH676" s="284"/>
      <c r="CI676" s="284"/>
      <c r="CL676" s="356" t="str">
        <f>IFERROR(VLOOKUP(C676,'Data Sheet'!$A$3:$B$26,2,FALSE),"")</f>
        <v/>
      </c>
    </row>
    <row r="677" spans="1:90" ht="15.75" x14ac:dyDescent="0.2">
      <c r="A677" s="97"/>
      <c r="B677" s="105" t="str">
        <f t="shared" si="338"/>
        <v>--</v>
      </c>
      <c r="C677" s="276"/>
      <c r="D677" s="101" t="str">
        <f>IFERROR(IF(VLOOKUP(C677,'Data Sheet'!$A$3:$D$26,4,FALSE)=0,"",VLOOKUP(C677,'Data Sheet'!$A$3:$D$26,4,FALSE)),"")</f>
        <v/>
      </c>
      <c r="E677" s="279"/>
      <c r="F677" s="103" t="str">
        <f>IFERROR(IF(VLOOKUP(E677,'Data Sheet'!$C$29:$E$174,3,FALSE)=0,"",VLOOKUP(E677,'Data Sheet'!$C$29:$E$174,3,FALSE)),"")</f>
        <v/>
      </c>
      <c r="G677" s="106" t="str">
        <f t="shared" si="336"/>
        <v>-</v>
      </c>
      <c r="H677" s="273"/>
      <c r="I677" s="107"/>
      <c r="J677" s="249" t="e">
        <f t="shared" si="337"/>
        <v>#VALUE!</v>
      </c>
      <c r="K677" s="101" t="str">
        <f>IFERROR(INDEX('Data Sheet'!$C$198:$C$275,MATCH(I677,'Data Sheet'!$F$198:$F$275,0)),"")</f>
        <v/>
      </c>
      <c r="L677" s="250" t="str">
        <f>IFERROR(INDEX('Data Sheet'!$G$198:$G$275,MATCH(I677,'Data Sheet'!$F$198:$F$275,0)),"")</f>
        <v/>
      </c>
      <c r="M677" s="194"/>
      <c r="N677" s="248"/>
      <c r="O677" s="248"/>
      <c r="P677" s="108" t="str">
        <f>IFERROR(INDEX(Setup!$D$44:$D$70,MATCH(M677,Setup!$K$44:$K$70,0))&amp;"","")</f>
        <v/>
      </c>
      <c r="Q677" s="108" t="str">
        <f>IFERROR(INDEX(Setup!$E$44:$E$70,MATCH(M677,Setup!$K$44:$K$70,0))&amp;"","")</f>
        <v/>
      </c>
      <c r="R677" s="108" t="str">
        <f>IFERROR(INDEX(Setup!$L$44:$L$70,MATCH(M677,Setup!$K$44:$K$70,0))&amp;"","")</f>
        <v/>
      </c>
      <c r="S677" s="108" t="str">
        <f>Setup!$C$30</f>
        <v>USD</v>
      </c>
      <c r="T677" s="109" t="str">
        <f>IFERROR(INDEX('Data Sheet'!$B$198:$B$275,MATCH(I677,'Data Sheet'!$F$198:$F$275,0)),"")</f>
        <v/>
      </c>
      <c r="U677" s="110" t="str">
        <f>IFERROR(INDEX('Data Sheet'!$D$198:$D$275,MATCH(I677,'Data Sheet'!$F$198:$F$275,0)),"")</f>
        <v/>
      </c>
      <c r="V677" s="99"/>
      <c r="W677" s="195" t="str">
        <f>IF(V677=Setup!$C$30,"Grant",IF(V677=Setup!$C$31,"Local",IF(V677=Setup!$C$32,"Other",IF(ISBLANK(V677),"","Other"))))</f>
        <v/>
      </c>
      <c r="X677" s="255"/>
      <c r="Y677" s="259" t="str">
        <f>IF(X677&lt;&gt;"",X677/VLOOKUP($V677,Setup!$C$30:$D$41,2,0),"")</f>
        <v/>
      </c>
      <c r="Z677" s="262"/>
      <c r="AA677" s="256" t="str">
        <f t="shared" si="310"/>
        <v/>
      </c>
      <c r="AB677" s="262"/>
      <c r="AC677" s="258" t="str">
        <f t="shared" si="311"/>
        <v/>
      </c>
      <c r="AD677" s="262"/>
      <c r="AE677" s="258" t="str">
        <f t="shared" si="312"/>
        <v/>
      </c>
      <c r="AF677" s="262"/>
      <c r="AG677" s="256" t="str">
        <f t="shared" si="313"/>
        <v/>
      </c>
      <c r="AH677" s="256" t="str">
        <f t="shared" si="314"/>
        <v/>
      </c>
      <c r="AI677" s="256" t="str">
        <f t="shared" si="315"/>
        <v/>
      </c>
      <c r="AJ677" s="111"/>
      <c r="AK677" s="255"/>
      <c r="AL677" s="259" t="str">
        <f>IF(AK677&lt;&gt;"",AK677/VLOOKUP($V677,Setup!$C$30:$D$41,2,0),"")</f>
        <v/>
      </c>
      <c r="AM677" s="266"/>
      <c r="AN677" s="258" t="str">
        <f t="shared" si="316"/>
        <v/>
      </c>
      <c r="AO677" s="266"/>
      <c r="AP677" s="258" t="str">
        <f t="shared" si="317"/>
        <v/>
      </c>
      <c r="AQ677" s="266"/>
      <c r="AR677" s="258" t="str">
        <f t="shared" si="318"/>
        <v/>
      </c>
      <c r="AS677" s="266"/>
      <c r="AT677" s="256" t="str">
        <f t="shared" si="319"/>
        <v/>
      </c>
      <c r="AU677" s="256" t="str">
        <f t="shared" si="320"/>
        <v/>
      </c>
      <c r="AV677" s="256" t="str">
        <f t="shared" si="321"/>
        <v/>
      </c>
      <c r="AW677" s="267"/>
      <c r="AX677" s="255"/>
      <c r="AY677" s="259" t="str">
        <f>IF(AX677&lt;&gt;"",AX677/VLOOKUP($V677,Setup!$C$30:$D$41,2,0),"")</f>
        <v/>
      </c>
      <c r="AZ677" s="268"/>
      <c r="BA677" s="258" t="str">
        <f t="shared" si="322"/>
        <v/>
      </c>
      <c r="BB677" s="268"/>
      <c r="BC677" s="258" t="str">
        <f t="shared" si="323"/>
        <v/>
      </c>
      <c r="BD677" s="268"/>
      <c r="BE677" s="258" t="str">
        <f t="shared" si="324"/>
        <v/>
      </c>
      <c r="BF677" s="268"/>
      <c r="BG677" s="256" t="str">
        <f t="shared" si="325"/>
        <v/>
      </c>
      <c r="BH677" s="256" t="str">
        <f t="shared" si="326"/>
        <v/>
      </c>
      <c r="BI677" s="256" t="str">
        <f t="shared" si="327"/>
        <v/>
      </c>
      <c r="BJ677" s="267"/>
      <c r="BK677" s="255"/>
      <c r="BL677" s="259" t="str">
        <f>IF(BK677&lt;&gt;"",BK677/VLOOKUP($V677,Setup!$C$30:$D$41,2,0),"")</f>
        <v/>
      </c>
      <c r="BM677" s="268"/>
      <c r="BN677" s="258" t="str">
        <f t="shared" si="328"/>
        <v/>
      </c>
      <c r="BO677" s="268"/>
      <c r="BP677" s="258" t="str">
        <f t="shared" si="329"/>
        <v/>
      </c>
      <c r="BQ677" s="268"/>
      <c r="BR677" s="258" t="str">
        <f t="shared" si="330"/>
        <v/>
      </c>
      <c r="BS677" s="268"/>
      <c r="BT677" s="256" t="str">
        <f t="shared" si="331"/>
        <v/>
      </c>
      <c r="BU677" s="256" t="str">
        <f t="shared" si="332"/>
        <v/>
      </c>
      <c r="BV677" s="256" t="str">
        <f t="shared" si="333"/>
        <v/>
      </c>
      <c r="BW677" s="267"/>
      <c r="BX677" s="256" t="str">
        <f t="shared" si="334"/>
        <v/>
      </c>
      <c r="BY677" s="256" t="str">
        <f t="shared" si="335"/>
        <v/>
      </c>
      <c r="BZ677" s="281"/>
      <c r="CA677" s="282"/>
      <c r="CF677" s="284"/>
      <c r="CG677" s="284"/>
      <c r="CH677" s="284"/>
      <c r="CI677" s="284"/>
      <c r="CL677" s="356" t="str">
        <f>IFERROR(VLOOKUP(C677,'Data Sheet'!$A$3:$B$26,2,FALSE),"")</f>
        <v/>
      </c>
    </row>
    <row r="678" spans="1:90" ht="15.75" x14ac:dyDescent="0.2">
      <c r="A678" s="97"/>
      <c r="B678" s="105" t="str">
        <f t="shared" si="338"/>
        <v>--</v>
      </c>
      <c r="C678" s="276"/>
      <c r="D678" s="101" t="str">
        <f>IFERROR(IF(VLOOKUP(C678,'Data Sheet'!$A$3:$D$26,4,FALSE)=0,"",VLOOKUP(C678,'Data Sheet'!$A$3:$D$26,4,FALSE)),"")</f>
        <v/>
      </c>
      <c r="E678" s="279"/>
      <c r="F678" s="103" t="str">
        <f>IFERROR(IF(VLOOKUP(E678,'Data Sheet'!$C$29:$E$174,3,FALSE)=0,"",VLOOKUP(E678,'Data Sheet'!$C$29:$E$174,3,FALSE)),"")</f>
        <v/>
      </c>
      <c r="G678" s="106" t="str">
        <f t="shared" si="336"/>
        <v>-</v>
      </c>
      <c r="H678" s="273"/>
      <c r="I678" s="107"/>
      <c r="J678" s="249" t="e">
        <f t="shared" si="337"/>
        <v>#VALUE!</v>
      </c>
      <c r="K678" s="101" t="str">
        <f>IFERROR(INDEX('Data Sheet'!$C$198:$C$275,MATCH(I678,'Data Sheet'!$F$198:$F$275,0)),"")</f>
        <v/>
      </c>
      <c r="L678" s="250" t="str">
        <f>IFERROR(INDEX('Data Sheet'!$G$198:$G$275,MATCH(I678,'Data Sheet'!$F$198:$F$275,0)),"")</f>
        <v/>
      </c>
      <c r="M678" s="194"/>
      <c r="N678" s="248"/>
      <c r="O678" s="248"/>
      <c r="P678" s="108" t="str">
        <f>IFERROR(INDEX(Setup!$D$44:$D$70,MATCH(M678,Setup!$K$44:$K$70,0))&amp;"","")</f>
        <v/>
      </c>
      <c r="Q678" s="108" t="str">
        <f>IFERROR(INDEX(Setup!$E$44:$E$70,MATCH(M678,Setup!$K$44:$K$70,0))&amp;"","")</f>
        <v/>
      </c>
      <c r="R678" s="108" t="str">
        <f>IFERROR(INDEX(Setup!$L$44:$L$70,MATCH(M678,Setup!$K$44:$K$70,0))&amp;"","")</f>
        <v/>
      </c>
      <c r="S678" s="108" t="str">
        <f>Setup!$C$30</f>
        <v>USD</v>
      </c>
      <c r="T678" s="109" t="str">
        <f>IFERROR(INDEX('Data Sheet'!$B$198:$B$275,MATCH(I678,'Data Sheet'!$F$198:$F$275,0)),"")</f>
        <v/>
      </c>
      <c r="U678" s="110" t="str">
        <f>IFERROR(INDEX('Data Sheet'!$D$198:$D$275,MATCH(I678,'Data Sheet'!$F$198:$F$275,0)),"")</f>
        <v/>
      </c>
      <c r="V678" s="99"/>
      <c r="W678" s="195" t="str">
        <f>IF(V678=Setup!$C$30,"Grant",IF(V678=Setup!$C$31,"Local",IF(V678=Setup!$C$32,"Other",IF(ISBLANK(V678),"","Other"))))</f>
        <v/>
      </c>
      <c r="X678" s="255"/>
      <c r="Y678" s="259" t="str">
        <f>IF(X678&lt;&gt;"",X678/VLOOKUP($V678,Setup!$C$30:$D$41,2,0),"")</f>
        <v/>
      </c>
      <c r="Z678" s="262"/>
      <c r="AA678" s="256" t="str">
        <f t="shared" si="310"/>
        <v/>
      </c>
      <c r="AB678" s="262"/>
      <c r="AC678" s="258" t="str">
        <f t="shared" si="311"/>
        <v/>
      </c>
      <c r="AD678" s="262"/>
      <c r="AE678" s="258" t="str">
        <f t="shared" si="312"/>
        <v/>
      </c>
      <c r="AF678" s="262"/>
      <c r="AG678" s="256" t="str">
        <f t="shared" si="313"/>
        <v/>
      </c>
      <c r="AH678" s="256" t="str">
        <f t="shared" si="314"/>
        <v/>
      </c>
      <c r="AI678" s="256" t="str">
        <f t="shared" si="315"/>
        <v/>
      </c>
      <c r="AJ678" s="111"/>
      <c r="AK678" s="255"/>
      <c r="AL678" s="259" t="str">
        <f>IF(AK678&lt;&gt;"",AK678/VLOOKUP($V678,Setup!$C$30:$D$41,2,0),"")</f>
        <v/>
      </c>
      <c r="AM678" s="266"/>
      <c r="AN678" s="258" t="str">
        <f t="shared" si="316"/>
        <v/>
      </c>
      <c r="AO678" s="266"/>
      <c r="AP678" s="258" t="str">
        <f t="shared" si="317"/>
        <v/>
      </c>
      <c r="AQ678" s="266"/>
      <c r="AR678" s="258" t="str">
        <f t="shared" si="318"/>
        <v/>
      </c>
      <c r="AS678" s="266"/>
      <c r="AT678" s="256" t="str">
        <f t="shared" si="319"/>
        <v/>
      </c>
      <c r="AU678" s="256" t="str">
        <f t="shared" si="320"/>
        <v/>
      </c>
      <c r="AV678" s="256" t="str">
        <f t="shared" si="321"/>
        <v/>
      </c>
      <c r="AW678" s="267"/>
      <c r="AX678" s="255"/>
      <c r="AY678" s="259" t="str">
        <f>IF(AX678&lt;&gt;"",AX678/VLOOKUP($V678,Setup!$C$30:$D$41,2,0),"")</f>
        <v/>
      </c>
      <c r="AZ678" s="268"/>
      <c r="BA678" s="258" t="str">
        <f t="shared" si="322"/>
        <v/>
      </c>
      <c r="BB678" s="268"/>
      <c r="BC678" s="258" t="str">
        <f t="shared" si="323"/>
        <v/>
      </c>
      <c r="BD678" s="268"/>
      <c r="BE678" s="258" t="str">
        <f t="shared" si="324"/>
        <v/>
      </c>
      <c r="BF678" s="268"/>
      <c r="BG678" s="256" t="str">
        <f t="shared" si="325"/>
        <v/>
      </c>
      <c r="BH678" s="256" t="str">
        <f t="shared" si="326"/>
        <v/>
      </c>
      <c r="BI678" s="256" t="str">
        <f t="shared" si="327"/>
        <v/>
      </c>
      <c r="BJ678" s="267"/>
      <c r="BK678" s="255"/>
      <c r="BL678" s="259" t="str">
        <f>IF(BK678&lt;&gt;"",BK678/VLOOKUP($V678,Setup!$C$30:$D$41,2,0),"")</f>
        <v/>
      </c>
      <c r="BM678" s="268"/>
      <c r="BN678" s="258" t="str">
        <f t="shared" si="328"/>
        <v/>
      </c>
      <c r="BO678" s="268"/>
      <c r="BP678" s="258" t="str">
        <f t="shared" si="329"/>
        <v/>
      </c>
      <c r="BQ678" s="268"/>
      <c r="BR678" s="258" t="str">
        <f t="shared" si="330"/>
        <v/>
      </c>
      <c r="BS678" s="268"/>
      <c r="BT678" s="256" t="str">
        <f t="shared" si="331"/>
        <v/>
      </c>
      <c r="BU678" s="256" t="str">
        <f t="shared" si="332"/>
        <v/>
      </c>
      <c r="BV678" s="256" t="str">
        <f t="shared" si="333"/>
        <v/>
      </c>
      <c r="BW678" s="267"/>
      <c r="BX678" s="256" t="str">
        <f t="shared" si="334"/>
        <v/>
      </c>
      <c r="BY678" s="256" t="str">
        <f t="shared" si="335"/>
        <v/>
      </c>
      <c r="BZ678" s="281"/>
      <c r="CA678" s="282"/>
      <c r="CF678" s="284"/>
      <c r="CG678" s="284"/>
      <c r="CH678" s="284"/>
      <c r="CI678" s="284"/>
      <c r="CL678" s="356" t="str">
        <f>IFERROR(VLOOKUP(C678,'Data Sheet'!$A$3:$B$26,2,FALSE),"")</f>
        <v/>
      </c>
    </row>
    <row r="679" spans="1:90" ht="15.75" x14ac:dyDescent="0.2">
      <c r="A679" s="97"/>
      <c r="B679" s="105" t="str">
        <f t="shared" si="338"/>
        <v>--</v>
      </c>
      <c r="C679" s="276"/>
      <c r="D679" s="101" t="str">
        <f>IFERROR(IF(VLOOKUP(C679,'Data Sheet'!$A$3:$D$26,4,FALSE)=0,"",VLOOKUP(C679,'Data Sheet'!$A$3:$D$26,4,FALSE)),"")</f>
        <v/>
      </c>
      <c r="E679" s="279"/>
      <c r="F679" s="103" t="str">
        <f>IFERROR(IF(VLOOKUP(E679,'Data Sheet'!$C$29:$E$174,3,FALSE)=0,"",VLOOKUP(E679,'Data Sheet'!$C$29:$E$174,3,FALSE)),"")</f>
        <v/>
      </c>
      <c r="G679" s="106" t="str">
        <f t="shared" si="336"/>
        <v>-</v>
      </c>
      <c r="H679" s="273"/>
      <c r="I679" s="107"/>
      <c r="J679" s="249" t="e">
        <f t="shared" si="337"/>
        <v>#VALUE!</v>
      </c>
      <c r="K679" s="101" t="str">
        <f>IFERROR(INDEX('Data Sheet'!$C$198:$C$275,MATCH(I679,'Data Sheet'!$F$198:$F$275,0)),"")</f>
        <v/>
      </c>
      <c r="L679" s="250" t="str">
        <f>IFERROR(INDEX('Data Sheet'!$G$198:$G$275,MATCH(I679,'Data Sheet'!$F$198:$F$275,0)),"")</f>
        <v/>
      </c>
      <c r="M679" s="194"/>
      <c r="N679" s="248"/>
      <c r="O679" s="248"/>
      <c r="P679" s="108" t="str">
        <f>IFERROR(INDEX(Setup!$D$44:$D$70,MATCH(M679,Setup!$K$44:$K$70,0))&amp;"","")</f>
        <v/>
      </c>
      <c r="Q679" s="108" t="str">
        <f>IFERROR(INDEX(Setup!$E$44:$E$70,MATCH(M679,Setup!$K$44:$K$70,0))&amp;"","")</f>
        <v/>
      </c>
      <c r="R679" s="108" t="str">
        <f>IFERROR(INDEX(Setup!$L$44:$L$70,MATCH(M679,Setup!$K$44:$K$70,0))&amp;"","")</f>
        <v/>
      </c>
      <c r="S679" s="108" t="str">
        <f>Setup!$C$30</f>
        <v>USD</v>
      </c>
      <c r="T679" s="109" t="str">
        <f>IFERROR(INDEX('Data Sheet'!$B$198:$B$275,MATCH(I679,'Data Sheet'!$F$198:$F$275,0)),"")</f>
        <v/>
      </c>
      <c r="U679" s="110" t="str">
        <f>IFERROR(INDEX('Data Sheet'!$D$198:$D$275,MATCH(I679,'Data Sheet'!$F$198:$F$275,0)),"")</f>
        <v/>
      </c>
      <c r="V679" s="99"/>
      <c r="W679" s="195" t="str">
        <f>IF(V679=Setup!$C$30,"Grant",IF(V679=Setup!$C$31,"Local",IF(V679=Setup!$C$32,"Other",IF(ISBLANK(V679),"","Other"))))</f>
        <v/>
      </c>
      <c r="X679" s="255"/>
      <c r="Y679" s="259" t="str">
        <f>IF(X679&lt;&gt;"",X679/VLOOKUP($V679,Setup!$C$30:$D$41,2,0),"")</f>
        <v/>
      </c>
      <c r="Z679" s="262"/>
      <c r="AA679" s="256" t="str">
        <f t="shared" si="310"/>
        <v/>
      </c>
      <c r="AB679" s="262"/>
      <c r="AC679" s="258" t="str">
        <f t="shared" si="311"/>
        <v/>
      </c>
      <c r="AD679" s="262"/>
      <c r="AE679" s="258" t="str">
        <f t="shared" si="312"/>
        <v/>
      </c>
      <c r="AF679" s="262"/>
      <c r="AG679" s="256" t="str">
        <f t="shared" si="313"/>
        <v/>
      </c>
      <c r="AH679" s="256" t="str">
        <f t="shared" si="314"/>
        <v/>
      </c>
      <c r="AI679" s="256" t="str">
        <f t="shared" si="315"/>
        <v/>
      </c>
      <c r="AJ679" s="111"/>
      <c r="AK679" s="255"/>
      <c r="AL679" s="259" t="str">
        <f>IF(AK679&lt;&gt;"",AK679/VLOOKUP($V679,Setup!$C$30:$D$41,2,0),"")</f>
        <v/>
      </c>
      <c r="AM679" s="266"/>
      <c r="AN679" s="258" t="str">
        <f t="shared" si="316"/>
        <v/>
      </c>
      <c r="AO679" s="266"/>
      <c r="AP679" s="258" t="str">
        <f t="shared" si="317"/>
        <v/>
      </c>
      <c r="AQ679" s="266"/>
      <c r="AR679" s="258" t="str">
        <f t="shared" si="318"/>
        <v/>
      </c>
      <c r="AS679" s="266"/>
      <c r="AT679" s="256" t="str">
        <f t="shared" si="319"/>
        <v/>
      </c>
      <c r="AU679" s="256" t="str">
        <f t="shared" si="320"/>
        <v/>
      </c>
      <c r="AV679" s="256" t="str">
        <f t="shared" si="321"/>
        <v/>
      </c>
      <c r="AW679" s="267"/>
      <c r="AX679" s="255"/>
      <c r="AY679" s="259" t="str">
        <f>IF(AX679&lt;&gt;"",AX679/VLOOKUP($V679,Setup!$C$30:$D$41,2,0),"")</f>
        <v/>
      </c>
      <c r="AZ679" s="268"/>
      <c r="BA679" s="258" t="str">
        <f t="shared" si="322"/>
        <v/>
      </c>
      <c r="BB679" s="268"/>
      <c r="BC679" s="258" t="str">
        <f t="shared" si="323"/>
        <v/>
      </c>
      <c r="BD679" s="268"/>
      <c r="BE679" s="258" t="str">
        <f t="shared" si="324"/>
        <v/>
      </c>
      <c r="BF679" s="268"/>
      <c r="BG679" s="256" t="str">
        <f t="shared" si="325"/>
        <v/>
      </c>
      <c r="BH679" s="256" t="str">
        <f t="shared" si="326"/>
        <v/>
      </c>
      <c r="BI679" s="256" t="str">
        <f t="shared" si="327"/>
        <v/>
      </c>
      <c r="BJ679" s="267"/>
      <c r="BK679" s="255"/>
      <c r="BL679" s="259" t="str">
        <f>IF(BK679&lt;&gt;"",BK679/VLOOKUP($V679,Setup!$C$30:$D$41,2,0),"")</f>
        <v/>
      </c>
      <c r="BM679" s="268"/>
      <c r="BN679" s="258" t="str">
        <f t="shared" si="328"/>
        <v/>
      </c>
      <c r="BO679" s="268"/>
      <c r="BP679" s="258" t="str">
        <f t="shared" si="329"/>
        <v/>
      </c>
      <c r="BQ679" s="268"/>
      <c r="BR679" s="258" t="str">
        <f t="shared" si="330"/>
        <v/>
      </c>
      <c r="BS679" s="268"/>
      <c r="BT679" s="256" t="str">
        <f t="shared" si="331"/>
        <v/>
      </c>
      <c r="BU679" s="256" t="str">
        <f t="shared" si="332"/>
        <v/>
      </c>
      <c r="BV679" s="256" t="str">
        <f t="shared" si="333"/>
        <v/>
      </c>
      <c r="BW679" s="267"/>
      <c r="BX679" s="256" t="str">
        <f t="shared" si="334"/>
        <v/>
      </c>
      <c r="BY679" s="256" t="str">
        <f t="shared" si="335"/>
        <v/>
      </c>
      <c r="BZ679" s="281"/>
      <c r="CA679" s="282"/>
      <c r="CF679" s="284"/>
      <c r="CG679" s="284"/>
      <c r="CH679" s="284"/>
      <c r="CI679" s="284"/>
      <c r="CL679" s="356" t="str">
        <f>IFERROR(VLOOKUP(C679,'Data Sheet'!$A$3:$B$26,2,FALSE),"")</f>
        <v/>
      </c>
    </row>
    <row r="680" spans="1:90" ht="15.75" x14ac:dyDescent="0.2">
      <c r="A680" s="97"/>
      <c r="B680" s="105" t="str">
        <f t="shared" si="338"/>
        <v>--</v>
      </c>
      <c r="C680" s="276"/>
      <c r="D680" s="101" t="str">
        <f>IFERROR(IF(VLOOKUP(C680,'Data Sheet'!$A$3:$D$26,4,FALSE)=0,"",VLOOKUP(C680,'Data Sheet'!$A$3:$D$26,4,FALSE)),"")</f>
        <v/>
      </c>
      <c r="E680" s="279"/>
      <c r="F680" s="103" t="str">
        <f>IFERROR(IF(VLOOKUP(E680,'Data Sheet'!$C$29:$E$174,3,FALSE)=0,"",VLOOKUP(E680,'Data Sheet'!$C$29:$E$174,3,FALSE)),"")</f>
        <v/>
      </c>
      <c r="G680" s="106" t="str">
        <f t="shared" si="336"/>
        <v>-</v>
      </c>
      <c r="H680" s="273"/>
      <c r="I680" s="107"/>
      <c r="J680" s="249" t="e">
        <f t="shared" si="337"/>
        <v>#VALUE!</v>
      </c>
      <c r="K680" s="101" t="str">
        <f>IFERROR(INDEX('Data Sheet'!$C$198:$C$275,MATCH(I680,'Data Sheet'!$F$198:$F$275,0)),"")</f>
        <v/>
      </c>
      <c r="L680" s="250" t="str">
        <f>IFERROR(INDEX('Data Sheet'!$G$198:$G$275,MATCH(I680,'Data Sheet'!$F$198:$F$275,0)),"")</f>
        <v/>
      </c>
      <c r="M680" s="194"/>
      <c r="N680" s="248"/>
      <c r="O680" s="248"/>
      <c r="P680" s="108" t="str">
        <f>IFERROR(INDEX(Setup!$D$44:$D$70,MATCH(M680,Setup!$K$44:$K$70,0))&amp;"","")</f>
        <v/>
      </c>
      <c r="Q680" s="108" t="str">
        <f>IFERROR(INDEX(Setup!$E$44:$E$70,MATCH(M680,Setup!$K$44:$K$70,0))&amp;"","")</f>
        <v/>
      </c>
      <c r="R680" s="108" t="str">
        <f>IFERROR(INDEX(Setup!$L$44:$L$70,MATCH(M680,Setup!$K$44:$K$70,0))&amp;"","")</f>
        <v/>
      </c>
      <c r="S680" s="108" t="str">
        <f>Setup!$C$30</f>
        <v>USD</v>
      </c>
      <c r="T680" s="109" t="str">
        <f>IFERROR(INDEX('Data Sheet'!$B$198:$B$275,MATCH(I680,'Data Sheet'!$F$198:$F$275,0)),"")</f>
        <v/>
      </c>
      <c r="U680" s="110" t="str">
        <f>IFERROR(INDEX('Data Sheet'!$D$198:$D$275,MATCH(I680,'Data Sheet'!$F$198:$F$275,0)),"")</f>
        <v/>
      </c>
      <c r="V680" s="99"/>
      <c r="W680" s="195" t="str">
        <f>IF(V680=Setup!$C$30,"Grant",IF(V680=Setup!$C$31,"Local",IF(V680=Setup!$C$32,"Other",IF(ISBLANK(V680),"","Other"))))</f>
        <v/>
      </c>
      <c r="X680" s="255"/>
      <c r="Y680" s="259" t="str">
        <f>IF(X680&lt;&gt;"",X680/VLOOKUP($V680,Setup!$C$30:$D$41,2,0),"")</f>
        <v/>
      </c>
      <c r="Z680" s="262"/>
      <c r="AA680" s="256" t="str">
        <f t="shared" si="310"/>
        <v/>
      </c>
      <c r="AB680" s="262"/>
      <c r="AC680" s="258" t="str">
        <f t="shared" si="311"/>
        <v/>
      </c>
      <c r="AD680" s="262"/>
      <c r="AE680" s="258" t="str">
        <f t="shared" si="312"/>
        <v/>
      </c>
      <c r="AF680" s="262"/>
      <c r="AG680" s="256" t="str">
        <f t="shared" si="313"/>
        <v/>
      </c>
      <c r="AH680" s="256" t="str">
        <f t="shared" si="314"/>
        <v/>
      </c>
      <c r="AI680" s="256" t="str">
        <f t="shared" si="315"/>
        <v/>
      </c>
      <c r="AJ680" s="111"/>
      <c r="AK680" s="255"/>
      <c r="AL680" s="259" t="str">
        <f>IF(AK680&lt;&gt;"",AK680/VLOOKUP($V680,Setup!$C$30:$D$41,2,0),"")</f>
        <v/>
      </c>
      <c r="AM680" s="266"/>
      <c r="AN680" s="258" t="str">
        <f t="shared" si="316"/>
        <v/>
      </c>
      <c r="AO680" s="266"/>
      <c r="AP680" s="258" t="str">
        <f t="shared" si="317"/>
        <v/>
      </c>
      <c r="AQ680" s="266"/>
      <c r="AR680" s="258" t="str">
        <f t="shared" si="318"/>
        <v/>
      </c>
      <c r="AS680" s="266"/>
      <c r="AT680" s="256" t="str">
        <f t="shared" si="319"/>
        <v/>
      </c>
      <c r="AU680" s="256" t="str">
        <f t="shared" si="320"/>
        <v/>
      </c>
      <c r="AV680" s="256" t="str">
        <f t="shared" si="321"/>
        <v/>
      </c>
      <c r="AW680" s="267"/>
      <c r="AX680" s="255"/>
      <c r="AY680" s="259" t="str">
        <f>IF(AX680&lt;&gt;"",AX680/VLOOKUP($V680,Setup!$C$30:$D$41,2,0),"")</f>
        <v/>
      </c>
      <c r="AZ680" s="268"/>
      <c r="BA680" s="258" t="str">
        <f t="shared" si="322"/>
        <v/>
      </c>
      <c r="BB680" s="268"/>
      <c r="BC680" s="258" t="str">
        <f t="shared" si="323"/>
        <v/>
      </c>
      <c r="BD680" s="268"/>
      <c r="BE680" s="258" t="str">
        <f t="shared" si="324"/>
        <v/>
      </c>
      <c r="BF680" s="268"/>
      <c r="BG680" s="256" t="str">
        <f t="shared" si="325"/>
        <v/>
      </c>
      <c r="BH680" s="256" t="str">
        <f t="shared" si="326"/>
        <v/>
      </c>
      <c r="BI680" s="256" t="str">
        <f t="shared" si="327"/>
        <v/>
      </c>
      <c r="BJ680" s="267"/>
      <c r="BK680" s="255"/>
      <c r="BL680" s="259" t="str">
        <f>IF(BK680&lt;&gt;"",BK680/VLOOKUP($V680,Setup!$C$30:$D$41,2,0),"")</f>
        <v/>
      </c>
      <c r="BM680" s="268"/>
      <c r="BN680" s="258" t="str">
        <f t="shared" si="328"/>
        <v/>
      </c>
      <c r="BO680" s="268"/>
      <c r="BP680" s="258" t="str">
        <f t="shared" si="329"/>
        <v/>
      </c>
      <c r="BQ680" s="268"/>
      <c r="BR680" s="258" t="str">
        <f t="shared" si="330"/>
        <v/>
      </c>
      <c r="BS680" s="268"/>
      <c r="BT680" s="256" t="str">
        <f t="shared" si="331"/>
        <v/>
      </c>
      <c r="BU680" s="256" t="str">
        <f t="shared" si="332"/>
        <v/>
      </c>
      <c r="BV680" s="256" t="str">
        <f t="shared" si="333"/>
        <v/>
      </c>
      <c r="BW680" s="267"/>
      <c r="BX680" s="256" t="str">
        <f t="shared" si="334"/>
        <v/>
      </c>
      <c r="BY680" s="256" t="str">
        <f t="shared" si="335"/>
        <v/>
      </c>
      <c r="BZ680" s="281"/>
      <c r="CA680" s="282"/>
      <c r="CF680" s="284"/>
      <c r="CG680" s="284"/>
      <c r="CH680" s="284"/>
      <c r="CI680" s="284"/>
      <c r="CL680" s="356" t="str">
        <f>IFERROR(VLOOKUP(C680,'Data Sheet'!$A$3:$B$26,2,FALSE),"")</f>
        <v/>
      </c>
    </row>
    <row r="681" spans="1:90" ht="15.75" x14ac:dyDescent="0.2">
      <c r="A681" s="97"/>
      <c r="B681" s="105" t="str">
        <f t="shared" si="338"/>
        <v>--</v>
      </c>
      <c r="C681" s="276"/>
      <c r="D681" s="101" t="str">
        <f>IFERROR(IF(VLOOKUP(C681,'Data Sheet'!$A$3:$D$26,4,FALSE)=0,"",VLOOKUP(C681,'Data Sheet'!$A$3:$D$26,4,FALSE)),"")</f>
        <v/>
      </c>
      <c r="E681" s="279"/>
      <c r="F681" s="103" t="str">
        <f>IFERROR(IF(VLOOKUP(E681,'Data Sheet'!$C$29:$E$174,3,FALSE)=0,"",VLOOKUP(E681,'Data Sheet'!$C$29:$E$174,3,FALSE)),"")</f>
        <v/>
      </c>
      <c r="G681" s="106" t="str">
        <f t="shared" si="336"/>
        <v>-</v>
      </c>
      <c r="H681" s="273"/>
      <c r="I681" s="107"/>
      <c r="J681" s="249" t="e">
        <f t="shared" si="337"/>
        <v>#VALUE!</v>
      </c>
      <c r="K681" s="101" t="str">
        <f>IFERROR(INDEX('Data Sheet'!$C$198:$C$275,MATCH(I681,'Data Sheet'!$F$198:$F$275,0)),"")</f>
        <v/>
      </c>
      <c r="L681" s="250" t="str">
        <f>IFERROR(INDEX('Data Sheet'!$G$198:$G$275,MATCH(I681,'Data Sheet'!$F$198:$F$275,0)),"")</f>
        <v/>
      </c>
      <c r="M681" s="194"/>
      <c r="N681" s="248"/>
      <c r="O681" s="248"/>
      <c r="P681" s="108" t="str">
        <f>IFERROR(INDEX(Setup!$D$44:$D$70,MATCH(M681,Setup!$K$44:$K$70,0))&amp;"","")</f>
        <v/>
      </c>
      <c r="Q681" s="108" t="str">
        <f>IFERROR(INDEX(Setup!$E$44:$E$70,MATCH(M681,Setup!$K$44:$K$70,0))&amp;"","")</f>
        <v/>
      </c>
      <c r="R681" s="108" t="str">
        <f>IFERROR(INDEX(Setup!$L$44:$L$70,MATCH(M681,Setup!$K$44:$K$70,0))&amp;"","")</f>
        <v/>
      </c>
      <c r="S681" s="108" t="str">
        <f>Setup!$C$30</f>
        <v>USD</v>
      </c>
      <c r="T681" s="109" t="str">
        <f>IFERROR(INDEX('Data Sheet'!$B$198:$B$275,MATCH(I681,'Data Sheet'!$F$198:$F$275,0)),"")</f>
        <v/>
      </c>
      <c r="U681" s="110" t="str">
        <f>IFERROR(INDEX('Data Sheet'!$D$198:$D$275,MATCH(I681,'Data Sheet'!$F$198:$F$275,0)),"")</f>
        <v/>
      </c>
      <c r="V681" s="99"/>
      <c r="W681" s="195" t="str">
        <f>IF(V681=Setup!$C$30,"Grant",IF(V681=Setup!$C$31,"Local",IF(V681=Setup!$C$32,"Other",IF(ISBLANK(V681),"","Other"))))</f>
        <v/>
      </c>
      <c r="X681" s="255"/>
      <c r="Y681" s="259" t="str">
        <f>IF(X681&lt;&gt;"",X681/VLOOKUP($V681,Setup!$C$30:$D$41,2,0),"")</f>
        <v/>
      </c>
      <c r="Z681" s="262"/>
      <c r="AA681" s="256" t="str">
        <f t="shared" si="310"/>
        <v/>
      </c>
      <c r="AB681" s="262"/>
      <c r="AC681" s="258" t="str">
        <f t="shared" si="311"/>
        <v/>
      </c>
      <c r="AD681" s="262"/>
      <c r="AE681" s="258" t="str">
        <f t="shared" si="312"/>
        <v/>
      </c>
      <c r="AF681" s="262"/>
      <c r="AG681" s="256" t="str">
        <f t="shared" si="313"/>
        <v/>
      </c>
      <c r="AH681" s="256" t="str">
        <f t="shared" si="314"/>
        <v/>
      </c>
      <c r="AI681" s="256" t="str">
        <f t="shared" si="315"/>
        <v/>
      </c>
      <c r="AJ681" s="111"/>
      <c r="AK681" s="255"/>
      <c r="AL681" s="259" t="str">
        <f>IF(AK681&lt;&gt;"",AK681/VLOOKUP($V681,Setup!$C$30:$D$41,2,0),"")</f>
        <v/>
      </c>
      <c r="AM681" s="266"/>
      <c r="AN681" s="258" t="str">
        <f t="shared" si="316"/>
        <v/>
      </c>
      <c r="AO681" s="266"/>
      <c r="AP681" s="258" t="str">
        <f t="shared" si="317"/>
        <v/>
      </c>
      <c r="AQ681" s="266"/>
      <c r="AR681" s="258" t="str">
        <f t="shared" si="318"/>
        <v/>
      </c>
      <c r="AS681" s="266"/>
      <c r="AT681" s="256" t="str">
        <f t="shared" si="319"/>
        <v/>
      </c>
      <c r="AU681" s="256" t="str">
        <f t="shared" si="320"/>
        <v/>
      </c>
      <c r="AV681" s="256" t="str">
        <f t="shared" si="321"/>
        <v/>
      </c>
      <c r="AW681" s="267"/>
      <c r="AX681" s="255"/>
      <c r="AY681" s="259" t="str">
        <f>IF(AX681&lt;&gt;"",AX681/VLOOKUP($V681,Setup!$C$30:$D$41,2,0),"")</f>
        <v/>
      </c>
      <c r="AZ681" s="268"/>
      <c r="BA681" s="258" t="str">
        <f t="shared" si="322"/>
        <v/>
      </c>
      <c r="BB681" s="268"/>
      <c r="BC681" s="258" t="str">
        <f t="shared" si="323"/>
        <v/>
      </c>
      <c r="BD681" s="268"/>
      <c r="BE681" s="258" t="str">
        <f t="shared" si="324"/>
        <v/>
      </c>
      <c r="BF681" s="268"/>
      <c r="BG681" s="256" t="str">
        <f t="shared" si="325"/>
        <v/>
      </c>
      <c r="BH681" s="256" t="str">
        <f t="shared" si="326"/>
        <v/>
      </c>
      <c r="BI681" s="256" t="str">
        <f t="shared" si="327"/>
        <v/>
      </c>
      <c r="BJ681" s="267"/>
      <c r="BK681" s="255"/>
      <c r="BL681" s="259" t="str">
        <f>IF(BK681&lt;&gt;"",BK681/VLOOKUP($V681,Setup!$C$30:$D$41,2,0),"")</f>
        <v/>
      </c>
      <c r="BM681" s="268"/>
      <c r="BN681" s="258" t="str">
        <f t="shared" si="328"/>
        <v/>
      </c>
      <c r="BO681" s="268"/>
      <c r="BP681" s="258" t="str">
        <f t="shared" si="329"/>
        <v/>
      </c>
      <c r="BQ681" s="268"/>
      <c r="BR681" s="258" t="str">
        <f t="shared" si="330"/>
        <v/>
      </c>
      <c r="BS681" s="268"/>
      <c r="BT681" s="256" t="str">
        <f t="shared" si="331"/>
        <v/>
      </c>
      <c r="BU681" s="256" t="str">
        <f t="shared" si="332"/>
        <v/>
      </c>
      <c r="BV681" s="256" t="str">
        <f t="shared" si="333"/>
        <v/>
      </c>
      <c r="BW681" s="267"/>
      <c r="BX681" s="256" t="str">
        <f t="shared" si="334"/>
        <v/>
      </c>
      <c r="BY681" s="256" t="str">
        <f t="shared" si="335"/>
        <v/>
      </c>
      <c r="BZ681" s="281"/>
      <c r="CA681" s="282"/>
      <c r="CF681" s="284"/>
      <c r="CG681" s="284"/>
      <c r="CH681" s="284"/>
      <c r="CI681" s="284"/>
      <c r="CL681" s="356" t="str">
        <f>IFERROR(VLOOKUP(C681,'Data Sheet'!$A$3:$B$26,2,FALSE),"")</f>
        <v/>
      </c>
    </row>
    <row r="682" spans="1:90" ht="15.75" x14ac:dyDescent="0.2">
      <c r="A682" s="97"/>
      <c r="B682" s="105" t="str">
        <f t="shared" si="338"/>
        <v>--</v>
      </c>
      <c r="C682" s="276"/>
      <c r="D682" s="101" t="str">
        <f>IFERROR(IF(VLOOKUP(C682,'Data Sheet'!$A$3:$D$26,4,FALSE)=0,"",VLOOKUP(C682,'Data Sheet'!$A$3:$D$26,4,FALSE)),"")</f>
        <v/>
      </c>
      <c r="E682" s="279"/>
      <c r="F682" s="103" t="str">
        <f>IFERROR(IF(VLOOKUP(E682,'Data Sheet'!$C$29:$E$174,3,FALSE)=0,"",VLOOKUP(E682,'Data Sheet'!$C$29:$E$174,3,FALSE)),"")</f>
        <v/>
      </c>
      <c r="G682" s="106" t="str">
        <f t="shared" si="336"/>
        <v>-</v>
      </c>
      <c r="H682" s="273"/>
      <c r="I682" s="107"/>
      <c r="J682" s="249" t="e">
        <f t="shared" si="337"/>
        <v>#VALUE!</v>
      </c>
      <c r="K682" s="101" t="str">
        <f>IFERROR(INDEX('Data Sheet'!$C$198:$C$275,MATCH(I682,'Data Sheet'!$F$198:$F$275,0)),"")</f>
        <v/>
      </c>
      <c r="L682" s="250" t="str">
        <f>IFERROR(INDEX('Data Sheet'!$G$198:$G$275,MATCH(I682,'Data Sheet'!$F$198:$F$275,0)),"")</f>
        <v/>
      </c>
      <c r="M682" s="194"/>
      <c r="N682" s="248"/>
      <c r="O682" s="248"/>
      <c r="P682" s="108" t="str">
        <f>IFERROR(INDEX(Setup!$D$44:$D$70,MATCH(M682,Setup!$K$44:$K$70,0))&amp;"","")</f>
        <v/>
      </c>
      <c r="Q682" s="108" t="str">
        <f>IFERROR(INDEX(Setup!$E$44:$E$70,MATCH(M682,Setup!$K$44:$K$70,0))&amp;"","")</f>
        <v/>
      </c>
      <c r="R682" s="108" t="str">
        <f>IFERROR(INDEX(Setup!$L$44:$L$70,MATCH(M682,Setup!$K$44:$K$70,0))&amp;"","")</f>
        <v/>
      </c>
      <c r="S682" s="108" t="str">
        <f>Setup!$C$30</f>
        <v>USD</v>
      </c>
      <c r="T682" s="109" t="str">
        <f>IFERROR(INDEX('Data Sheet'!$B$198:$B$275,MATCH(I682,'Data Sheet'!$F$198:$F$275,0)),"")</f>
        <v/>
      </c>
      <c r="U682" s="110" t="str">
        <f>IFERROR(INDEX('Data Sheet'!$D$198:$D$275,MATCH(I682,'Data Sheet'!$F$198:$F$275,0)),"")</f>
        <v/>
      </c>
      <c r="V682" s="99"/>
      <c r="W682" s="195" t="str">
        <f>IF(V682=Setup!$C$30,"Grant",IF(V682=Setup!$C$31,"Local",IF(V682=Setup!$C$32,"Other",IF(ISBLANK(V682),"","Other"))))</f>
        <v/>
      </c>
      <c r="X682" s="255"/>
      <c r="Y682" s="259" t="str">
        <f>IF(X682&lt;&gt;"",X682/VLOOKUP($V682,Setup!$C$30:$D$41,2,0),"")</f>
        <v/>
      </c>
      <c r="Z682" s="262"/>
      <c r="AA682" s="256" t="str">
        <f t="shared" si="310"/>
        <v/>
      </c>
      <c r="AB682" s="262"/>
      <c r="AC682" s="258" t="str">
        <f t="shared" si="311"/>
        <v/>
      </c>
      <c r="AD682" s="262"/>
      <c r="AE682" s="258" t="str">
        <f t="shared" si="312"/>
        <v/>
      </c>
      <c r="AF682" s="262"/>
      <c r="AG682" s="256" t="str">
        <f t="shared" si="313"/>
        <v/>
      </c>
      <c r="AH682" s="256" t="str">
        <f t="shared" si="314"/>
        <v/>
      </c>
      <c r="AI682" s="256" t="str">
        <f t="shared" si="315"/>
        <v/>
      </c>
      <c r="AJ682" s="111"/>
      <c r="AK682" s="255"/>
      <c r="AL682" s="259" t="str">
        <f>IF(AK682&lt;&gt;"",AK682/VLOOKUP($V682,Setup!$C$30:$D$41,2,0),"")</f>
        <v/>
      </c>
      <c r="AM682" s="266"/>
      <c r="AN682" s="258" t="str">
        <f t="shared" si="316"/>
        <v/>
      </c>
      <c r="AO682" s="266"/>
      <c r="AP682" s="258" t="str">
        <f t="shared" si="317"/>
        <v/>
      </c>
      <c r="AQ682" s="266"/>
      <c r="AR682" s="258" t="str">
        <f t="shared" si="318"/>
        <v/>
      </c>
      <c r="AS682" s="266"/>
      <c r="AT682" s="256" t="str">
        <f t="shared" si="319"/>
        <v/>
      </c>
      <c r="AU682" s="256" t="str">
        <f t="shared" si="320"/>
        <v/>
      </c>
      <c r="AV682" s="256" t="str">
        <f t="shared" si="321"/>
        <v/>
      </c>
      <c r="AW682" s="267"/>
      <c r="AX682" s="255"/>
      <c r="AY682" s="259" t="str">
        <f>IF(AX682&lt;&gt;"",AX682/VLOOKUP($V682,Setup!$C$30:$D$41,2,0),"")</f>
        <v/>
      </c>
      <c r="AZ682" s="268"/>
      <c r="BA682" s="258" t="str">
        <f t="shared" si="322"/>
        <v/>
      </c>
      <c r="BB682" s="268"/>
      <c r="BC682" s="258" t="str">
        <f t="shared" si="323"/>
        <v/>
      </c>
      <c r="BD682" s="268"/>
      <c r="BE682" s="258" t="str">
        <f t="shared" si="324"/>
        <v/>
      </c>
      <c r="BF682" s="268"/>
      <c r="BG682" s="256" t="str">
        <f t="shared" si="325"/>
        <v/>
      </c>
      <c r="BH682" s="256" t="str">
        <f t="shared" si="326"/>
        <v/>
      </c>
      <c r="BI682" s="256" t="str">
        <f t="shared" si="327"/>
        <v/>
      </c>
      <c r="BJ682" s="267"/>
      <c r="BK682" s="255"/>
      <c r="BL682" s="259" t="str">
        <f>IF(BK682&lt;&gt;"",BK682/VLOOKUP($V682,Setup!$C$30:$D$41,2,0),"")</f>
        <v/>
      </c>
      <c r="BM682" s="268"/>
      <c r="BN682" s="258" t="str">
        <f t="shared" si="328"/>
        <v/>
      </c>
      <c r="BO682" s="268"/>
      <c r="BP682" s="258" t="str">
        <f t="shared" si="329"/>
        <v/>
      </c>
      <c r="BQ682" s="268"/>
      <c r="BR682" s="258" t="str">
        <f t="shared" si="330"/>
        <v/>
      </c>
      <c r="BS682" s="268"/>
      <c r="BT682" s="256" t="str">
        <f t="shared" si="331"/>
        <v/>
      </c>
      <c r="BU682" s="256" t="str">
        <f t="shared" si="332"/>
        <v/>
      </c>
      <c r="BV682" s="256" t="str">
        <f t="shared" si="333"/>
        <v/>
      </c>
      <c r="BW682" s="267"/>
      <c r="BX682" s="256" t="str">
        <f t="shared" si="334"/>
        <v/>
      </c>
      <c r="BY682" s="256" t="str">
        <f t="shared" si="335"/>
        <v/>
      </c>
      <c r="BZ682" s="281"/>
      <c r="CA682" s="282"/>
      <c r="CF682" s="284"/>
      <c r="CG682" s="284"/>
      <c r="CH682" s="284"/>
      <c r="CI682" s="284"/>
      <c r="CL682" s="356" t="str">
        <f>IFERROR(VLOOKUP(C682,'Data Sheet'!$A$3:$B$26,2,FALSE),"")</f>
        <v/>
      </c>
    </row>
    <row r="683" spans="1:90" ht="15.75" x14ac:dyDescent="0.2">
      <c r="A683" s="97"/>
      <c r="B683" s="105" t="str">
        <f t="shared" si="338"/>
        <v>--</v>
      </c>
      <c r="C683" s="276"/>
      <c r="D683" s="101" t="str">
        <f>IFERROR(IF(VLOOKUP(C683,'Data Sheet'!$A$3:$D$26,4,FALSE)=0,"",VLOOKUP(C683,'Data Sheet'!$A$3:$D$26,4,FALSE)),"")</f>
        <v/>
      </c>
      <c r="E683" s="279"/>
      <c r="F683" s="103" t="str">
        <f>IFERROR(IF(VLOOKUP(E683,'Data Sheet'!$C$29:$E$174,3,FALSE)=0,"",VLOOKUP(E683,'Data Sheet'!$C$29:$E$174,3,FALSE)),"")</f>
        <v/>
      </c>
      <c r="G683" s="106" t="str">
        <f t="shared" si="336"/>
        <v>-</v>
      </c>
      <c r="H683" s="273"/>
      <c r="I683" s="107"/>
      <c r="J683" s="249" t="e">
        <f t="shared" si="337"/>
        <v>#VALUE!</v>
      </c>
      <c r="K683" s="101" t="str">
        <f>IFERROR(INDEX('Data Sheet'!$C$198:$C$275,MATCH(I683,'Data Sheet'!$F$198:$F$275,0)),"")</f>
        <v/>
      </c>
      <c r="L683" s="250" t="str">
        <f>IFERROR(INDEX('Data Sheet'!$G$198:$G$275,MATCH(I683,'Data Sheet'!$F$198:$F$275,0)),"")</f>
        <v/>
      </c>
      <c r="M683" s="194"/>
      <c r="N683" s="248"/>
      <c r="O683" s="248"/>
      <c r="P683" s="108" t="str">
        <f>IFERROR(INDEX(Setup!$D$44:$D$70,MATCH(M683,Setup!$K$44:$K$70,0))&amp;"","")</f>
        <v/>
      </c>
      <c r="Q683" s="108" t="str">
        <f>IFERROR(INDEX(Setup!$E$44:$E$70,MATCH(M683,Setup!$K$44:$K$70,0))&amp;"","")</f>
        <v/>
      </c>
      <c r="R683" s="108" t="str">
        <f>IFERROR(INDEX(Setup!$L$44:$L$70,MATCH(M683,Setup!$K$44:$K$70,0))&amp;"","")</f>
        <v/>
      </c>
      <c r="S683" s="108" t="str">
        <f>Setup!$C$30</f>
        <v>USD</v>
      </c>
      <c r="T683" s="109" t="str">
        <f>IFERROR(INDEX('Data Sheet'!$B$198:$B$275,MATCH(I683,'Data Sheet'!$F$198:$F$275,0)),"")</f>
        <v/>
      </c>
      <c r="U683" s="110" t="str">
        <f>IFERROR(INDEX('Data Sheet'!$D$198:$D$275,MATCH(I683,'Data Sheet'!$F$198:$F$275,0)),"")</f>
        <v/>
      </c>
      <c r="V683" s="99"/>
      <c r="W683" s="195" t="str">
        <f>IF(V683=Setup!$C$30,"Grant",IF(V683=Setup!$C$31,"Local",IF(V683=Setup!$C$32,"Other",IF(ISBLANK(V683),"","Other"))))</f>
        <v/>
      </c>
      <c r="X683" s="255"/>
      <c r="Y683" s="259" t="str">
        <f>IF(X683&lt;&gt;"",X683/VLOOKUP($V683,Setup!$C$30:$D$41,2,0),"")</f>
        <v/>
      </c>
      <c r="Z683" s="262"/>
      <c r="AA683" s="256" t="str">
        <f t="shared" si="310"/>
        <v/>
      </c>
      <c r="AB683" s="262"/>
      <c r="AC683" s="258" t="str">
        <f t="shared" si="311"/>
        <v/>
      </c>
      <c r="AD683" s="262"/>
      <c r="AE683" s="258" t="str">
        <f t="shared" si="312"/>
        <v/>
      </c>
      <c r="AF683" s="262"/>
      <c r="AG683" s="256" t="str">
        <f t="shared" si="313"/>
        <v/>
      </c>
      <c r="AH683" s="256" t="str">
        <f t="shared" si="314"/>
        <v/>
      </c>
      <c r="AI683" s="256" t="str">
        <f t="shared" si="315"/>
        <v/>
      </c>
      <c r="AJ683" s="111"/>
      <c r="AK683" s="255"/>
      <c r="AL683" s="259" t="str">
        <f>IF(AK683&lt;&gt;"",AK683/VLOOKUP($V683,Setup!$C$30:$D$41,2,0),"")</f>
        <v/>
      </c>
      <c r="AM683" s="266"/>
      <c r="AN683" s="258" t="str">
        <f t="shared" si="316"/>
        <v/>
      </c>
      <c r="AO683" s="266"/>
      <c r="AP683" s="258" t="str">
        <f t="shared" si="317"/>
        <v/>
      </c>
      <c r="AQ683" s="266"/>
      <c r="AR683" s="258" t="str">
        <f t="shared" si="318"/>
        <v/>
      </c>
      <c r="AS683" s="266"/>
      <c r="AT683" s="256" t="str">
        <f t="shared" si="319"/>
        <v/>
      </c>
      <c r="AU683" s="256" t="str">
        <f t="shared" si="320"/>
        <v/>
      </c>
      <c r="AV683" s="256" t="str">
        <f t="shared" si="321"/>
        <v/>
      </c>
      <c r="AW683" s="267"/>
      <c r="AX683" s="255"/>
      <c r="AY683" s="259" t="str">
        <f>IF(AX683&lt;&gt;"",AX683/VLOOKUP($V683,Setup!$C$30:$D$41,2,0),"")</f>
        <v/>
      </c>
      <c r="AZ683" s="268"/>
      <c r="BA683" s="258" t="str">
        <f t="shared" si="322"/>
        <v/>
      </c>
      <c r="BB683" s="268"/>
      <c r="BC683" s="258" t="str">
        <f t="shared" si="323"/>
        <v/>
      </c>
      <c r="BD683" s="268"/>
      <c r="BE683" s="258" t="str">
        <f t="shared" si="324"/>
        <v/>
      </c>
      <c r="BF683" s="268"/>
      <c r="BG683" s="256" t="str">
        <f t="shared" si="325"/>
        <v/>
      </c>
      <c r="BH683" s="256" t="str">
        <f t="shared" si="326"/>
        <v/>
      </c>
      <c r="BI683" s="256" t="str">
        <f t="shared" si="327"/>
        <v/>
      </c>
      <c r="BJ683" s="267"/>
      <c r="BK683" s="255"/>
      <c r="BL683" s="259" t="str">
        <f>IF(BK683&lt;&gt;"",BK683/VLOOKUP($V683,Setup!$C$30:$D$41,2,0),"")</f>
        <v/>
      </c>
      <c r="BM683" s="268"/>
      <c r="BN683" s="258" t="str">
        <f t="shared" si="328"/>
        <v/>
      </c>
      <c r="BO683" s="268"/>
      <c r="BP683" s="258" t="str">
        <f t="shared" si="329"/>
        <v/>
      </c>
      <c r="BQ683" s="268"/>
      <c r="BR683" s="258" t="str">
        <f t="shared" si="330"/>
        <v/>
      </c>
      <c r="BS683" s="268"/>
      <c r="BT683" s="256" t="str">
        <f t="shared" si="331"/>
        <v/>
      </c>
      <c r="BU683" s="256" t="str">
        <f t="shared" si="332"/>
        <v/>
      </c>
      <c r="BV683" s="256" t="str">
        <f t="shared" si="333"/>
        <v/>
      </c>
      <c r="BW683" s="267"/>
      <c r="BX683" s="256" t="str">
        <f t="shared" si="334"/>
        <v/>
      </c>
      <c r="BY683" s="256" t="str">
        <f t="shared" si="335"/>
        <v/>
      </c>
      <c r="BZ683" s="281"/>
      <c r="CA683" s="282"/>
      <c r="CF683" s="284"/>
      <c r="CG683" s="284"/>
      <c r="CH683" s="284"/>
      <c r="CI683" s="284"/>
      <c r="CL683" s="356" t="str">
        <f>IFERROR(VLOOKUP(C683,'Data Sheet'!$A$3:$B$26,2,FALSE),"")</f>
        <v/>
      </c>
    </row>
    <row r="684" spans="1:90" ht="15.75" x14ac:dyDescent="0.2">
      <c r="A684" s="97"/>
      <c r="B684" s="105" t="str">
        <f t="shared" si="338"/>
        <v>--</v>
      </c>
      <c r="C684" s="276"/>
      <c r="D684" s="101" t="str">
        <f>IFERROR(IF(VLOOKUP(C684,'Data Sheet'!$A$3:$D$26,4,FALSE)=0,"",VLOOKUP(C684,'Data Sheet'!$A$3:$D$26,4,FALSE)),"")</f>
        <v/>
      </c>
      <c r="E684" s="279"/>
      <c r="F684" s="103" t="str">
        <f>IFERROR(IF(VLOOKUP(E684,'Data Sheet'!$C$29:$E$174,3,FALSE)=0,"",VLOOKUP(E684,'Data Sheet'!$C$29:$E$174,3,FALSE)),"")</f>
        <v/>
      </c>
      <c r="G684" s="106" t="str">
        <f t="shared" si="336"/>
        <v>-</v>
      </c>
      <c r="H684" s="273"/>
      <c r="I684" s="107"/>
      <c r="J684" s="249" t="e">
        <f t="shared" si="337"/>
        <v>#VALUE!</v>
      </c>
      <c r="K684" s="101" t="str">
        <f>IFERROR(INDEX('Data Sheet'!$C$198:$C$275,MATCH(I684,'Data Sheet'!$F$198:$F$275,0)),"")</f>
        <v/>
      </c>
      <c r="L684" s="250" t="str">
        <f>IFERROR(INDEX('Data Sheet'!$G$198:$G$275,MATCH(I684,'Data Sheet'!$F$198:$F$275,0)),"")</f>
        <v/>
      </c>
      <c r="M684" s="194"/>
      <c r="N684" s="248"/>
      <c r="O684" s="248"/>
      <c r="P684" s="108" t="str">
        <f>IFERROR(INDEX(Setup!$D$44:$D$70,MATCH(M684,Setup!$K$44:$K$70,0))&amp;"","")</f>
        <v/>
      </c>
      <c r="Q684" s="108" t="str">
        <f>IFERROR(INDEX(Setup!$E$44:$E$70,MATCH(M684,Setup!$K$44:$K$70,0))&amp;"","")</f>
        <v/>
      </c>
      <c r="R684" s="108" t="str">
        <f>IFERROR(INDEX(Setup!$L$44:$L$70,MATCH(M684,Setup!$K$44:$K$70,0))&amp;"","")</f>
        <v/>
      </c>
      <c r="S684" s="108" t="str">
        <f>Setup!$C$30</f>
        <v>USD</v>
      </c>
      <c r="T684" s="109" t="str">
        <f>IFERROR(INDEX('Data Sheet'!$B$198:$B$275,MATCH(I684,'Data Sheet'!$F$198:$F$275,0)),"")</f>
        <v/>
      </c>
      <c r="U684" s="110" t="str">
        <f>IFERROR(INDEX('Data Sheet'!$D$198:$D$275,MATCH(I684,'Data Sheet'!$F$198:$F$275,0)),"")</f>
        <v/>
      </c>
      <c r="V684" s="99"/>
      <c r="W684" s="195" t="str">
        <f>IF(V684=Setup!$C$30,"Grant",IF(V684=Setup!$C$31,"Local",IF(V684=Setup!$C$32,"Other",IF(ISBLANK(V684),"","Other"))))</f>
        <v/>
      </c>
      <c r="X684" s="255"/>
      <c r="Y684" s="259" t="str">
        <f>IF(X684&lt;&gt;"",X684/VLOOKUP($V684,Setup!$C$30:$D$41,2,0),"")</f>
        <v/>
      </c>
      <c r="Z684" s="262"/>
      <c r="AA684" s="256" t="str">
        <f t="shared" si="310"/>
        <v/>
      </c>
      <c r="AB684" s="262"/>
      <c r="AC684" s="258" t="str">
        <f t="shared" si="311"/>
        <v/>
      </c>
      <c r="AD684" s="262"/>
      <c r="AE684" s="258" t="str">
        <f t="shared" si="312"/>
        <v/>
      </c>
      <c r="AF684" s="262"/>
      <c r="AG684" s="256" t="str">
        <f t="shared" si="313"/>
        <v/>
      </c>
      <c r="AH684" s="256" t="str">
        <f t="shared" si="314"/>
        <v/>
      </c>
      <c r="AI684" s="256" t="str">
        <f t="shared" si="315"/>
        <v/>
      </c>
      <c r="AJ684" s="111"/>
      <c r="AK684" s="255"/>
      <c r="AL684" s="259" t="str">
        <f>IF(AK684&lt;&gt;"",AK684/VLOOKUP($V684,Setup!$C$30:$D$41,2,0),"")</f>
        <v/>
      </c>
      <c r="AM684" s="266"/>
      <c r="AN684" s="258" t="str">
        <f t="shared" si="316"/>
        <v/>
      </c>
      <c r="AO684" s="266"/>
      <c r="AP684" s="258" t="str">
        <f t="shared" si="317"/>
        <v/>
      </c>
      <c r="AQ684" s="266"/>
      <c r="AR684" s="258" t="str">
        <f t="shared" si="318"/>
        <v/>
      </c>
      <c r="AS684" s="266"/>
      <c r="AT684" s="256" t="str">
        <f t="shared" si="319"/>
        <v/>
      </c>
      <c r="AU684" s="256" t="str">
        <f t="shared" si="320"/>
        <v/>
      </c>
      <c r="AV684" s="256" t="str">
        <f t="shared" si="321"/>
        <v/>
      </c>
      <c r="AW684" s="267"/>
      <c r="AX684" s="255"/>
      <c r="AY684" s="259" t="str">
        <f>IF(AX684&lt;&gt;"",AX684/VLOOKUP($V684,Setup!$C$30:$D$41,2,0),"")</f>
        <v/>
      </c>
      <c r="AZ684" s="268"/>
      <c r="BA684" s="258" t="str">
        <f t="shared" si="322"/>
        <v/>
      </c>
      <c r="BB684" s="268"/>
      <c r="BC684" s="258" t="str">
        <f t="shared" si="323"/>
        <v/>
      </c>
      <c r="BD684" s="268"/>
      <c r="BE684" s="258" t="str">
        <f t="shared" si="324"/>
        <v/>
      </c>
      <c r="BF684" s="268"/>
      <c r="BG684" s="256" t="str">
        <f t="shared" si="325"/>
        <v/>
      </c>
      <c r="BH684" s="256" t="str">
        <f t="shared" si="326"/>
        <v/>
      </c>
      <c r="BI684" s="256" t="str">
        <f t="shared" si="327"/>
        <v/>
      </c>
      <c r="BJ684" s="267"/>
      <c r="BK684" s="255"/>
      <c r="BL684" s="259" t="str">
        <f>IF(BK684&lt;&gt;"",BK684/VLOOKUP($V684,Setup!$C$30:$D$41,2,0),"")</f>
        <v/>
      </c>
      <c r="BM684" s="268"/>
      <c r="BN684" s="258" t="str">
        <f t="shared" si="328"/>
        <v/>
      </c>
      <c r="BO684" s="268"/>
      <c r="BP684" s="258" t="str">
        <f t="shared" si="329"/>
        <v/>
      </c>
      <c r="BQ684" s="268"/>
      <c r="BR684" s="258" t="str">
        <f t="shared" si="330"/>
        <v/>
      </c>
      <c r="BS684" s="268"/>
      <c r="BT684" s="256" t="str">
        <f t="shared" si="331"/>
        <v/>
      </c>
      <c r="BU684" s="256" t="str">
        <f t="shared" si="332"/>
        <v/>
      </c>
      <c r="BV684" s="256" t="str">
        <f t="shared" si="333"/>
        <v/>
      </c>
      <c r="BW684" s="267"/>
      <c r="BX684" s="256" t="str">
        <f t="shared" si="334"/>
        <v/>
      </c>
      <c r="BY684" s="256" t="str">
        <f t="shared" si="335"/>
        <v/>
      </c>
      <c r="BZ684" s="281"/>
      <c r="CA684" s="282"/>
      <c r="CF684" s="284"/>
      <c r="CG684" s="284"/>
      <c r="CH684" s="284"/>
      <c r="CI684" s="284"/>
      <c r="CL684" s="356" t="str">
        <f>IFERROR(VLOOKUP(C684,'Data Sheet'!$A$3:$B$26,2,FALSE),"")</f>
        <v/>
      </c>
    </row>
    <row r="685" spans="1:90" ht="15.75" x14ac:dyDescent="0.2">
      <c r="A685" s="97"/>
      <c r="B685" s="105" t="str">
        <f t="shared" si="338"/>
        <v>--</v>
      </c>
      <c r="C685" s="276"/>
      <c r="D685" s="101" t="str">
        <f>IFERROR(IF(VLOOKUP(C685,'Data Sheet'!$A$3:$D$26,4,FALSE)=0,"",VLOOKUP(C685,'Data Sheet'!$A$3:$D$26,4,FALSE)),"")</f>
        <v/>
      </c>
      <c r="E685" s="279"/>
      <c r="F685" s="103" t="str">
        <f>IFERROR(IF(VLOOKUP(E685,'Data Sheet'!$C$29:$E$174,3,FALSE)=0,"",VLOOKUP(E685,'Data Sheet'!$C$29:$E$174,3,FALSE)),"")</f>
        <v/>
      </c>
      <c r="G685" s="106" t="str">
        <f t="shared" si="336"/>
        <v>-</v>
      </c>
      <c r="H685" s="273"/>
      <c r="I685" s="107"/>
      <c r="J685" s="249" t="e">
        <f t="shared" si="337"/>
        <v>#VALUE!</v>
      </c>
      <c r="K685" s="101" t="str">
        <f>IFERROR(INDEX('Data Sheet'!$C$198:$C$275,MATCH(I685,'Data Sheet'!$F$198:$F$275,0)),"")</f>
        <v/>
      </c>
      <c r="L685" s="250" t="str">
        <f>IFERROR(INDEX('Data Sheet'!$G$198:$G$275,MATCH(I685,'Data Sheet'!$F$198:$F$275,0)),"")</f>
        <v/>
      </c>
      <c r="M685" s="194"/>
      <c r="N685" s="248"/>
      <c r="O685" s="248"/>
      <c r="P685" s="108" t="str">
        <f>IFERROR(INDEX(Setup!$D$44:$D$70,MATCH(M685,Setup!$K$44:$K$70,0))&amp;"","")</f>
        <v/>
      </c>
      <c r="Q685" s="108" t="str">
        <f>IFERROR(INDEX(Setup!$E$44:$E$70,MATCH(M685,Setup!$K$44:$K$70,0))&amp;"","")</f>
        <v/>
      </c>
      <c r="R685" s="108" t="str">
        <f>IFERROR(INDEX(Setup!$L$44:$L$70,MATCH(M685,Setup!$K$44:$K$70,0))&amp;"","")</f>
        <v/>
      </c>
      <c r="S685" s="108" t="str">
        <f>Setup!$C$30</f>
        <v>USD</v>
      </c>
      <c r="T685" s="109" t="str">
        <f>IFERROR(INDEX('Data Sheet'!$B$198:$B$275,MATCH(I685,'Data Sheet'!$F$198:$F$275,0)),"")</f>
        <v/>
      </c>
      <c r="U685" s="110" t="str">
        <f>IFERROR(INDEX('Data Sheet'!$D$198:$D$275,MATCH(I685,'Data Sheet'!$F$198:$F$275,0)),"")</f>
        <v/>
      </c>
      <c r="V685" s="99"/>
      <c r="W685" s="195" t="str">
        <f>IF(V685=Setup!$C$30,"Grant",IF(V685=Setup!$C$31,"Local",IF(V685=Setup!$C$32,"Other",IF(ISBLANK(V685),"","Other"))))</f>
        <v/>
      </c>
      <c r="X685" s="255"/>
      <c r="Y685" s="259" t="str">
        <f>IF(X685&lt;&gt;"",X685/VLOOKUP($V685,Setup!$C$30:$D$41,2,0),"")</f>
        <v/>
      </c>
      <c r="Z685" s="262"/>
      <c r="AA685" s="256" t="str">
        <f t="shared" si="310"/>
        <v/>
      </c>
      <c r="AB685" s="262"/>
      <c r="AC685" s="258" t="str">
        <f t="shared" si="311"/>
        <v/>
      </c>
      <c r="AD685" s="262"/>
      <c r="AE685" s="258" t="str">
        <f t="shared" si="312"/>
        <v/>
      </c>
      <c r="AF685" s="262"/>
      <c r="AG685" s="256" t="str">
        <f t="shared" si="313"/>
        <v/>
      </c>
      <c r="AH685" s="256" t="str">
        <f t="shared" si="314"/>
        <v/>
      </c>
      <c r="AI685" s="256" t="str">
        <f t="shared" si="315"/>
        <v/>
      </c>
      <c r="AJ685" s="111"/>
      <c r="AK685" s="255"/>
      <c r="AL685" s="259" t="str">
        <f>IF(AK685&lt;&gt;"",AK685/VLOOKUP($V685,Setup!$C$30:$D$41,2,0),"")</f>
        <v/>
      </c>
      <c r="AM685" s="266"/>
      <c r="AN685" s="258" t="str">
        <f t="shared" si="316"/>
        <v/>
      </c>
      <c r="AO685" s="266"/>
      <c r="AP685" s="258" t="str">
        <f t="shared" si="317"/>
        <v/>
      </c>
      <c r="AQ685" s="266"/>
      <c r="AR685" s="258" t="str">
        <f t="shared" si="318"/>
        <v/>
      </c>
      <c r="AS685" s="266"/>
      <c r="AT685" s="256" t="str">
        <f t="shared" si="319"/>
        <v/>
      </c>
      <c r="AU685" s="256" t="str">
        <f t="shared" si="320"/>
        <v/>
      </c>
      <c r="AV685" s="256" t="str">
        <f t="shared" si="321"/>
        <v/>
      </c>
      <c r="AW685" s="267"/>
      <c r="AX685" s="255"/>
      <c r="AY685" s="259" t="str">
        <f>IF(AX685&lt;&gt;"",AX685/VLOOKUP($V685,Setup!$C$30:$D$41,2,0),"")</f>
        <v/>
      </c>
      <c r="AZ685" s="268"/>
      <c r="BA685" s="258" t="str">
        <f t="shared" si="322"/>
        <v/>
      </c>
      <c r="BB685" s="268"/>
      <c r="BC685" s="258" t="str">
        <f t="shared" si="323"/>
        <v/>
      </c>
      <c r="BD685" s="268"/>
      <c r="BE685" s="258" t="str">
        <f t="shared" si="324"/>
        <v/>
      </c>
      <c r="BF685" s="268"/>
      <c r="BG685" s="256" t="str">
        <f t="shared" si="325"/>
        <v/>
      </c>
      <c r="BH685" s="256" t="str">
        <f t="shared" si="326"/>
        <v/>
      </c>
      <c r="BI685" s="256" t="str">
        <f t="shared" si="327"/>
        <v/>
      </c>
      <c r="BJ685" s="267"/>
      <c r="BK685" s="255"/>
      <c r="BL685" s="259" t="str">
        <f>IF(BK685&lt;&gt;"",BK685/VLOOKUP($V685,Setup!$C$30:$D$41,2,0),"")</f>
        <v/>
      </c>
      <c r="BM685" s="268"/>
      <c r="BN685" s="258" t="str">
        <f t="shared" si="328"/>
        <v/>
      </c>
      <c r="BO685" s="268"/>
      <c r="BP685" s="258" t="str">
        <f t="shared" si="329"/>
        <v/>
      </c>
      <c r="BQ685" s="268"/>
      <c r="BR685" s="258" t="str">
        <f t="shared" si="330"/>
        <v/>
      </c>
      <c r="BS685" s="268"/>
      <c r="BT685" s="256" t="str">
        <f t="shared" si="331"/>
        <v/>
      </c>
      <c r="BU685" s="256" t="str">
        <f t="shared" si="332"/>
        <v/>
      </c>
      <c r="BV685" s="256" t="str">
        <f t="shared" si="333"/>
        <v/>
      </c>
      <c r="BW685" s="267"/>
      <c r="BX685" s="256" t="str">
        <f t="shared" si="334"/>
        <v/>
      </c>
      <c r="BY685" s="256" t="str">
        <f t="shared" si="335"/>
        <v/>
      </c>
      <c r="BZ685" s="281"/>
      <c r="CA685" s="282"/>
      <c r="CF685" s="284"/>
      <c r="CG685" s="284"/>
      <c r="CH685" s="284"/>
      <c r="CI685" s="284"/>
      <c r="CL685" s="356" t="str">
        <f>IFERROR(VLOOKUP(C685,'Data Sheet'!$A$3:$B$26,2,FALSE),"")</f>
        <v/>
      </c>
    </row>
    <row r="686" spans="1:90" ht="15.75" x14ac:dyDescent="0.2">
      <c r="A686" s="97"/>
      <c r="B686" s="105" t="str">
        <f t="shared" si="338"/>
        <v>--</v>
      </c>
      <c r="C686" s="276"/>
      <c r="D686" s="101" t="str">
        <f>IFERROR(IF(VLOOKUP(C686,'Data Sheet'!$A$3:$D$26,4,FALSE)=0,"",VLOOKUP(C686,'Data Sheet'!$A$3:$D$26,4,FALSE)),"")</f>
        <v/>
      </c>
      <c r="E686" s="279"/>
      <c r="F686" s="103" t="str">
        <f>IFERROR(IF(VLOOKUP(E686,'Data Sheet'!$C$29:$E$174,3,FALSE)=0,"",VLOOKUP(E686,'Data Sheet'!$C$29:$E$174,3,FALSE)),"")</f>
        <v/>
      </c>
      <c r="G686" s="106" t="str">
        <f t="shared" si="336"/>
        <v>-</v>
      </c>
      <c r="H686" s="273"/>
      <c r="I686" s="107"/>
      <c r="J686" s="249" t="e">
        <f t="shared" si="337"/>
        <v>#VALUE!</v>
      </c>
      <c r="K686" s="101" t="str">
        <f>IFERROR(INDEX('Data Sheet'!$C$198:$C$275,MATCH(I686,'Data Sheet'!$F$198:$F$275,0)),"")</f>
        <v/>
      </c>
      <c r="L686" s="250" t="str">
        <f>IFERROR(INDEX('Data Sheet'!$G$198:$G$275,MATCH(I686,'Data Sheet'!$F$198:$F$275,0)),"")</f>
        <v/>
      </c>
      <c r="M686" s="194"/>
      <c r="N686" s="248"/>
      <c r="O686" s="248"/>
      <c r="P686" s="108" t="str">
        <f>IFERROR(INDEX(Setup!$D$44:$D$70,MATCH(M686,Setup!$K$44:$K$70,0))&amp;"","")</f>
        <v/>
      </c>
      <c r="Q686" s="108" t="str">
        <f>IFERROR(INDEX(Setup!$E$44:$E$70,MATCH(M686,Setup!$K$44:$K$70,0))&amp;"","")</f>
        <v/>
      </c>
      <c r="R686" s="108" t="str">
        <f>IFERROR(INDEX(Setup!$L$44:$L$70,MATCH(M686,Setup!$K$44:$K$70,0))&amp;"","")</f>
        <v/>
      </c>
      <c r="S686" s="108" t="str">
        <f>Setup!$C$30</f>
        <v>USD</v>
      </c>
      <c r="T686" s="109" t="str">
        <f>IFERROR(INDEX('Data Sheet'!$B$198:$B$275,MATCH(I686,'Data Sheet'!$F$198:$F$275,0)),"")</f>
        <v/>
      </c>
      <c r="U686" s="110" t="str">
        <f>IFERROR(INDEX('Data Sheet'!$D$198:$D$275,MATCH(I686,'Data Sheet'!$F$198:$F$275,0)),"")</f>
        <v/>
      </c>
      <c r="V686" s="99"/>
      <c r="W686" s="195" t="str">
        <f>IF(V686=Setup!$C$30,"Grant",IF(V686=Setup!$C$31,"Local",IF(V686=Setup!$C$32,"Other",IF(ISBLANK(V686),"","Other"))))</f>
        <v/>
      </c>
      <c r="X686" s="255"/>
      <c r="Y686" s="259" t="str">
        <f>IF(X686&lt;&gt;"",X686/VLOOKUP($V686,Setup!$C$30:$D$41,2,0),"")</f>
        <v/>
      </c>
      <c r="Z686" s="262"/>
      <c r="AA686" s="256" t="str">
        <f t="shared" si="310"/>
        <v/>
      </c>
      <c r="AB686" s="262"/>
      <c r="AC686" s="258" t="str">
        <f t="shared" si="311"/>
        <v/>
      </c>
      <c r="AD686" s="262"/>
      <c r="AE686" s="258" t="str">
        <f t="shared" si="312"/>
        <v/>
      </c>
      <c r="AF686" s="262"/>
      <c r="AG686" s="256" t="str">
        <f t="shared" si="313"/>
        <v/>
      </c>
      <c r="AH686" s="256" t="str">
        <f t="shared" si="314"/>
        <v/>
      </c>
      <c r="AI686" s="256" t="str">
        <f t="shared" si="315"/>
        <v/>
      </c>
      <c r="AJ686" s="111"/>
      <c r="AK686" s="255"/>
      <c r="AL686" s="259" t="str">
        <f>IF(AK686&lt;&gt;"",AK686/VLOOKUP($V686,Setup!$C$30:$D$41,2,0),"")</f>
        <v/>
      </c>
      <c r="AM686" s="266"/>
      <c r="AN686" s="258" t="str">
        <f t="shared" si="316"/>
        <v/>
      </c>
      <c r="AO686" s="266"/>
      <c r="AP686" s="258" t="str">
        <f t="shared" si="317"/>
        <v/>
      </c>
      <c r="AQ686" s="266"/>
      <c r="AR686" s="258" t="str">
        <f t="shared" si="318"/>
        <v/>
      </c>
      <c r="AS686" s="266"/>
      <c r="AT686" s="256" t="str">
        <f t="shared" si="319"/>
        <v/>
      </c>
      <c r="AU686" s="256" t="str">
        <f t="shared" si="320"/>
        <v/>
      </c>
      <c r="AV686" s="256" t="str">
        <f t="shared" si="321"/>
        <v/>
      </c>
      <c r="AW686" s="267"/>
      <c r="AX686" s="255"/>
      <c r="AY686" s="259" t="str">
        <f>IF(AX686&lt;&gt;"",AX686/VLOOKUP($V686,Setup!$C$30:$D$41,2,0),"")</f>
        <v/>
      </c>
      <c r="AZ686" s="268"/>
      <c r="BA686" s="258" t="str">
        <f t="shared" si="322"/>
        <v/>
      </c>
      <c r="BB686" s="268"/>
      <c r="BC686" s="258" t="str">
        <f t="shared" si="323"/>
        <v/>
      </c>
      <c r="BD686" s="268"/>
      <c r="BE686" s="258" t="str">
        <f t="shared" si="324"/>
        <v/>
      </c>
      <c r="BF686" s="268"/>
      <c r="BG686" s="256" t="str">
        <f t="shared" si="325"/>
        <v/>
      </c>
      <c r="BH686" s="256" t="str">
        <f t="shared" si="326"/>
        <v/>
      </c>
      <c r="BI686" s="256" t="str">
        <f t="shared" si="327"/>
        <v/>
      </c>
      <c r="BJ686" s="267"/>
      <c r="BK686" s="255"/>
      <c r="BL686" s="259" t="str">
        <f>IF(BK686&lt;&gt;"",BK686/VLOOKUP($V686,Setup!$C$30:$D$41,2,0),"")</f>
        <v/>
      </c>
      <c r="BM686" s="268"/>
      <c r="BN686" s="258" t="str">
        <f t="shared" si="328"/>
        <v/>
      </c>
      <c r="BO686" s="268"/>
      <c r="BP686" s="258" t="str">
        <f t="shared" si="329"/>
        <v/>
      </c>
      <c r="BQ686" s="268"/>
      <c r="BR686" s="258" t="str">
        <f t="shared" si="330"/>
        <v/>
      </c>
      <c r="BS686" s="268"/>
      <c r="BT686" s="256" t="str">
        <f t="shared" si="331"/>
        <v/>
      </c>
      <c r="BU686" s="256" t="str">
        <f t="shared" si="332"/>
        <v/>
      </c>
      <c r="BV686" s="256" t="str">
        <f t="shared" si="333"/>
        <v/>
      </c>
      <c r="BW686" s="267"/>
      <c r="BX686" s="256" t="str">
        <f t="shared" si="334"/>
        <v/>
      </c>
      <c r="BY686" s="256" t="str">
        <f t="shared" si="335"/>
        <v/>
      </c>
      <c r="BZ686" s="281"/>
      <c r="CA686" s="282"/>
      <c r="CF686" s="284"/>
      <c r="CG686" s="284"/>
      <c r="CH686" s="284"/>
      <c r="CI686" s="284"/>
      <c r="CL686" s="356" t="str">
        <f>IFERROR(VLOOKUP(C686,'Data Sheet'!$A$3:$B$26,2,FALSE),"")</f>
        <v/>
      </c>
    </row>
    <row r="687" spans="1:90" ht="15.75" x14ac:dyDescent="0.2">
      <c r="A687" s="97"/>
      <c r="B687" s="105" t="str">
        <f t="shared" si="338"/>
        <v>--</v>
      </c>
      <c r="C687" s="276"/>
      <c r="D687" s="101" t="str">
        <f>IFERROR(IF(VLOOKUP(C687,'Data Sheet'!$A$3:$D$26,4,FALSE)=0,"",VLOOKUP(C687,'Data Sheet'!$A$3:$D$26,4,FALSE)),"")</f>
        <v/>
      </c>
      <c r="E687" s="279"/>
      <c r="F687" s="103" t="str">
        <f>IFERROR(IF(VLOOKUP(E687,'Data Sheet'!$C$29:$E$174,3,FALSE)=0,"",VLOOKUP(E687,'Data Sheet'!$C$29:$E$174,3,FALSE)),"")</f>
        <v/>
      </c>
      <c r="G687" s="106" t="str">
        <f t="shared" si="336"/>
        <v>-</v>
      </c>
      <c r="H687" s="273"/>
      <c r="I687" s="107"/>
      <c r="J687" s="249" t="e">
        <f t="shared" si="337"/>
        <v>#VALUE!</v>
      </c>
      <c r="K687" s="101" t="str">
        <f>IFERROR(INDEX('Data Sheet'!$C$198:$C$275,MATCH(I687,'Data Sheet'!$F$198:$F$275,0)),"")</f>
        <v/>
      </c>
      <c r="L687" s="250" t="str">
        <f>IFERROR(INDEX('Data Sheet'!$G$198:$G$275,MATCH(I687,'Data Sheet'!$F$198:$F$275,0)),"")</f>
        <v/>
      </c>
      <c r="M687" s="194"/>
      <c r="N687" s="248"/>
      <c r="O687" s="248"/>
      <c r="P687" s="108" t="str">
        <f>IFERROR(INDEX(Setup!$D$44:$D$70,MATCH(M687,Setup!$K$44:$K$70,0))&amp;"","")</f>
        <v/>
      </c>
      <c r="Q687" s="108" t="str">
        <f>IFERROR(INDEX(Setup!$E$44:$E$70,MATCH(M687,Setup!$K$44:$K$70,0))&amp;"","")</f>
        <v/>
      </c>
      <c r="R687" s="108" t="str">
        <f>IFERROR(INDEX(Setup!$L$44:$L$70,MATCH(M687,Setup!$K$44:$K$70,0))&amp;"","")</f>
        <v/>
      </c>
      <c r="S687" s="108" t="str">
        <f>Setup!$C$30</f>
        <v>USD</v>
      </c>
      <c r="T687" s="109" t="str">
        <f>IFERROR(INDEX('Data Sheet'!$B$198:$B$275,MATCH(I687,'Data Sheet'!$F$198:$F$275,0)),"")</f>
        <v/>
      </c>
      <c r="U687" s="110" t="str">
        <f>IFERROR(INDEX('Data Sheet'!$D$198:$D$275,MATCH(I687,'Data Sheet'!$F$198:$F$275,0)),"")</f>
        <v/>
      </c>
      <c r="V687" s="99"/>
      <c r="W687" s="195" t="str">
        <f>IF(V687=Setup!$C$30,"Grant",IF(V687=Setup!$C$31,"Local",IF(V687=Setup!$C$32,"Other",IF(ISBLANK(V687),"","Other"))))</f>
        <v/>
      </c>
      <c r="X687" s="255"/>
      <c r="Y687" s="259" t="str">
        <f>IF(X687&lt;&gt;"",X687/VLOOKUP($V687,Setup!$C$30:$D$41,2,0),"")</f>
        <v/>
      </c>
      <c r="Z687" s="262"/>
      <c r="AA687" s="256" t="str">
        <f t="shared" si="310"/>
        <v/>
      </c>
      <c r="AB687" s="262"/>
      <c r="AC687" s="258" t="str">
        <f t="shared" si="311"/>
        <v/>
      </c>
      <c r="AD687" s="262"/>
      <c r="AE687" s="258" t="str">
        <f t="shared" si="312"/>
        <v/>
      </c>
      <c r="AF687" s="262"/>
      <c r="AG687" s="256" t="str">
        <f t="shared" si="313"/>
        <v/>
      </c>
      <c r="AH687" s="256" t="str">
        <f t="shared" si="314"/>
        <v/>
      </c>
      <c r="AI687" s="256" t="str">
        <f t="shared" si="315"/>
        <v/>
      </c>
      <c r="AJ687" s="111"/>
      <c r="AK687" s="255"/>
      <c r="AL687" s="259" t="str">
        <f>IF(AK687&lt;&gt;"",AK687/VLOOKUP($V687,Setup!$C$30:$D$41,2,0),"")</f>
        <v/>
      </c>
      <c r="AM687" s="266"/>
      <c r="AN687" s="258" t="str">
        <f t="shared" si="316"/>
        <v/>
      </c>
      <c r="AO687" s="266"/>
      <c r="AP687" s="258" t="str">
        <f t="shared" si="317"/>
        <v/>
      </c>
      <c r="AQ687" s="266"/>
      <c r="AR687" s="258" t="str">
        <f t="shared" si="318"/>
        <v/>
      </c>
      <c r="AS687" s="266"/>
      <c r="AT687" s="256" t="str">
        <f t="shared" si="319"/>
        <v/>
      </c>
      <c r="AU687" s="256" t="str">
        <f t="shared" si="320"/>
        <v/>
      </c>
      <c r="AV687" s="256" t="str">
        <f t="shared" si="321"/>
        <v/>
      </c>
      <c r="AW687" s="267"/>
      <c r="AX687" s="255"/>
      <c r="AY687" s="259" t="str">
        <f>IF(AX687&lt;&gt;"",AX687/VLOOKUP($V687,Setup!$C$30:$D$41,2,0),"")</f>
        <v/>
      </c>
      <c r="AZ687" s="268"/>
      <c r="BA687" s="258" t="str">
        <f t="shared" si="322"/>
        <v/>
      </c>
      <c r="BB687" s="268"/>
      <c r="BC687" s="258" t="str">
        <f t="shared" si="323"/>
        <v/>
      </c>
      <c r="BD687" s="268"/>
      <c r="BE687" s="258" t="str">
        <f t="shared" si="324"/>
        <v/>
      </c>
      <c r="BF687" s="268"/>
      <c r="BG687" s="256" t="str">
        <f t="shared" si="325"/>
        <v/>
      </c>
      <c r="BH687" s="256" t="str">
        <f t="shared" si="326"/>
        <v/>
      </c>
      <c r="BI687" s="256" t="str">
        <f t="shared" si="327"/>
        <v/>
      </c>
      <c r="BJ687" s="267"/>
      <c r="BK687" s="255"/>
      <c r="BL687" s="259" t="str">
        <f>IF(BK687&lt;&gt;"",BK687/VLOOKUP($V687,Setup!$C$30:$D$41,2,0),"")</f>
        <v/>
      </c>
      <c r="BM687" s="268"/>
      <c r="BN687" s="258" t="str">
        <f t="shared" si="328"/>
        <v/>
      </c>
      <c r="BO687" s="268"/>
      <c r="BP687" s="258" t="str">
        <f t="shared" si="329"/>
        <v/>
      </c>
      <c r="BQ687" s="268"/>
      <c r="BR687" s="258" t="str">
        <f t="shared" si="330"/>
        <v/>
      </c>
      <c r="BS687" s="268"/>
      <c r="BT687" s="256" t="str">
        <f t="shared" si="331"/>
        <v/>
      </c>
      <c r="BU687" s="256" t="str">
        <f t="shared" si="332"/>
        <v/>
      </c>
      <c r="BV687" s="256" t="str">
        <f t="shared" si="333"/>
        <v/>
      </c>
      <c r="BW687" s="267"/>
      <c r="BX687" s="256" t="str">
        <f t="shared" si="334"/>
        <v/>
      </c>
      <c r="BY687" s="256" t="str">
        <f t="shared" si="335"/>
        <v/>
      </c>
      <c r="BZ687" s="281"/>
      <c r="CA687" s="282"/>
      <c r="CF687" s="284"/>
      <c r="CG687" s="284"/>
      <c r="CH687" s="284"/>
      <c r="CI687" s="284"/>
      <c r="CL687" s="356" t="str">
        <f>IFERROR(VLOOKUP(C687,'Data Sheet'!$A$3:$B$26,2,FALSE),"")</f>
        <v/>
      </c>
    </row>
    <row r="688" spans="1:90" ht="15.75" x14ac:dyDescent="0.2">
      <c r="A688" s="97"/>
      <c r="B688" s="105" t="str">
        <f t="shared" si="338"/>
        <v>--</v>
      </c>
      <c r="C688" s="276"/>
      <c r="D688" s="101" t="str">
        <f>IFERROR(IF(VLOOKUP(C688,'Data Sheet'!$A$3:$D$26,4,FALSE)=0,"",VLOOKUP(C688,'Data Sheet'!$A$3:$D$26,4,FALSE)),"")</f>
        <v/>
      </c>
      <c r="E688" s="279"/>
      <c r="F688" s="103" t="str">
        <f>IFERROR(IF(VLOOKUP(E688,'Data Sheet'!$C$29:$E$174,3,FALSE)=0,"",VLOOKUP(E688,'Data Sheet'!$C$29:$E$174,3,FALSE)),"")</f>
        <v/>
      </c>
      <c r="G688" s="106" t="str">
        <f t="shared" si="336"/>
        <v>-</v>
      </c>
      <c r="H688" s="273"/>
      <c r="I688" s="107"/>
      <c r="J688" s="249" t="e">
        <f t="shared" si="337"/>
        <v>#VALUE!</v>
      </c>
      <c r="K688" s="101" t="str">
        <f>IFERROR(INDEX('Data Sheet'!$C$198:$C$275,MATCH(I688,'Data Sheet'!$F$198:$F$275,0)),"")</f>
        <v/>
      </c>
      <c r="L688" s="250" t="str">
        <f>IFERROR(INDEX('Data Sheet'!$G$198:$G$275,MATCH(I688,'Data Sheet'!$F$198:$F$275,0)),"")</f>
        <v/>
      </c>
      <c r="M688" s="194"/>
      <c r="N688" s="248"/>
      <c r="O688" s="248"/>
      <c r="P688" s="108" t="str">
        <f>IFERROR(INDEX(Setup!$D$44:$D$70,MATCH(M688,Setup!$K$44:$K$70,0))&amp;"","")</f>
        <v/>
      </c>
      <c r="Q688" s="108" t="str">
        <f>IFERROR(INDEX(Setup!$E$44:$E$70,MATCH(M688,Setup!$K$44:$K$70,0))&amp;"","")</f>
        <v/>
      </c>
      <c r="R688" s="108" t="str">
        <f>IFERROR(INDEX(Setup!$L$44:$L$70,MATCH(M688,Setup!$K$44:$K$70,0))&amp;"","")</f>
        <v/>
      </c>
      <c r="S688" s="108" t="str">
        <f>Setup!$C$30</f>
        <v>USD</v>
      </c>
      <c r="T688" s="109" t="str">
        <f>IFERROR(INDEX('Data Sheet'!$B$198:$B$275,MATCH(I688,'Data Sheet'!$F$198:$F$275,0)),"")</f>
        <v/>
      </c>
      <c r="U688" s="110" t="str">
        <f>IFERROR(INDEX('Data Sheet'!$D$198:$D$275,MATCH(I688,'Data Sheet'!$F$198:$F$275,0)),"")</f>
        <v/>
      </c>
      <c r="V688" s="99"/>
      <c r="W688" s="195" t="str">
        <f>IF(V688=Setup!$C$30,"Grant",IF(V688=Setup!$C$31,"Local",IF(V688=Setup!$C$32,"Other",IF(ISBLANK(V688),"","Other"))))</f>
        <v/>
      </c>
      <c r="X688" s="255"/>
      <c r="Y688" s="259" t="str">
        <f>IF(X688&lt;&gt;"",X688/VLOOKUP($V688,Setup!$C$30:$D$41,2,0),"")</f>
        <v/>
      </c>
      <c r="Z688" s="262"/>
      <c r="AA688" s="256" t="str">
        <f t="shared" si="310"/>
        <v/>
      </c>
      <c r="AB688" s="262"/>
      <c r="AC688" s="258" t="str">
        <f t="shared" si="311"/>
        <v/>
      </c>
      <c r="AD688" s="262"/>
      <c r="AE688" s="258" t="str">
        <f t="shared" si="312"/>
        <v/>
      </c>
      <c r="AF688" s="262"/>
      <c r="AG688" s="256" t="str">
        <f t="shared" si="313"/>
        <v/>
      </c>
      <c r="AH688" s="256" t="str">
        <f t="shared" si="314"/>
        <v/>
      </c>
      <c r="AI688" s="256" t="str">
        <f t="shared" si="315"/>
        <v/>
      </c>
      <c r="AJ688" s="111"/>
      <c r="AK688" s="255"/>
      <c r="AL688" s="259" t="str">
        <f>IF(AK688&lt;&gt;"",AK688/VLOOKUP($V688,Setup!$C$30:$D$41,2,0),"")</f>
        <v/>
      </c>
      <c r="AM688" s="266"/>
      <c r="AN688" s="258" t="str">
        <f t="shared" si="316"/>
        <v/>
      </c>
      <c r="AO688" s="266"/>
      <c r="AP688" s="258" t="str">
        <f t="shared" si="317"/>
        <v/>
      </c>
      <c r="AQ688" s="266"/>
      <c r="AR688" s="258" t="str">
        <f t="shared" si="318"/>
        <v/>
      </c>
      <c r="AS688" s="266"/>
      <c r="AT688" s="256" t="str">
        <f t="shared" si="319"/>
        <v/>
      </c>
      <c r="AU688" s="256" t="str">
        <f t="shared" si="320"/>
        <v/>
      </c>
      <c r="AV688" s="256" t="str">
        <f t="shared" si="321"/>
        <v/>
      </c>
      <c r="AW688" s="267"/>
      <c r="AX688" s="255"/>
      <c r="AY688" s="259" t="str">
        <f>IF(AX688&lt;&gt;"",AX688/VLOOKUP($V688,Setup!$C$30:$D$41,2,0),"")</f>
        <v/>
      </c>
      <c r="AZ688" s="268"/>
      <c r="BA688" s="258" t="str">
        <f t="shared" si="322"/>
        <v/>
      </c>
      <c r="BB688" s="268"/>
      <c r="BC688" s="258" t="str">
        <f t="shared" si="323"/>
        <v/>
      </c>
      <c r="BD688" s="268"/>
      <c r="BE688" s="258" t="str">
        <f t="shared" si="324"/>
        <v/>
      </c>
      <c r="BF688" s="268"/>
      <c r="BG688" s="256" t="str">
        <f t="shared" si="325"/>
        <v/>
      </c>
      <c r="BH688" s="256" t="str">
        <f t="shared" si="326"/>
        <v/>
      </c>
      <c r="BI688" s="256" t="str">
        <f t="shared" si="327"/>
        <v/>
      </c>
      <c r="BJ688" s="267"/>
      <c r="BK688" s="255"/>
      <c r="BL688" s="259" t="str">
        <f>IF(BK688&lt;&gt;"",BK688/VLOOKUP($V688,Setup!$C$30:$D$41,2,0),"")</f>
        <v/>
      </c>
      <c r="BM688" s="268"/>
      <c r="BN688" s="258" t="str">
        <f t="shared" si="328"/>
        <v/>
      </c>
      <c r="BO688" s="268"/>
      <c r="BP688" s="258" t="str">
        <f t="shared" si="329"/>
        <v/>
      </c>
      <c r="BQ688" s="268"/>
      <c r="BR688" s="258" t="str">
        <f t="shared" si="330"/>
        <v/>
      </c>
      <c r="BS688" s="268"/>
      <c r="BT688" s="256" t="str">
        <f t="shared" si="331"/>
        <v/>
      </c>
      <c r="BU688" s="256" t="str">
        <f t="shared" si="332"/>
        <v/>
      </c>
      <c r="BV688" s="256" t="str">
        <f t="shared" si="333"/>
        <v/>
      </c>
      <c r="BW688" s="267"/>
      <c r="BX688" s="256" t="str">
        <f t="shared" si="334"/>
        <v/>
      </c>
      <c r="BY688" s="256" t="str">
        <f t="shared" si="335"/>
        <v/>
      </c>
      <c r="BZ688" s="281"/>
      <c r="CA688" s="282"/>
      <c r="CF688" s="284"/>
      <c r="CG688" s="284"/>
      <c r="CH688" s="284"/>
      <c r="CI688" s="284"/>
      <c r="CL688" s="356" t="str">
        <f>IFERROR(VLOOKUP(C688,'Data Sheet'!$A$3:$B$26,2,FALSE),"")</f>
        <v/>
      </c>
    </row>
    <row r="689" spans="1:90" ht="15.75" x14ac:dyDescent="0.2">
      <c r="A689" s="97"/>
      <c r="B689" s="105" t="str">
        <f t="shared" si="338"/>
        <v>--</v>
      </c>
      <c r="C689" s="276"/>
      <c r="D689" s="101" t="str">
        <f>IFERROR(IF(VLOOKUP(C689,'Data Sheet'!$A$3:$D$26,4,FALSE)=0,"",VLOOKUP(C689,'Data Sheet'!$A$3:$D$26,4,FALSE)),"")</f>
        <v/>
      </c>
      <c r="E689" s="279"/>
      <c r="F689" s="103" t="str">
        <f>IFERROR(IF(VLOOKUP(E689,'Data Sheet'!$C$29:$E$174,3,FALSE)=0,"",VLOOKUP(E689,'Data Sheet'!$C$29:$E$174,3,FALSE)),"")</f>
        <v/>
      </c>
      <c r="G689" s="106" t="str">
        <f t="shared" si="336"/>
        <v>-</v>
      </c>
      <c r="H689" s="273"/>
      <c r="I689" s="107"/>
      <c r="J689" s="249" t="e">
        <f t="shared" si="337"/>
        <v>#VALUE!</v>
      </c>
      <c r="K689" s="101" t="str">
        <f>IFERROR(INDEX('Data Sheet'!$C$198:$C$275,MATCH(I689,'Data Sheet'!$F$198:$F$275,0)),"")</f>
        <v/>
      </c>
      <c r="L689" s="250" t="str">
        <f>IFERROR(INDEX('Data Sheet'!$G$198:$G$275,MATCH(I689,'Data Sheet'!$F$198:$F$275,0)),"")</f>
        <v/>
      </c>
      <c r="M689" s="194"/>
      <c r="N689" s="248"/>
      <c r="O689" s="248"/>
      <c r="P689" s="108" t="str">
        <f>IFERROR(INDEX(Setup!$D$44:$D$70,MATCH(M689,Setup!$K$44:$K$70,0))&amp;"","")</f>
        <v/>
      </c>
      <c r="Q689" s="108" t="str">
        <f>IFERROR(INDEX(Setup!$E$44:$E$70,MATCH(M689,Setup!$K$44:$K$70,0))&amp;"","")</f>
        <v/>
      </c>
      <c r="R689" s="108" t="str">
        <f>IFERROR(INDEX(Setup!$L$44:$L$70,MATCH(M689,Setup!$K$44:$K$70,0))&amp;"","")</f>
        <v/>
      </c>
      <c r="S689" s="108" t="str">
        <f>Setup!$C$30</f>
        <v>USD</v>
      </c>
      <c r="T689" s="109" t="str">
        <f>IFERROR(INDEX('Data Sheet'!$B$198:$B$275,MATCH(I689,'Data Sheet'!$F$198:$F$275,0)),"")</f>
        <v/>
      </c>
      <c r="U689" s="110" t="str">
        <f>IFERROR(INDEX('Data Sheet'!$D$198:$D$275,MATCH(I689,'Data Sheet'!$F$198:$F$275,0)),"")</f>
        <v/>
      </c>
      <c r="V689" s="99"/>
      <c r="W689" s="195" t="str">
        <f>IF(V689=Setup!$C$30,"Grant",IF(V689=Setup!$C$31,"Local",IF(V689=Setup!$C$32,"Other",IF(ISBLANK(V689),"","Other"))))</f>
        <v/>
      </c>
      <c r="X689" s="255"/>
      <c r="Y689" s="259" t="str">
        <f>IF(X689&lt;&gt;"",X689/VLOOKUP($V689,Setup!$C$30:$D$41,2,0),"")</f>
        <v/>
      </c>
      <c r="Z689" s="262"/>
      <c r="AA689" s="256" t="str">
        <f t="shared" si="310"/>
        <v/>
      </c>
      <c r="AB689" s="262"/>
      <c r="AC689" s="258" t="str">
        <f t="shared" si="311"/>
        <v/>
      </c>
      <c r="AD689" s="262"/>
      <c r="AE689" s="258" t="str">
        <f t="shared" si="312"/>
        <v/>
      </c>
      <c r="AF689" s="262"/>
      <c r="AG689" s="256" t="str">
        <f t="shared" si="313"/>
        <v/>
      </c>
      <c r="AH689" s="256" t="str">
        <f t="shared" si="314"/>
        <v/>
      </c>
      <c r="AI689" s="256" t="str">
        <f t="shared" si="315"/>
        <v/>
      </c>
      <c r="AJ689" s="111"/>
      <c r="AK689" s="255"/>
      <c r="AL689" s="259" t="str">
        <f>IF(AK689&lt;&gt;"",AK689/VLOOKUP($V689,Setup!$C$30:$D$41,2,0),"")</f>
        <v/>
      </c>
      <c r="AM689" s="266"/>
      <c r="AN689" s="258" t="str">
        <f t="shared" si="316"/>
        <v/>
      </c>
      <c r="AO689" s="266"/>
      <c r="AP689" s="258" t="str">
        <f t="shared" si="317"/>
        <v/>
      </c>
      <c r="AQ689" s="266"/>
      <c r="AR689" s="258" t="str">
        <f t="shared" si="318"/>
        <v/>
      </c>
      <c r="AS689" s="266"/>
      <c r="AT689" s="256" t="str">
        <f t="shared" si="319"/>
        <v/>
      </c>
      <c r="AU689" s="256" t="str">
        <f t="shared" si="320"/>
        <v/>
      </c>
      <c r="AV689" s="256" t="str">
        <f t="shared" si="321"/>
        <v/>
      </c>
      <c r="AW689" s="267"/>
      <c r="AX689" s="255"/>
      <c r="AY689" s="259" t="str">
        <f>IF(AX689&lt;&gt;"",AX689/VLOOKUP($V689,Setup!$C$30:$D$41,2,0),"")</f>
        <v/>
      </c>
      <c r="AZ689" s="268"/>
      <c r="BA689" s="258" t="str">
        <f t="shared" si="322"/>
        <v/>
      </c>
      <c r="BB689" s="268"/>
      <c r="BC689" s="258" t="str">
        <f t="shared" si="323"/>
        <v/>
      </c>
      <c r="BD689" s="268"/>
      <c r="BE689" s="258" t="str">
        <f t="shared" si="324"/>
        <v/>
      </c>
      <c r="BF689" s="268"/>
      <c r="BG689" s="256" t="str">
        <f t="shared" si="325"/>
        <v/>
      </c>
      <c r="BH689" s="256" t="str">
        <f t="shared" si="326"/>
        <v/>
      </c>
      <c r="BI689" s="256" t="str">
        <f t="shared" si="327"/>
        <v/>
      </c>
      <c r="BJ689" s="267"/>
      <c r="BK689" s="255"/>
      <c r="BL689" s="259" t="str">
        <f>IF(BK689&lt;&gt;"",BK689/VLOOKUP($V689,Setup!$C$30:$D$41,2,0),"")</f>
        <v/>
      </c>
      <c r="BM689" s="268"/>
      <c r="BN689" s="258" t="str">
        <f t="shared" si="328"/>
        <v/>
      </c>
      <c r="BO689" s="268"/>
      <c r="BP689" s="258" t="str">
        <f t="shared" si="329"/>
        <v/>
      </c>
      <c r="BQ689" s="268"/>
      <c r="BR689" s="258" t="str">
        <f t="shared" si="330"/>
        <v/>
      </c>
      <c r="BS689" s="268"/>
      <c r="BT689" s="256" t="str">
        <f t="shared" si="331"/>
        <v/>
      </c>
      <c r="BU689" s="256" t="str">
        <f t="shared" si="332"/>
        <v/>
      </c>
      <c r="BV689" s="256" t="str">
        <f t="shared" si="333"/>
        <v/>
      </c>
      <c r="BW689" s="267"/>
      <c r="BX689" s="256" t="str">
        <f t="shared" si="334"/>
        <v/>
      </c>
      <c r="BY689" s="256" t="str">
        <f t="shared" si="335"/>
        <v/>
      </c>
      <c r="BZ689" s="281"/>
      <c r="CA689" s="282"/>
      <c r="CF689" s="284"/>
      <c r="CG689" s="284"/>
      <c r="CH689" s="284"/>
      <c r="CI689" s="284"/>
      <c r="CL689" s="356" t="str">
        <f>IFERROR(VLOOKUP(C689,'Data Sheet'!$A$3:$B$26,2,FALSE),"")</f>
        <v/>
      </c>
    </row>
    <row r="690" spans="1:90" ht="15.75" x14ac:dyDescent="0.2">
      <c r="A690" s="97"/>
      <c r="B690" s="105" t="str">
        <f t="shared" si="338"/>
        <v>--</v>
      </c>
      <c r="C690" s="276"/>
      <c r="D690" s="101" t="str">
        <f>IFERROR(IF(VLOOKUP(C690,'Data Sheet'!$A$3:$D$26,4,FALSE)=0,"",VLOOKUP(C690,'Data Sheet'!$A$3:$D$26,4,FALSE)),"")</f>
        <v/>
      </c>
      <c r="E690" s="279"/>
      <c r="F690" s="103" t="str">
        <f>IFERROR(IF(VLOOKUP(E690,'Data Sheet'!$C$29:$E$174,3,FALSE)=0,"",VLOOKUP(E690,'Data Sheet'!$C$29:$E$174,3,FALSE)),"")</f>
        <v/>
      </c>
      <c r="G690" s="106" t="str">
        <f t="shared" si="336"/>
        <v>-</v>
      </c>
      <c r="H690" s="273"/>
      <c r="I690" s="107"/>
      <c r="J690" s="249" t="e">
        <f t="shared" si="337"/>
        <v>#VALUE!</v>
      </c>
      <c r="K690" s="101" t="str">
        <f>IFERROR(INDEX('Data Sheet'!$C$198:$C$275,MATCH(I690,'Data Sheet'!$F$198:$F$275,0)),"")</f>
        <v/>
      </c>
      <c r="L690" s="250" t="str">
        <f>IFERROR(INDEX('Data Sheet'!$G$198:$G$275,MATCH(I690,'Data Sheet'!$F$198:$F$275,0)),"")</f>
        <v/>
      </c>
      <c r="M690" s="194"/>
      <c r="N690" s="248"/>
      <c r="O690" s="248"/>
      <c r="P690" s="108" t="str">
        <f>IFERROR(INDEX(Setup!$D$44:$D$70,MATCH(M690,Setup!$K$44:$K$70,0))&amp;"","")</f>
        <v/>
      </c>
      <c r="Q690" s="108" t="str">
        <f>IFERROR(INDEX(Setup!$E$44:$E$70,MATCH(M690,Setup!$K$44:$K$70,0))&amp;"","")</f>
        <v/>
      </c>
      <c r="R690" s="108" t="str">
        <f>IFERROR(INDEX(Setup!$L$44:$L$70,MATCH(M690,Setup!$K$44:$K$70,0))&amp;"","")</f>
        <v/>
      </c>
      <c r="S690" s="108" t="str">
        <f>Setup!$C$30</f>
        <v>USD</v>
      </c>
      <c r="T690" s="109" t="str">
        <f>IFERROR(INDEX('Data Sheet'!$B$198:$B$275,MATCH(I690,'Data Sheet'!$F$198:$F$275,0)),"")</f>
        <v/>
      </c>
      <c r="U690" s="110" t="str">
        <f>IFERROR(INDEX('Data Sheet'!$D$198:$D$275,MATCH(I690,'Data Sheet'!$F$198:$F$275,0)),"")</f>
        <v/>
      </c>
      <c r="V690" s="99"/>
      <c r="W690" s="195" t="str">
        <f>IF(V690=Setup!$C$30,"Grant",IF(V690=Setup!$C$31,"Local",IF(V690=Setup!$C$32,"Other",IF(ISBLANK(V690),"","Other"))))</f>
        <v/>
      </c>
      <c r="X690" s="255"/>
      <c r="Y690" s="259" t="str">
        <f>IF(X690&lt;&gt;"",X690/VLOOKUP($V690,Setup!$C$30:$D$41,2,0),"")</f>
        <v/>
      </c>
      <c r="Z690" s="262"/>
      <c r="AA690" s="256" t="str">
        <f t="shared" si="310"/>
        <v/>
      </c>
      <c r="AB690" s="262"/>
      <c r="AC690" s="258" t="str">
        <f t="shared" si="311"/>
        <v/>
      </c>
      <c r="AD690" s="262"/>
      <c r="AE690" s="258" t="str">
        <f t="shared" si="312"/>
        <v/>
      </c>
      <c r="AF690" s="262"/>
      <c r="AG690" s="256" t="str">
        <f t="shared" si="313"/>
        <v/>
      </c>
      <c r="AH690" s="256" t="str">
        <f t="shared" si="314"/>
        <v/>
      </c>
      <c r="AI690" s="256" t="str">
        <f t="shared" si="315"/>
        <v/>
      </c>
      <c r="AJ690" s="111"/>
      <c r="AK690" s="255"/>
      <c r="AL690" s="259" t="str">
        <f>IF(AK690&lt;&gt;"",AK690/VLOOKUP($V690,Setup!$C$30:$D$41,2,0),"")</f>
        <v/>
      </c>
      <c r="AM690" s="266"/>
      <c r="AN690" s="258" t="str">
        <f t="shared" si="316"/>
        <v/>
      </c>
      <c r="AO690" s="266"/>
      <c r="AP690" s="258" t="str">
        <f t="shared" si="317"/>
        <v/>
      </c>
      <c r="AQ690" s="266"/>
      <c r="AR690" s="258" t="str">
        <f t="shared" si="318"/>
        <v/>
      </c>
      <c r="AS690" s="266"/>
      <c r="AT690" s="256" t="str">
        <f t="shared" si="319"/>
        <v/>
      </c>
      <c r="AU690" s="256" t="str">
        <f t="shared" si="320"/>
        <v/>
      </c>
      <c r="AV690" s="256" t="str">
        <f t="shared" si="321"/>
        <v/>
      </c>
      <c r="AW690" s="267"/>
      <c r="AX690" s="255"/>
      <c r="AY690" s="259" t="str">
        <f>IF(AX690&lt;&gt;"",AX690/VLOOKUP($V690,Setup!$C$30:$D$41,2,0),"")</f>
        <v/>
      </c>
      <c r="AZ690" s="268"/>
      <c r="BA690" s="258" t="str">
        <f t="shared" si="322"/>
        <v/>
      </c>
      <c r="BB690" s="268"/>
      <c r="BC690" s="258" t="str">
        <f t="shared" si="323"/>
        <v/>
      </c>
      <c r="BD690" s="268"/>
      <c r="BE690" s="258" t="str">
        <f t="shared" si="324"/>
        <v/>
      </c>
      <c r="BF690" s="268"/>
      <c r="BG690" s="256" t="str">
        <f t="shared" si="325"/>
        <v/>
      </c>
      <c r="BH690" s="256" t="str">
        <f t="shared" si="326"/>
        <v/>
      </c>
      <c r="BI690" s="256" t="str">
        <f t="shared" si="327"/>
        <v/>
      </c>
      <c r="BJ690" s="267"/>
      <c r="BK690" s="255"/>
      <c r="BL690" s="259" t="str">
        <f>IF(BK690&lt;&gt;"",BK690/VLOOKUP($V690,Setup!$C$30:$D$41,2,0),"")</f>
        <v/>
      </c>
      <c r="BM690" s="268"/>
      <c r="BN690" s="258" t="str">
        <f t="shared" si="328"/>
        <v/>
      </c>
      <c r="BO690" s="268"/>
      <c r="BP690" s="258" t="str">
        <f t="shared" si="329"/>
        <v/>
      </c>
      <c r="BQ690" s="268"/>
      <c r="BR690" s="258" t="str">
        <f t="shared" si="330"/>
        <v/>
      </c>
      <c r="BS690" s="268"/>
      <c r="BT690" s="256" t="str">
        <f t="shared" si="331"/>
        <v/>
      </c>
      <c r="BU690" s="256" t="str">
        <f t="shared" si="332"/>
        <v/>
      </c>
      <c r="BV690" s="256" t="str">
        <f t="shared" si="333"/>
        <v/>
      </c>
      <c r="BW690" s="267"/>
      <c r="BX690" s="256" t="str">
        <f t="shared" si="334"/>
        <v/>
      </c>
      <c r="BY690" s="256" t="str">
        <f t="shared" si="335"/>
        <v/>
      </c>
      <c r="BZ690" s="281"/>
      <c r="CA690" s="282"/>
      <c r="CF690" s="284"/>
      <c r="CG690" s="284"/>
      <c r="CH690" s="284"/>
      <c r="CI690" s="284"/>
      <c r="CL690" s="356" t="str">
        <f>IFERROR(VLOOKUP(C690,'Data Sheet'!$A$3:$B$26,2,FALSE),"")</f>
        <v/>
      </c>
    </row>
    <row r="691" spans="1:90" ht="15.75" x14ac:dyDescent="0.2">
      <c r="A691" s="97"/>
      <c r="B691" s="105" t="str">
        <f t="shared" si="338"/>
        <v>--</v>
      </c>
      <c r="C691" s="276"/>
      <c r="D691" s="101" t="str">
        <f>IFERROR(IF(VLOOKUP(C691,'Data Sheet'!$A$3:$D$26,4,FALSE)=0,"",VLOOKUP(C691,'Data Sheet'!$A$3:$D$26,4,FALSE)),"")</f>
        <v/>
      </c>
      <c r="E691" s="279"/>
      <c r="F691" s="103" t="str">
        <f>IFERROR(IF(VLOOKUP(E691,'Data Sheet'!$C$29:$E$174,3,FALSE)=0,"",VLOOKUP(E691,'Data Sheet'!$C$29:$E$174,3,FALSE)),"")</f>
        <v/>
      </c>
      <c r="G691" s="106" t="str">
        <f t="shared" si="336"/>
        <v>-</v>
      </c>
      <c r="H691" s="273"/>
      <c r="I691" s="107"/>
      <c r="J691" s="249" t="e">
        <f t="shared" si="337"/>
        <v>#VALUE!</v>
      </c>
      <c r="K691" s="101" t="str">
        <f>IFERROR(INDEX('Data Sheet'!$C$198:$C$275,MATCH(I691,'Data Sheet'!$F$198:$F$275,0)),"")</f>
        <v/>
      </c>
      <c r="L691" s="250" t="str">
        <f>IFERROR(INDEX('Data Sheet'!$G$198:$G$275,MATCH(I691,'Data Sheet'!$F$198:$F$275,0)),"")</f>
        <v/>
      </c>
      <c r="M691" s="194"/>
      <c r="N691" s="248"/>
      <c r="O691" s="248"/>
      <c r="P691" s="108" t="str">
        <f>IFERROR(INDEX(Setup!$D$44:$D$70,MATCH(M691,Setup!$K$44:$K$70,0))&amp;"","")</f>
        <v/>
      </c>
      <c r="Q691" s="108" t="str">
        <f>IFERROR(INDEX(Setup!$E$44:$E$70,MATCH(M691,Setup!$K$44:$K$70,0))&amp;"","")</f>
        <v/>
      </c>
      <c r="R691" s="108" t="str">
        <f>IFERROR(INDEX(Setup!$L$44:$L$70,MATCH(M691,Setup!$K$44:$K$70,0))&amp;"","")</f>
        <v/>
      </c>
      <c r="S691" s="108" t="str">
        <f>Setup!$C$30</f>
        <v>USD</v>
      </c>
      <c r="T691" s="109" t="str">
        <f>IFERROR(INDEX('Data Sheet'!$B$198:$B$275,MATCH(I691,'Data Sheet'!$F$198:$F$275,0)),"")</f>
        <v/>
      </c>
      <c r="U691" s="110" t="str">
        <f>IFERROR(INDEX('Data Sheet'!$D$198:$D$275,MATCH(I691,'Data Sheet'!$F$198:$F$275,0)),"")</f>
        <v/>
      </c>
      <c r="V691" s="99"/>
      <c r="W691" s="195" t="str">
        <f>IF(V691=Setup!$C$30,"Grant",IF(V691=Setup!$C$31,"Local",IF(V691=Setup!$C$32,"Other",IF(ISBLANK(V691),"","Other"))))</f>
        <v/>
      </c>
      <c r="X691" s="255"/>
      <c r="Y691" s="259" t="str">
        <f>IF(X691&lt;&gt;"",X691/VLOOKUP($V691,Setup!$C$30:$D$41,2,0),"")</f>
        <v/>
      </c>
      <c r="Z691" s="262"/>
      <c r="AA691" s="256" t="str">
        <f t="shared" si="310"/>
        <v/>
      </c>
      <c r="AB691" s="262"/>
      <c r="AC691" s="258" t="str">
        <f t="shared" si="311"/>
        <v/>
      </c>
      <c r="AD691" s="262"/>
      <c r="AE691" s="258" t="str">
        <f t="shared" si="312"/>
        <v/>
      </c>
      <c r="AF691" s="262"/>
      <c r="AG691" s="256" t="str">
        <f t="shared" si="313"/>
        <v/>
      </c>
      <c r="AH691" s="256" t="str">
        <f t="shared" si="314"/>
        <v/>
      </c>
      <c r="AI691" s="256" t="str">
        <f t="shared" si="315"/>
        <v/>
      </c>
      <c r="AJ691" s="111"/>
      <c r="AK691" s="255"/>
      <c r="AL691" s="259" t="str">
        <f>IF(AK691&lt;&gt;"",AK691/VLOOKUP($V691,Setup!$C$30:$D$41,2,0),"")</f>
        <v/>
      </c>
      <c r="AM691" s="266"/>
      <c r="AN691" s="258" t="str">
        <f t="shared" si="316"/>
        <v/>
      </c>
      <c r="AO691" s="266"/>
      <c r="AP691" s="258" t="str">
        <f t="shared" si="317"/>
        <v/>
      </c>
      <c r="AQ691" s="266"/>
      <c r="AR691" s="258" t="str">
        <f t="shared" si="318"/>
        <v/>
      </c>
      <c r="AS691" s="266"/>
      <c r="AT691" s="256" t="str">
        <f t="shared" si="319"/>
        <v/>
      </c>
      <c r="AU691" s="256" t="str">
        <f t="shared" si="320"/>
        <v/>
      </c>
      <c r="AV691" s="256" t="str">
        <f t="shared" si="321"/>
        <v/>
      </c>
      <c r="AW691" s="267"/>
      <c r="AX691" s="255"/>
      <c r="AY691" s="259" t="str">
        <f>IF(AX691&lt;&gt;"",AX691/VLOOKUP($V691,Setup!$C$30:$D$41,2,0),"")</f>
        <v/>
      </c>
      <c r="AZ691" s="268"/>
      <c r="BA691" s="258" t="str">
        <f t="shared" si="322"/>
        <v/>
      </c>
      <c r="BB691" s="268"/>
      <c r="BC691" s="258" t="str">
        <f t="shared" si="323"/>
        <v/>
      </c>
      <c r="BD691" s="268"/>
      <c r="BE691" s="258" t="str">
        <f t="shared" si="324"/>
        <v/>
      </c>
      <c r="BF691" s="268"/>
      <c r="BG691" s="256" t="str">
        <f t="shared" si="325"/>
        <v/>
      </c>
      <c r="BH691" s="256" t="str">
        <f t="shared" si="326"/>
        <v/>
      </c>
      <c r="BI691" s="256" t="str">
        <f t="shared" si="327"/>
        <v/>
      </c>
      <c r="BJ691" s="267"/>
      <c r="BK691" s="255"/>
      <c r="BL691" s="259" t="str">
        <f>IF(BK691&lt;&gt;"",BK691/VLOOKUP($V691,Setup!$C$30:$D$41,2,0),"")</f>
        <v/>
      </c>
      <c r="BM691" s="268"/>
      <c r="BN691" s="258" t="str">
        <f t="shared" si="328"/>
        <v/>
      </c>
      <c r="BO691" s="268"/>
      <c r="BP691" s="258" t="str">
        <f t="shared" si="329"/>
        <v/>
      </c>
      <c r="BQ691" s="268"/>
      <c r="BR691" s="258" t="str">
        <f t="shared" si="330"/>
        <v/>
      </c>
      <c r="BS691" s="268"/>
      <c r="BT691" s="256" t="str">
        <f t="shared" si="331"/>
        <v/>
      </c>
      <c r="BU691" s="256" t="str">
        <f t="shared" si="332"/>
        <v/>
      </c>
      <c r="BV691" s="256" t="str">
        <f t="shared" si="333"/>
        <v/>
      </c>
      <c r="BW691" s="267"/>
      <c r="BX691" s="256" t="str">
        <f t="shared" si="334"/>
        <v/>
      </c>
      <c r="BY691" s="256" t="str">
        <f t="shared" si="335"/>
        <v/>
      </c>
      <c r="BZ691" s="281"/>
      <c r="CA691" s="282"/>
      <c r="CF691" s="284"/>
      <c r="CG691" s="284"/>
      <c r="CH691" s="284"/>
      <c r="CI691" s="284"/>
      <c r="CL691" s="356" t="str">
        <f>IFERROR(VLOOKUP(C691,'Data Sheet'!$A$3:$B$26,2,FALSE),"")</f>
        <v/>
      </c>
    </row>
    <row r="692" spans="1:90" ht="15.75" x14ac:dyDescent="0.2">
      <c r="A692" s="97"/>
      <c r="B692" s="105" t="str">
        <f t="shared" si="338"/>
        <v>--</v>
      </c>
      <c r="C692" s="276"/>
      <c r="D692" s="101" t="str">
        <f>IFERROR(IF(VLOOKUP(C692,'Data Sheet'!$A$3:$D$26,4,FALSE)=0,"",VLOOKUP(C692,'Data Sheet'!$A$3:$D$26,4,FALSE)),"")</f>
        <v/>
      </c>
      <c r="E692" s="279"/>
      <c r="F692" s="103" t="str">
        <f>IFERROR(IF(VLOOKUP(E692,'Data Sheet'!$C$29:$E$174,3,FALSE)=0,"",VLOOKUP(E692,'Data Sheet'!$C$29:$E$174,3,FALSE)),"")</f>
        <v/>
      </c>
      <c r="G692" s="106" t="str">
        <f t="shared" si="336"/>
        <v>-</v>
      </c>
      <c r="H692" s="273"/>
      <c r="I692" s="107"/>
      <c r="J692" s="249" t="e">
        <f t="shared" si="337"/>
        <v>#VALUE!</v>
      </c>
      <c r="K692" s="101" t="str">
        <f>IFERROR(INDEX('Data Sheet'!$C$198:$C$275,MATCH(I692,'Data Sheet'!$F$198:$F$275,0)),"")</f>
        <v/>
      </c>
      <c r="L692" s="250" t="str">
        <f>IFERROR(INDEX('Data Sheet'!$G$198:$G$275,MATCH(I692,'Data Sheet'!$F$198:$F$275,0)),"")</f>
        <v/>
      </c>
      <c r="M692" s="194"/>
      <c r="N692" s="248"/>
      <c r="O692" s="248"/>
      <c r="P692" s="108" t="str">
        <f>IFERROR(INDEX(Setup!$D$44:$D$70,MATCH(M692,Setup!$K$44:$K$70,0))&amp;"","")</f>
        <v/>
      </c>
      <c r="Q692" s="108" t="str">
        <f>IFERROR(INDEX(Setup!$E$44:$E$70,MATCH(M692,Setup!$K$44:$K$70,0))&amp;"","")</f>
        <v/>
      </c>
      <c r="R692" s="108" t="str">
        <f>IFERROR(INDEX(Setup!$L$44:$L$70,MATCH(M692,Setup!$K$44:$K$70,0))&amp;"","")</f>
        <v/>
      </c>
      <c r="S692" s="108" t="str">
        <f>Setup!$C$30</f>
        <v>USD</v>
      </c>
      <c r="T692" s="109" t="str">
        <f>IFERROR(INDEX('Data Sheet'!$B$198:$B$275,MATCH(I692,'Data Sheet'!$F$198:$F$275,0)),"")</f>
        <v/>
      </c>
      <c r="U692" s="110" t="str">
        <f>IFERROR(INDEX('Data Sheet'!$D$198:$D$275,MATCH(I692,'Data Sheet'!$F$198:$F$275,0)),"")</f>
        <v/>
      </c>
      <c r="V692" s="99"/>
      <c r="W692" s="195" t="str">
        <f>IF(V692=Setup!$C$30,"Grant",IF(V692=Setup!$C$31,"Local",IF(V692=Setup!$C$32,"Other",IF(ISBLANK(V692),"","Other"))))</f>
        <v/>
      </c>
      <c r="X692" s="255"/>
      <c r="Y692" s="259" t="str">
        <f>IF(X692&lt;&gt;"",X692/VLOOKUP($V692,Setup!$C$30:$D$41,2,0),"")</f>
        <v/>
      </c>
      <c r="Z692" s="262"/>
      <c r="AA692" s="256" t="str">
        <f t="shared" si="310"/>
        <v/>
      </c>
      <c r="AB692" s="262"/>
      <c r="AC692" s="258" t="str">
        <f t="shared" si="311"/>
        <v/>
      </c>
      <c r="AD692" s="262"/>
      <c r="AE692" s="258" t="str">
        <f t="shared" si="312"/>
        <v/>
      </c>
      <c r="AF692" s="262"/>
      <c r="AG692" s="256" t="str">
        <f t="shared" si="313"/>
        <v/>
      </c>
      <c r="AH692" s="256" t="str">
        <f t="shared" si="314"/>
        <v/>
      </c>
      <c r="AI692" s="256" t="str">
        <f t="shared" si="315"/>
        <v/>
      </c>
      <c r="AJ692" s="111"/>
      <c r="AK692" s="255"/>
      <c r="AL692" s="259" t="str">
        <f>IF(AK692&lt;&gt;"",AK692/VLOOKUP($V692,Setup!$C$30:$D$41,2,0),"")</f>
        <v/>
      </c>
      <c r="AM692" s="266"/>
      <c r="AN692" s="258" t="str">
        <f t="shared" si="316"/>
        <v/>
      </c>
      <c r="AO692" s="266"/>
      <c r="AP692" s="258" t="str">
        <f t="shared" si="317"/>
        <v/>
      </c>
      <c r="AQ692" s="266"/>
      <c r="AR692" s="258" t="str">
        <f t="shared" si="318"/>
        <v/>
      </c>
      <c r="AS692" s="266"/>
      <c r="AT692" s="256" t="str">
        <f t="shared" si="319"/>
        <v/>
      </c>
      <c r="AU692" s="256" t="str">
        <f t="shared" si="320"/>
        <v/>
      </c>
      <c r="AV692" s="256" t="str">
        <f t="shared" si="321"/>
        <v/>
      </c>
      <c r="AW692" s="267"/>
      <c r="AX692" s="255"/>
      <c r="AY692" s="259" t="str">
        <f>IF(AX692&lt;&gt;"",AX692/VLOOKUP($V692,Setup!$C$30:$D$41,2,0),"")</f>
        <v/>
      </c>
      <c r="AZ692" s="268"/>
      <c r="BA692" s="258" t="str">
        <f t="shared" si="322"/>
        <v/>
      </c>
      <c r="BB692" s="268"/>
      <c r="BC692" s="258" t="str">
        <f t="shared" si="323"/>
        <v/>
      </c>
      <c r="BD692" s="268"/>
      <c r="BE692" s="258" t="str">
        <f t="shared" si="324"/>
        <v/>
      </c>
      <c r="BF692" s="268"/>
      <c r="BG692" s="256" t="str">
        <f t="shared" si="325"/>
        <v/>
      </c>
      <c r="BH692" s="256" t="str">
        <f t="shared" si="326"/>
        <v/>
      </c>
      <c r="BI692" s="256" t="str">
        <f t="shared" si="327"/>
        <v/>
      </c>
      <c r="BJ692" s="267"/>
      <c r="BK692" s="255"/>
      <c r="BL692" s="259" t="str">
        <f>IF(BK692&lt;&gt;"",BK692/VLOOKUP($V692,Setup!$C$30:$D$41,2,0),"")</f>
        <v/>
      </c>
      <c r="BM692" s="268"/>
      <c r="BN692" s="258" t="str">
        <f t="shared" si="328"/>
        <v/>
      </c>
      <c r="BO692" s="268"/>
      <c r="BP692" s="258" t="str">
        <f t="shared" si="329"/>
        <v/>
      </c>
      <c r="BQ692" s="268"/>
      <c r="BR692" s="258" t="str">
        <f t="shared" si="330"/>
        <v/>
      </c>
      <c r="BS692" s="268"/>
      <c r="BT692" s="256" t="str">
        <f t="shared" si="331"/>
        <v/>
      </c>
      <c r="BU692" s="256" t="str">
        <f t="shared" si="332"/>
        <v/>
      </c>
      <c r="BV692" s="256" t="str">
        <f t="shared" si="333"/>
        <v/>
      </c>
      <c r="BW692" s="267"/>
      <c r="BX692" s="256" t="str">
        <f t="shared" si="334"/>
        <v/>
      </c>
      <c r="BY692" s="256" t="str">
        <f t="shared" si="335"/>
        <v/>
      </c>
      <c r="BZ692" s="281"/>
      <c r="CA692" s="282"/>
      <c r="CF692" s="284"/>
      <c r="CG692" s="284"/>
      <c r="CH692" s="284"/>
      <c r="CI692" s="284"/>
      <c r="CL692" s="356" t="str">
        <f>IFERROR(VLOOKUP(C692,'Data Sheet'!$A$3:$B$26,2,FALSE),"")</f>
        <v/>
      </c>
    </row>
    <row r="693" spans="1:90" ht="15.75" x14ac:dyDescent="0.2">
      <c r="A693" s="97"/>
      <c r="B693" s="105" t="str">
        <f t="shared" si="338"/>
        <v>--</v>
      </c>
      <c r="C693" s="276"/>
      <c r="D693" s="101" t="str">
        <f>IFERROR(IF(VLOOKUP(C693,'Data Sheet'!$A$3:$D$26,4,FALSE)=0,"",VLOOKUP(C693,'Data Sheet'!$A$3:$D$26,4,FALSE)),"")</f>
        <v/>
      </c>
      <c r="E693" s="279"/>
      <c r="F693" s="103" t="str">
        <f>IFERROR(IF(VLOOKUP(E693,'Data Sheet'!$C$29:$E$174,3,FALSE)=0,"",VLOOKUP(E693,'Data Sheet'!$C$29:$E$174,3,FALSE)),"")</f>
        <v/>
      </c>
      <c r="G693" s="106" t="str">
        <f t="shared" si="336"/>
        <v>-</v>
      </c>
      <c r="H693" s="273"/>
      <c r="I693" s="107"/>
      <c r="J693" s="249" t="e">
        <f t="shared" si="337"/>
        <v>#VALUE!</v>
      </c>
      <c r="K693" s="101" t="str">
        <f>IFERROR(INDEX('Data Sheet'!$C$198:$C$275,MATCH(I693,'Data Sheet'!$F$198:$F$275,0)),"")</f>
        <v/>
      </c>
      <c r="L693" s="250" t="str">
        <f>IFERROR(INDEX('Data Sheet'!$G$198:$G$275,MATCH(I693,'Data Sheet'!$F$198:$F$275,0)),"")</f>
        <v/>
      </c>
      <c r="M693" s="194"/>
      <c r="N693" s="248"/>
      <c r="O693" s="248"/>
      <c r="P693" s="108" t="str">
        <f>IFERROR(INDEX(Setup!$D$44:$D$70,MATCH(M693,Setup!$K$44:$K$70,0))&amp;"","")</f>
        <v/>
      </c>
      <c r="Q693" s="108" t="str">
        <f>IFERROR(INDEX(Setup!$E$44:$E$70,MATCH(M693,Setup!$K$44:$K$70,0))&amp;"","")</f>
        <v/>
      </c>
      <c r="R693" s="108" t="str">
        <f>IFERROR(INDEX(Setup!$L$44:$L$70,MATCH(M693,Setup!$K$44:$K$70,0))&amp;"","")</f>
        <v/>
      </c>
      <c r="S693" s="108" t="str">
        <f>Setup!$C$30</f>
        <v>USD</v>
      </c>
      <c r="T693" s="109" t="str">
        <f>IFERROR(INDEX('Data Sheet'!$B$198:$B$275,MATCH(I693,'Data Sheet'!$F$198:$F$275,0)),"")</f>
        <v/>
      </c>
      <c r="U693" s="110" t="str">
        <f>IFERROR(INDEX('Data Sheet'!$D$198:$D$275,MATCH(I693,'Data Sheet'!$F$198:$F$275,0)),"")</f>
        <v/>
      </c>
      <c r="V693" s="99"/>
      <c r="W693" s="195" t="str">
        <f>IF(V693=Setup!$C$30,"Grant",IF(V693=Setup!$C$31,"Local",IF(V693=Setup!$C$32,"Other",IF(ISBLANK(V693),"","Other"))))</f>
        <v/>
      </c>
      <c r="X693" s="255"/>
      <c r="Y693" s="259" t="str">
        <f>IF(X693&lt;&gt;"",X693/VLOOKUP($V693,Setup!$C$30:$D$41,2,0),"")</f>
        <v/>
      </c>
      <c r="Z693" s="262"/>
      <c r="AA693" s="256" t="str">
        <f t="shared" si="310"/>
        <v/>
      </c>
      <c r="AB693" s="262"/>
      <c r="AC693" s="258" t="str">
        <f t="shared" si="311"/>
        <v/>
      </c>
      <c r="AD693" s="262"/>
      <c r="AE693" s="258" t="str">
        <f t="shared" si="312"/>
        <v/>
      </c>
      <c r="AF693" s="262"/>
      <c r="AG693" s="256" t="str">
        <f t="shared" si="313"/>
        <v/>
      </c>
      <c r="AH693" s="256" t="str">
        <f t="shared" si="314"/>
        <v/>
      </c>
      <c r="AI693" s="256" t="str">
        <f t="shared" si="315"/>
        <v/>
      </c>
      <c r="AJ693" s="111"/>
      <c r="AK693" s="255"/>
      <c r="AL693" s="259" t="str">
        <f>IF(AK693&lt;&gt;"",AK693/VLOOKUP($V693,Setup!$C$30:$D$41,2,0),"")</f>
        <v/>
      </c>
      <c r="AM693" s="266"/>
      <c r="AN693" s="258" t="str">
        <f t="shared" si="316"/>
        <v/>
      </c>
      <c r="AO693" s="266"/>
      <c r="AP693" s="258" t="str">
        <f t="shared" si="317"/>
        <v/>
      </c>
      <c r="AQ693" s="266"/>
      <c r="AR693" s="258" t="str">
        <f t="shared" si="318"/>
        <v/>
      </c>
      <c r="AS693" s="266"/>
      <c r="AT693" s="256" t="str">
        <f t="shared" si="319"/>
        <v/>
      </c>
      <c r="AU693" s="256" t="str">
        <f t="shared" si="320"/>
        <v/>
      </c>
      <c r="AV693" s="256" t="str">
        <f t="shared" si="321"/>
        <v/>
      </c>
      <c r="AW693" s="267"/>
      <c r="AX693" s="255"/>
      <c r="AY693" s="259" t="str">
        <f>IF(AX693&lt;&gt;"",AX693/VLOOKUP($V693,Setup!$C$30:$D$41,2,0),"")</f>
        <v/>
      </c>
      <c r="AZ693" s="268"/>
      <c r="BA693" s="258" t="str">
        <f t="shared" si="322"/>
        <v/>
      </c>
      <c r="BB693" s="268"/>
      <c r="BC693" s="258" t="str">
        <f t="shared" si="323"/>
        <v/>
      </c>
      <c r="BD693" s="268"/>
      <c r="BE693" s="258" t="str">
        <f t="shared" si="324"/>
        <v/>
      </c>
      <c r="BF693" s="268"/>
      <c r="BG693" s="256" t="str">
        <f t="shared" si="325"/>
        <v/>
      </c>
      <c r="BH693" s="256" t="str">
        <f t="shared" si="326"/>
        <v/>
      </c>
      <c r="BI693" s="256" t="str">
        <f t="shared" si="327"/>
        <v/>
      </c>
      <c r="BJ693" s="267"/>
      <c r="BK693" s="255"/>
      <c r="BL693" s="259" t="str">
        <f>IF(BK693&lt;&gt;"",BK693/VLOOKUP($V693,Setup!$C$30:$D$41,2,0),"")</f>
        <v/>
      </c>
      <c r="BM693" s="268"/>
      <c r="BN693" s="258" t="str">
        <f t="shared" si="328"/>
        <v/>
      </c>
      <c r="BO693" s="268"/>
      <c r="BP693" s="258" t="str">
        <f t="shared" si="329"/>
        <v/>
      </c>
      <c r="BQ693" s="268"/>
      <c r="BR693" s="258" t="str">
        <f t="shared" si="330"/>
        <v/>
      </c>
      <c r="BS693" s="268"/>
      <c r="BT693" s="256" t="str">
        <f t="shared" si="331"/>
        <v/>
      </c>
      <c r="BU693" s="256" t="str">
        <f t="shared" si="332"/>
        <v/>
      </c>
      <c r="BV693" s="256" t="str">
        <f t="shared" si="333"/>
        <v/>
      </c>
      <c r="BW693" s="267"/>
      <c r="BX693" s="256" t="str">
        <f t="shared" si="334"/>
        <v/>
      </c>
      <c r="BY693" s="256" t="str">
        <f t="shared" si="335"/>
        <v/>
      </c>
      <c r="BZ693" s="281"/>
      <c r="CA693" s="282"/>
      <c r="CF693" s="284"/>
      <c r="CG693" s="284"/>
      <c r="CH693" s="284"/>
      <c r="CI693" s="284"/>
      <c r="CL693" s="356" t="str">
        <f>IFERROR(VLOOKUP(C693,'Data Sheet'!$A$3:$B$26,2,FALSE),"")</f>
        <v/>
      </c>
    </row>
    <row r="694" spans="1:90" ht="15.75" x14ac:dyDescent="0.2">
      <c r="A694" s="97"/>
      <c r="B694" s="105" t="str">
        <f t="shared" si="338"/>
        <v>--</v>
      </c>
      <c r="C694" s="276"/>
      <c r="D694" s="101" t="str">
        <f>IFERROR(IF(VLOOKUP(C694,'Data Sheet'!$A$3:$D$26,4,FALSE)=0,"",VLOOKUP(C694,'Data Sheet'!$A$3:$D$26,4,FALSE)),"")</f>
        <v/>
      </c>
      <c r="E694" s="279"/>
      <c r="F694" s="103" t="str">
        <f>IFERROR(IF(VLOOKUP(E694,'Data Sheet'!$C$29:$E$174,3,FALSE)=0,"",VLOOKUP(E694,'Data Sheet'!$C$29:$E$174,3,FALSE)),"")</f>
        <v/>
      </c>
      <c r="G694" s="106" t="str">
        <f t="shared" si="336"/>
        <v>-</v>
      </c>
      <c r="H694" s="273"/>
      <c r="I694" s="107"/>
      <c r="J694" s="249" t="e">
        <f t="shared" si="337"/>
        <v>#VALUE!</v>
      </c>
      <c r="K694" s="101" t="str">
        <f>IFERROR(INDEX('Data Sheet'!$C$198:$C$275,MATCH(I694,'Data Sheet'!$F$198:$F$275,0)),"")</f>
        <v/>
      </c>
      <c r="L694" s="250" t="str">
        <f>IFERROR(INDEX('Data Sheet'!$G$198:$G$275,MATCH(I694,'Data Sheet'!$F$198:$F$275,0)),"")</f>
        <v/>
      </c>
      <c r="M694" s="194"/>
      <c r="N694" s="248"/>
      <c r="O694" s="248"/>
      <c r="P694" s="108" t="str">
        <f>IFERROR(INDEX(Setup!$D$44:$D$70,MATCH(M694,Setup!$K$44:$K$70,0))&amp;"","")</f>
        <v/>
      </c>
      <c r="Q694" s="108" t="str">
        <f>IFERROR(INDEX(Setup!$E$44:$E$70,MATCH(M694,Setup!$K$44:$K$70,0))&amp;"","")</f>
        <v/>
      </c>
      <c r="R694" s="108" t="str">
        <f>IFERROR(INDEX(Setup!$L$44:$L$70,MATCH(M694,Setup!$K$44:$K$70,0))&amp;"","")</f>
        <v/>
      </c>
      <c r="S694" s="108" t="str">
        <f>Setup!$C$30</f>
        <v>USD</v>
      </c>
      <c r="T694" s="109" t="str">
        <f>IFERROR(INDEX('Data Sheet'!$B$198:$B$275,MATCH(I694,'Data Sheet'!$F$198:$F$275,0)),"")</f>
        <v/>
      </c>
      <c r="U694" s="110" t="str">
        <f>IFERROR(INDEX('Data Sheet'!$D$198:$D$275,MATCH(I694,'Data Sheet'!$F$198:$F$275,0)),"")</f>
        <v/>
      </c>
      <c r="V694" s="99"/>
      <c r="W694" s="195" t="str">
        <f>IF(V694=Setup!$C$30,"Grant",IF(V694=Setup!$C$31,"Local",IF(V694=Setup!$C$32,"Other",IF(ISBLANK(V694),"","Other"))))</f>
        <v/>
      </c>
      <c r="X694" s="255"/>
      <c r="Y694" s="259" t="str">
        <f>IF(X694&lt;&gt;"",X694/VLOOKUP($V694,Setup!$C$30:$D$41,2,0),"")</f>
        <v/>
      </c>
      <c r="Z694" s="262"/>
      <c r="AA694" s="256" t="str">
        <f t="shared" si="310"/>
        <v/>
      </c>
      <c r="AB694" s="262"/>
      <c r="AC694" s="258" t="str">
        <f t="shared" si="311"/>
        <v/>
      </c>
      <c r="AD694" s="262"/>
      <c r="AE694" s="258" t="str">
        <f t="shared" si="312"/>
        <v/>
      </c>
      <c r="AF694" s="262"/>
      <c r="AG694" s="256" t="str">
        <f t="shared" si="313"/>
        <v/>
      </c>
      <c r="AH694" s="256" t="str">
        <f t="shared" si="314"/>
        <v/>
      </c>
      <c r="AI694" s="256" t="str">
        <f t="shared" si="315"/>
        <v/>
      </c>
      <c r="AJ694" s="111"/>
      <c r="AK694" s="255"/>
      <c r="AL694" s="259" t="str">
        <f>IF(AK694&lt;&gt;"",AK694/VLOOKUP($V694,Setup!$C$30:$D$41,2,0),"")</f>
        <v/>
      </c>
      <c r="AM694" s="266"/>
      <c r="AN694" s="258" t="str">
        <f t="shared" si="316"/>
        <v/>
      </c>
      <c r="AO694" s="266"/>
      <c r="AP694" s="258" t="str">
        <f t="shared" si="317"/>
        <v/>
      </c>
      <c r="AQ694" s="266"/>
      <c r="AR694" s="258" t="str">
        <f t="shared" si="318"/>
        <v/>
      </c>
      <c r="AS694" s="266"/>
      <c r="AT694" s="256" t="str">
        <f t="shared" si="319"/>
        <v/>
      </c>
      <c r="AU694" s="256" t="str">
        <f t="shared" si="320"/>
        <v/>
      </c>
      <c r="AV694" s="256" t="str">
        <f t="shared" si="321"/>
        <v/>
      </c>
      <c r="AW694" s="267"/>
      <c r="AX694" s="255"/>
      <c r="AY694" s="259" t="str">
        <f>IF(AX694&lt;&gt;"",AX694/VLOOKUP($V694,Setup!$C$30:$D$41,2,0),"")</f>
        <v/>
      </c>
      <c r="AZ694" s="268"/>
      <c r="BA694" s="258" t="str">
        <f t="shared" si="322"/>
        <v/>
      </c>
      <c r="BB694" s="268"/>
      <c r="BC694" s="258" t="str">
        <f t="shared" si="323"/>
        <v/>
      </c>
      <c r="BD694" s="268"/>
      <c r="BE694" s="258" t="str">
        <f t="shared" si="324"/>
        <v/>
      </c>
      <c r="BF694" s="268"/>
      <c r="BG694" s="256" t="str">
        <f t="shared" si="325"/>
        <v/>
      </c>
      <c r="BH694" s="256" t="str">
        <f t="shared" si="326"/>
        <v/>
      </c>
      <c r="BI694" s="256" t="str">
        <f t="shared" si="327"/>
        <v/>
      </c>
      <c r="BJ694" s="267"/>
      <c r="BK694" s="255"/>
      <c r="BL694" s="259" t="str">
        <f>IF(BK694&lt;&gt;"",BK694/VLOOKUP($V694,Setup!$C$30:$D$41,2,0),"")</f>
        <v/>
      </c>
      <c r="BM694" s="268"/>
      <c r="BN694" s="258" t="str">
        <f t="shared" si="328"/>
        <v/>
      </c>
      <c r="BO694" s="268"/>
      <c r="BP694" s="258" t="str">
        <f t="shared" si="329"/>
        <v/>
      </c>
      <c r="BQ694" s="268"/>
      <c r="BR694" s="258" t="str">
        <f t="shared" si="330"/>
        <v/>
      </c>
      <c r="BS694" s="268"/>
      <c r="BT694" s="256" t="str">
        <f t="shared" si="331"/>
        <v/>
      </c>
      <c r="BU694" s="256" t="str">
        <f t="shared" si="332"/>
        <v/>
      </c>
      <c r="BV694" s="256" t="str">
        <f t="shared" si="333"/>
        <v/>
      </c>
      <c r="BW694" s="267"/>
      <c r="BX694" s="256" t="str">
        <f t="shared" si="334"/>
        <v/>
      </c>
      <c r="BY694" s="256" t="str">
        <f t="shared" si="335"/>
        <v/>
      </c>
      <c r="BZ694" s="281"/>
      <c r="CA694" s="282"/>
      <c r="CF694" s="284"/>
      <c r="CG694" s="284"/>
      <c r="CH694" s="284"/>
      <c r="CI694" s="284"/>
      <c r="CL694" s="356" t="str">
        <f>IFERROR(VLOOKUP(C694,'Data Sheet'!$A$3:$B$26,2,FALSE),"")</f>
        <v/>
      </c>
    </row>
    <row r="695" spans="1:90" ht="15.75" x14ac:dyDescent="0.2">
      <c r="A695" s="97"/>
      <c r="B695" s="105" t="str">
        <f t="shared" si="338"/>
        <v>--</v>
      </c>
      <c r="C695" s="276"/>
      <c r="D695" s="101" t="str">
        <f>IFERROR(IF(VLOOKUP(C695,'Data Sheet'!$A$3:$D$26,4,FALSE)=0,"",VLOOKUP(C695,'Data Sheet'!$A$3:$D$26,4,FALSE)),"")</f>
        <v/>
      </c>
      <c r="E695" s="279"/>
      <c r="F695" s="103" t="str">
        <f>IFERROR(IF(VLOOKUP(E695,'Data Sheet'!$C$29:$E$174,3,FALSE)=0,"",VLOOKUP(E695,'Data Sheet'!$C$29:$E$174,3,FALSE)),"")</f>
        <v/>
      </c>
      <c r="G695" s="106" t="str">
        <f t="shared" si="336"/>
        <v>-</v>
      </c>
      <c r="H695" s="273"/>
      <c r="I695" s="107"/>
      <c r="J695" s="249" t="e">
        <f t="shared" si="337"/>
        <v>#VALUE!</v>
      </c>
      <c r="K695" s="101" t="str">
        <f>IFERROR(INDEX('Data Sheet'!$C$198:$C$275,MATCH(I695,'Data Sheet'!$F$198:$F$275,0)),"")</f>
        <v/>
      </c>
      <c r="L695" s="250" t="str">
        <f>IFERROR(INDEX('Data Sheet'!$G$198:$G$275,MATCH(I695,'Data Sheet'!$F$198:$F$275,0)),"")</f>
        <v/>
      </c>
      <c r="M695" s="194"/>
      <c r="N695" s="248"/>
      <c r="O695" s="248"/>
      <c r="P695" s="108" t="str">
        <f>IFERROR(INDEX(Setup!$D$44:$D$70,MATCH(M695,Setup!$K$44:$K$70,0))&amp;"","")</f>
        <v/>
      </c>
      <c r="Q695" s="108" t="str">
        <f>IFERROR(INDEX(Setup!$E$44:$E$70,MATCH(M695,Setup!$K$44:$K$70,0))&amp;"","")</f>
        <v/>
      </c>
      <c r="R695" s="108" t="str">
        <f>IFERROR(INDEX(Setup!$L$44:$L$70,MATCH(M695,Setup!$K$44:$K$70,0))&amp;"","")</f>
        <v/>
      </c>
      <c r="S695" s="108" t="str">
        <f>Setup!$C$30</f>
        <v>USD</v>
      </c>
      <c r="T695" s="109" t="str">
        <f>IFERROR(INDEX('Data Sheet'!$B$198:$B$275,MATCH(I695,'Data Sheet'!$F$198:$F$275,0)),"")</f>
        <v/>
      </c>
      <c r="U695" s="110" t="str">
        <f>IFERROR(INDEX('Data Sheet'!$D$198:$D$275,MATCH(I695,'Data Sheet'!$F$198:$F$275,0)),"")</f>
        <v/>
      </c>
      <c r="V695" s="99"/>
      <c r="W695" s="195" t="str">
        <f>IF(V695=Setup!$C$30,"Grant",IF(V695=Setup!$C$31,"Local",IF(V695=Setup!$C$32,"Other",IF(ISBLANK(V695),"","Other"))))</f>
        <v/>
      </c>
      <c r="X695" s="255"/>
      <c r="Y695" s="259" t="str">
        <f>IF(X695&lt;&gt;"",X695/VLOOKUP($V695,Setup!$C$30:$D$41,2,0),"")</f>
        <v/>
      </c>
      <c r="Z695" s="262"/>
      <c r="AA695" s="256" t="str">
        <f t="shared" si="310"/>
        <v/>
      </c>
      <c r="AB695" s="262"/>
      <c r="AC695" s="258" t="str">
        <f t="shared" si="311"/>
        <v/>
      </c>
      <c r="AD695" s="262"/>
      <c r="AE695" s="258" t="str">
        <f t="shared" si="312"/>
        <v/>
      </c>
      <c r="AF695" s="262"/>
      <c r="AG695" s="256" t="str">
        <f t="shared" si="313"/>
        <v/>
      </c>
      <c r="AH695" s="256" t="str">
        <f t="shared" si="314"/>
        <v/>
      </c>
      <c r="AI695" s="256" t="str">
        <f t="shared" si="315"/>
        <v/>
      </c>
      <c r="AJ695" s="111"/>
      <c r="AK695" s="255"/>
      <c r="AL695" s="259" t="str">
        <f>IF(AK695&lt;&gt;"",AK695/VLOOKUP($V695,Setup!$C$30:$D$41,2,0),"")</f>
        <v/>
      </c>
      <c r="AM695" s="266"/>
      <c r="AN695" s="258" t="str">
        <f t="shared" si="316"/>
        <v/>
      </c>
      <c r="AO695" s="266"/>
      <c r="AP695" s="258" t="str">
        <f t="shared" si="317"/>
        <v/>
      </c>
      <c r="AQ695" s="266"/>
      <c r="AR695" s="258" t="str">
        <f t="shared" si="318"/>
        <v/>
      </c>
      <c r="AS695" s="266"/>
      <c r="AT695" s="256" t="str">
        <f t="shared" si="319"/>
        <v/>
      </c>
      <c r="AU695" s="256" t="str">
        <f t="shared" si="320"/>
        <v/>
      </c>
      <c r="AV695" s="256" t="str">
        <f t="shared" si="321"/>
        <v/>
      </c>
      <c r="AW695" s="267"/>
      <c r="AX695" s="255"/>
      <c r="AY695" s="259" t="str">
        <f>IF(AX695&lt;&gt;"",AX695/VLOOKUP($V695,Setup!$C$30:$D$41,2,0),"")</f>
        <v/>
      </c>
      <c r="AZ695" s="268"/>
      <c r="BA695" s="258" t="str">
        <f t="shared" si="322"/>
        <v/>
      </c>
      <c r="BB695" s="268"/>
      <c r="BC695" s="258" t="str">
        <f t="shared" si="323"/>
        <v/>
      </c>
      <c r="BD695" s="268"/>
      <c r="BE695" s="258" t="str">
        <f t="shared" si="324"/>
        <v/>
      </c>
      <c r="BF695" s="268"/>
      <c r="BG695" s="256" t="str">
        <f t="shared" si="325"/>
        <v/>
      </c>
      <c r="BH695" s="256" t="str">
        <f t="shared" si="326"/>
        <v/>
      </c>
      <c r="BI695" s="256" t="str">
        <f t="shared" si="327"/>
        <v/>
      </c>
      <c r="BJ695" s="267"/>
      <c r="BK695" s="255"/>
      <c r="BL695" s="259" t="str">
        <f>IF(BK695&lt;&gt;"",BK695/VLOOKUP($V695,Setup!$C$30:$D$41,2,0),"")</f>
        <v/>
      </c>
      <c r="BM695" s="268"/>
      <c r="BN695" s="258" t="str">
        <f t="shared" si="328"/>
        <v/>
      </c>
      <c r="BO695" s="268"/>
      <c r="BP695" s="258" t="str">
        <f t="shared" si="329"/>
        <v/>
      </c>
      <c r="BQ695" s="268"/>
      <c r="BR695" s="258" t="str">
        <f t="shared" si="330"/>
        <v/>
      </c>
      <c r="BS695" s="268"/>
      <c r="BT695" s="256" t="str">
        <f t="shared" si="331"/>
        <v/>
      </c>
      <c r="BU695" s="256" t="str">
        <f t="shared" si="332"/>
        <v/>
      </c>
      <c r="BV695" s="256" t="str">
        <f t="shared" si="333"/>
        <v/>
      </c>
      <c r="BW695" s="267"/>
      <c r="BX695" s="256" t="str">
        <f t="shared" si="334"/>
        <v/>
      </c>
      <c r="BY695" s="256" t="str">
        <f t="shared" si="335"/>
        <v/>
      </c>
      <c r="BZ695" s="281"/>
      <c r="CA695" s="282"/>
      <c r="CF695" s="284"/>
      <c r="CG695" s="284"/>
      <c r="CH695" s="284"/>
      <c r="CI695" s="284"/>
      <c r="CL695" s="356" t="str">
        <f>IFERROR(VLOOKUP(C695,'Data Sheet'!$A$3:$B$26,2,FALSE),"")</f>
        <v/>
      </c>
    </row>
    <row r="696" spans="1:90" ht="15.75" x14ac:dyDescent="0.2">
      <c r="A696" s="97"/>
      <c r="B696" s="105" t="str">
        <f t="shared" si="338"/>
        <v>--</v>
      </c>
      <c r="C696" s="276"/>
      <c r="D696" s="101" t="str">
        <f>IFERROR(IF(VLOOKUP(C696,'Data Sheet'!$A$3:$D$26,4,FALSE)=0,"",VLOOKUP(C696,'Data Sheet'!$A$3:$D$26,4,FALSE)),"")</f>
        <v/>
      </c>
      <c r="E696" s="279"/>
      <c r="F696" s="103" t="str">
        <f>IFERROR(IF(VLOOKUP(E696,'Data Sheet'!$C$29:$E$174,3,FALSE)=0,"",VLOOKUP(E696,'Data Sheet'!$C$29:$E$174,3,FALSE)),"")</f>
        <v/>
      </c>
      <c r="G696" s="106" t="str">
        <f t="shared" si="336"/>
        <v>-</v>
      </c>
      <c r="H696" s="273"/>
      <c r="I696" s="107"/>
      <c r="J696" s="249" t="e">
        <f t="shared" si="337"/>
        <v>#VALUE!</v>
      </c>
      <c r="K696" s="101" t="str">
        <f>IFERROR(INDEX('Data Sheet'!$C$198:$C$275,MATCH(I696,'Data Sheet'!$F$198:$F$275,0)),"")</f>
        <v/>
      </c>
      <c r="L696" s="250" t="str">
        <f>IFERROR(INDEX('Data Sheet'!$G$198:$G$275,MATCH(I696,'Data Sheet'!$F$198:$F$275,0)),"")</f>
        <v/>
      </c>
      <c r="M696" s="194"/>
      <c r="N696" s="248"/>
      <c r="O696" s="248"/>
      <c r="P696" s="108" t="str">
        <f>IFERROR(INDEX(Setup!$D$44:$D$70,MATCH(M696,Setup!$K$44:$K$70,0))&amp;"","")</f>
        <v/>
      </c>
      <c r="Q696" s="108" t="str">
        <f>IFERROR(INDEX(Setup!$E$44:$E$70,MATCH(M696,Setup!$K$44:$K$70,0))&amp;"","")</f>
        <v/>
      </c>
      <c r="R696" s="108" t="str">
        <f>IFERROR(INDEX(Setup!$L$44:$L$70,MATCH(M696,Setup!$K$44:$K$70,0))&amp;"","")</f>
        <v/>
      </c>
      <c r="S696" s="108" t="str">
        <f>Setup!$C$30</f>
        <v>USD</v>
      </c>
      <c r="T696" s="109" t="str">
        <f>IFERROR(INDEX('Data Sheet'!$B$198:$B$275,MATCH(I696,'Data Sheet'!$F$198:$F$275,0)),"")</f>
        <v/>
      </c>
      <c r="U696" s="110" t="str">
        <f>IFERROR(INDEX('Data Sheet'!$D$198:$D$275,MATCH(I696,'Data Sheet'!$F$198:$F$275,0)),"")</f>
        <v/>
      </c>
      <c r="V696" s="99"/>
      <c r="W696" s="195" t="str">
        <f>IF(V696=Setup!$C$30,"Grant",IF(V696=Setup!$C$31,"Local",IF(V696=Setup!$C$32,"Other",IF(ISBLANK(V696),"","Other"))))</f>
        <v/>
      </c>
      <c r="X696" s="255"/>
      <c r="Y696" s="259" t="str">
        <f>IF(X696&lt;&gt;"",X696/VLOOKUP($V696,Setup!$C$30:$D$41,2,0),"")</f>
        <v/>
      </c>
      <c r="Z696" s="262"/>
      <c r="AA696" s="256" t="str">
        <f t="shared" si="310"/>
        <v/>
      </c>
      <c r="AB696" s="262"/>
      <c r="AC696" s="258" t="str">
        <f t="shared" si="311"/>
        <v/>
      </c>
      <c r="AD696" s="262"/>
      <c r="AE696" s="258" t="str">
        <f t="shared" si="312"/>
        <v/>
      </c>
      <c r="AF696" s="262"/>
      <c r="AG696" s="256" t="str">
        <f t="shared" si="313"/>
        <v/>
      </c>
      <c r="AH696" s="256" t="str">
        <f t="shared" si="314"/>
        <v/>
      </c>
      <c r="AI696" s="256" t="str">
        <f t="shared" si="315"/>
        <v/>
      </c>
      <c r="AJ696" s="111"/>
      <c r="AK696" s="255"/>
      <c r="AL696" s="259" t="str">
        <f>IF(AK696&lt;&gt;"",AK696/VLOOKUP($V696,Setup!$C$30:$D$41,2,0),"")</f>
        <v/>
      </c>
      <c r="AM696" s="266"/>
      <c r="AN696" s="258" t="str">
        <f t="shared" si="316"/>
        <v/>
      </c>
      <c r="AO696" s="266"/>
      <c r="AP696" s="258" t="str">
        <f t="shared" si="317"/>
        <v/>
      </c>
      <c r="AQ696" s="266"/>
      <c r="AR696" s="258" t="str">
        <f t="shared" si="318"/>
        <v/>
      </c>
      <c r="AS696" s="266"/>
      <c r="AT696" s="256" t="str">
        <f t="shared" si="319"/>
        <v/>
      </c>
      <c r="AU696" s="256" t="str">
        <f t="shared" si="320"/>
        <v/>
      </c>
      <c r="AV696" s="256" t="str">
        <f t="shared" si="321"/>
        <v/>
      </c>
      <c r="AW696" s="267"/>
      <c r="AX696" s="255"/>
      <c r="AY696" s="259" t="str">
        <f>IF(AX696&lt;&gt;"",AX696/VLOOKUP($V696,Setup!$C$30:$D$41,2,0),"")</f>
        <v/>
      </c>
      <c r="AZ696" s="268"/>
      <c r="BA696" s="258" t="str">
        <f t="shared" si="322"/>
        <v/>
      </c>
      <c r="BB696" s="268"/>
      <c r="BC696" s="258" t="str">
        <f t="shared" si="323"/>
        <v/>
      </c>
      <c r="BD696" s="268"/>
      <c r="BE696" s="258" t="str">
        <f t="shared" si="324"/>
        <v/>
      </c>
      <c r="BF696" s="268"/>
      <c r="BG696" s="256" t="str">
        <f t="shared" si="325"/>
        <v/>
      </c>
      <c r="BH696" s="256" t="str">
        <f t="shared" si="326"/>
        <v/>
      </c>
      <c r="BI696" s="256" t="str">
        <f t="shared" si="327"/>
        <v/>
      </c>
      <c r="BJ696" s="267"/>
      <c r="BK696" s="255"/>
      <c r="BL696" s="259" t="str">
        <f>IF(BK696&lt;&gt;"",BK696/VLOOKUP($V696,Setup!$C$30:$D$41,2,0),"")</f>
        <v/>
      </c>
      <c r="BM696" s="268"/>
      <c r="BN696" s="258" t="str">
        <f t="shared" si="328"/>
        <v/>
      </c>
      <c r="BO696" s="268"/>
      <c r="BP696" s="258" t="str">
        <f t="shared" si="329"/>
        <v/>
      </c>
      <c r="BQ696" s="268"/>
      <c r="BR696" s="258" t="str">
        <f t="shared" si="330"/>
        <v/>
      </c>
      <c r="BS696" s="268"/>
      <c r="BT696" s="256" t="str">
        <f t="shared" si="331"/>
        <v/>
      </c>
      <c r="BU696" s="256" t="str">
        <f t="shared" si="332"/>
        <v/>
      </c>
      <c r="BV696" s="256" t="str">
        <f t="shared" si="333"/>
        <v/>
      </c>
      <c r="BW696" s="267"/>
      <c r="BX696" s="256" t="str">
        <f t="shared" si="334"/>
        <v/>
      </c>
      <c r="BY696" s="256" t="str">
        <f t="shared" si="335"/>
        <v/>
      </c>
      <c r="BZ696" s="281"/>
      <c r="CA696" s="282"/>
      <c r="CF696" s="284"/>
      <c r="CG696" s="284"/>
      <c r="CH696" s="284"/>
      <c r="CI696" s="284"/>
      <c r="CL696" s="356" t="str">
        <f>IFERROR(VLOOKUP(C696,'Data Sheet'!$A$3:$B$26,2,FALSE),"")</f>
        <v/>
      </c>
    </row>
    <row r="697" spans="1:90" ht="15.75" x14ac:dyDescent="0.2">
      <c r="A697" s="97"/>
      <c r="B697" s="105" t="str">
        <f t="shared" si="338"/>
        <v>--</v>
      </c>
      <c r="C697" s="276"/>
      <c r="D697" s="101" t="str">
        <f>IFERROR(IF(VLOOKUP(C697,'Data Sheet'!$A$3:$D$26,4,FALSE)=0,"",VLOOKUP(C697,'Data Sheet'!$A$3:$D$26,4,FALSE)),"")</f>
        <v/>
      </c>
      <c r="E697" s="279"/>
      <c r="F697" s="103" t="str">
        <f>IFERROR(IF(VLOOKUP(E697,'Data Sheet'!$C$29:$E$174,3,FALSE)=0,"",VLOOKUP(E697,'Data Sheet'!$C$29:$E$174,3,FALSE)),"")</f>
        <v/>
      </c>
      <c r="G697" s="106" t="str">
        <f t="shared" si="336"/>
        <v>-</v>
      </c>
      <c r="H697" s="273"/>
      <c r="I697" s="107"/>
      <c r="J697" s="249" t="e">
        <f t="shared" si="337"/>
        <v>#VALUE!</v>
      </c>
      <c r="K697" s="101" t="str">
        <f>IFERROR(INDEX('Data Sheet'!$C$198:$C$275,MATCH(I697,'Data Sheet'!$F$198:$F$275,0)),"")</f>
        <v/>
      </c>
      <c r="L697" s="250" t="str">
        <f>IFERROR(INDEX('Data Sheet'!$G$198:$G$275,MATCH(I697,'Data Sheet'!$F$198:$F$275,0)),"")</f>
        <v/>
      </c>
      <c r="M697" s="194"/>
      <c r="N697" s="248"/>
      <c r="O697" s="248"/>
      <c r="P697" s="108" t="str">
        <f>IFERROR(INDEX(Setup!$D$44:$D$70,MATCH(M697,Setup!$K$44:$K$70,0))&amp;"","")</f>
        <v/>
      </c>
      <c r="Q697" s="108" t="str">
        <f>IFERROR(INDEX(Setup!$E$44:$E$70,MATCH(M697,Setup!$K$44:$K$70,0))&amp;"","")</f>
        <v/>
      </c>
      <c r="R697" s="108" t="str">
        <f>IFERROR(INDEX(Setup!$L$44:$L$70,MATCH(M697,Setup!$K$44:$K$70,0))&amp;"","")</f>
        <v/>
      </c>
      <c r="S697" s="108" t="str">
        <f>Setup!$C$30</f>
        <v>USD</v>
      </c>
      <c r="T697" s="109" t="str">
        <f>IFERROR(INDEX('Data Sheet'!$B$198:$B$275,MATCH(I697,'Data Sheet'!$F$198:$F$275,0)),"")</f>
        <v/>
      </c>
      <c r="U697" s="110" t="str">
        <f>IFERROR(INDEX('Data Sheet'!$D$198:$D$275,MATCH(I697,'Data Sheet'!$F$198:$F$275,0)),"")</f>
        <v/>
      </c>
      <c r="V697" s="99"/>
      <c r="W697" s="195" t="str">
        <f>IF(V697=Setup!$C$30,"Grant",IF(V697=Setup!$C$31,"Local",IF(V697=Setup!$C$32,"Other",IF(ISBLANK(V697),"","Other"))))</f>
        <v/>
      </c>
      <c r="X697" s="255"/>
      <c r="Y697" s="259" t="str">
        <f>IF(X697&lt;&gt;"",X697/VLOOKUP($V697,Setup!$C$30:$D$41,2,0),"")</f>
        <v/>
      </c>
      <c r="Z697" s="262"/>
      <c r="AA697" s="256" t="str">
        <f t="shared" si="310"/>
        <v/>
      </c>
      <c r="AB697" s="262"/>
      <c r="AC697" s="258" t="str">
        <f t="shared" si="311"/>
        <v/>
      </c>
      <c r="AD697" s="262"/>
      <c r="AE697" s="258" t="str">
        <f t="shared" si="312"/>
        <v/>
      </c>
      <c r="AF697" s="262"/>
      <c r="AG697" s="256" t="str">
        <f t="shared" si="313"/>
        <v/>
      </c>
      <c r="AH697" s="256" t="str">
        <f t="shared" si="314"/>
        <v/>
      </c>
      <c r="AI697" s="256" t="str">
        <f t="shared" si="315"/>
        <v/>
      </c>
      <c r="AJ697" s="111"/>
      <c r="AK697" s="255"/>
      <c r="AL697" s="259" t="str">
        <f>IF(AK697&lt;&gt;"",AK697/VLOOKUP($V697,Setup!$C$30:$D$41,2,0),"")</f>
        <v/>
      </c>
      <c r="AM697" s="266"/>
      <c r="AN697" s="258" t="str">
        <f t="shared" si="316"/>
        <v/>
      </c>
      <c r="AO697" s="266"/>
      <c r="AP697" s="258" t="str">
        <f t="shared" si="317"/>
        <v/>
      </c>
      <c r="AQ697" s="266"/>
      <c r="AR697" s="258" t="str">
        <f t="shared" si="318"/>
        <v/>
      </c>
      <c r="AS697" s="266"/>
      <c r="AT697" s="256" t="str">
        <f t="shared" si="319"/>
        <v/>
      </c>
      <c r="AU697" s="256" t="str">
        <f t="shared" si="320"/>
        <v/>
      </c>
      <c r="AV697" s="256" t="str">
        <f t="shared" si="321"/>
        <v/>
      </c>
      <c r="AW697" s="267"/>
      <c r="AX697" s="255"/>
      <c r="AY697" s="259" t="str">
        <f>IF(AX697&lt;&gt;"",AX697/VLOOKUP($V697,Setup!$C$30:$D$41,2,0),"")</f>
        <v/>
      </c>
      <c r="AZ697" s="268"/>
      <c r="BA697" s="258" t="str">
        <f t="shared" si="322"/>
        <v/>
      </c>
      <c r="BB697" s="268"/>
      <c r="BC697" s="258" t="str">
        <f t="shared" si="323"/>
        <v/>
      </c>
      <c r="BD697" s="268"/>
      <c r="BE697" s="258" t="str">
        <f t="shared" si="324"/>
        <v/>
      </c>
      <c r="BF697" s="268"/>
      <c r="BG697" s="256" t="str">
        <f t="shared" si="325"/>
        <v/>
      </c>
      <c r="BH697" s="256" t="str">
        <f t="shared" si="326"/>
        <v/>
      </c>
      <c r="BI697" s="256" t="str">
        <f t="shared" si="327"/>
        <v/>
      </c>
      <c r="BJ697" s="267"/>
      <c r="BK697" s="255"/>
      <c r="BL697" s="259" t="str">
        <f>IF(BK697&lt;&gt;"",BK697/VLOOKUP($V697,Setup!$C$30:$D$41,2,0),"")</f>
        <v/>
      </c>
      <c r="BM697" s="268"/>
      <c r="BN697" s="258" t="str">
        <f t="shared" si="328"/>
        <v/>
      </c>
      <c r="BO697" s="268"/>
      <c r="BP697" s="258" t="str">
        <f t="shared" si="329"/>
        <v/>
      </c>
      <c r="BQ697" s="268"/>
      <c r="BR697" s="258" t="str">
        <f t="shared" si="330"/>
        <v/>
      </c>
      <c r="BS697" s="268"/>
      <c r="BT697" s="256" t="str">
        <f t="shared" si="331"/>
        <v/>
      </c>
      <c r="BU697" s="256" t="str">
        <f t="shared" si="332"/>
        <v/>
      </c>
      <c r="BV697" s="256" t="str">
        <f t="shared" si="333"/>
        <v/>
      </c>
      <c r="BW697" s="267"/>
      <c r="BX697" s="256" t="str">
        <f t="shared" si="334"/>
        <v/>
      </c>
      <c r="BY697" s="256" t="str">
        <f t="shared" si="335"/>
        <v/>
      </c>
      <c r="BZ697" s="281"/>
      <c r="CA697" s="282"/>
      <c r="CF697" s="284"/>
      <c r="CG697" s="284"/>
      <c r="CH697" s="284"/>
      <c r="CI697" s="284"/>
      <c r="CL697" s="356" t="str">
        <f>IFERROR(VLOOKUP(C697,'Data Sheet'!$A$3:$B$26,2,FALSE),"")</f>
        <v/>
      </c>
    </row>
    <row r="698" spans="1:90" ht="15.75" x14ac:dyDescent="0.2">
      <c r="A698" s="97"/>
      <c r="B698" s="105" t="str">
        <f t="shared" si="338"/>
        <v>--</v>
      </c>
      <c r="C698" s="276"/>
      <c r="D698" s="101" t="str">
        <f>IFERROR(IF(VLOOKUP(C698,'Data Sheet'!$A$3:$D$26,4,FALSE)=0,"",VLOOKUP(C698,'Data Sheet'!$A$3:$D$26,4,FALSE)),"")</f>
        <v/>
      </c>
      <c r="E698" s="279"/>
      <c r="F698" s="103" t="str">
        <f>IFERROR(IF(VLOOKUP(E698,'Data Sheet'!$C$29:$E$174,3,FALSE)=0,"",VLOOKUP(E698,'Data Sheet'!$C$29:$E$174,3,FALSE)),"")</f>
        <v/>
      </c>
      <c r="G698" s="106" t="str">
        <f t="shared" si="336"/>
        <v>-</v>
      </c>
      <c r="H698" s="273"/>
      <c r="I698" s="107"/>
      <c r="J698" s="249" t="e">
        <f t="shared" si="337"/>
        <v>#VALUE!</v>
      </c>
      <c r="K698" s="101" t="str">
        <f>IFERROR(INDEX('Data Sheet'!$C$198:$C$275,MATCH(I698,'Data Sheet'!$F$198:$F$275,0)),"")</f>
        <v/>
      </c>
      <c r="L698" s="250" t="str">
        <f>IFERROR(INDEX('Data Sheet'!$G$198:$G$275,MATCH(I698,'Data Sheet'!$F$198:$F$275,0)),"")</f>
        <v/>
      </c>
      <c r="M698" s="194"/>
      <c r="N698" s="248"/>
      <c r="O698" s="248"/>
      <c r="P698" s="108" t="str">
        <f>IFERROR(INDEX(Setup!$D$44:$D$70,MATCH(M698,Setup!$K$44:$K$70,0))&amp;"","")</f>
        <v/>
      </c>
      <c r="Q698" s="108" t="str">
        <f>IFERROR(INDEX(Setup!$E$44:$E$70,MATCH(M698,Setup!$K$44:$K$70,0))&amp;"","")</f>
        <v/>
      </c>
      <c r="R698" s="108" t="str">
        <f>IFERROR(INDEX(Setup!$L$44:$L$70,MATCH(M698,Setup!$K$44:$K$70,0))&amp;"","")</f>
        <v/>
      </c>
      <c r="S698" s="108" t="str">
        <f>Setup!$C$30</f>
        <v>USD</v>
      </c>
      <c r="T698" s="109" t="str">
        <f>IFERROR(INDEX('Data Sheet'!$B$198:$B$275,MATCH(I698,'Data Sheet'!$F$198:$F$275,0)),"")</f>
        <v/>
      </c>
      <c r="U698" s="110" t="str">
        <f>IFERROR(INDEX('Data Sheet'!$D$198:$D$275,MATCH(I698,'Data Sheet'!$F$198:$F$275,0)),"")</f>
        <v/>
      </c>
      <c r="V698" s="99"/>
      <c r="W698" s="195" t="str">
        <f>IF(V698=Setup!$C$30,"Grant",IF(V698=Setup!$C$31,"Local",IF(V698=Setup!$C$32,"Other",IF(ISBLANK(V698),"","Other"))))</f>
        <v/>
      </c>
      <c r="X698" s="255"/>
      <c r="Y698" s="259" t="str">
        <f>IF(X698&lt;&gt;"",X698/VLOOKUP($V698,Setup!$C$30:$D$41,2,0),"")</f>
        <v/>
      </c>
      <c r="Z698" s="262"/>
      <c r="AA698" s="256" t="str">
        <f t="shared" si="310"/>
        <v/>
      </c>
      <c r="AB698" s="262"/>
      <c r="AC698" s="258" t="str">
        <f t="shared" si="311"/>
        <v/>
      </c>
      <c r="AD698" s="262"/>
      <c r="AE698" s="258" t="str">
        <f t="shared" si="312"/>
        <v/>
      </c>
      <c r="AF698" s="262"/>
      <c r="AG698" s="256" t="str">
        <f t="shared" si="313"/>
        <v/>
      </c>
      <c r="AH698" s="256" t="str">
        <f t="shared" si="314"/>
        <v/>
      </c>
      <c r="AI698" s="256" t="str">
        <f t="shared" si="315"/>
        <v/>
      </c>
      <c r="AJ698" s="111"/>
      <c r="AK698" s="255"/>
      <c r="AL698" s="259" t="str">
        <f>IF(AK698&lt;&gt;"",AK698/VLOOKUP($V698,Setup!$C$30:$D$41,2,0),"")</f>
        <v/>
      </c>
      <c r="AM698" s="266"/>
      <c r="AN698" s="258" t="str">
        <f t="shared" si="316"/>
        <v/>
      </c>
      <c r="AO698" s="266"/>
      <c r="AP698" s="258" t="str">
        <f t="shared" si="317"/>
        <v/>
      </c>
      <c r="AQ698" s="266"/>
      <c r="AR698" s="258" t="str">
        <f t="shared" si="318"/>
        <v/>
      </c>
      <c r="AS698" s="266"/>
      <c r="AT698" s="256" t="str">
        <f t="shared" si="319"/>
        <v/>
      </c>
      <c r="AU698" s="256" t="str">
        <f t="shared" si="320"/>
        <v/>
      </c>
      <c r="AV698" s="256" t="str">
        <f t="shared" si="321"/>
        <v/>
      </c>
      <c r="AW698" s="267"/>
      <c r="AX698" s="255"/>
      <c r="AY698" s="259" t="str">
        <f>IF(AX698&lt;&gt;"",AX698/VLOOKUP($V698,Setup!$C$30:$D$41,2,0),"")</f>
        <v/>
      </c>
      <c r="AZ698" s="268"/>
      <c r="BA698" s="258" t="str">
        <f t="shared" si="322"/>
        <v/>
      </c>
      <c r="BB698" s="268"/>
      <c r="BC698" s="258" t="str">
        <f t="shared" si="323"/>
        <v/>
      </c>
      <c r="BD698" s="268"/>
      <c r="BE698" s="258" t="str">
        <f t="shared" si="324"/>
        <v/>
      </c>
      <c r="BF698" s="268"/>
      <c r="BG698" s="256" t="str">
        <f t="shared" si="325"/>
        <v/>
      </c>
      <c r="BH698" s="256" t="str">
        <f t="shared" si="326"/>
        <v/>
      </c>
      <c r="BI698" s="256" t="str">
        <f t="shared" si="327"/>
        <v/>
      </c>
      <c r="BJ698" s="267"/>
      <c r="BK698" s="255"/>
      <c r="BL698" s="259" t="str">
        <f>IF(BK698&lt;&gt;"",BK698/VLOOKUP($V698,Setup!$C$30:$D$41,2,0),"")</f>
        <v/>
      </c>
      <c r="BM698" s="268"/>
      <c r="BN698" s="258" t="str">
        <f t="shared" si="328"/>
        <v/>
      </c>
      <c r="BO698" s="268"/>
      <c r="BP698" s="258" t="str">
        <f t="shared" si="329"/>
        <v/>
      </c>
      <c r="BQ698" s="268"/>
      <c r="BR698" s="258" t="str">
        <f t="shared" si="330"/>
        <v/>
      </c>
      <c r="BS698" s="268"/>
      <c r="BT698" s="256" t="str">
        <f t="shared" si="331"/>
        <v/>
      </c>
      <c r="BU698" s="256" t="str">
        <f t="shared" si="332"/>
        <v/>
      </c>
      <c r="BV698" s="256" t="str">
        <f t="shared" si="333"/>
        <v/>
      </c>
      <c r="BW698" s="267"/>
      <c r="BX698" s="256" t="str">
        <f t="shared" si="334"/>
        <v/>
      </c>
      <c r="BY698" s="256" t="str">
        <f t="shared" si="335"/>
        <v/>
      </c>
      <c r="BZ698" s="281"/>
      <c r="CA698" s="282"/>
      <c r="CF698" s="284"/>
      <c r="CG698" s="284"/>
      <c r="CH698" s="284"/>
      <c r="CI698" s="284"/>
      <c r="CL698" s="356" t="str">
        <f>IFERROR(VLOOKUP(C698,'Data Sheet'!$A$3:$B$26,2,FALSE),"")</f>
        <v/>
      </c>
    </row>
    <row r="699" spans="1:90" ht="15.75" x14ac:dyDescent="0.2">
      <c r="A699" s="97"/>
      <c r="B699" s="105" t="str">
        <f t="shared" si="338"/>
        <v>--</v>
      </c>
      <c r="C699" s="276"/>
      <c r="D699" s="101" t="str">
        <f>IFERROR(IF(VLOOKUP(C699,'Data Sheet'!$A$3:$D$26,4,FALSE)=0,"",VLOOKUP(C699,'Data Sheet'!$A$3:$D$26,4,FALSE)),"")</f>
        <v/>
      </c>
      <c r="E699" s="279"/>
      <c r="F699" s="103" t="str">
        <f>IFERROR(IF(VLOOKUP(E699,'Data Sheet'!$C$29:$E$174,3,FALSE)=0,"",VLOOKUP(E699,'Data Sheet'!$C$29:$E$174,3,FALSE)),"")</f>
        <v/>
      </c>
      <c r="G699" s="106" t="str">
        <f t="shared" si="336"/>
        <v>-</v>
      </c>
      <c r="H699" s="273"/>
      <c r="I699" s="107"/>
      <c r="J699" s="249" t="e">
        <f t="shared" si="337"/>
        <v>#VALUE!</v>
      </c>
      <c r="K699" s="101" t="str">
        <f>IFERROR(INDEX('Data Sheet'!$C$198:$C$275,MATCH(I699,'Data Sheet'!$F$198:$F$275,0)),"")</f>
        <v/>
      </c>
      <c r="L699" s="250" t="str">
        <f>IFERROR(INDEX('Data Sheet'!$G$198:$G$275,MATCH(I699,'Data Sheet'!$F$198:$F$275,0)),"")</f>
        <v/>
      </c>
      <c r="M699" s="194"/>
      <c r="N699" s="248"/>
      <c r="O699" s="248"/>
      <c r="P699" s="108" t="str">
        <f>IFERROR(INDEX(Setup!$D$44:$D$70,MATCH(M699,Setup!$K$44:$K$70,0))&amp;"","")</f>
        <v/>
      </c>
      <c r="Q699" s="108" t="str">
        <f>IFERROR(INDEX(Setup!$E$44:$E$70,MATCH(M699,Setup!$K$44:$K$70,0))&amp;"","")</f>
        <v/>
      </c>
      <c r="R699" s="108" t="str">
        <f>IFERROR(INDEX(Setup!$L$44:$L$70,MATCH(M699,Setup!$K$44:$K$70,0))&amp;"","")</f>
        <v/>
      </c>
      <c r="S699" s="108" t="str">
        <f>Setup!$C$30</f>
        <v>USD</v>
      </c>
      <c r="T699" s="109" t="str">
        <f>IFERROR(INDEX('Data Sheet'!$B$198:$B$275,MATCH(I699,'Data Sheet'!$F$198:$F$275,0)),"")</f>
        <v/>
      </c>
      <c r="U699" s="110" t="str">
        <f>IFERROR(INDEX('Data Sheet'!$D$198:$D$275,MATCH(I699,'Data Sheet'!$F$198:$F$275,0)),"")</f>
        <v/>
      </c>
      <c r="V699" s="99"/>
      <c r="W699" s="195" t="str">
        <f>IF(V699=Setup!$C$30,"Grant",IF(V699=Setup!$C$31,"Local",IF(V699=Setup!$C$32,"Other",IF(ISBLANK(V699),"","Other"))))</f>
        <v/>
      </c>
      <c r="X699" s="255"/>
      <c r="Y699" s="259" t="str">
        <f>IF(X699&lt;&gt;"",X699/VLOOKUP($V699,Setup!$C$30:$D$41,2,0),"")</f>
        <v/>
      </c>
      <c r="Z699" s="262"/>
      <c r="AA699" s="256" t="str">
        <f t="shared" si="310"/>
        <v/>
      </c>
      <c r="AB699" s="262"/>
      <c r="AC699" s="258" t="str">
        <f t="shared" si="311"/>
        <v/>
      </c>
      <c r="AD699" s="262"/>
      <c r="AE699" s="258" t="str">
        <f t="shared" si="312"/>
        <v/>
      </c>
      <c r="AF699" s="262"/>
      <c r="AG699" s="256" t="str">
        <f t="shared" si="313"/>
        <v/>
      </c>
      <c r="AH699" s="256" t="str">
        <f t="shared" si="314"/>
        <v/>
      </c>
      <c r="AI699" s="256" t="str">
        <f t="shared" si="315"/>
        <v/>
      </c>
      <c r="AJ699" s="111"/>
      <c r="AK699" s="255"/>
      <c r="AL699" s="259" t="str">
        <f>IF(AK699&lt;&gt;"",AK699/VLOOKUP($V699,Setup!$C$30:$D$41,2,0),"")</f>
        <v/>
      </c>
      <c r="AM699" s="266"/>
      <c r="AN699" s="258" t="str">
        <f t="shared" si="316"/>
        <v/>
      </c>
      <c r="AO699" s="266"/>
      <c r="AP699" s="258" t="str">
        <f t="shared" si="317"/>
        <v/>
      </c>
      <c r="AQ699" s="266"/>
      <c r="AR699" s="258" t="str">
        <f t="shared" si="318"/>
        <v/>
      </c>
      <c r="AS699" s="266"/>
      <c r="AT699" s="256" t="str">
        <f t="shared" si="319"/>
        <v/>
      </c>
      <c r="AU699" s="256" t="str">
        <f t="shared" si="320"/>
        <v/>
      </c>
      <c r="AV699" s="256" t="str">
        <f t="shared" si="321"/>
        <v/>
      </c>
      <c r="AW699" s="267"/>
      <c r="AX699" s="255"/>
      <c r="AY699" s="259" t="str">
        <f>IF(AX699&lt;&gt;"",AX699/VLOOKUP($V699,Setup!$C$30:$D$41,2,0),"")</f>
        <v/>
      </c>
      <c r="AZ699" s="268"/>
      <c r="BA699" s="258" t="str">
        <f t="shared" si="322"/>
        <v/>
      </c>
      <c r="BB699" s="268"/>
      <c r="BC699" s="258" t="str">
        <f t="shared" si="323"/>
        <v/>
      </c>
      <c r="BD699" s="268"/>
      <c r="BE699" s="258" t="str">
        <f t="shared" si="324"/>
        <v/>
      </c>
      <c r="BF699" s="268"/>
      <c r="BG699" s="256" t="str">
        <f t="shared" si="325"/>
        <v/>
      </c>
      <c r="BH699" s="256" t="str">
        <f t="shared" si="326"/>
        <v/>
      </c>
      <c r="BI699" s="256" t="str">
        <f t="shared" si="327"/>
        <v/>
      </c>
      <c r="BJ699" s="267"/>
      <c r="BK699" s="255"/>
      <c r="BL699" s="259" t="str">
        <f>IF(BK699&lt;&gt;"",BK699/VLOOKUP($V699,Setup!$C$30:$D$41,2,0),"")</f>
        <v/>
      </c>
      <c r="BM699" s="268"/>
      <c r="BN699" s="258" t="str">
        <f t="shared" si="328"/>
        <v/>
      </c>
      <c r="BO699" s="268"/>
      <c r="BP699" s="258" t="str">
        <f t="shared" si="329"/>
        <v/>
      </c>
      <c r="BQ699" s="268"/>
      <c r="BR699" s="258" t="str">
        <f t="shared" si="330"/>
        <v/>
      </c>
      <c r="BS699" s="268"/>
      <c r="BT699" s="256" t="str">
        <f t="shared" si="331"/>
        <v/>
      </c>
      <c r="BU699" s="256" t="str">
        <f t="shared" si="332"/>
        <v/>
      </c>
      <c r="BV699" s="256" t="str">
        <f t="shared" si="333"/>
        <v/>
      </c>
      <c r="BW699" s="267"/>
      <c r="BX699" s="256" t="str">
        <f t="shared" si="334"/>
        <v/>
      </c>
      <c r="BY699" s="256" t="str">
        <f t="shared" si="335"/>
        <v/>
      </c>
      <c r="BZ699" s="281"/>
      <c r="CA699" s="282"/>
      <c r="CF699" s="284"/>
      <c r="CG699" s="284"/>
      <c r="CH699" s="284"/>
      <c r="CI699" s="284"/>
      <c r="CL699" s="356" t="str">
        <f>IFERROR(VLOOKUP(C699,'Data Sheet'!$A$3:$B$26,2,FALSE),"")</f>
        <v/>
      </c>
    </row>
    <row r="700" spans="1:90" ht="15.75" x14ac:dyDescent="0.2">
      <c r="A700" s="97"/>
      <c r="B700" s="105" t="str">
        <f t="shared" si="338"/>
        <v>--</v>
      </c>
      <c r="C700" s="276"/>
      <c r="D700" s="101" t="str">
        <f>IFERROR(IF(VLOOKUP(C700,'Data Sheet'!$A$3:$D$26,4,FALSE)=0,"",VLOOKUP(C700,'Data Sheet'!$A$3:$D$26,4,FALSE)),"")</f>
        <v/>
      </c>
      <c r="E700" s="279"/>
      <c r="F700" s="103" t="str">
        <f>IFERROR(IF(VLOOKUP(E700,'Data Sheet'!$C$29:$E$174,3,FALSE)=0,"",VLOOKUP(E700,'Data Sheet'!$C$29:$E$174,3,FALSE)),"")</f>
        <v/>
      </c>
      <c r="G700" s="106" t="str">
        <f t="shared" si="336"/>
        <v>-</v>
      </c>
      <c r="H700" s="273"/>
      <c r="I700" s="107"/>
      <c r="J700" s="249" t="e">
        <f t="shared" si="337"/>
        <v>#VALUE!</v>
      </c>
      <c r="K700" s="101" t="str">
        <f>IFERROR(INDEX('Data Sheet'!$C$198:$C$275,MATCH(I700,'Data Sheet'!$F$198:$F$275,0)),"")</f>
        <v/>
      </c>
      <c r="L700" s="250" t="str">
        <f>IFERROR(INDEX('Data Sheet'!$G$198:$G$275,MATCH(I700,'Data Sheet'!$F$198:$F$275,0)),"")</f>
        <v/>
      </c>
      <c r="M700" s="194"/>
      <c r="N700" s="248"/>
      <c r="O700" s="248"/>
      <c r="P700" s="108" t="str">
        <f>IFERROR(INDEX(Setup!$D$44:$D$70,MATCH(M700,Setup!$K$44:$K$70,0))&amp;"","")</f>
        <v/>
      </c>
      <c r="Q700" s="108" t="str">
        <f>IFERROR(INDEX(Setup!$E$44:$E$70,MATCH(M700,Setup!$K$44:$K$70,0))&amp;"","")</f>
        <v/>
      </c>
      <c r="R700" s="108" t="str">
        <f>IFERROR(INDEX(Setup!$L$44:$L$70,MATCH(M700,Setup!$K$44:$K$70,0))&amp;"","")</f>
        <v/>
      </c>
      <c r="S700" s="108" t="str">
        <f>Setup!$C$30</f>
        <v>USD</v>
      </c>
      <c r="T700" s="109" t="str">
        <f>IFERROR(INDEX('Data Sheet'!$B$198:$B$275,MATCH(I700,'Data Sheet'!$F$198:$F$275,0)),"")</f>
        <v/>
      </c>
      <c r="U700" s="110" t="str">
        <f>IFERROR(INDEX('Data Sheet'!$D$198:$D$275,MATCH(I700,'Data Sheet'!$F$198:$F$275,0)),"")</f>
        <v/>
      </c>
      <c r="V700" s="99"/>
      <c r="W700" s="195" t="str">
        <f>IF(V700=Setup!$C$30,"Grant",IF(V700=Setup!$C$31,"Local",IF(V700=Setup!$C$32,"Other",IF(ISBLANK(V700),"","Other"))))</f>
        <v/>
      </c>
      <c r="X700" s="255"/>
      <c r="Y700" s="259" t="str">
        <f>IF(X700&lt;&gt;"",X700/VLOOKUP($V700,Setup!$C$30:$D$41,2,0),"")</f>
        <v/>
      </c>
      <c r="Z700" s="262"/>
      <c r="AA700" s="256" t="str">
        <f t="shared" si="310"/>
        <v/>
      </c>
      <c r="AB700" s="262"/>
      <c r="AC700" s="258" t="str">
        <f t="shared" si="311"/>
        <v/>
      </c>
      <c r="AD700" s="262"/>
      <c r="AE700" s="258" t="str">
        <f t="shared" si="312"/>
        <v/>
      </c>
      <c r="AF700" s="262"/>
      <c r="AG700" s="256" t="str">
        <f t="shared" si="313"/>
        <v/>
      </c>
      <c r="AH700" s="256" t="str">
        <f t="shared" si="314"/>
        <v/>
      </c>
      <c r="AI700" s="256" t="str">
        <f t="shared" si="315"/>
        <v/>
      </c>
      <c r="AJ700" s="111"/>
      <c r="AK700" s="255"/>
      <c r="AL700" s="259" t="str">
        <f>IF(AK700&lt;&gt;"",AK700/VLOOKUP($V700,Setup!$C$30:$D$41,2,0),"")</f>
        <v/>
      </c>
      <c r="AM700" s="266"/>
      <c r="AN700" s="258" t="str">
        <f t="shared" si="316"/>
        <v/>
      </c>
      <c r="AO700" s="266"/>
      <c r="AP700" s="258" t="str">
        <f t="shared" si="317"/>
        <v/>
      </c>
      <c r="AQ700" s="266"/>
      <c r="AR700" s="258" t="str">
        <f t="shared" si="318"/>
        <v/>
      </c>
      <c r="AS700" s="266"/>
      <c r="AT700" s="256" t="str">
        <f t="shared" si="319"/>
        <v/>
      </c>
      <c r="AU700" s="256" t="str">
        <f t="shared" si="320"/>
        <v/>
      </c>
      <c r="AV700" s="256" t="str">
        <f t="shared" si="321"/>
        <v/>
      </c>
      <c r="AW700" s="267"/>
      <c r="AX700" s="255"/>
      <c r="AY700" s="259" t="str">
        <f>IF(AX700&lt;&gt;"",AX700/VLOOKUP($V700,Setup!$C$30:$D$41,2,0),"")</f>
        <v/>
      </c>
      <c r="AZ700" s="268"/>
      <c r="BA700" s="258" t="str">
        <f t="shared" si="322"/>
        <v/>
      </c>
      <c r="BB700" s="268"/>
      <c r="BC700" s="258" t="str">
        <f t="shared" si="323"/>
        <v/>
      </c>
      <c r="BD700" s="268"/>
      <c r="BE700" s="258" t="str">
        <f t="shared" si="324"/>
        <v/>
      </c>
      <c r="BF700" s="268"/>
      <c r="BG700" s="256" t="str">
        <f t="shared" si="325"/>
        <v/>
      </c>
      <c r="BH700" s="256" t="str">
        <f t="shared" si="326"/>
        <v/>
      </c>
      <c r="BI700" s="256" t="str">
        <f t="shared" si="327"/>
        <v/>
      </c>
      <c r="BJ700" s="267"/>
      <c r="BK700" s="255"/>
      <c r="BL700" s="259" t="str">
        <f>IF(BK700&lt;&gt;"",BK700/VLOOKUP($V700,Setup!$C$30:$D$41,2,0),"")</f>
        <v/>
      </c>
      <c r="BM700" s="268"/>
      <c r="BN700" s="258" t="str">
        <f t="shared" si="328"/>
        <v/>
      </c>
      <c r="BO700" s="268"/>
      <c r="BP700" s="258" t="str">
        <f t="shared" si="329"/>
        <v/>
      </c>
      <c r="BQ700" s="268"/>
      <c r="BR700" s="258" t="str">
        <f t="shared" si="330"/>
        <v/>
      </c>
      <c r="BS700" s="268"/>
      <c r="BT700" s="256" t="str">
        <f t="shared" si="331"/>
        <v/>
      </c>
      <c r="BU700" s="256" t="str">
        <f t="shared" si="332"/>
        <v/>
      </c>
      <c r="BV700" s="256" t="str">
        <f t="shared" si="333"/>
        <v/>
      </c>
      <c r="BW700" s="267"/>
      <c r="BX700" s="256" t="str">
        <f t="shared" si="334"/>
        <v/>
      </c>
      <c r="BY700" s="256" t="str">
        <f t="shared" si="335"/>
        <v/>
      </c>
      <c r="BZ700" s="281"/>
      <c r="CA700" s="282"/>
      <c r="CF700" s="284"/>
      <c r="CG700" s="284"/>
      <c r="CH700" s="284"/>
      <c r="CI700" s="284"/>
      <c r="CL700" s="356" t="str">
        <f>IFERROR(VLOOKUP(C700,'Data Sheet'!$A$3:$B$26,2,FALSE),"")</f>
        <v/>
      </c>
    </row>
    <row r="701" spans="1:90" ht="15.75" x14ac:dyDescent="0.2">
      <c r="A701" s="97"/>
      <c r="B701" s="105" t="str">
        <f t="shared" si="338"/>
        <v>--</v>
      </c>
      <c r="C701" s="276"/>
      <c r="D701" s="101" t="str">
        <f>IFERROR(IF(VLOOKUP(C701,'Data Sheet'!$A$3:$D$26,4,FALSE)=0,"",VLOOKUP(C701,'Data Sheet'!$A$3:$D$26,4,FALSE)),"")</f>
        <v/>
      </c>
      <c r="E701" s="279"/>
      <c r="F701" s="103" t="str">
        <f>IFERROR(IF(VLOOKUP(E701,'Data Sheet'!$C$29:$E$174,3,FALSE)=0,"",VLOOKUP(E701,'Data Sheet'!$C$29:$E$174,3,FALSE)),"")</f>
        <v/>
      </c>
      <c r="G701" s="106" t="str">
        <f t="shared" si="336"/>
        <v>-</v>
      </c>
      <c r="H701" s="273"/>
      <c r="I701" s="107"/>
      <c r="J701" s="249" t="e">
        <f t="shared" si="337"/>
        <v>#VALUE!</v>
      </c>
      <c r="K701" s="101" t="str">
        <f>IFERROR(INDEX('Data Sheet'!$C$198:$C$275,MATCH(I701,'Data Sheet'!$F$198:$F$275,0)),"")</f>
        <v/>
      </c>
      <c r="L701" s="250" t="str">
        <f>IFERROR(INDEX('Data Sheet'!$G$198:$G$275,MATCH(I701,'Data Sheet'!$F$198:$F$275,0)),"")</f>
        <v/>
      </c>
      <c r="M701" s="194"/>
      <c r="N701" s="248"/>
      <c r="O701" s="248"/>
      <c r="P701" s="108" t="str">
        <f>IFERROR(INDEX(Setup!$D$44:$D$70,MATCH(M701,Setup!$K$44:$K$70,0))&amp;"","")</f>
        <v/>
      </c>
      <c r="Q701" s="108" t="str">
        <f>IFERROR(INDEX(Setup!$E$44:$E$70,MATCH(M701,Setup!$K$44:$K$70,0))&amp;"","")</f>
        <v/>
      </c>
      <c r="R701" s="108" t="str">
        <f>IFERROR(INDEX(Setup!$L$44:$L$70,MATCH(M701,Setup!$K$44:$K$70,0))&amp;"","")</f>
        <v/>
      </c>
      <c r="S701" s="108" t="str">
        <f>Setup!$C$30</f>
        <v>USD</v>
      </c>
      <c r="T701" s="109" t="str">
        <f>IFERROR(INDEX('Data Sheet'!$B$198:$B$275,MATCH(I701,'Data Sheet'!$F$198:$F$275,0)),"")</f>
        <v/>
      </c>
      <c r="U701" s="110" t="str">
        <f>IFERROR(INDEX('Data Sheet'!$D$198:$D$275,MATCH(I701,'Data Sheet'!$F$198:$F$275,0)),"")</f>
        <v/>
      </c>
      <c r="V701" s="99"/>
      <c r="W701" s="195" t="str">
        <f>IF(V701=Setup!$C$30,"Grant",IF(V701=Setup!$C$31,"Local",IF(V701=Setup!$C$32,"Other",IF(ISBLANK(V701),"","Other"))))</f>
        <v/>
      </c>
      <c r="X701" s="255"/>
      <c r="Y701" s="259" t="str">
        <f>IF(X701&lt;&gt;"",X701/VLOOKUP($V701,Setup!$C$30:$D$41,2,0),"")</f>
        <v/>
      </c>
      <c r="Z701" s="262"/>
      <c r="AA701" s="256" t="str">
        <f t="shared" si="310"/>
        <v/>
      </c>
      <c r="AB701" s="262"/>
      <c r="AC701" s="258" t="str">
        <f t="shared" si="311"/>
        <v/>
      </c>
      <c r="AD701" s="262"/>
      <c r="AE701" s="258" t="str">
        <f t="shared" si="312"/>
        <v/>
      </c>
      <c r="AF701" s="262"/>
      <c r="AG701" s="256" t="str">
        <f t="shared" si="313"/>
        <v/>
      </c>
      <c r="AH701" s="256" t="str">
        <f t="shared" si="314"/>
        <v/>
      </c>
      <c r="AI701" s="256" t="str">
        <f t="shared" si="315"/>
        <v/>
      </c>
      <c r="AJ701" s="111"/>
      <c r="AK701" s="255"/>
      <c r="AL701" s="259" t="str">
        <f>IF(AK701&lt;&gt;"",AK701/VLOOKUP($V701,Setup!$C$30:$D$41,2,0),"")</f>
        <v/>
      </c>
      <c r="AM701" s="266"/>
      <c r="AN701" s="258" t="str">
        <f t="shared" si="316"/>
        <v/>
      </c>
      <c r="AO701" s="266"/>
      <c r="AP701" s="258" t="str">
        <f t="shared" si="317"/>
        <v/>
      </c>
      <c r="AQ701" s="266"/>
      <c r="AR701" s="258" t="str">
        <f t="shared" si="318"/>
        <v/>
      </c>
      <c r="AS701" s="266"/>
      <c r="AT701" s="256" t="str">
        <f t="shared" si="319"/>
        <v/>
      </c>
      <c r="AU701" s="256" t="str">
        <f t="shared" si="320"/>
        <v/>
      </c>
      <c r="AV701" s="256" t="str">
        <f t="shared" si="321"/>
        <v/>
      </c>
      <c r="AW701" s="267"/>
      <c r="AX701" s="255"/>
      <c r="AY701" s="259" t="str">
        <f>IF(AX701&lt;&gt;"",AX701/VLOOKUP($V701,Setup!$C$30:$D$41,2,0),"")</f>
        <v/>
      </c>
      <c r="AZ701" s="268"/>
      <c r="BA701" s="258" t="str">
        <f t="shared" si="322"/>
        <v/>
      </c>
      <c r="BB701" s="268"/>
      <c r="BC701" s="258" t="str">
        <f t="shared" si="323"/>
        <v/>
      </c>
      <c r="BD701" s="268"/>
      <c r="BE701" s="258" t="str">
        <f t="shared" si="324"/>
        <v/>
      </c>
      <c r="BF701" s="268"/>
      <c r="BG701" s="256" t="str">
        <f t="shared" si="325"/>
        <v/>
      </c>
      <c r="BH701" s="256" t="str">
        <f t="shared" si="326"/>
        <v/>
      </c>
      <c r="BI701" s="256" t="str">
        <f t="shared" si="327"/>
        <v/>
      </c>
      <c r="BJ701" s="267"/>
      <c r="BK701" s="255"/>
      <c r="BL701" s="259" t="str">
        <f>IF(BK701&lt;&gt;"",BK701/VLOOKUP($V701,Setup!$C$30:$D$41,2,0),"")</f>
        <v/>
      </c>
      <c r="BM701" s="268"/>
      <c r="BN701" s="258" t="str">
        <f t="shared" si="328"/>
        <v/>
      </c>
      <c r="BO701" s="268"/>
      <c r="BP701" s="258" t="str">
        <f t="shared" si="329"/>
        <v/>
      </c>
      <c r="BQ701" s="268"/>
      <c r="BR701" s="258" t="str">
        <f t="shared" si="330"/>
        <v/>
      </c>
      <c r="BS701" s="268"/>
      <c r="BT701" s="256" t="str">
        <f t="shared" si="331"/>
        <v/>
      </c>
      <c r="BU701" s="256" t="str">
        <f t="shared" si="332"/>
        <v/>
      </c>
      <c r="BV701" s="256" t="str">
        <f t="shared" si="333"/>
        <v/>
      </c>
      <c r="BW701" s="267"/>
      <c r="BX701" s="256" t="str">
        <f t="shared" si="334"/>
        <v/>
      </c>
      <c r="BY701" s="256" t="str">
        <f t="shared" si="335"/>
        <v/>
      </c>
      <c r="BZ701" s="281"/>
      <c r="CA701" s="282"/>
      <c r="CF701" s="284"/>
      <c r="CG701" s="284"/>
      <c r="CH701" s="284"/>
      <c r="CI701" s="284"/>
      <c r="CL701" s="356" t="str">
        <f>IFERROR(VLOOKUP(C701,'Data Sheet'!$A$3:$B$26,2,FALSE),"")</f>
        <v/>
      </c>
    </row>
    <row r="702" spans="1:90" ht="15.75" x14ac:dyDescent="0.2">
      <c r="A702" s="97"/>
      <c r="B702" s="105" t="str">
        <f t="shared" si="338"/>
        <v>--</v>
      </c>
      <c r="C702" s="276"/>
      <c r="D702" s="101" t="str">
        <f>IFERROR(IF(VLOOKUP(C702,'Data Sheet'!$A$3:$D$26,4,FALSE)=0,"",VLOOKUP(C702,'Data Sheet'!$A$3:$D$26,4,FALSE)),"")</f>
        <v/>
      </c>
      <c r="E702" s="279"/>
      <c r="F702" s="103" t="str">
        <f>IFERROR(IF(VLOOKUP(E702,'Data Sheet'!$C$29:$E$174,3,FALSE)=0,"",VLOOKUP(E702,'Data Sheet'!$C$29:$E$174,3,FALSE)),"")</f>
        <v/>
      </c>
      <c r="G702" s="106" t="str">
        <f t="shared" si="336"/>
        <v>-</v>
      </c>
      <c r="H702" s="273"/>
      <c r="I702" s="107"/>
      <c r="J702" s="249" t="e">
        <f t="shared" si="337"/>
        <v>#VALUE!</v>
      </c>
      <c r="K702" s="101" t="str">
        <f>IFERROR(INDEX('Data Sheet'!$C$198:$C$275,MATCH(I702,'Data Sheet'!$F$198:$F$275,0)),"")</f>
        <v/>
      </c>
      <c r="L702" s="250" t="str">
        <f>IFERROR(INDEX('Data Sheet'!$G$198:$G$275,MATCH(I702,'Data Sheet'!$F$198:$F$275,0)),"")</f>
        <v/>
      </c>
      <c r="M702" s="194"/>
      <c r="N702" s="248"/>
      <c r="O702" s="248"/>
      <c r="P702" s="108" t="str">
        <f>IFERROR(INDEX(Setup!$D$44:$D$70,MATCH(M702,Setup!$K$44:$K$70,0))&amp;"","")</f>
        <v/>
      </c>
      <c r="Q702" s="108" t="str">
        <f>IFERROR(INDEX(Setup!$E$44:$E$70,MATCH(M702,Setup!$K$44:$K$70,0))&amp;"","")</f>
        <v/>
      </c>
      <c r="R702" s="108" t="str">
        <f>IFERROR(INDEX(Setup!$L$44:$L$70,MATCH(M702,Setup!$K$44:$K$70,0))&amp;"","")</f>
        <v/>
      </c>
      <c r="S702" s="108" t="str">
        <f>Setup!$C$30</f>
        <v>USD</v>
      </c>
      <c r="T702" s="109" t="str">
        <f>IFERROR(INDEX('Data Sheet'!$B$198:$B$275,MATCH(I702,'Data Sheet'!$F$198:$F$275,0)),"")</f>
        <v/>
      </c>
      <c r="U702" s="110" t="str">
        <f>IFERROR(INDEX('Data Sheet'!$D$198:$D$275,MATCH(I702,'Data Sheet'!$F$198:$F$275,0)),"")</f>
        <v/>
      </c>
      <c r="V702" s="99"/>
      <c r="W702" s="195" t="str">
        <f>IF(V702=Setup!$C$30,"Grant",IF(V702=Setup!$C$31,"Local",IF(V702=Setup!$C$32,"Other",IF(ISBLANK(V702),"","Other"))))</f>
        <v/>
      </c>
      <c r="X702" s="255"/>
      <c r="Y702" s="259" t="str">
        <f>IF(X702&lt;&gt;"",X702/VLOOKUP($V702,Setup!$C$30:$D$41,2,0),"")</f>
        <v/>
      </c>
      <c r="Z702" s="262"/>
      <c r="AA702" s="256" t="str">
        <f t="shared" si="310"/>
        <v/>
      </c>
      <c r="AB702" s="262"/>
      <c r="AC702" s="258" t="str">
        <f t="shared" si="311"/>
        <v/>
      </c>
      <c r="AD702" s="262"/>
      <c r="AE702" s="258" t="str">
        <f t="shared" si="312"/>
        <v/>
      </c>
      <c r="AF702" s="262"/>
      <c r="AG702" s="256" t="str">
        <f t="shared" si="313"/>
        <v/>
      </c>
      <c r="AH702" s="256" t="str">
        <f t="shared" si="314"/>
        <v/>
      </c>
      <c r="AI702" s="256" t="str">
        <f t="shared" si="315"/>
        <v/>
      </c>
      <c r="AJ702" s="111"/>
      <c r="AK702" s="255"/>
      <c r="AL702" s="259" t="str">
        <f>IF(AK702&lt;&gt;"",AK702/VLOOKUP($V702,Setup!$C$30:$D$41,2,0),"")</f>
        <v/>
      </c>
      <c r="AM702" s="266"/>
      <c r="AN702" s="258" t="str">
        <f t="shared" si="316"/>
        <v/>
      </c>
      <c r="AO702" s="266"/>
      <c r="AP702" s="258" t="str">
        <f t="shared" si="317"/>
        <v/>
      </c>
      <c r="AQ702" s="266"/>
      <c r="AR702" s="258" t="str">
        <f t="shared" si="318"/>
        <v/>
      </c>
      <c r="AS702" s="266"/>
      <c r="AT702" s="256" t="str">
        <f t="shared" si="319"/>
        <v/>
      </c>
      <c r="AU702" s="256" t="str">
        <f t="shared" si="320"/>
        <v/>
      </c>
      <c r="AV702" s="256" t="str">
        <f t="shared" si="321"/>
        <v/>
      </c>
      <c r="AW702" s="267"/>
      <c r="AX702" s="255"/>
      <c r="AY702" s="259" t="str">
        <f>IF(AX702&lt;&gt;"",AX702/VLOOKUP($V702,Setup!$C$30:$D$41,2,0),"")</f>
        <v/>
      </c>
      <c r="AZ702" s="268"/>
      <c r="BA702" s="258" t="str">
        <f t="shared" si="322"/>
        <v/>
      </c>
      <c r="BB702" s="268"/>
      <c r="BC702" s="258" t="str">
        <f t="shared" si="323"/>
        <v/>
      </c>
      <c r="BD702" s="268"/>
      <c r="BE702" s="258" t="str">
        <f t="shared" si="324"/>
        <v/>
      </c>
      <c r="BF702" s="268"/>
      <c r="BG702" s="256" t="str">
        <f t="shared" si="325"/>
        <v/>
      </c>
      <c r="BH702" s="256" t="str">
        <f t="shared" si="326"/>
        <v/>
      </c>
      <c r="BI702" s="256" t="str">
        <f t="shared" si="327"/>
        <v/>
      </c>
      <c r="BJ702" s="267"/>
      <c r="BK702" s="255"/>
      <c r="BL702" s="259" t="str">
        <f>IF(BK702&lt;&gt;"",BK702/VLOOKUP($V702,Setup!$C$30:$D$41,2,0),"")</f>
        <v/>
      </c>
      <c r="BM702" s="268"/>
      <c r="BN702" s="258" t="str">
        <f t="shared" si="328"/>
        <v/>
      </c>
      <c r="BO702" s="268"/>
      <c r="BP702" s="258" t="str">
        <f t="shared" si="329"/>
        <v/>
      </c>
      <c r="BQ702" s="268"/>
      <c r="BR702" s="258" t="str">
        <f t="shared" si="330"/>
        <v/>
      </c>
      <c r="BS702" s="268"/>
      <c r="BT702" s="256" t="str">
        <f t="shared" si="331"/>
        <v/>
      </c>
      <c r="BU702" s="256" t="str">
        <f t="shared" si="332"/>
        <v/>
      </c>
      <c r="BV702" s="256" t="str">
        <f t="shared" si="333"/>
        <v/>
      </c>
      <c r="BW702" s="267"/>
      <c r="BX702" s="256" t="str">
        <f t="shared" si="334"/>
        <v/>
      </c>
      <c r="BY702" s="256" t="str">
        <f t="shared" si="335"/>
        <v/>
      </c>
      <c r="BZ702" s="281"/>
      <c r="CA702" s="282"/>
      <c r="CF702" s="284"/>
      <c r="CG702" s="284"/>
      <c r="CH702" s="284"/>
      <c r="CI702" s="284"/>
      <c r="CL702" s="356" t="str">
        <f>IFERROR(VLOOKUP(C702,'Data Sheet'!$A$3:$B$26,2,FALSE),"")</f>
        <v/>
      </c>
    </row>
    <row r="703" spans="1:90" ht="15.75" x14ac:dyDescent="0.2">
      <c r="A703" s="97"/>
      <c r="B703" s="105" t="str">
        <f t="shared" si="338"/>
        <v>--</v>
      </c>
      <c r="C703" s="276"/>
      <c r="D703" s="101" t="str">
        <f>IFERROR(IF(VLOOKUP(C703,'Data Sheet'!$A$3:$D$26,4,FALSE)=0,"",VLOOKUP(C703,'Data Sheet'!$A$3:$D$26,4,FALSE)),"")</f>
        <v/>
      </c>
      <c r="E703" s="279"/>
      <c r="F703" s="103" t="str">
        <f>IFERROR(IF(VLOOKUP(E703,'Data Sheet'!$C$29:$E$174,3,FALSE)=0,"",VLOOKUP(E703,'Data Sheet'!$C$29:$E$174,3,FALSE)),"")</f>
        <v/>
      </c>
      <c r="G703" s="106" t="str">
        <f t="shared" si="336"/>
        <v>-</v>
      </c>
      <c r="H703" s="273"/>
      <c r="I703" s="107"/>
      <c r="J703" s="249" t="e">
        <f t="shared" si="337"/>
        <v>#VALUE!</v>
      </c>
      <c r="K703" s="101" t="str">
        <f>IFERROR(INDEX('Data Sheet'!$C$198:$C$275,MATCH(I703,'Data Sheet'!$F$198:$F$275,0)),"")</f>
        <v/>
      </c>
      <c r="L703" s="250" t="str">
        <f>IFERROR(INDEX('Data Sheet'!$G$198:$G$275,MATCH(I703,'Data Sheet'!$F$198:$F$275,0)),"")</f>
        <v/>
      </c>
      <c r="M703" s="194"/>
      <c r="N703" s="248"/>
      <c r="O703" s="248"/>
      <c r="P703" s="108" t="str">
        <f>IFERROR(INDEX(Setup!$D$44:$D$70,MATCH(M703,Setup!$K$44:$K$70,0))&amp;"","")</f>
        <v/>
      </c>
      <c r="Q703" s="108" t="str">
        <f>IFERROR(INDEX(Setup!$E$44:$E$70,MATCH(M703,Setup!$K$44:$K$70,0))&amp;"","")</f>
        <v/>
      </c>
      <c r="R703" s="108" t="str">
        <f>IFERROR(INDEX(Setup!$L$44:$L$70,MATCH(M703,Setup!$K$44:$K$70,0))&amp;"","")</f>
        <v/>
      </c>
      <c r="S703" s="108" t="str">
        <f>Setup!$C$30</f>
        <v>USD</v>
      </c>
      <c r="T703" s="109" t="str">
        <f>IFERROR(INDEX('Data Sheet'!$B$198:$B$275,MATCH(I703,'Data Sheet'!$F$198:$F$275,0)),"")</f>
        <v/>
      </c>
      <c r="U703" s="110" t="str">
        <f>IFERROR(INDEX('Data Sheet'!$D$198:$D$275,MATCH(I703,'Data Sheet'!$F$198:$F$275,0)),"")</f>
        <v/>
      </c>
      <c r="V703" s="99"/>
      <c r="W703" s="195" t="str">
        <f>IF(V703=Setup!$C$30,"Grant",IF(V703=Setup!$C$31,"Local",IF(V703=Setup!$C$32,"Other",IF(ISBLANK(V703),"","Other"))))</f>
        <v/>
      </c>
      <c r="X703" s="255"/>
      <c r="Y703" s="259" t="str">
        <f>IF(X703&lt;&gt;"",X703/VLOOKUP($V703,Setup!$C$30:$D$41,2,0),"")</f>
        <v/>
      </c>
      <c r="Z703" s="262"/>
      <c r="AA703" s="256" t="str">
        <f t="shared" si="310"/>
        <v/>
      </c>
      <c r="AB703" s="262"/>
      <c r="AC703" s="258" t="str">
        <f t="shared" si="311"/>
        <v/>
      </c>
      <c r="AD703" s="262"/>
      <c r="AE703" s="258" t="str">
        <f t="shared" si="312"/>
        <v/>
      </c>
      <c r="AF703" s="262"/>
      <c r="AG703" s="256" t="str">
        <f t="shared" si="313"/>
        <v/>
      </c>
      <c r="AH703" s="256" t="str">
        <f t="shared" si="314"/>
        <v/>
      </c>
      <c r="AI703" s="256" t="str">
        <f t="shared" si="315"/>
        <v/>
      </c>
      <c r="AJ703" s="111"/>
      <c r="AK703" s="255"/>
      <c r="AL703" s="259" t="str">
        <f>IF(AK703&lt;&gt;"",AK703/VLOOKUP($V703,Setup!$C$30:$D$41,2,0),"")</f>
        <v/>
      </c>
      <c r="AM703" s="266"/>
      <c r="AN703" s="258" t="str">
        <f t="shared" si="316"/>
        <v/>
      </c>
      <c r="AO703" s="266"/>
      <c r="AP703" s="258" t="str">
        <f t="shared" si="317"/>
        <v/>
      </c>
      <c r="AQ703" s="266"/>
      <c r="AR703" s="258" t="str">
        <f t="shared" si="318"/>
        <v/>
      </c>
      <c r="AS703" s="266"/>
      <c r="AT703" s="256" t="str">
        <f t="shared" si="319"/>
        <v/>
      </c>
      <c r="AU703" s="256" t="str">
        <f t="shared" si="320"/>
        <v/>
      </c>
      <c r="AV703" s="256" t="str">
        <f t="shared" si="321"/>
        <v/>
      </c>
      <c r="AW703" s="267"/>
      <c r="AX703" s="255"/>
      <c r="AY703" s="259" t="str">
        <f>IF(AX703&lt;&gt;"",AX703/VLOOKUP($V703,Setup!$C$30:$D$41,2,0),"")</f>
        <v/>
      </c>
      <c r="AZ703" s="268"/>
      <c r="BA703" s="258" t="str">
        <f t="shared" si="322"/>
        <v/>
      </c>
      <c r="BB703" s="268"/>
      <c r="BC703" s="258" t="str">
        <f t="shared" si="323"/>
        <v/>
      </c>
      <c r="BD703" s="268"/>
      <c r="BE703" s="258" t="str">
        <f t="shared" si="324"/>
        <v/>
      </c>
      <c r="BF703" s="268"/>
      <c r="BG703" s="256" t="str">
        <f t="shared" si="325"/>
        <v/>
      </c>
      <c r="BH703" s="256" t="str">
        <f t="shared" si="326"/>
        <v/>
      </c>
      <c r="BI703" s="256" t="str">
        <f t="shared" si="327"/>
        <v/>
      </c>
      <c r="BJ703" s="267"/>
      <c r="BK703" s="255"/>
      <c r="BL703" s="259" t="str">
        <f>IF(BK703&lt;&gt;"",BK703/VLOOKUP($V703,Setup!$C$30:$D$41,2,0),"")</f>
        <v/>
      </c>
      <c r="BM703" s="268"/>
      <c r="BN703" s="258" t="str">
        <f t="shared" si="328"/>
        <v/>
      </c>
      <c r="BO703" s="268"/>
      <c r="BP703" s="258" t="str">
        <f t="shared" si="329"/>
        <v/>
      </c>
      <c r="BQ703" s="268"/>
      <c r="BR703" s="258" t="str">
        <f t="shared" si="330"/>
        <v/>
      </c>
      <c r="BS703" s="268"/>
      <c r="BT703" s="256" t="str">
        <f t="shared" si="331"/>
        <v/>
      </c>
      <c r="BU703" s="256" t="str">
        <f t="shared" si="332"/>
        <v/>
      </c>
      <c r="BV703" s="256" t="str">
        <f t="shared" si="333"/>
        <v/>
      </c>
      <c r="BW703" s="267"/>
      <c r="BX703" s="256" t="str">
        <f t="shared" si="334"/>
        <v/>
      </c>
      <c r="BY703" s="256" t="str">
        <f t="shared" si="335"/>
        <v/>
      </c>
      <c r="BZ703" s="281"/>
      <c r="CA703" s="282"/>
      <c r="CF703" s="284"/>
      <c r="CG703" s="284"/>
      <c r="CH703" s="284"/>
      <c r="CI703" s="284"/>
      <c r="CL703" s="356" t="str">
        <f>IFERROR(VLOOKUP(C703,'Data Sheet'!$A$3:$B$26,2,FALSE),"")</f>
        <v/>
      </c>
    </row>
    <row r="704" spans="1:90" ht="15.75" x14ac:dyDescent="0.2">
      <c r="A704" s="97"/>
      <c r="B704" s="105" t="str">
        <f t="shared" si="338"/>
        <v>--</v>
      </c>
      <c r="C704" s="276"/>
      <c r="D704" s="101" t="str">
        <f>IFERROR(IF(VLOOKUP(C704,'Data Sheet'!$A$3:$D$26,4,FALSE)=0,"",VLOOKUP(C704,'Data Sheet'!$A$3:$D$26,4,FALSE)),"")</f>
        <v/>
      </c>
      <c r="E704" s="279"/>
      <c r="F704" s="103" t="str">
        <f>IFERROR(IF(VLOOKUP(E704,'Data Sheet'!$C$29:$E$174,3,FALSE)=0,"",VLOOKUP(E704,'Data Sheet'!$C$29:$E$174,3,FALSE)),"")</f>
        <v/>
      </c>
      <c r="G704" s="106" t="str">
        <f t="shared" si="336"/>
        <v>-</v>
      </c>
      <c r="H704" s="273"/>
      <c r="I704" s="107"/>
      <c r="J704" s="249" t="e">
        <f t="shared" si="337"/>
        <v>#VALUE!</v>
      </c>
      <c r="K704" s="101" t="str">
        <f>IFERROR(INDEX('Data Sheet'!$C$198:$C$275,MATCH(I704,'Data Sheet'!$F$198:$F$275,0)),"")</f>
        <v/>
      </c>
      <c r="L704" s="250" t="str">
        <f>IFERROR(INDEX('Data Sheet'!$G$198:$G$275,MATCH(I704,'Data Sheet'!$F$198:$F$275,0)),"")</f>
        <v/>
      </c>
      <c r="M704" s="194"/>
      <c r="N704" s="248"/>
      <c r="O704" s="248"/>
      <c r="P704" s="108" t="str">
        <f>IFERROR(INDEX(Setup!$D$44:$D$70,MATCH(M704,Setup!$K$44:$K$70,0))&amp;"","")</f>
        <v/>
      </c>
      <c r="Q704" s="108" t="str">
        <f>IFERROR(INDEX(Setup!$E$44:$E$70,MATCH(M704,Setup!$K$44:$K$70,0))&amp;"","")</f>
        <v/>
      </c>
      <c r="R704" s="108" t="str">
        <f>IFERROR(INDEX(Setup!$L$44:$L$70,MATCH(M704,Setup!$K$44:$K$70,0))&amp;"","")</f>
        <v/>
      </c>
      <c r="S704" s="108" t="str">
        <f>Setup!$C$30</f>
        <v>USD</v>
      </c>
      <c r="T704" s="109" t="str">
        <f>IFERROR(INDEX('Data Sheet'!$B$198:$B$275,MATCH(I704,'Data Sheet'!$F$198:$F$275,0)),"")</f>
        <v/>
      </c>
      <c r="U704" s="110" t="str">
        <f>IFERROR(INDEX('Data Sheet'!$D$198:$D$275,MATCH(I704,'Data Sheet'!$F$198:$F$275,0)),"")</f>
        <v/>
      </c>
      <c r="V704" s="99"/>
      <c r="W704" s="195" t="str">
        <f>IF(V704=Setup!$C$30,"Grant",IF(V704=Setup!$C$31,"Local",IF(V704=Setup!$C$32,"Other",IF(ISBLANK(V704),"","Other"))))</f>
        <v/>
      </c>
      <c r="X704" s="255"/>
      <c r="Y704" s="259" t="str">
        <f>IF(X704&lt;&gt;"",X704/VLOOKUP($V704,Setup!$C$30:$D$41,2,0),"")</f>
        <v/>
      </c>
      <c r="Z704" s="262"/>
      <c r="AA704" s="256" t="str">
        <f t="shared" si="310"/>
        <v/>
      </c>
      <c r="AB704" s="262"/>
      <c r="AC704" s="258" t="str">
        <f t="shared" si="311"/>
        <v/>
      </c>
      <c r="AD704" s="262"/>
      <c r="AE704" s="258" t="str">
        <f t="shared" si="312"/>
        <v/>
      </c>
      <c r="AF704" s="262"/>
      <c r="AG704" s="256" t="str">
        <f t="shared" si="313"/>
        <v/>
      </c>
      <c r="AH704" s="256" t="str">
        <f t="shared" si="314"/>
        <v/>
      </c>
      <c r="AI704" s="256" t="str">
        <f t="shared" si="315"/>
        <v/>
      </c>
      <c r="AJ704" s="111"/>
      <c r="AK704" s="255"/>
      <c r="AL704" s="259" t="str">
        <f>IF(AK704&lt;&gt;"",AK704/VLOOKUP($V704,Setup!$C$30:$D$41,2,0),"")</f>
        <v/>
      </c>
      <c r="AM704" s="266"/>
      <c r="AN704" s="258" t="str">
        <f t="shared" si="316"/>
        <v/>
      </c>
      <c r="AO704" s="266"/>
      <c r="AP704" s="258" t="str">
        <f t="shared" si="317"/>
        <v/>
      </c>
      <c r="AQ704" s="266"/>
      <c r="AR704" s="258" t="str">
        <f t="shared" si="318"/>
        <v/>
      </c>
      <c r="AS704" s="266"/>
      <c r="AT704" s="256" t="str">
        <f t="shared" si="319"/>
        <v/>
      </c>
      <c r="AU704" s="256" t="str">
        <f t="shared" si="320"/>
        <v/>
      </c>
      <c r="AV704" s="256" t="str">
        <f t="shared" si="321"/>
        <v/>
      </c>
      <c r="AW704" s="267"/>
      <c r="AX704" s="255"/>
      <c r="AY704" s="259" t="str">
        <f>IF(AX704&lt;&gt;"",AX704/VLOOKUP($V704,Setup!$C$30:$D$41,2,0),"")</f>
        <v/>
      </c>
      <c r="AZ704" s="268"/>
      <c r="BA704" s="258" t="str">
        <f t="shared" si="322"/>
        <v/>
      </c>
      <c r="BB704" s="268"/>
      <c r="BC704" s="258" t="str">
        <f t="shared" si="323"/>
        <v/>
      </c>
      <c r="BD704" s="268"/>
      <c r="BE704" s="258" t="str">
        <f t="shared" si="324"/>
        <v/>
      </c>
      <c r="BF704" s="268"/>
      <c r="BG704" s="256" t="str">
        <f t="shared" si="325"/>
        <v/>
      </c>
      <c r="BH704" s="256" t="str">
        <f t="shared" si="326"/>
        <v/>
      </c>
      <c r="BI704" s="256" t="str">
        <f t="shared" si="327"/>
        <v/>
      </c>
      <c r="BJ704" s="267"/>
      <c r="BK704" s="255"/>
      <c r="BL704" s="259" t="str">
        <f>IF(BK704&lt;&gt;"",BK704/VLOOKUP($V704,Setup!$C$30:$D$41,2,0),"")</f>
        <v/>
      </c>
      <c r="BM704" s="268"/>
      <c r="BN704" s="258" t="str">
        <f t="shared" si="328"/>
        <v/>
      </c>
      <c r="BO704" s="268"/>
      <c r="BP704" s="258" t="str">
        <f t="shared" si="329"/>
        <v/>
      </c>
      <c r="BQ704" s="268"/>
      <c r="BR704" s="258" t="str">
        <f t="shared" si="330"/>
        <v/>
      </c>
      <c r="BS704" s="268"/>
      <c r="BT704" s="256" t="str">
        <f t="shared" si="331"/>
        <v/>
      </c>
      <c r="BU704" s="256" t="str">
        <f t="shared" si="332"/>
        <v/>
      </c>
      <c r="BV704" s="256" t="str">
        <f t="shared" si="333"/>
        <v/>
      </c>
      <c r="BW704" s="267"/>
      <c r="BX704" s="256" t="str">
        <f t="shared" si="334"/>
        <v/>
      </c>
      <c r="BY704" s="256" t="str">
        <f t="shared" si="335"/>
        <v/>
      </c>
      <c r="BZ704" s="281"/>
      <c r="CA704" s="282"/>
      <c r="CF704" s="284"/>
      <c r="CG704" s="284"/>
      <c r="CH704" s="284"/>
      <c r="CI704" s="284"/>
      <c r="CL704" s="356" t="str">
        <f>IFERROR(VLOOKUP(C704,'Data Sheet'!$A$3:$B$26,2,FALSE),"")</f>
        <v/>
      </c>
    </row>
    <row r="705" spans="1:90" ht="15.75" x14ac:dyDescent="0.2">
      <c r="A705" s="97"/>
      <c r="B705" s="105" t="str">
        <f t="shared" si="338"/>
        <v>--</v>
      </c>
      <c r="C705" s="276"/>
      <c r="D705" s="101" t="str">
        <f>IFERROR(IF(VLOOKUP(C705,'Data Sheet'!$A$3:$D$26,4,FALSE)=0,"",VLOOKUP(C705,'Data Sheet'!$A$3:$D$26,4,FALSE)),"")</f>
        <v/>
      </c>
      <c r="E705" s="279"/>
      <c r="F705" s="103" t="str">
        <f>IFERROR(IF(VLOOKUP(E705,'Data Sheet'!$C$29:$E$174,3,FALSE)=0,"",VLOOKUP(E705,'Data Sheet'!$C$29:$E$174,3,FALSE)),"")</f>
        <v/>
      </c>
      <c r="G705" s="106" t="str">
        <f t="shared" si="336"/>
        <v>-</v>
      </c>
      <c r="H705" s="273"/>
      <c r="I705" s="107"/>
      <c r="J705" s="249" t="e">
        <f t="shared" si="337"/>
        <v>#VALUE!</v>
      </c>
      <c r="K705" s="101" t="str">
        <f>IFERROR(INDEX('Data Sheet'!$C$198:$C$275,MATCH(I705,'Data Sheet'!$F$198:$F$275,0)),"")</f>
        <v/>
      </c>
      <c r="L705" s="250" t="str">
        <f>IFERROR(INDEX('Data Sheet'!$G$198:$G$275,MATCH(I705,'Data Sheet'!$F$198:$F$275,0)),"")</f>
        <v/>
      </c>
      <c r="M705" s="194"/>
      <c r="N705" s="248"/>
      <c r="O705" s="248"/>
      <c r="P705" s="108" t="str">
        <f>IFERROR(INDEX(Setup!$D$44:$D$70,MATCH(M705,Setup!$K$44:$K$70,0))&amp;"","")</f>
        <v/>
      </c>
      <c r="Q705" s="108" t="str">
        <f>IFERROR(INDEX(Setup!$E$44:$E$70,MATCH(M705,Setup!$K$44:$K$70,0))&amp;"","")</f>
        <v/>
      </c>
      <c r="R705" s="108" t="str">
        <f>IFERROR(INDEX(Setup!$L$44:$L$70,MATCH(M705,Setup!$K$44:$K$70,0))&amp;"","")</f>
        <v/>
      </c>
      <c r="S705" s="108" t="str">
        <f>Setup!$C$30</f>
        <v>USD</v>
      </c>
      <c r="T705" s="109" t="str">
        <f>IFERROR(INDEX('Data Sheet'!$B$198:$B$275,MATCH(I705,'Data Sheet'!$F$198:$F$275,0)),"")</f>
        <v/>
      </c>
      <c r="U705" s="110" t="str">
        <f>IFERROR(INDEX('Data Sheet'!$D$198:$D$275,MATCH(I705,'Data Sheet'!$F$198:$F$275,0)),"")</f>
        <v/>
      </c>
      <c r="V705" s="99"/>
      <c r="W705" s="195" t="str">
        <f>IF(V705=Setup!$C$30,"Grant",IF(V705=Setup!$C$31,"Local",IF(V705=Setup!$C$32,"Other",IF(ISBLANK(V705),"","Other"))))</f>
        <v/>
      </c>
      <c r="X705" s="255"/>
      <c r="Y705" s="259" t="str">
        <f>IF(X705&lt;&gt;"",X705/VLOOKUP($V705,Setup!$C$30:$D$41,2,0),"")</f>
        <v/>
      </c>
      <c r="Z705" s="262"/>
      <c r="AA705" s="256" t="str">
        <f t="shared" si="310"/>
        <v/>
      </c>
      <c r="AB705" s="262"/>
      <c r="AC705" s="258" t="str">
        <f t="shared" si="311"/>
        <v/>
      </c>
      <c r="AD705" s="262"/>
      <c r="AE705" s="258" t="str">
        <f t="shared" si="312"/>
        <v/>
      </c>
      <c r="AF705" s="262"/>
      <c r="AG705" s="256" t="str">
        <f t="shared" si="313"/>
        <v/>
      </c>
      <c r="AH705" s="256" t="str">
        <f t="shared" si="314"/>
        <v/>
      </c>
      <c r="AI705" s="256" t="str">
        <f t="shared" si="315"/>
        <v/>
      </c>
      <c r="AJ705" s="111"/>
      <c r="AK705" s="255"/>
      <c r="AL705" s="259" t="str">
        <f>IF(AK705&lt;&gt;"",AK705/VLOOKUP($V705,Setup!$C$30:$D$41,2,0),"")</f>
        <v/>
      </c>
      <c r="AM705" s="266"/>
      <c r="AN705" s="258" t="str">
        <f t="shared" si="316"/>
        <v/>
      </c>
      <c r="AO705" s="266"/>
      <c r="AP705" s="258" t="str">
        <f t="shared" si="317"/>
        <v/>
      </c>
      <c r="AQ705" s="266"/>
      <c r="AR705" s="258" t="str">
        <f t="shared" si="318"/>
        <v/>
      </c>
      <c r="AS705" s="266"/>
      <c r="AT705" s="256" t="str">
        <f t="shared" si="319"/>
        <v/>
      </c>
      <c r="AU705" s="256" t="str">
        <f t="shared" si="320"/>
        <v/>
      </c>
      <c r="AV705" s="256" t="str">
        <f t="shared" si="321"/>
        <v/>
      </c>
      <c r="AW705" s="267"/>
      <c r="AX705" s="255"/>
      <c r="AY705" s="259" t="str">
        <f>IF(AX705&lt;&gt;"",AX705/VLOOKUP($V705,Setup!$C$30:$D$41,2,0),"")</f>
        <v/>
      </c>
      <c r="AZ705" s="268"/>
      <c r="BA705" s="258" t="str">
        <f t="shared" si="322"/>
        <v/>
      </c>
      <c r="BB705" s="268"/>
      <c r="BC705" s="258" t="str">
        <f t="shared" si="323"/>
        <v/>
      </c>
      <c r="BD705" s="268"/>
      <c r="BE705" s="258" t="str">
        <f t="shared" si="324"/>
        <v/>
      </c>
      <c r="BF705" s="268"/>
      <c r="BG705" s="256" t="str">
        <f t="shared" si="325"/>
        <v/>
      </c>
      <c r="BH705" s="256" t="str">
        <f t="shared" si="326"/>
        <v/>
      </c>
      <c r="BI705" s="256" t="str">
        <f t="shared" si="327"/>
        <v/>
      </c>
      <c r="BJ705" s="267"/>
      <c r="BK705" s="255"/>
      <c r="BL705" s="259" t="str">
        <f>IF(BK705&lt;&gt;"",BK705/VLOOKUP($V705,Setup!$C$30:$D$41,2,0),"")</f>
        <v/>
      </c>
      <c r="BM705" s="268"/>
      <c r="BN705" s="258" t="str">
        <f t="shared" si="328"/>
        <v/>
      </c>
      <c r="BO705" s="268"/>
      <c r="BP705" s="258" t="str">
        <f t="shared" si="329"/>
        <v/>
      </c>
      <c r="BQ705" s="268"/>
      <c r="BR705" s="258" t="str">
        <f t="shared" si="330"/>
        <v/>
      </c>
      <c r="BS705" s="268"/>
      <c r="BT705" s="256" t="str">
        <f t="shared" si="331"/>
        <v/>
      </c>
      <c r="BU705" s="256" t="str">
        <f t="shared" si="332"/>
        <v/>
      </c>
      <c r="BV705" s="256" t="str">
        <f t="shared" si="333"/>
        <v/>
      </c>
      <c r="BW705" s="267"/>
      <c r="BX705" s="256" t="str">
        <f t="shared" si="334"/>
        <v/>
      </c>
      <c r="BY705" s="256" t="str">
        <f t="shared" si="335"/>
        <v/>
      </c>
      <c r="BZ705" s="281"/>
      <c r="CA705" s="282"/>
      <c r="CF705" s="284"/>
      <c r="CG705" s="284"/>
      <c r="CH705" s="284"/>
      <c r="CI705" s="284"/>
      <c r="CL705" s="356" t="str">
        <f>IFERROR(VLOOKUP(C705,'Data Sheet'!$A$3:$B$26,2,FALSE),"")</f>
        <v/>
      </c>
    </row>
    <row r="706" spans="1:90" ht="15.75" x14ac:dyDescent="0.2">
      <c r="A706" s="97"/>
      <c r="B706" s="105" t="str">
        <f t="shared" si="338"/>
        <v>--</v>
      </c>
      <c r="C706" s="276"/>
      <c r="D706" s="101" t="str">
        <f>IFERROR(IF(VLOOKUP(C706,'Data Sheet'!$A$3:$D$26,4,FALSE)=0,"",VLOOKUP(C706,'Data Sheet'!$A$3:$D$26,4,FALSE)),"")</f>
        <v/>
      </c>
      <c r="E706" s="279"/>
      <c r="F706" s="103" t="str">
        <f>IFERROR(IF(VLOOKUP(E706,'Data Sheet'!$C$29:$E$174,3,FALSE)=0,"",VLOOKUP(E706,'Data Sheet'!$C$29:$E$174,3,FALSE)),"")</f>
        <v/>
      </c>
      <c r="G706" s="106" t="str">
        <f t="shared" si="336"/>
        <v>-</v>
      </c>
      <c r="H706" s="273"/>
      <c r="I706" s="107"/>
      <c r="J706" s="249" t="e">
        <f t="shared" si="337"/>
        <v>#VALUE!</v>
      </c>
      <c r="K706" s="101" t="str">
        <f>IFERROR(INDEX('Data Sheet'!$C$198:$C$275,MATCH(I706,'Data Sheet'!$F$198:$F$275,0)),"")</f>
        <v/>
      </c>
      <c r="L706" s="250" t="str">
        <f>IFERROR(INDEX('Data Sheet'!$G$198:$G$275,MATCH(I706,'Data Sheet'!$F$198:$F$275,0)),"")</f>
        <v/>
      </c>
      <c r="M706" s="194"/>
      <c r="N706" s="248"/>
      <c r="O706" s="248"/>
      <c r="P706" s="108" t="str">
        <f>IFERROR(INDEX(Setup!$D$44:$D$70,MATCH(M706,Setup!$K$44:$K$70,0))&amp;"","")</f>
        <v/>
      </c>
      <c r="Q706" s="108" t="str">
        <f>IFERROR(INDEX(Setup!$E$44:$E$70,MATCH(M706,Setup!$K$44:$K$70,0))&amp;"","")</f>
        <v/>
      </c>
      <c r="R706" s="108" t="str">
        <f>IFERROR(INDEX(Setup!$L$44:$L$70,MATCH(M706,Setup!$K$44:$K$70,0))&amp;"","")</f>
        <v/>
      </c>
      <c r="S706" s="108" t="str">
        <f>Setup!$C$30</f>
        <v>USD</v>
      </c>
      <c r="T706" s="109" t="str">
        <f>IFERROR(INDEX('Data Sheet'!$B$198:$B$275,MATCH(I706,'Data Sheet'!$F$198:$F$275,0)),"")</f>
        <v/>
      </c>
      <c r="U706" s="110" t="str">
        <f>IFERROR(INDEX('Data Sheet'!$D$198:$D$275,MATCH(I706,'Data Sheet'!$F$198:$F$275,0)),"")</f>
        <v/>
      </c>
      <c r="V706" s="99"/>
      <c r="W706" s="195" t="str">
        <f>IF(V706=Setup!$C$30,"Grant",IF(V706=Setup!$C$31,"Local",IF(V706=Setup!$C$32,"Other",IF(ISBLANK(V706),"","Other"))))</f>
        <v/>
      </c>
      <c r="X706" s="255"/>
      <c r="Y706" s="259" t="str">
        <f>IF(X706&lt;&gt;"",X706/VLOOKUP($V706,Setup!$C$30:$D$41,2,0),"")</f>
        <v/>
      </c>
      <c r="Z706" s="262"/>
      <c r="AA706" s="256" t="str">
        <f t="shared" si="310"/>
        <v/>
      </c>
      <c r="AB706" s="262"/>
      <c r="AC706" s="258" t="str">
        <f t="shared" si="311"/>
        <v/>
      </c>
      <c r="AD706" s="262"/>
      <c r="AE706" s="258" t="str">
        <f t="shared" si="312"/>
        <v/>
      </c>
      <c r="AF706" s="262"/>
      <c r="AG706" s="256" t="str">
        <f t="shared" si="313"/>
        <v/>
      </c>
      <c r="AH706" s="256" t="str">
        <f t="shared" si="314"/>
        <v/>
      </c>
      <c r="AI706" s="256" t="str">
        <f t="shared" si="315"/>
        <v/>
      </c>
      <c r="AJ706" s="111"/>
      <c r="AK706" s="255"/>
      <c r="AL706" s="259" t="str">
        <f>IF(AK706&lt;&gt;"",AK706/VLOOKUP($V706,Setup!$C$30:$D$41,2,0),"")</f>
        <v/>
      </c>
      <c r="AM706" s="266"/>
      <c r="AN706" s="258" t="str">
        <f t="shared" si="316"/>
        <v/>
      </c>
      <c r="AO706" s="266"/>
      <c r="AP706" s="258" t="str">
        <f t="shared" si="317"/>
        <v/>
      </c>
      <c r="AQ706" s="266"/>
      <c r="AR706" s="258" t="str">
        <f t="shared" si="318"/>
        <v/>
      </c>
      <c r="AS706" s="266"/>
      <c r="AT706" s="256" t="str">
        <f t="shared" si="319"/>
        <v/>
      </c>
      <c r="AU706" s="256" t="str">
        <f t="shared" si="320"/>
        <v/>
      </c>
      <c r="AV706" s="256" t="str">
        <f t="shared" si="321"/>
        <v/>
      </c>
      <c r="AW706" s="267"/>
      <c r="AX706" s="255"/>
      <c r="AY706" s="259" t="str">
        <f>IF(AX706&lt;&gt;"",AX706/VLOOKUP($V706,Setup!$C$30:$D$41,2,0),"")</f>
        <v/>
      </c>
      <c r="AZ706" s="268"/>
      <c r="BA706" s="258" t="str">
        <f t="shared" si="322"/>
        <v/>
      </c>
      <c r="BB706" s="268"/>
      <c r="BC706" s="258" t="str">
        <f t="shared" si="323"/>
        <v/>
      </c>
      <c r="BD706" s="268"/>
      <c r="BE706" s="258" t="str">
        <f t="shared" si="324"/>
        <v/>
      </c>
      <c r="BF706" s="268"/>
      <c r="BG706" s="256" t="str">
        <f t="shared" si="325"/>
        <v/>
      </c>
      <c r="BH706" s="256" t="str">
        <f t="shared" si="326"/>
        <v/>
      </c>
      <c r="BI706" s="256" t="str">
        <f t="shared" si="327"/>
        <v/>
      </c>
      <c r="BJ706" s="267"/>
      <c r="BK706" s="255"/>
      <c r="BL706" s="259" t="str">
        <f>IF(BK706&lt;&gt;"",BK706/VLOOKUP($V706,Setup!$C$30:$D$41,2,0),"")</f>
        <v/>
      </c>
      <c r="BM706" s="268"/>
      <c r="BN706" s="258" t="str">
        <f t="shared" si="328"/>
        <v/>
      </c>
      <c r="BO706" s="268"/>
      <c r="BP706" s="258" t="str">
        <f t="shared" si="329"/>
        <v/>
      </c>
      <c r="BQ706" s="268"/>
      <c r="BR706" s="258" t="str">
        <f t="shared" si="330"/>
        <v/>
      </c>
      <c r="BS706" s="268"/>
      <c r="BT706" s="256" t="str">
        <f t="shared" si="331"/>
        <v/>
      </c>
      <c r="BU706" s="256" t="str">
        <f t="shared" si="332"/>
        <v/>
      </c>
      <c r="BV706" s="256" t="str">
        <f t="shared" si="333"/>
        <v/>
      </c>
      <c r="BW706" s="267"/>
      <c r="BX706" s="256" t="str">
        <f t="shared" si="334"/>
        <v/>
      </c>
      <c r="BY706" s="256" t="str">
        <f t="shared" si="335"/>
        <v/>
      </c>
      <c r="BZ706" s="281"/>
      <c r="CA706" s="282"/>
      <c r="CF706" s="284"/>
      <c r="CG706" s="284"/>
      <c r="CH706" s="284"/>
      <c r="CI706" s="284"/>
      <c r="CL706" s="356" t="str">
        <f>IFERROR(VLOOKUP(C706,'Data Sheet'!$A$3:$B$26,2,FALSE),"")</f>
        <v/>
      </c>
    </row>
    <row r="707" spans="1:90" ht="15.75" x14ac:dyDescent="0.2">
      <c r="A707" s="97"/>
      <c r="B707" s="105" t="str">
        <f t="shared" si="338"/>
        <v>--</v>
      </c>
      <c r="C707" s="276"/>
      <c r="D707" s="101" t="str">
        <f>IFERROR(IF(VLOOKUP(C707,'Data Sheet'!$A$3:$D$26,4,FALSE)=0,"",VLOOKUP(C707,'Data Sheet'!$A$3:$D$26,4,FALSE)),"")</f>
        <v/>
      </c>
      <c r="E707" s="279"/>
      <c r="F707" s="103" t="str">
        <f>IFERROR(IF(VLOOKUP(E707,'Data Sheet'!$C$29:$E$174,3,FALSE)=0,"",VLOOKUP(E707,'Data Sheet'!$C$29:$E$174,3,FALSE)),"")</f>
        <v/>
      </c>
      <c r="G707" s="106" t="str">
        <f t="shared" si="336"/>
        <v>-</v>
      </c>
      <c r="H707" s="273"/>
      <c r="I707" s="107"/>
      <c r="J707" s="249" t="e">
        <f t="shared" si="337"/>
        <v>#VALUE!</v>
      </c>
      <c r="K707" s="101" t="str">
        <f>IFERROR(INDEX('Data Sheet'!$C$198:$C$275,MATCH(I707,'Data Sheet'!$F$198:$F$275,0)),"")</f>
        <v/>
      </c>
      <c r="L707" s="250" t="str">
        <f>IFERROR(INDEX('Data Sheet'!$G$198:$G$275,MATCH(I707,'Data Sheet'!$F$198:$F$275,0)),"")</f>
        <v/>
      </c>
      <c r="M707" s="194"/>
      <c r="N707" s="248"/>
      <c r="O707" s="248"/>
      <c r="P707" s="108" t="str">
        <f>IFERROR(INDEX(Setup!$D$44:$D$70,MATCH(M707,Setup!$K$44:$K$70,0))&amp;"","")</f>
        <v/>
      </c>
      <c r="Q707" s="108" t="str">
        <f>IFERROR(INDEX(Setup!$E$44:$E$70,MATCH(M707,Setup!$K$44:$K$70,0))&amp;"","")</f>
        <v/>
      </c>
      <c r="R707" s="108" t="str">
        <f>IFERROR(INDEX(Setup!$L$44:$L$70,MATCH(M707,Setup!$K$44:$K$70,0))&amp;"","")</f>
        <v/>
      </c>
      <c r="S707" s="108" t="str">
        <f>Setup!$C$30</f>
        <v>USD</v>
      </c>
      <c r="T707" s="109" t="str">
        <f>IFERROR(INDEX('Data Sheet'!$B$198:$B$275,MATCH(I707,'Data Sheet'!$F$198:$F$275,0)),"")</f>
        <v/>
      </c>
      <c r="U707" s="110" t="str">
        <f>IFERROR(INDEX('Data Sheet'!$D$198:$D$275,MATCH(I707,'Data Sheet'!$F$198:$F$275,0)),"")</f>
        <v/>
      </c>
      <c r="V707" s="99"/>
      <c r="W707" s="195" t="str">
        <f>IF(V707=Setup!$C$30,"Grant",IF(V707=Setup!$C$31,"Local",IF(V707=Setup!$C$32,"Other",IF(ISBLANK(V707),"","Other"))))</f>
        <v/>
      </c>
      <c r="X707" s="255"/>
      <c r="Y707" s="259" t="str">
        <f>IF(X707&lt;&gt;"",X707/VLOOKUP($V707,Setup!$C$30:$D$41,2,0),"")</f>
        <v/>
      </c>
      <c r="Z707" s="262"/>
      <c r="AA707" s="256" t="str">
        <f t="shared" si="310"/>
        <v/>
      </c>
      <c r="AB707" s="262"/>
      <c r="AC707" s="258" t="str">
        <f t="shared" si="311"/>
        <v/>
      </c>
      <c r="AD707" s="262"/>
      <c r="AE707" s="258" t="str">
        <f t="shared" si="312"/>
        <v/>
      </c>
      <c r="AF707" s="262"/>
      <c r="AG707" s="256" t="str">
        <f t="shared" si="313"/>
        <v/>
      </c>
      <c r="AH707" s="256" t="str">
        <f t="shared" si="314"/>
        <v/>
      </c>
      <c r="AI707" s="256" t="str">
        <f t="shared" si="315"/>
        <v/>
      </c>
      <c r="AJ707" s="111"/>
      <c r="AK707" s="255"/>
      <c r="AL707" s="259" t="str">
        <f>IF(AK707&lt;&gt;"",AK707/VLOOKUP($V707,Setup!$C$30:$D$41,2,0),"")</f>
        <v/>
      </c>
      <c r="AM707" s="266"/>
      <c r="AN707" s="258" t="str">
        <f t="shared" si="316"/>
        <v/>
      </c>
      <c r="AO707" s="266"/>
      <c r="AP707" s="258" t="str">
        <f t="shared" si="317"/>
        <v/>
      </c>
      <c r="AQ707" s="266"/>
      <c r="AR707" s="258" t="str">
        <f t="shared" si="318"/>
        <v/>
      </c>
      <c r="AS707" s="266"/>
      <c r="AT707" s="256" t="str">
        <f t="shared" si="319"/>
        <v/>
      </c>
      <c r="AU707" s="256" t="str">
        <f t="shared" si="320"/>
        <v/>
      </c>
      <c r="AV707" s="256" t="str">
        <f t="shared" si="321"/>
        <v/>
      </c>
      <c r="AW707" s="267"/>
      <c r="AX707" s="255"/>
      <c r="AY707" s="259" t="str">
        <f>IF(AX707&lt;&gt;"",AX707/VLOOKUP($V707,Setup!$C$30:$D$41,2,0),"")</f>
        <v/>
      </c>
      <c r="AZ707" s="268"/>
      <c r="BA707" s="258" t="str">
        <f t="shared" si="322"/>
        <v/>
      </c>
      <c r="BB707" s="268"/>
      <c r="BC707" s="258" t="str">
        <f t="shared" si="323"/>
        <v/>
      </c>
      <c r="BD707" s="268"/>
      <c r="BE707" s="258" t="str">
        <f t="shared" si="324"/>
        <v/>
      </c>
      <c r="BF707" s="268"/>
      <c r="BG707" s="256" t="str">
        <f t="shared" si="325"/>
        <v/>
      </c>
      <c r="BH707" s="256" t="str">
        <f t="shared" si="326"/>
        <v/>
      </c>
      <c r="BI707" s="256" t="str">
        <f t="shared" si="327"/>
        <v/>
      </c>
      <c r="BJ707" s="267"/>
      <c r="BK707" s="255"/>
      <c r="BL707" s="259" t="str">
        <f>IF(BK707&lt;&gt;"",BK707/VLOOKUP($V707,Setup!$C$30:$D$41,2,0),"")</f>
        <v/>
      </c>
      <c r="BM707" s="268"/>
      <c r="BN707" s="258" t="str">
        <f t="shared" si="328"/>
        <v/>
      </c>
      <c r="BO707" s="268"/>
      <c r="BP707" s="258" t="str">
        <f t="shared" si="329"/>
        <v/>
      </c>
      <c r="BQ707" s="268"/>
      <c r="BR707" s="258" t="str">
        <f t="shared" si="330"/>
        <v/>
      </c>
      <c r="BS707" s="268"/>
      <c r="BT707" s="256" t="str">
        <f t="shared" si="331"/>
        <v/>
      </c>
      <c r="BU707" s="256" t="str">
        <f t="shared" si="332"/>
        <v/>
      </c>
      <c r="BV707" s="256" t="str">
        <f t="shared" si="333"/>
        <v/>
      </c>
      <c r="BW707" s="267"/>
      <c r="BX707" s="256" t="str">
        <f t="shared" si="334"/>
        <v/>
      </c>
      <c r="BY707" s="256" t="str">
        <f t="shared" si="335"/>
        <v/>
      </c>
      <c r="BZ707" s="281"/>
      <c r="CA707" s="282"/>
      <c r="CF707" s="284"/>
      <c r="CG707" s="284"/>
      <c r="CH707" s="284"/>
      <c r="CI707" s="284"/>
      <c r="CL707" s="356" t="str">
        <f>IFERROR(VLOOKUP(C707,'Data Sheet'!$A$3:$B$26,2,FALSE),"")</f>
        <v/>
      </c>
    </row>
    <row r="708" spans="1:90" ht="15.75" x14ac:dyDescent="0.2">
      <c r="A708" s="97"/>
      <c r="B708" s="105" t="str">
        <f t="shared" si="338"/>
        <v>--</v>
      </c>
      <c r="C708" s="276"/>
      <c r="D708" s="101" t="str">
        <f>IFERROR(IF(VLOOKUP(C708,'Data Sheet'!$A$3:$D$26,4,FALSE)=0,"",VLOOKUP(C708,'Data Sheet'!$A$3:$D$26,4,FALSE)),"")</f>
        <v/>
      </c>
      <c r="E708" s="279"/>
      <c r="F708" s="103" t="str">
        <f>IFERROR(IF(VLOOKUP(E708,'Data Sheet'!$C$29:$E$174,3,FALSE)=0,"",VLOOKUP(E708,'Data Sheet'!$C$29:$E$174,3,FALSE)),"")</f>
        <v/>
      </c>
      <c r="G708" s="106" t="str">
        <f t="shared" si="336"/>
        <v>-</v>
      </c>
      <c r="H708" s="273"/>
      <c r="I708" s="107"/>
      <c r="J708" s="249" t="e">
        <f t="shared" si="337"/>
        <v>#VALUE!</v>
      </c>
      <c r="K708" s="101" t="str">
        <f>IFERROR(INDEX('Data Sheet'!$C$198:$C$275,MATCH(I708,'Data Sheet'!$F$198:$F$275,0)),"")</f>
        <v/>
      </c>
      <c r="L708" s="250" t="str">
        <f>IFERROR(INDEX('Data Sheet'!$G$198:$G$275,MATCH(I708,'Data Sheet'!$F$198:$F$275,0)),"")</f>
        <v/>
      </c>
      <c r="M708" s="194"/>
      <c r="N708" s="248"/>
      <c r="O708" s="248"/>
      <c r="P708" s="108" t="str">
        <f>IFERROR(INDEX(Setup!$D$44:$D$70,MATCH(M708,Setup!$K$44:$K$70,0))&amp;"","")</f>
        <v/>
      </c>
      <c r="Q708" s="108" t="str">
        <f>IFERROR(INDEX(Setup!$E$44:$E$70,MATCH(M708,Setup!$K$44:$K$70,0))&amp;"","")</f>
        <v/>
      </c>
      <c r="R708" s="108" t="str">
        <f>IFERROR(INDEX(Setup!$L$44:$L$70,MATCH(M708,Setup!$K$44:$K$70,0))&amp;"","")</f>
        <v/>
      </c>
      <c r="S708" s="108" t="str">
        <f>Setup!$C$30</f>
        <v>USD</v>
      </c>
      <c r="T708" s="109" t="str">
        <f>IFERROR(INDEX('Data Sheet'!$B$198:$B$275,MATCH(I708,'Data Sheet'!$F$198:$F$275,0)),"")</f>
        <v/>
      </c>
      <c r="U708" s="110" t="str">
        <f>IFERROR(INDEX('Data Sheet'!$D$198:$D$275,MATCH(I708,'Data Sheet'!$F$198:$F$275,0)),"")</f>
        <v/>
      </c>
      <c r="V708" s="99"/>
      <c r="W708" s="195" t="str">
        <f>IF(V708=Setup!$C$30,"Grant",IF(V708=Setup!$C$31,"Local",IF(V708=Setup!$C$32,"Other",IF(ISBLANK(V708),"","Other"))))</f>
        <v/>
      </c>
      <c r="X708" s="255"/>
      <c r="Y708" s="259" t="str">
        <f>IF(X708&lt;&gt;"",X708/VLOOKUP($V708,Setup!$C$30:$D$41,2,0),"")</f>
        <v/>
      </c>
      <c r="Z708" s="262"/>
      <c r="AA708" s="256" t="str">
        <f t="shared" si="310"/>
        <v/>
      </c>
      <c r="AB708" s="262"/>
      <c r="AC708" s="258" t="str">
        <f t="shared" si="311"/>
        <v/>
      </c>
      <c r="AD708" s="262"/>
      <c r="AE708" s="258" t="str">
        <f t="shared" si="312"/>
        <v/>
      </c>
      <c r="AF708" s="262"/>
      <c r="AG708" s="256" t="str">
        <f t="shared" si="313"/>
        <v/>
      </c>
      <c r="AH708" s="256" t="str">
        <f t="shared" si="314"/>
        <v/>
      </c>
      <c r="AI708" s="256" t="str">
        <f t="shared" si="315"/>
        <v/>
      </c>
      <c r="AJ708" s="111"/>
      <c r="AK708" s="255"/>
      <c r="AL708" s="259" t="str">
        <f>IF(AK708&lt;&gt;"",AK708/VLOOKUP($V708,Setup!$C$30:$D$41,2,0),"")</f>
        <v/>
      </c>
      <c r="AM708" s="266"/>
      <c r="AN708" s="258" t="str">
        <f t="shared" si="316"/>
        <v/>
      </c>
      <c r="AO708" s="266"/>
      <c r="AP708" s="258" t="str">
        <f t="shared" si="317"/>
        <v/>
      </c>
      <c r="AQ708" s="266"/>
      <c r="AR708" s="258" t="str">
        <f t="shared" si="318"/>
        <v/>
      </c>
      <c r="AS708" s="266"/>
      <c r="AT708" s="256" t="str">
        <f t="shared" si="319"/>
        <v/>
      </c>
      <c r="AU708" s="256" t="str">
        <f t="shared" si="320"/>
        <v/>
      </c>
      <c r="AV708" s="256" t="str">
        <f t="shared" si="321"/>
        <v/>
      </c>
      <c r="AW708" s="267"/>
      <c r="AX708" s="255"/>
      <c r="AY708" s="259" t="str">
        <f>IF(AX708&lt;&gt;"",AX708/VLOOKUP($V708,Setup!$C$30:$D$41,2,0),"")</f>
        <v/>
      </c>
      <c r="AZ708" s="268"/>
      <c r="BA708" s="258" t="str">
        <f t="shared" si="322"/>
        <v/>
      </c>
      <c r="BB708" s="268"/>
      <c r="BC708" s="258" t="str">
        <f t="shared" si="323"/>
        <v/>
      </c>
      <c r="BD708" s="268"/>
      <c r="BE708" s="258" t="str">
        <f t="shared" si="324"/>
        <v/>
      </c>
      <c r="BF708" s="268"/>
      <c r="BG708" s="256" t="str">
        <f t="shared" si="325"/>
        <v/>
      </c>
      <c r="BH708" s="256" t="str">
        <f t="shared" si="326"/>
        <v/>
      </c>
      <c r="BI708" s="256" t="str">
        <f t="shared" si="327"/>
        <v/>
      </c>
      <c r="BJ708" s="267"/>
      <c r="BK708" s="255"/>
      <c r="BL708" s="259" t="str">
        <f>IF(BK708&lt;&gt;"",BK708/VLOOKUP($V708,Setup!$C$30:$D$41,2,0),"")</f>
        <v/>
      </c>
      <c r="BM708" s="268"/>
      <c r="BN708" s="258" t="str">
        <f t="shared" si="328"/>
        <v/>
      </c>
      <c r="BO708" s="268"/>
      <c r="BP708" s="258" t="str">
        <f t="shared" si="329"/>
        <v/>
      </c>
      <c r="BQ708" s="268"/>
      <c r="BR708" s="258" t="str">
        <f t="shared" si="330"/>
        <v/>
      </c>
      <c r="BS708" s="268"/>
      <c r="BT708" s="256" t="str">
        <f t="shared" si="331"/>
        <v/>
      </c>
      <c r="BU708" s="256" t="str">
        <f t="shared" si="332"/>
        <v/>
      </c>
      <c r="BV708" s="256" t="str">
        <f t="shared" si="333"/>
        <v/>
      </c>
      <c r="BW708" s="267"/>
      <c r="BX708" s="256" t="str">
        <f t="shared" si="334"/>
        <v/>
      </c>
      <c r="BY708" s="256" t="str">
        <f t="shared" si="335"/>
        <v/>
      </c>
      <c r="BZ708" s="281"/>
      <c r="CA708" s="282"/>
      <c r="CF708" s="284"/>
      <c r="CG708" s="284"/>
      <c r="CH708" s="284"/>
      <c r="CI708" s="284"/>
      <c r="CL708" s="356" t="str">
        <f>IFERROR(VLOOKUP(C708,'Data Sheet'!$A$3:$B$26,2,FALSE),"")</f>
        <v/>
      </c>
    </row>
    <row r="709" spans="1:90" ht="15.75" x14ac:dyDescent="0.2">
      <c r="A709" s="97"/>
      <c r="B709" s="105" t="str">
        <f t="shared" si="338"/>
        <v>--</v>
      </c>
      <c r="C709" s="276"/>
      <c r="D709" s="101" t="str">
        <f>IFERROR(IF(VLOOKUP(C709,'Data Sheet'!$A$3:$D$26,4,FALSE)=0,"",VLOOKUP(C709,'Data Sheet'!$A$3:$D$26,4,FALSE)),"")</f>
        <v/>
      </c>
      <c r="E709" s="279"/>
      <c r="F709" s="103" t="str">
        <f>IFERROR(IF(VLOOKUP(E709,'Data Sheet'!$C$29:$E$174,3,FALSE)=0,"",VLOOKUP(E709,'Data Sheet'!$C$29:$E$174,3,FALSE)),"")</f>
        <v/>
      </c>
      <c r="G709" s="106" t="str">
        <f t="shared" si="336"/>
        <v>-</v>
      </c>
      <c r="H709" s="273"/>
      <c r="I709" s="107"/>
      <c r="J709" s="249" t="e">
        <f t="shared" si="337"/>
        <v>#VALUE!</v>
      </c>
      <c r="K709" s="101" t="str">
        <f>IFERROR(INDEX('Data Sheet'!$C$198:$C$275,MATCH(I709,'Data Sheet'!$F$198:$F$275,0)),"")</f>
        <v/>
      </c>
      <c r="L709" s="250" t="str">
        <f>IFERROR(INDEX('Data Sheet'!$G$198:$G$275,MATCH(I709,'Data Sheet'!$F$198:$F$275,0)),"")</f>
        <v/>
      </c>
      <c r="M709" s="194"/>
      <c r="N709" s="248"/>
      <c r="O709" s="248"/>
      <c r="P709" s="108" t="str">
        <f>IFERROR(INDEX(Setup!$D$44:$D$70,MATCH(M709,Setup!$K$44:$K$70,0))&amp;"","")</f>
        <v/>
      </c>
      <c r="Q709" s="108" t="str">
        <f>IFERROR(INDEX(Setup!$E$44:$E$70,MATCH(M709,Setup!$K$44:$K$70,0))&amp;"","")</f>
        <v/>
      </c>
      <c r="R709" s="108" t="str">
        <f>IFERROR(INDEX(Setup!$L$44:$L$70,MATCH(M709,Setup!$K$44:$K$70,0))&amp;"","")</f>
        <v/>
      </c>
      <c r="S709" s="108" t="str">
        <f>Setup!$C$30</f>
        <v>USD</v>
      </c>
      <c r="T709" s="109" t="str">
        <f>IFERROR(INDEX('Data Sheet'!$B$198:$B$275,MATCH(I709,'Data Sheet'!$F$198:$F$275,0)),"")</f>
        <v/>
      </c>
      <c r="U709" s="110" t="str">
        <f>IFERROR(INDEX('Data Sheet'!$D$198:$D$275,MATCH(I709,'Data Sheet'!$F$198:$F$275,0)),"")</f>
        <v/>
      </c>
      <c r="V709" s="99"/>
      <c r="W709" s="195" t="str">
        <f>IF(V709=Setup!$C$30,"Grant",IF(V709=Setup!$C$31,"Local",IF(V709=Setup!$C$32,"Other",IF(ISBLANK(V709),"","Other"))))</f>
        <v/>
      </c>
      <c r="X709" s="255"/>
      <c r="Y709" s="259" t="str">
        <f>IF(X709&lt;&gt;"",X709/VLOOKUP($V709,Setup!$C$30:$D$41,2,0),"")</f>
        <v/>
      </c>
      <c r="Z709" s="262"/>
      <c r="AA709" s="256" t="str">
        <f t="shared" ref="AA709:AA772" si="339">IFERROR(IF(AND(NOT(Z709=""),NOT(Y709="")),Z709*Y709,""),"")</f>
        <v/>
      </c>
      <c r="AB709" s="262"/>
      <c r="AC709" s="258" t="str">
        <f t="shared" ref="AC709:AC772" si="340">IFERROR(IF(AND(NOT(AB709=""),NOT(Y709="")),AB709*Y709,""),"")</f>
        <v/>
      </c>
      <c r="AD709" s="262"/>
      <c r="AE709" s="258" t="str">
        <f t="shared" ref="AE709:AE772" si="341">IFERROR(IF(AND(NOT(AD709=""),NOT(Y709="")),AD709*Y709,""),"")</f>
        <v/>
      </c>
      <c r="AF709" s="262"/>
      <c r="AG709" s="256" t="str">
        <f t="shared" ref="AG709:AG772" si="342">IFERROR(IF(AND(NOT(AF709=""),NOT(Y709="")),AF709*Y709,""),"")</f>
        <v/>
      </c>
      <c r="AH709" s="256" t="str">
        <f t="shared" ref="AH709:AH772" si="343">IFERROR(IF(OR(NOT(Z709=""),NOT(AF709=""),NOT(AB709=""),NOT(AD709="")),Z709+AF709+AB709+AD709,""),"")</f>
        <v/>
      </c>
      <c r="AI709" s="256" t="str">
        <f t="shared" ref="AI709:AI772" si="344">IF(SUM(AA709,AC709,AE709,AG709)&gt;0,SUM(AA709,AC709,AE709,AG709),"")</f>
        <v/>
      </c>
      <c r="AJ709" s="111"/>
      <c r="AK709" s="255"/>
      <c r="AL709" s="259" t="str">
        <f>IF(AK709&lt;&gt;"",AK709/VLOOKUP($V709,Setup!$C$30:$D$41,2,0),"")</f>
        <v/>
      </c>
      <c r="AM709" s="266"/>
      <c r="AN709" s="258" t="str">
        <f t="shared" ref="AN709:AN772" si="345">IFERROR(IF(AND(NOT(AM709=""),NOT(AL709="")),AM709*$AL709,""),"")</f>
        <v/>
      </c>
      <c r="AO709" s="266"/>
      <c r="AP709" s="258" t="str">
        <f t="shared" ref="AP709:AP772" si="346">IFERROR(IF(AND(NOT(AO709=""),NOT(AL709="")),AO709*$AL709,""),"")</f>
        <v/>
      </c>
      <c r="AQ709" s="266"/>
      <c r="AR709" s="258" t="str">
        <f t="shared" ref="AR709:AR772" si="347">IFERROR(IF(AND(NOT(AQ709=""),NOT(AL709="")),AQ709*$AL709,""),"")</f>
        <v/>
      </c>
      <c r="AS709" s="266"/>
      <c r="AT709" s="256" t="str">
        <f t="shared" ref="AT709:AT772" si="348">IFERROR(IF(AND(NOT(AS709=""),NOT(AL709="")),AS709*$AL709,""),"")</f>
        <v/>
      </c>
      <c r="AU709" s="256" t="str">
        <f t="shared" ref="AU709:AU772" si="349">IFERROR(IF(OR(NOT(AM709=""),NOT(AS709=""),NOT(AO709=""),NOT(AQ709="")),AM709+AS709+AO709+AQ709,""),"")</f>
        <v/>
      </c>
      <c r="AV709" s="256" t="str">
        <f t="shared" ref="AV709:AV772" si="350">IF(SUM(AN709,AT709,AP709,AR709)&gt;0,SUM(AN709,AT709,AP709,AR709),"")</f>
        <v/>
      </c>
      <c r="AW709" s="267"/>
      <c r="AX709" s="255"/>
      <c r="AY709" s="259" t="str">
        <f>IF(AX709&lt;&gt;"",AX709/VLOOKUP($V709,Setup!$C$30:$D$41,2,0),"")</f>
        <v/>
      </c>
      <c r="AZ709" s="268"/>
      <c r="BA709" s="258" t="str">
        <f t="shared" ref="BA709:BA772" si="351">IFERROR(IF(AND(NOT(AZ709=""),NOT(AY709="")),AZ709*$AY709,""),"")</f>
        <v/>
      </c>
      <c r="BB709" s="268"/>
      <c r="BC709" s="258" t="str">
        <f t="shared" ref="BC709:BC772" si="352">IFERROR(IF(AND(NOT(BB709=""),NOT(AY709="")),BB709*$AY709,""),"")</f>
        <v/>
      </c>
      <c r="BD709" s="268"/>
      <c r="BE709" s="258" t="str">
        <f t="shared" ref="BE709:BE772" si="353">IFERROR(IF(AND(NOT(BD709=""),NOT(AY709="")),BD709*$AY709,""),"")</f>
        <v/>
      </c>
      <c r="BF709" s="268"/>
      <c r="BG709" s="256" t="str">
        <f t="shared" ref="BG709:BG772" si="354">IFERROR(IF(AND(NOT(BF709=""),NOT(AY709="")),BF709*$AY709,""),"")</f>
        <v/>
      </c>
      <c r="BH709" s="256" t="str">
        <f t="shared" ref="BH709:BH772" si="355">IFERROR(IF(OR(NOT(AZ709=""),NOT(BF709=""),NOT(BB709=""),NOT(BD709="")),AZ709+BF709+BB709+BD709,""),"")</f>
        <v/>
      </c>
      <c r="BI709" s="256" t="str">
        <f t="shared" ref="BI709:BI772" si="356">IF(SUM(BA709,BG709,BC709,BE709)&gt;0,SUM(BA709,BG709,BC709,BE709),"")</f>
        <v/>
      </c>
      <c r="BJ709" s="267"/>
      <c r="BK709" s="255"/>
      <c r="BL709" s="259" t="str">
        <f>IF(BK709&lt;&gt;"",BK709/VLOOKUP($V709,Setup!$C$30:$D$41,2,0),"")</f>
        <v/>
      </c>
      <c r="BM709" s="268"/>
      <c r="BN709" s="258" t="str">
        <f t="shared" ref="BN709:BN772" si="357">IFERROR(IF(AND(NOT(BM709=""),NOT(BL709="")),BM709*$BL709,""),"")</f>
        <v/>
      </c>
      <c r="BO709" s="268"/>
      <c r="BP709" s="258" t="str">
        <f t="shared" ref="BP709:BP772" si="358">IFERROR(IF(AND(NOT(BO709=""),NOT(BL709="")),BO709*$BL709,""),"")</f>
        <v/>
      </c>
      <c r="BQ709" s="268"/>
      <c r="BR709" s="258" t="str">
        <f t="shared" ref="BR709:BR772" si="359">IFERROR(IF(AND(NOT(BQ709=""),NOT(BL709="")),BQ709*$BL709,""),"")</f>
        <v/>
      </c>
      <c r="BS709" s="268"/>
      <c r="BT709" s="256" t="str">
        <f t="shared" ref="BT709:BT772" si="360">IFERROR(IF(AND(NOT(BS709=""),NOT(BL709="")),BS709*$BL709,""),"")</f>
        <v/>
      </c>
      <c r="BU709" s="256" t="str">
        <f t="shared" ref="BU709:BU772" si="361">IFERROR(IF(OR(NOT(BM709=""),NOT(BS709=""),NOT(BO709=""),NOT(BQ709="")),BM709+BS709+BO709+BQ709,""),"")</f>
        <v/>
      </c>
      <c r="BV709" s="256" t="str">
        <f t="shared" ref="BV709:BV772" si="362">IF(SUM(BN709,BT709,BP709,BR709)&gt;0,SUM(BN709,BT709,BP709,BR709),"")</f>
        <v/>
      </c>
      <c r="BW709" s="267"/>
      <c r="BX709" s="256" t="str">
        <f t="shared" ref="BX709:BX772" si="363">IF(SUM(AH709,AU709,BH709,BU709)&gt;0,SUM(AH709,AU709,BH709,BU709),"")</f>
        <v/>
      </c>
      <c r="BY709" s="256" t="str">
        <f t="shared" ref="BY709:BY772" si="364">IF(SUM(AI709,AV709,BI709,BV709)&gt;0,SUM(AI709,AV709,BI709,BV709),"")</f>
        <v/>
      </c>
      <c r="BZ709" s="281"/>
      <c r="CA709" s="282"/>
      <c r="CF709" s="284"/>
      <c r="CG709" s="284"/>
      <c r="CH709" s="284"/>
      <c r="CI709" s="284"/>
      <c r="CL709" s="356" t="str">
        <f>IFERROR(VLOOKUP(C709,'Data Sheet'!$A$3:$B$26,2,FALSE),"")</f>
        <v/>
      </c>
    </row>
    <row r="710" spans="1:90" ht="15.75" x14ac:dyDescent="0.2">
      <c r="A710" s="97"/>
      <c r="B710" s="105" t="str">
        <f t="shared" si="338"/>
        <v>--</v>
      </c>
      <c r="C710" s="276"/>
      <c r="D710" s="101" t="str">
        <f>IFERROR(IF(VLOOKUP(C710,'Data Sheet'!$A$3:$D$26,4,FALSE)=0,"",VLOOKUP(C710,'Data Sheet'!$A$3:$D$26,4,FALSE)),"")</f>
        <v/>
      </c>
      <c r="E710" s="279"/>
      <c r="F710" s="103" t="str">
        <f>IFERROR(IF(VLOOKUP(E710,'Data Sheet'!$C$29:$E$174,3,FALSE)=0,"",VLOOKUP(E710,'Data Sheet'!$C$29:$E$174,3,FALSE)),"")</f>
        <v/>
      </c>
      <c r="G710" s="106" t="str">
        <f t="shared" ref="G710:G773" si="365">CONCATENATE(D710,"-",F710)</f>
        <v>-</v>
      </c>
      <c r="H710" s="273"/>
      <c r="I710" s="107"/>
      <c r="J710" s="249" t="e">
        <f t="shared" ref="J710:J773" si="366">LEFT(I710,SEARCH(".",I710,1)+1)</f>
        <v>#VALUE!</v>
      </c>
      <c r="K710" s="101" t="str">
        <f>IFERROR(INDEX('Data Sheet'!$C$198:$C$275,MATCH(I710,'Data Sheet'!$F$198:$F$275,0)),"")</f>
        <v/>
      </c>
      <c r="L710" s="250" t="str">
        <f>IFERROR(INDEX('Data Sheet'!$G$198:$G$275,MATCH(I710,'Data Sheet'!$F$198:$F$275,0)),"")</f>
        <v/>
      </c>
      <c r="M710" s="194"/>
      <c r="N710" s="248"/>
      <c r="O710" s="248"/>
      <c r="P710" s="108" t="str">
        <f>IFERROR(INDEX(Setup!$D$44:$D$70,MATCH(M710,Setup!$K$44:$K$70,0))&amp;"","")</f>
        <v/>
      </c>
      <c r="Q710" s="108" t="str">
        <f>IFERROR(INDEX(Setup!$E$44:$E$70,MATCH(M710,Setup!$K$44:$K$70,0))&amp;"","")</f>
        <v/>
      </c>
      <c r="R710" s="108" t="str">
        <f>IFERROR(INDEX(Setup!$L$44:$L$70,MATCH(M710,Setup!$K$44:$K$70,0))&amp;"","")</f>
        <v/>
      </c>
      <c r="S710" s="108" t="str">
        <f>Setup!$C$30</f>
        <v>USD</v>
      </c>
      <c r="T710" s="109" t="str">
        <f>IFERROR(INDEX('Data Sheet'!$B$198:$B$275,MATCH(I710,'Data Sheet'!$F$198:$F$275,0)),"")</f>
        <v/>
      </c>
      <c r="U710" s="110" t="str">
        <f>IFERROR(INDEX('Data Sheet'!$D$198:$D$275,MATCH(I710,'Data Sheet'!$F$198:$F$275,0)),"")</f>
        <v/>
      </c>
      <c r="V710" s="99"/>
      <c r="W710" s="195" t="str">
        <f>IF(V710=Setup!$C$30,"Grant",IF(V710=Setup!$C$31,"Local",IF(V710=Setup!$C$32,"Other",IF(ISBLANK(V710),"","Other"))))</f>
        <v/>
      </c>
      <c r="X710" s="255"/>
      <c r="Y710" s="259" t="str">
        <f>IF(X710&lt;&gt;"",X710/VLOOKUP($V710,Setup!$C$30:$D$41,2,0),"")</f>
        <v/>
      </c>
      <c r="Z710" s="262"/>
      <c r="AA710" s="256" t="str">
        <f t="shared" si="339"/>
        <v/>
      </c>
      <c r="AB710" s="262"/>
      <c r="AC710" s="258" t="str">
        <f t="shared" si="340"/>
        <v/>
      </c>
      <c r="AD710" s="262"/>
      <c r="AE710" s="258" t="str">
        <f t="shared" si="341"/>
        <v/>
      </c>
      <c r="AF710" s="262"/>
      <c r="AG710" s="256" t="str">
        <f t="shared" si="342"/>
        <v/>
      </c>
      <c r="AH710" s="256" t="str">
        <f t="shared" si="343"/>
        <v/>
      </c>
      <c r="AI710" s="256" t="str">
        <f t="shared" si="344"/>
        <v/>
      </c>
      <c r="AJ710" s="111"/>
      <c r="AK710" s="255"/>
      <c r="AL710" s="259" t="str">
        <f>IF(AK710&lt;&gt;"",AK710/VLOOKUP($V710,Setup!$C$30:$D$41,2,0),"")</f>
        <v/>
      </c>
      <c r="AM710" s="266"/>
      <c r="AN710" s="258" t="str">
        <f t="shared" si="345"/>
        <v/>
      </c>
      <c r="AO710" s="266"/>
      <c r="AP710" s="258" t="str">
        <f t="shared" si="346"/>
        <v/>
      </c>
      <c r="AQ710" s="266"/>
      <c r="AR710" s="258" t="str">
        <f t="shared" si="347"/>
        <v/>
      </c>
      <c r="AS710" s="266"/>
      <c r="AT710" s="256" t="str">
        <f t="shared" si="348"/>
        <v/>
      </c>
      <c r="AU710" s="256" t="str">
        <f t="shared" si="349"/>
        <v/>
      </c>
      <c r="AV710" s="256" t="str">
        <f t="shared" si="350"/>
        <v/>
      </c>
      <c r="AW710" s="267"/>
      <c r="AX710" s="255"/>
      <c r="AY710" s="259" t="str">
        <f>IF(AX710&lt;&gt;"",AX710/VLOOKUP($V710,Setup!$C$30:$D$41,2,0),"")</f>
        <v/>
      </c>
      <c r="AZ710" s="268"/>
      <c r="BA710" s="258" t="str">
        <f t="shared" si="351"/>
        <v/>
      </c>
      <c r="BB710" s="268"/>
      <c r="BC710" s="258" t="str">
        <f t="shared" si="352"/>
        <v/>
      </c>
      <c r="BD710" s="268"/>
      <c r="BE710" s="258" t="str">
        <f t="shared" si="353"/>
        <v/>
      </c>
      <c r="BF710" s="268"/>
      <c r="BG710" s="256" t="str">
        <f t="shared" si="354"/>
        <v/>
      </c>
      <c r="BH710" s="256" t="str">
        <f t="shared" si="355"/>
        <v/>
      </c>
      <c r="BI710" s="256" t="str">
        <f t="shared" si="356"/>
        <v/>
      </c>
      <c r="BJ710" s="267"/>
      <c r="BK710" s="255"/>
      <c r="BL710" s="259" t="str">
        <f>IF(BK710&lt;&gt;"",BK710/VLOOKUP($V710,Setup!$C$30:$D$41,2,0),"")</f>
        <v/>
      </c>
      <c r="BM710" s="268"/>
      <c r="BN710" s="258" t="str">
        <f t="shared" si="357"/>
        <v/>
      </c>
      <c r="BO710" s="268"/>
      <c r="BP710" s="258" t="str">
        <f t="shared" si="358"/>
        <v/>
      </c>
      <c r="BQ710" s="268"/>
      <c r="BR710" s="258" t="str">
        <f t="shared" si="359"/>
        <v/>
      </c>
      <c r="BS710" s="268"/>
      <c r="BT710" s="256" t="str">
        <f t="shared" si="360"/>
        <v/>
      </c>
      <c r="BU710" s="256" t="str">
        <f t="shared" si="361"/>
        <v/>
      </c>
      <c r="BV710" s="256" t="str">
        <f t="shared" si="362"/>
        <v/>
      </c>
      <c r="BW710" s="267"/>
      <c r="BX710" s="256" t="str">
        <f t="shared" si="363"/>
        <v/>
      </c>
      <c r="BY710" s="256" t="str">
        <f t="shared" si="364"/>
        <v/>
      </c>
      <c r="BZ710" s="281"/>
      <c r="CA710" s="282"/>
      <c r="CF710" s="284"/>
      <c r="CG710" s="284"/>
      <c r="CH710" s="284"/>
      <c r="CI710" s="284"/>
      <c r="CL710" s="356" t="str">
        <f>IFERROR(VLOOKUP(C710,'Data Sheet'!$A$3:$B$26,2,FALSE),"")</f>
        <v/>
      </c>
    </row>
    <row r="711" spans="1:90" ht="15.75" x14ac:dyDescent="0.2">
      <c r="A711" s="97"/>
      <c r="B711" s="105" t="str">
        <f t="shared" si="338"/>
        <v>--</v>
      </c>
      <c r="C711" s="276"/>
      <c r="D711" s="101" t="str">
        <f>IFERROR(IF(VLOOKUP(C711,'Data Sheet'!$A$3:$D$26,4,FALSE)=0,"",VLOOKUP(C711,'Data Sheet'!$A$3:$D$26,4,FALSE)),"")</f>
        <v/>
      </c>
      <c r="E711" s="279"/>
      <c r="F711" s="103" t="str">
        <f>IFERROR(IF(VLOOKUP(E711,'Data Sheet'!$C$29:$E$174,3,FALSE)=0,"",VLOOKUP(E711,'Data Sheet'!$C$29:$E$174,3,FALSE)),"")</f>
        <v/>
      </c>
      <c r="G711" s="106" t="str">
        <f t="shared" si="365"/>
        <v>-</v>
      </c>
      <c r="H711" s="273"/>
      <c r="I711" s="107"/>
      <c r="J711" s="249" t="e">
        <f t="shared" si="366"/>
        <v>#VALUE!</v>
      </c>
      <c r="K711" s="101" t="str">
        <f>IFERROR(INDEX('Data Sheet'!$C$198:$C$275,MATCH(I711,'Data Sheet'!$F$198:$F$275,0)),"")</f>
        <v/>
      </c>
      <c r="L711" s="250" t="str">
        <f>IFERROR(INDEX('Data Sheet'!$G$198:$G$275,MATCH(I711,'Data Sheet'!$F$198:$F$275,0)),"")</f>
        <v/>
      </c>
      <c r="M711" s="194"/>
      <c r="N711" s="248"/>
      <c r="O711" s="248"/>
      <c r="P711" s="108" t="str">
        <f>IFERROR(INDEX(Setup!$D$44:$D$70,MATCH(M711,Setup!$K$44:$K$70,0))&amp;"","")</f>
        <v/>
      </c>
      <c r="Q711" s="108" t="str">
        <f>IFERROR(INDEX(Setup!$E$44:$E$70,MATCH(M711,Setup!$K$44:$K$70,0))&amp;"","")</f>
        <v/>
      </c>
      <c r="R711" s="108" t="str">
        <f>IFERROR(INDEX(Setup!$L$44:$L$70,MATCH(M711,Setup!$K$44:$K$70,0))&amp;"","")</f>
        <v/>
      </c>
      <c r="S711" s="108" t="str">
        <f>Setup!$C$30</f>
        <v>USD</v>
      </c>
      <c r="T711" s="109" t="str">
        <f>IFERROR(INDEX('Data Sheet'!$B$198:$B$275,MATCH(I711,'Data Sheet'!$F$198:$F$275,0)),"")</f>
        <v/>
      </c>
      <c r="U711" s="110" t="str">
        <f>IFERROR(INDEX('Data Sheet'!$D$198:$D$275,MATCH(I711,'Data Sheet'!$F$198:$F$275,0)),"")</f>
        <v/>
      </c>
      <c r="V711" s="99"/>
      <c r="W711" s="195" t="str">
        <f>IF(V711=Setup!$C$30,"Grant",IF(V711=Setup!$C$31,"Local",IF(V711=Setup!$C$32,"Other",IF(ISBLANK(V711),"","Other"))))</f>
        <v/>
      </c>
      <c r="X711" s="255"/>
      <c r="Y711" s="259" t="str">
        <f>IF(X711&lt;&gt;"",X711/VLOOKUP($V711,Setup!$C$30:$D$41,2,0),"")</f>
        <v/>
      </c>
      <c r="Z711" s="262"/>
      <c r="AA711" s="256" t="str">
        <f t="shared" si="339"/>
        <v/>
      </c>
      <c r="AB711" s="262"/>
      <c r="AC711" s="258" t="str">
        <f t="shared" si="340"/>
        <v/>
      </c>
      <c r="AD711" s="262"/>
      <c r="AE711" s="258" t="str">
        <f t="shared" si="341"/>
        <v/>
      </c>
      <c r="AF711" s="262"/>
      <c r="AG711" s="256" t="str">
        <f t="shared" si="342"/>
        <v/>
      </c>
      <c r="AH711" s="256" t="str">
        <f t="shared" si="343"/>
        <v/>
      </c>
      <c r="AI711" s="256" t="str">
        <f t="shared" si="344"/>
        <v/>
      </c>
      <c r="AJ711" s="111"/>
      <c r="AK711" s="255"/>
      <c r="AL711" s="259" t="str">
        <f>IF(AK711&lt;&gt;"",AK711/VLOOKUP($V711,Setup!$C$30:$D$41,2,0),"")</f>
        <v/>
      </c>
      <c r="AM711" s="266"/>
      <c r="AN711" s="258" t="str">
        <f t="shared" si="345"/>
        <v/>
      </c>
      <c r="AO711" s="266"/>
      <c r="AP711" s="258" t="str">
        <f t="shared" si="346"/>
        <v/>
      </c>
      <c r="AQ711" s="266"/>
      <c r="AR711" s="258" t="str">
        <f t="shared" si="347"/>
        <v/>
      </c>
      <c r="AS711" s="266"/>
      <c r="AT711" s="256" t="str">
        <f t="shared" si="348"/>
        <v/>
      </c>
      <c r="AU711" s="256" t="str">
        <f t="shared" si="349"/>
        <v/>
      </c>
      <c r="AV711" s="256" t="str">
        <f t="shared" si="350"/>
        <v/>
      </c>
      <c r="AW711" s="267"/>
      <c r="AX711" s="255"/>
      <c r="AY711" s="259" t="str">
        <f>IF(AX711&lt;&gt;"",AX711/VLOOKUP($V711,Setup!$C$30:$D$41,2,0),"")</f>
        <v/>
      </c>
      <c r="AZ711" s="268"/>
      <c r="BA711" s="258" t="str">
        <f t="shared" si="351"/>
        <v/>
      </c>
      <c r="BB711" s="268"/>
      <c r="BC711" s="258" t="str">
        <f t="shared" si="352"/>
        <v/>
      </c>
      <c r="BD711" s="268"/>
      <c r="BE711" s="258" t="str">
        <f t="shared" si="353"/>
        <v/>
      </c>
      <c r="BF711" s="268"/>
      <c r="BG711" s="256" t="str">
        <f t="shared" si="354"/>
        <v/>
      </c>
      <c r="BH711" s="256" t="str">
        <f t="shared" si="355"/>
        <v/>
      </c>
      <c r="BI711" s="256" t="str">
        <f t="shared" si="356"/>
        <v/>
      </c>
      <c r="BJ711" s="267"/>
      <c r="BK711" s="255"/>
      <c r="BL711" s="259" t="str">
        <f>IF(BK711&lt;&gt;"",BK711/VLOOKUP($V711,Setup!$C$30:$D$41,2,0),"")</f>
        <v/>
      </c>
      <c r="BM711" s="268"/>
      <c r="BN711" s="258" t="str">
        <f t="shared" si="357"/>
        <v/>
      </c>
      <c r="BO711" s="268"/>
      <c r="BP711" s="258" t="str">
        <f t="shared" si="358"/>
        <v/>
      </c>
      <c r="BQ711" s="268"/>
      <c r="BR711" s="258" t="str">
        <f t="shared" si="359"/>
        <v/>
      </c>
      <c r="BS711" s="268"/>
      <c r="BT711" s="256" t="str">
        <f t="shared" si="360"/>
        <v/>
      </c>
      <c r="BU711" s="256" t="str">
        <f t="shared" si="361"/>
        <v/>
      </c>
      <c r="BV711" s="256" t="str">
        <f t="shared" si="362"/>
        <v/>
      </c>
      <c r="BW711" s="267"/>
      <c r="BX711" s="256" t="str">
        <f t="shared" si="363"/>
        <v/>
      </c>
      <c r="BY711" s="256" t="str">
        <f t="shared" si="364"/>
        <v/>
      </c>
      <c r="BZ711" s="281"/>
      <c r="CA711" s="282"/>
      <c r="CF711" s="284"/>
      <c r="CG711" s="284"/>
      <c r="CH711" s="284"/>
      <c r="CI711" s="284"/>
      <c r="CL711" s="356" t="str">
        <f>IFERROR(VLOOKUP(C711,'Data Sheet'!$A$3:$B$26,2,FALSE),"")</f>
        <v/>
      </c>
    </row>
    <row r="712" spans="1:90" ht="15.75" x14ac:dyDescent="0.2">
      <c r="A712" s="97"/>
      <c r="B712" s="105" t="str">
        <f t="shared" si="338"/>
        <v>--</v>
      </c>
      <c r="C712" s="276"/>
      <c r="D712" s="101" t="str">
        <f>IFERROR(IF(VLOOKUP(C712,'Data Sheet'!$A$3:$D$26,4,FALSE)=0,"",VLOOKUP(C712,'Data Sheet'!$A$3:$D$26,4,FALSE)),"")</f>
        <v/>
      </c>
      <c r="E712" s="279"/>
      <c r="F712" s="103" t="str">
        <f>IFERROR(IF(VLOOKUP(E712,'Data Sheet'!$C$29:$E$174,3,FALSE)=0,"",VLOOKUP(E712,'Data Sheet'!$C$29:$E$174,3,FALSE)),"")</f>
        <v/>
      </c>
      <c r="G712" s="106" t="str">
        <f t="shared" si="365"/>
        <v>-</v>
      </c>
      <c r="H712" s="273"/>
      <c r="I712" s="107"/>
      <c r="J712" s="249" t="e">
        <f t="shared" si="366"/>
        <v>#VALUE!</v>
      </c>
      <c r="K712" s="101" t="str">
        <f>IFERROR(INDEX('Data Sheet'!$C$198:$C$275,MATCH(I712,'Data Sheet'!$F$198:$F$275,0)),"")</f>
        <v/>
      </c>
      <c r="L712" s="250" t="str">
        <f>IFERROR(INDEX('Data Sheet'!$G$198:$G$275,MATCH(I712,'Data Sheet'!$F$198:$F$275,0)),"")</f>
        <v/>
      </c>
      <c r="M712" s="194"/>
      <c r="N712" s="248"/>
      <c r="O712" s="248"/>
      <c r="P712" s="108" t="str">
        <f>IFERROR(INDEX(Setup!$D$44:$D$70,MATCH(M712,Setup!$K$44:$K$70,0))&amp;"","")</f>
        <v/>
      </c>
      <c r="Q712" s="108" t="str">
        <f>IFERROR(INDEX(Setup!$E$44:$E$70,MATCH(M712,Setup!$K$44:$K$70,0))&amp;"","")</f>
        <v/>
      </c>
      <c r="R712" s="108" t="str">
        <f>IFERROR(INDEX(Setup!$L$44:$L$70,MATCH(M712,Setup!$K$44:$K$70,0))&amp;"","")</f>
        <v/>
      </c>
      <c r="S712" s="108" t="str">
        <f>Setup!$C$30</f>
        <v>USD</v>
      </c>
      <c r="T712" s="109" t="str">
        <f>IFERROR(INDEX('Data Sheet'!$B$198:$B$275,MATCH(I712,'Data Sheet'!$F$198:$F$275,0)),"")</f>
        <v/>
      </c>
      <c r="U712" s="110" t="str">
        <f>IFERROR(INDEX('Data Sheet'!$D$198:$D$275,MATCH(I712,'Data Sheet'!$F$198:$F$275,0)),"")</f>
        <v/>
      </c>
      <c r="V712" s="99"/>
      <c r="W712" s="195" t="str">
        <f>IF(V712=Setup!$C$30,"Grant",IF(V712=Setup!$C$31,"Local",IF(V712=Setup!$C$32,"Other",IF(ISBLANK(V712),"","Other"))))</f>
        <v/>
      </c>
      <c r="X712" s="255"/>
      <c r="Y712" s="259" t="str">
        <f>IF(X712&lt;&gt;"",X712/VLOOKUP($V712,Setup!$C$30:$D$41,2,0),"")</f>
        <v/>
      </c>
      <c r="Z712" s="262"/>
      <c r="AA712" s="256" t="str">
        <f t="shared" si="339"/>
        <v/>
      </c>
      <c r="AB712" s="262"/>
      <c r="AC712" s="258" t="str">
        <f t="shared" si="340"/>
        <v/>
      </c>
      <c r="AD712" s="262"/>
      <c r="AE712" s="258" t="str">
        <f t="shared" si="341"/>
        <v/>
      </c>
      <c r="AF712" s="262"/>
      <c r="AG712" s="256" t="str">
        <f t="shared" si="342"/>
        <v/>
      </c>
      <c r="AH712" s="256" t="str">
        <f t="shared" si="343"/>
        <v/>
      </c>
      <c r="AI712" s="256" t="str">
        <f t="shared" si="344"/>
        <v/>
      </c>
      <c r="AJ712" s="111"/>
      <c r="AK712" s="255"/>
      <c r="AL712" s="259" t="str">
        <f>IF(AK712&lt;&gt;"",AK712/VLOOKUP($V712,Setup!$C$30:$D$41,2,0),"")</f>
        <v/>
      </c>
      <c r="AM712" s="266"/>
      <c r="AN712" s="258" t="str">
        <f t="shared" si="345"/>
        <v/>
      </c>
      <c r="AO712" s="266"/>
      <c r="AP712" s="258" t="str">
        <f t="shared" si="346"/>
        <v/>
      </c>
      <c r="AQ712" s="266"/>
      <c r="AR712" s="258" t="str">
        <f t="shared" si="347"/>
        <v/>
      </c>
      <c r="AS712" s="266"/>
      <c r="AT712" s="256" t="str">
        <f t="shared" si="348"/>
        <v/>
      </c>
      <c r="AU712" s="256" t="str">
        <f t="shared" si="349"/>
        <v/>
      </c>
      <c r="AV712" s="256" t="str">
        <f t="shared" si="350"/>
        <v/>
      </c>
      <c r="AW712" s="267"/>
      <c r="AX712" s="255"/>
      <c r="AY712" s="259" t="str">
        <f>IF(AX712&lt;&gt;"",AX712/VLOOKUP($V712,Setup!$C$30:$D$41,2,0),"")</f>
        <v/>
      </c>
      <c r="AZ712" s="268"/>
      <c r="BA712" s="258" t="str">
        <f t="shared" si="351"/>
        <v/>
      </c>
      <c r="BB712" s="268"/>
      <c r="BC712" s="258" t="str">
        <f t="shared" si="352"/>
        <v/>
      </c>
      <c r="BD712" s="268"/>
      <c r="BE712" s="258" t="str">
        <f t="shared" si="353"/>
        <v/>
      </c>
      <c r="BF712" s="268"/>
      <c r="BG712" s="256" t="str">
        <f t="shared" si="354"/>
        <v/>
      </c>
      <c r="BH712" s="256" t="str">
        <f t="shared" si="355"/>
        <v/>
      </c>
      <c r="BI712" s="256" t="str">
        <f t="shared" si="356"/>
        <v/>
      </c>
      <c r="BJ712" s="267"/>
      <c r="BK712" s="255"/>
      <c r="BL712" s="259" t="str">
        <f>IF(BK712&lt;&gt;"",BK712/VLOOKUP($V712,Setup!$C$30:$D$41,2,0),"")</f>
        <v/>
      </c>
      <c r="BM712" s="268"/>
      <c r="BN712" s="258" t="str">
        <f t="shared" si="357"/>
        <v/>
      </c>
      <c r="BO712" s="268"/>
      <c r="BP712" s="258" t="str">
        <f t="shared" si="358"/>
        <v/>
      </c>
      <c r="BQ712" s="268"/>
      <c r="BR712" s="258" t="str">
        <f t="shared" si="359"/>
        <v/>
      </c>
      <c r="BS712" s="268"/>
      <c r="BT712" s="256" t="str">
        <f t="shared" si="360"/>
        <v/>
      </c>
      <c r="BU712" s="256" t="str">
        <f t="shared" si="361"/>
        <v/>
      </c>
      <c r="BV712" s="256" t="str">
        <f t="shared" si="362"/>
        <v/>
      </c>
      <c r="BW712" s="267"/>
      <c r="BX712" s="256" t="str">
        <f t="shared" si="363"/>
        <v/>
      </c>
      <c r="BY712" s="256" t="str">
        <f t="shared" si="364"/>
        <v/>
      </c>
      <c r="BZ712" s="281"/>
      <c r="CA712" s="282"/>
      <c r="CF712" s="284"/>
      <c r="CG712" s="284"/>
      <c r="CH712" s="284"/>
      <c r="CI712" s="284"/>
      <c r="CL712" s="356" t="str">
        <f>IFERROR(VLOOKUP(C712,'Data Sheet'!$A$3:$B$26,2,FALSE),"")</f>
        <v/>
      </c>
    </row>
    <row r="713" spans="1:90" ht="15.75" x14ac:dyDescent="0.2">
      <c r="A713" s="97"/>
      <c r="B713" s="105" t="str">
        <f t="shared" si="338"/>
        <v>--</v>
      </c>
      <c r="C713" s="276"/>
      <c r="D713" s="101" t="str">
        <f>IFERROR(IF(VLOOKUP(C713,'Data Sheet'!$A$3:$D$26,4,FALSE)=0,"",VLOOKUP(C713,'Data Sheet'!$A$3:$D$26,4,FALSE)),"")</f>
        <v/>
      </c>
      <c r="E713" s="279"/>
      <c r="F713" s="103" t="str">
        <f>IFERROR(IF(VLOOKUP(E713,'Data Sheet'!$C$29:$E$174,3,FALSE)=0,"",VLOOKUP(E713,'Data Sheet'!$C$29:$E$174,3,FALSE)),"")</f>
        <v/>
      </c>
      <c r="G713" s="106" t="str">
        <f t="shared" si="365"/>
        <v>-</v>
      </c>
      <c r="H713" s="273"/>
      <c r="I713" s="107"/>
      <c r="J713" s="249" t="e">
        <f t="shared" si="366"/>
        <v>#VALUE!</v>
      </c>
      <c r="K713" s="101" t="str">
        <f>IFERROR(INDEX('Data Sheet'!$C$198:$C$275,MATCH(I713,'Data Sheet'!$F$198:$F$275,0)),"")</f>
        <v/>
      </c>
      <c r="L713" s="250" t="str">
        <f>IFERROR(INDEX('Data Sheet'!$G$198:$G$275,MATCH(I713,'Data Sheet'!$F$198:$F$275,0)),"")</f>
        <v/>
      </c>
      <c r="M713" s="194"/>
      <c r="N713" s="248"/>
      <c r="O713" s="248"/>
      <c r="P713" s="108" t="str">
        <f>IFERROR(INDEX(Setup!$D$44:$D$70,MATCH(M713,Setup!$K$44:$K$70,0))&amp;"","")</f>
        <v/>
      </c>
      <c r="Q713" s="108" t="str">
        <f>IFERROR(INDEX(Setup!$E$44:$E$70,MATCH(M713,Setup!$K$44:$K$70,0))&amp;"","")</f>
        <v/>
      </c>
      <c r="R713" s="108" t="str">
        <f>IFERROR(INDEX(Setup!$L$44:$L$70,MATCH(M713,Setup!$K$44:$K$70,0))&amp;"","")</f>
        <v/>
      </c>
      <c r="S713" s="108" t="str">
        <f>Setup!$C$30</f>
        <v>USD</v>
      </c>
      <c r="T713" s="109" t="str">
        <f>IFERROR(INDEX('Data Sheet'!$B$198:$B$275,MATCH(I713,'Data Sheet'!$F$198:$F$275,0)),"")</f>
        <v/>
      </c>
      <c r="U713" s="110" t="str">
        <f>IFERROR(INDEX('Data Sheet'!$D$198:$D$275,MATCH(I713,'Data Sheet'!$F$198:$F$275,0)),"")</f>
        <v/>
      </c>
      <c r="V713" s="99"/>
      <c r="W713" s="195" t="str">
        <f>IF(V713=Setup!$C$30,"Grant",IF(V713=Setup!$C$31,"Local",IF(V713=Setup!$C$32,"Other",IF(ISBLANK(V713),"","Other"))))</f>
        <v/>
      </c>
      <c r="X713" s="255"/>
      <c r="Y713" s="259" t="str">
        <f>IF(X713&lt;&gt;"",X713/VLOOKUP($V713,Setup!$C$30:$D$41,2,0),"")</f>
        <v/>
      </c>
      <c r="Z713" s="262"/>
      <c r="AA713" s="256" t="str">
        <f t="shared" si="339"/>
        <v/>
      </c>
      <c r="AB713" s="262"/>
      <c r="AC713" s="258" t="str">
        <f t="shared" si="340"/>
        <v/>
      </c>
      <c r="AD713" s="262"/>
      <c r="AE713" s="258" t="str">
        <f t="shared" si="341"/>
        <v/>
      </c>
      <c r="AF713" s="262"/>
      <c r="AG713" s="256" t="str">
        <f t="shared" si="342"/>
        <v/>
      </c>
      <c r="AH713" s="256" t="str">
        <f t="shared" si="343"/>
        <v/>
      </c>
      <c r="AI713" s="256" t="str">
        <f t="shared" si="344"/>
        <v/>
      </c>
      <c r="AJ713" s="111"/>
      <c r="AK713" s="255"/>
      <c r="AL713" s="259" t="str">
        <f>IF(AK713&lt;&gt;"",AK713/VLOOKUP($V713,Setup!$C$30:$D$41,2,0),"")</f>
        <v/>
      </c>
      <c r="AM713" s="266"/>
      <c r="AN713" s="258" t="str">
        <f t="shared" si="345"/>
        <v/>
      </c>
      <c r="AO713" s="266"/>
      <c r="AP713" s="258" t="str">
        <f t="shared" si="346"/>
        <v/>
      </c>
      <c r="AQ713" s="266"/>
      <c r="AR713" s="258" t="str">
        <f t="shared" si="347"/>
        <v/>
      </c>
      <c r="AS713" s="266"/>
      <c r="AT713" s="256" t="str">
        <f t="shared" si="348"/>
        <v/>
      </c>
      <c r="AU713" s="256" t="str">
        <f t="shared" si="349"/>
        <v/>
      </c>
      <c r="AV713" s="256" t="str">
        <f t="shared" si="350"/>
        <v/>
      </c>
      <c r="AW713" s="267"/>
      <c r="AX713" s="255"/>
      <c r="AY713" s="259" t="str">
        <f>IF(AX713&lt;&gt;"",AX713/VLOOKUP($V713,Setup!$C$30:$D$41,2,0),"")</f>
        <v/>
      </c>
      <c r="AZ713" s="268"/>
      <c r="BA713" s="258" t="str">
        <f t="shared" si="351"/>
        <v/>
      </c>
      <c r="BB713" s="268"/>
      <c r="BC713" s="258" t="str">
        <f t="shared" si="352"/>
        <v/>
      </c>
      <c r="BD713" s="268"/>
      <c r="BE713" s="258" t="str">
        <f t="shared" si="353"/>
        <v/>
      </c>
      <c r="BF713" s="268"/>
      <c r="BG713" s="256" t="str">
        <f t="shared" si="354"/>
        <v/>
      </c>
      <c r="BH713" s="256" t="str">
        <f t="shared" si="355"/>
        <v/>
      </c>
      <c r="BI713" s="256" t="str">
        <f t="shared" si="356"/>
        <v/>
      </c>
      <c r="BJ713" s="267"/>
      <c r="BK713" s="255"/>
      <c r="BL713" s="259" t="str">
        <f>IF(BK713&lt;&gt;"",BK713/VLOOKUP($V713,Setup!$C$30:$D$41,2,0),"")</f>
        <v/>
      </c>
      <c r="BM713" s="268"/>
      <c r="BN713" s="258" t="str">
        <f t="shared" si="357"/>
        <v/>
      </c>
      <c r="BO713" s="268"/>
      <c r="BP713" s="258" t="str">
        <f t="shared" si="358"/>
        <v/>
      </c>
      <c r="BQ713" s="268"/>
      <c r="BR713" s="258" t="str">
        <f t="shared" si="359"/>
        <v/>
      </c>
      <c r="BS713" s="268"/>
      <c r="BT713" s="256" t="str">
        <f t="shared" si="360"/>
        <v/>
      </c>
      <c r="BU713" s="256" t="str">
        <f t="shared" si="361"/>
        <v/>
      </c>
      <c r="BV713" s="256" t="str">
        <f t="shared" si="362"/>
        <v/>
      </c>
      <c r="BW713" s="267"/>
      <c r="BX713" s="256" t="str">
        <f t="shared" si="363"/>
        <v/>
      </c>
      <c r="BY713" s="256" t="str">
        <f t="shared" si="364"/>
        <v/>
      </c>
      <c r="BZ713" s="281"/>
      <c r="CA713" s="282"/>
      <c r="CF713" s="284"/>
      <c r="CG713" s="284"/>
      <c r="CH713" s="284"/>
      <c r="CI713" s="284"/>
      <c r="CL713" s="356" t="str">
        <f>IFERROR(VLOOKUP(C713,'Data Sheet'!$A$3:$B$26,2,FALSE),"")</f>
        <v/>
      </c>
    </row>
    <row r="714" spans="1:90" ht="15.75" x14ac:dyDescent="0.2">
      <c r="A714" s="97"/>
      <c r="B714" s="105" t="str">
        <f t="shared" si="338"/>
        <v>--</v>
      </c>
      <c r="C714" s="276"/>
      <c r="D714" s="101" t="str">
        <f>IFERROR(IF(VLOOKUP(C714,'Data Sheet'!$A$3:$D$26,4,FALSE)=0,"",VLOOKUP(C714,'Data Sheet'!$A$3:$D$26,4,FALSE)),"")</f>
        <v/>
      </c>
      <c r="E714" s="279"/>
      <c r="F714" s="103" t="str">
        <f>IFERROR(IF(VLOOKUP(E714,'Data Sheet'!$C$29:$E$174,3,FALSE)=0,"",VLOOKUP(E714,'Data Sheet'!$C$29:$E$174,3,FALSE)),"")</f>
        <v/>
      </c>
      <c r="G714" s="106" t="str">
        <f t="shared" si="365"/>
        <v>-</v>
      </c>
      <c r="H714" s="273"/>
      <c r="I714" s="107"/>
      <c r="J714" s="249" t="e">
        <f t="shared" si="366"/>
        <v>#VALUE!</v>
      </c>
      <c r="K714" s="101" t="str">
        <f>IFERROR(INDEX('Data Sheet'!$C$198:$C$275,MATCH(I714,'Data Sheet'!$F$198:$F$275,0)),"")</f>
        <v/>
      </c>
      <c r="L714" s="250" t="str">
        <f>IFERROR(INDEX('Data Sheet'!$G$198:$G$275,MATCH(I714,'Data Sheet'!$F$198:$F$275,0)),"")</f>
        <v/>
      </c>
      <c r="M714" s="194"/>
      <c r="N714" s="248"/>
      <c r="O714" s="248"/>
      <c r="P714" s="108" t="str">
        <f>IFERROR(INDEX(Setup!$D$44:$D$70,MATCH(M714,Setup!$K$44:$K$70,0))&amp;"","")</f>
        <v/>
      </c>
      <c r="Q714" s="108" t="str">
        <f>IFERROR(INDEX(Setup!$E$44:$E$70,MATCH(M714,Setup!$K$44:$K$70,0))&amp;"","")</f>
        <v/>
      </c>
      <c r="R714" s="108" t="str">
        <f>IFERROR(INDEX(Setup!$L$44:$L$70,MATCH(M714,Setup!$K$44:$K$70,0))&amp;"","")</f>
        <v/>
      </c>
      <c r="S714" s="108" t="str">
        <f>Setup!$C$30</f>
        <v>USD</v>
      </c>
      <c r="T714" s="109" t="str">
        <f>IFERROR(INDEX('Data Sheet'!$B$198:$B$275,MATCH(I714,'Data Sheet'!$F$198:$F$275,0)),"")</f>
        <v/>
      </c>
      <c r="U714" s="110" t="str">
        <f>IFERROR(INDEX('Data Sheet'!$D$198:$D$275,MATCH(I714,'Data Sheet'!$F$198:$F$275,0)),"")</f>
        <v/>
      </c>
      <c r="V714" s="99"/>
      <c r="W714" s="195" t="str">
        <f>IF(V714=Setup!$C$30,"Grant",IF(V714=Setup!$C$31,"Local",IF(V714=Setup!$C$32,"Other",IF(ISBLANK(V714),"","Other"))))</f>
        <v/>
      </c>
      <c r="X714" s="255"/>
      <c r="Y714" s="259" t="str">
        <f>IF(X714&lt;&gt;"",X714/VLOOKUP($V714,Setup!$C$30:$D$41,2,0),"")</f>
        <v/>
      </c>
      <c r="Z714" s="262"/>
      <c r="AA714" s="256" t="str">
        <f t="shared" si="339"/>
        <v/>
      </c>
      <c r="AB714" s="262"/>
      <c r="AC714" s="258" t="str">
        <f t="shared" si="340"/>
        <v/>
      </c>
      <c r="AD714" s="262"/>
      <c r="AE714" s="258" t="str">
        <f t="shared" si="341"/>
        <v/>
      </c>
      <c r="AF714" s="262"/>
      <c r="AG714" s="256" t="str">
        <f t="shared" si="342"/>
        <v/>
      </c>
      <c r="AH714" s="256" t="str">
        <f t="shared" si="343"/>
        <v/>
      </c>
      <c r="AI714" s="256" t="str">
        <f t="shared" si="344"/>
        <v/>
      </c>
      <c r="AJ714" s="111"/>
      <c r="AK714" s="255"/>
      <c r="AL714" s="259" t="str">
        <f>IF(AK714&lt;&gt;"",AK714/VLOOKUP($V714,Setup!$C$30:$D$41,2,0),"")</f>
        <v/>
      </c>
      <c r="AM714" s="266"/>
      <c r="AN714" s="258" t="str">
        <f t="shared" si="345"/>
        <v/>
      </c>
      <c r="AO714" s="266"/>
      <c r="AP714" s="258" t="str">
        <f t="shared" si="346"/>
        <v/>
      </c>
      <c r="AQ714" s="266"/>
      <c r="AR714" s="258" t="str">
        <f t="shared" si="347"/>
        <v/>
      </c>
      <c r="AS714" s="266"/>
      <c r="AT714" s="256" t="str">
        <f t="shared" si="348"/>
        <v/>
      </c>
      <c r="AU714" s="256" t="str">
        <f t="shared" si="349"/>
        <v/>
      </c>
      <c r="AV714" s="256" t="str">
        <f t="shared" si="350"/>
        <v/>
      </c>
      <c r="AW714" s="267"/>
      <c r="AX714" s="255"/>
      <c r="AY714" s="259" t="str">
        <f>IF(AX714&lt;&gt;"",AX714/VLOOKUP($V714,Setup!$C$30:$D$41,2,0),"")</f>
        <v/>
      </c>
      <c r="AZ714" s="268"/>
      <c r="BA714" s="258" t="str">
        <f t="shared" si="351"/>
        <v/>
      </c>
      <c r="BB714" s="268"/>
      <c r="BC714" s="258" t="str">
        <f t="shared" si="352"/>
        <v/>
      </c>
      <c r="BD714" s="268"/>
      <c r="BE714" s="258" t="str">
        <f t="shared" si="353"/>
        <v/>
      </c>
      <c r="BF714" s="268"/>
      <c r="BG714" s="256" t="str">
        <f t="shared" si="354"/>
        <v/>
      </c>
      <c r="BH714" s="256" t="str">
        <f t="shared" si="355"/>
        <v/>
      </c>
      <c r="BI714" s="256" t="str">
        <f t="shared" si="356"/>
        <v/>
      </c>
      <c r="BJ714" s="267"/>
      <c r="BK714" s="255"/>
      <c r="BL714" s="259" t="str">
        <f>IF(BK714&lt;&gt;"",BK714/VLOOKUP($V714,Setup!$C$30:$D$41,2,0),"")</f>
        <v/>
      </c>
      <c r="BM714" s="268"/>
      <c r="BN714" s="258" t="str">
        <f t="shared" si="357"/>
        <v/>
      </c>
      <c r="BO714" s="268"/>
      <c r="BP714" s="258" t="str">
        <f t="shared" si="358"/>
        <v/>
      </c>
      <c r="BQ714" s="268"/>
      <c r="BR714" s="258" t="str">
        <f t="shared" si="359"/>
        <v/>
      </c>
      <c r="BS714" s="268"/>
      <c r="BT714" s="256" t="str">
        <f t="shared" si="360"/>
        <v/>
      </c>
      <c r="BU714" s="256" t="str">
        <f t="shared" si="361"/>
        <v/>
      </c>
      <c r="BV714" s="256" t="str">
        <f t="shared" si="362"/>
        <v/>
      </c>
      <c r="BW714" s="267"/>
      <c r="BX714" s="256" t="str">
        <f t="shared" si="363"/>
        <v/>
      </c>
      <c r="BY714" s="256" t="str">
        <f t="shared" si="364"/>
        <v/>
      </c>
      <c r="BZ714" s="281"/>
      <c r="CA714" s="282"/>
      <c r="CF714" s="284"/>
      <c r="CG714" s="284"/>
      <c r="CH714" s="284"/>
      <c r="CI714" s="284"/>
      <c r="CL714" s="356" t="str">
        <f>IFERROR(VLOOKUP(C714,'Data Sheet'!$A$3:$B$26,2,FALSE),"")</f>
        <v/>
      </c>
    </row>
    <row r="715" spans="1:90" ht="15.75" x14ac:dyDescent="0.2">
      <c r="A715" s="97"/>
      <c r="B715" s="105" t="str">
        <f t="shared" si="338"/>
        <v>--</v>
      </c>
      <c r="C715" s="276"/>
      <c r="D715" s="101" t="str">
        <f>IFERROR(IF(VLOOKUP(C715,'Data Sheet'!$A$3:$D$26,4,FALSE)=0,"",VLOOKUP(C715,'Data Sheet'!$A$3:$D$26,4,FALSE)),"")</f>
        <v/>
      </c>
      <c r="E715" s="279"/>
      <c r="F715" s="103" t="str">
        <f>IFERROR(IF(VLOOKUP(E715,'Data Sheet'!$C$29:$E$174,3,FALSE)=0,"",VLOOKUP(E715,'Data Sheet'!$C$29:$E$174,3,FALSE)),"")</f>
        <v/>
      </c>
      <c r="G715" s="106" t="str">
        <f t="shared" si="365"/>
        <v>-</v>
      </c>
      <c r="H715" s="273"/>
      <c r="I715" s="107"/>
      <c r="J715" s="249" t="e">
        <f t="shared" si="366"/>
        <v>#VALUE!</v>
      </c>
      <c r="K715" s="101" t="str">
        <f>IFERROR(INDEX('Data Sheet'!$C$198:$C$275,MATCH(I715,'Data Sheet'!$F$198:$F$275,0)),"")</f>
        <v/>
      </c>
      <c r="L715" s="250" t="str">
        <f>IFERROR(INDEX('Data Sheet'!$G$198:$G$275,MATCH(I715,'Data Sheet'!$F$198:$F$275,0)),"")</f>
        <v/>
      </c>
      <c r="M715" s="194"/>
      <c r="N715" s="248"/>
      <c r="O715" s="248"/>
      <c r="P715" s="108" t="str">
        <f>IFERROR(INDEX(Setup!$D$44:$D$70,MATCH(M715,Setup!$K$44:$K$70,0))&amp;"","")</f>
        <v/>
      </c>
      <c r="Q715" s="108" t="str">
        <f>IFERROR(INDEX(Setup!$E$44:$E$70,MATCH(M715,Setup!$K$44:$K$70,0))&amp;"","")</f>
        <v/>
      </c>
      <c r="R715" s="108" t="str">
        <f>IFERROR(INDEX(Setup!$L$44:$L$70,MATCH(M715,Setup!$K$44:$K$70,0))&amp;"","")</f>
        <v/>
      </c>
      <c r="S715" s="108" t="str">
        <f>Setup!$C$30</f>
        <v>USD</v>
      </c>
      <c r="T715" s="109" t="str">
        <f>IFERROR(INDEX('Data Sheet'!$B$198:$B$275,MATCH(I715,'Data Sheet'!$F$198:$F$275,0)),"")</f>
        <v/>
      </c>
      <c r="U715" s="110" t="str">
        <f>IFERROR(INDEX('Data Sheet'!$D$198:$D$275,MATCH(I715,'Data Sheet'!$F$198:$F$275,0)),"")</f>
        <v/>
      </c>
      <c r="V715" s="99"/>
      <c r="W715" s="195" t="str">
        <f>IF(V715=Setup!$C$30,"Grant",IF(V715=Setup!$C$31,"Local",IF(V715=Setup!$C$32,"Other",IF(ISBLANK(V715),"","Other"))))</f>
        <v/>
      </c>
      <c r="X715" s="255"/>
      <c r="Y715" s="259" t="str">
        <f>IF(X715&lt;&gt;"",X715/VLOOKUP($V715,Setup!$C$30:$D$41,2,0),"")</f>
        <v/>
      </c>
      <c r="Z715" s="262"/>
      <c r="AA715" s="256" t="str">
        <f t="shared" si="339"/>
        <v/>
      </c>
      <c r="AB715" s="262"/>
      <c r="AC715" s="258" t="str">
        <f t="shared" si="340"/>
        <v/>
      </c>
      <c r="AD715" s="262"/>
      <c r="AE715" s="258" t="str">
        <f t="shared" si="341"/>
        <v/>
      </c>
      <c r="AF715" s="262"/>
      <c r="AG715" s="256" t="str">
        <f t="shared" si="342"/>
        <v/>
      </c>
      <c r="AH715" s="256" t="str">
        <f t="shared" si="343"/>
        <v/>
      </c>
      <c r="AI715" s="256" t="str">
        <f t="shared" si="344"/>
        <v/>
      </c>
      <c r="AJ715" s="111"/>
      <c r="AK715" s="255"/>
      <c r="AL715" s="259" t="str">
        <f>IF(AK715&lt;&gt;"",AK715/VLOOKUP($V715,Setup!$C$30:$D$41,2,0),"")</f>
        <v/>
      </c>
      <c r="AM715" s="266"/>
      <c r="AN715" s="258" t="str">
        <f t="shared" si="345"/>
        <v/>
      </c>
      <c r="AO715" s="266"/>
      <c r="AP715" s="258" t="str">
        <f t="shared" si="346"/>
        <v/>
      </c>
      <c r="AQ715" s="266"/>
      <c r="AR715" s="258" t="str">
        <f t="shared" si="347"/>
        <v/>
      </c>
      <c r="AS715" s="266"/>
      <c r="AT715" s="256" t="str">
        <f t="shared" si="348"/>
        <v/>
      </c>
      <c r="AU715" s="256" t="str">
        <f t="shared" si="349"/>
        <v/>
      </c>
      <c r="AV715" s="256" t="str">
        <f t="shared" si="350"/>
        <v/>
      </c>
      <c r="AW715" s="267"/>
      <c r="AX715" s="255"/>
      <c r="AY715" s="259" t="str">
        <f>IF(AX715&lt;&gt;"",AX715/VLOOKUP($V715,Setup!$C$30:$D$41,2,0),"")</f>
        <v/>
      </c>
      <c r="AZ715" s="268"/>
      <c r="BA715" s="258" t="str">
        <f t="shared" si="351"/>
        <v/>
      </c>
      <c r="BB715" s="268"/>
      <c r="BC715" s="258" t="str">
        <f t="shared" si="352"/>
        <v/>
      </c>
      <c r="BD715" s="268"/>
      <c r="BE715" s="258" t="str">
        <f t="shared" si="353"/>
        <v/>
      </c>
      <c r="BF715" s="268"/>
      <c r="BG715" s="256" t="str">
        <f t="shared" si="354"/>
        <v/>
      </c>
      <c r="BH715" s="256" t="str">
        <f t="shared" si="355"/>
        <v/>
      </c>
      <c r="BI715" s="256" t="str">
        <f t="shared" si="356"/>
        <v/>
      </c>
      <c r="BJ715" s="267"/>
      <c r="BK715" s="255"/>
      <c r="BL715" s="259" t="str">
        <f>IF(BK715&lt;&gt;"",BK715/VLOOKUP($V715,Setup!$C$30:$D$41,2,0),"")</f>
        <v/>
      </c>
      <c r="BM715" s="268"/>
      <c r="BN715" s="258" t="str">
        <f t="shared" si="357"/>
        <v/>
      </c>
      <c r="BO715" s="268"/>
      <c r="BP715" s="258" t="str">
        <f t="shared" si="358"/>
        <v/>
      </c>
      <c r="BQ715" s="268"/>
      <c r="BR715" s="258" t="str">
        <f t="shared" si="359"/>
        <v/>
      </c>
      <c r="BS715" s="268"/>
      <c r="BT715" s="256" t="str">
        <f t="shared" si="360"/>
        <v/>
      </c>
      <c r="BU715" s="256" t="str">
        <f t="shared" si="361"/>
        <v/>
      </c>
      <c r="BV715" s="256" t="str">
        <f t="shared" si="362"/>
        <v/>
      </c>
      <c r="BW715" s="267"/>
      <c r="BX715" s="256" t="str">
        <f t="shared" si="363"/>
        <v/>
      </c>
      <c r="BY715" s="256" t="str">
        <f t="shared" si="364"/>
        <v/>
      </c>
      <c r="BZ715" s="281"/>
      <c r="CA715" s="282"/>
      <c r="CF715" s="284"/>
      <c r="CG715" s="284"/>
      <c r="CH715" s="284"/>
      <c r="CI715" s="284"/>
      <c r="CL715" s="356" t="str">
        <f>IFERROR(VLOOKUP(C715,'Data Sheet'!$A$3:$B$26,2,FALSE),"")</f>
        <v/>
      </c>
    </row>
    <row r="716" spans="1:90" ht="15.75" x14ac:dyDescent="0.2">
      <c r="A716" s="97"/>
      <c r="B716" s="105" t="str">
        <f t="shared" si="338"/>
        <v>--</v>
      </c>
      <c r="C716" s="276"/>
      <c r="D716" s="101" t="str">
        <f>IFERROR(IF(VLOOKUP(C716,'Data Sheet'!$A$3:$D$26,4,FALSE)=0,"",VLOOKUP(C716,'Data Sheet'!$A$3:$D$26,4,FALSE)),"")</f>
        <v/>
      </c>
      <c r="E716" s="279"/>
      <c r="F716" s="103" t="str">
        <f>IFERROR(IF(VLOOKUP(E716,'Data Sheet'!$C$29:$E$174,3,FALSE)=0,"",VLOOKUP(E716,'Data Sheet'!$C$29:$E$174,3,FALSE)),"")</f>
        <v/>
      </c>
      <c r="G716" s="106" t="str">
        <f t="shared" si="365"/>
        <v>-</v>
      </c>
      <c r="H716" s="273"/>
      <c r="I716" s="107"/>
      <c r="J716" s="249" t="e">
        <f t="shared" si="366"/>
        <v>#VALUE!</v>
      </c>
      <c r="K716" s="101" t="str">
        <f>IFERROR(INDEX('Data Sheet'!$C$198:$C$275,MATCH(I716,'Data Sheet'!$F$198:$F$275,0)),"")</f>
        <v/>
      </c>
      <c r="L716" s="250" t="str">
        <f>IFERROR(INDEX('Data Sheet'!$G$198:$G$275,MATCH(I716,'Data Sheet'!$F$198:$F$275,0)),"")</f>
        <v/>
      </c>
      <c r="M716" s="194"/>
      <c r="N716" s="248"/>
      <c r="O716" s="248"/>
      <c r="P716" s="108" t="str">
        <f>IFERROR(INDEX(Setup!$D$44:$D$70,MATCH(M716,Setup!$K$44:$K$70,0))&amp;"","")</f>
        <v/>
      </c>
      <c r="Q716" s="108" t="str">
        <f>IFERROR(INDEX(Setup!$E$44:$E$70,MATCH(M716,Setup!$K$44:$K$70,0))&amp;"","")</f>
        <v/>
      </c>
      <c r="R716" s="108" t="str">
        <f>IFERROR(INDEX(Setup!$L$44:$L$70,MATCH(M716,Setup!$K$44:$K$70,0))&amp;"","")</f>
        <v/>
      </c>
      <c r="S716" s="108" t="str">
        <f>Setup!$C$30</f>
        <v>USD</v>
      </c>
      <c r="T716" s="109" t="str">
        <f>IFERROR(INDEX('Data Sheet'!$B$198:$B$275,MATCH(I716,'Data Sheet'!$F$198:$F$275,0)),"")</f>
        <v/>
      </c>
      <c r="U716" s="110" t="str">
        <f>IFERROR(INDEX('Data Sheet'!$D$198:$D$275,MATCH(I716,'Data Sheet'!$F$198:$F$275,0)),"")</f>
        <v/>
      </c>
      <c r="V716" s="99"/>
      <c r="W716" s="195" t="str">
        <f>IF(V716=Setup!$C$30,"Grant",IF(V716=Setup!$C$31,"Local",IF(V716=Setup!$C$32,"Other",IF(ISBLANK(V716),"","Other"))))</f>
        <v/>
      </c>
      <c r="X716" s="255"/>
      <c r="Y716" s="259" t="str">
        <f>IF(X716&lt;&gt;"",X716/VLOOKUP($V716,Setup!$C$30:$D$41,2,0),"")</f>
        <v/>
      </c>
      <c r="Z716" s="262"/>
      <c r="AA716" s="256" t="str">
        <f t="shared" si="339"/>
        <v/>
      </c>
      <c r="AB716" s="262"/>
      <c r="AC716" s="258" t="str">
        <f t="shared" si="340"/>
        <v/>
      </c>
      <c r="AD716" s="262"/>
      <c r="AE716" s="258" t="str">
        <f t="shared" si="341"/>
        <v/>
      </c>
      <c r="AF716" s="262"/>
      <c r="AG716" s="256" t="str">
        <f t="shared" si="342"/>
        <v/>
      </c>
      <c r="AH716" s="256" t="str">
        <f t="shared" si="343"/>
        <v/>
      </c>
      <c r="AI716" s="256" t="str">
        <f t="shared" si="344"/>
        <v/>
      </c>
      <c r="AJ716" s="111"/>
      <c r="AK716" s="255"/>
      <c r="AL716" s="259" t="str">
        <f>IF(AK716&lt;&gt;"",AK716/VLOOKUP($V716,Setup!$C$30:$D$41,2,0),"")</f>
        <v/>
      </c>
      <c r="AM716" s="266"/>
      <c r="AN716" s="258" t="str">
        <f t="shared" si="345"/>
        <v/>
      </c>
      <c r="AO716" s="266"/>
      <c r="AP716" s="258" t="str">
        <f t="shared" si="346"/>
        <v/>
      </c>
      <c r="AQ716" s="266"/>
      <c r="AR716" s="258" t="str">
        <f t="shared" si="347"/>
        <v/>
      </c>
      <c r="AS716" s="266"/>
      <c r="AT716" s="256" t="str">
        <f t="shared" si="348"/>
        <v/>
      </c>
      <c r="AU716" s="256" t="str">
        <f t="shared" si="349"/>
        <v/>
      </c>
      <c r="AV716" s="256" t="str">
        <f t="shared" si="350"/>
        <v/>
      </c>
      <c r="AW716" s="267"/>
      <c r="AX716" s="255"/>
      <c r="AY716" s="259" t="str">
        <f>IF(AX716&lt;&gt;"",AX716/VLOOKUP($V716,Setup!$C$30:$D$41,2,0),"")</f>
        <v/>
      </c>
      <c r="AZ716" s="268"/>
      <c r="BA716" s="258" t="str">
        <f t="shared" si="351"/>
        <v/>
      </c>
      <c r="BB716" s="268"/>
      <c r="BC716" s="258" t="str">
        <f t="shared" si="352"/>
        <v/>
      </c>
      <c r="BD716" s="268"/>
      <c r="BE716" s="258" t="str">
        <f t="shared" si="353"/>
        <v/>
      </c>
      <c r="BF716" s="268"/>
      <c r="BG716" s="256" t="str">
        <f t="shared" si="354"/>
        <v/>
      </c>
      <c r="BH716" s="256" t="str">
        <f t="shared" si="355"/>
        <v/>
      </c>
      <c r="BI716" s="256" t="str">
        <f t="shared" si="356"/>
        <v/>
      </c>
      <c r="BJ716" s="267"/>
      <c r="BK716" s="255"/>
      <c r="BL716" s="259" t="str">
        <f>IF(BK716&lt;&gt;"",BK716/VLOOKUP($V716,Setup!$C$30:$D$41,2,0),"")</f>
        <v/>
      </c>
      <c r="BM716" s="268"/>
      <c r="BN716" s="258" t="str">
        <f t="shared" si="357"/>
        <v/>
      </c>
      <c r="BO716" s="268"/>
      <c r="BP716" s="258" t="str">
        <f t="shared" si="358"/>
        <v/>
      </c>
      <c r="BQ716" s="268"/>
      <c r="BR716" s="258" t="str">
        <f t="shared" si="359"/>
        <v/>
      </c>
      <c r="BS716" s="268"/>
      <c r="BT716" s="256" t="str">
        <f t="shared" si="360"/>
        <v/>
      </c>
      <c r="BU716" s="256" t="str">
        <f t="shared" si="361"/>
        <v/>
      </c>
      <c r="BV716" s="256" t="str">
        <f t="shared" si="362"/>
        <v/>
      </c>
      <c r="BW716" s="267"/>
      <c r="BX716" s="256" t="str">
        <f t="shared" si="363"/>
        <v/>
      </c>
      <c r="BY716" s="256" t="str">
        <f t="shared" si="364"/>
        <v/>
      </c>
      <c r="BZ716" s="281"/>
      <c r="CA716" s="282"/>
      <c r="CF716" s="284"/>
      <c r="CG716" s="284"/>
      <c r="CH716" s="284"/>
      <c r="CI716" s="284"/>
      <c r="CL716" s="356" t="str">
        <f>IFERROR(VLOOKUP(C716,'Data Sheet'!$A$3:$B$26,2,FALSE),"")</f>
        <v/>
      </c>
    </row>
    <row r="717" spans="1:90" ht="15.75" x14ac:dyDescent="0.2">
      <c r="A717" s="97"/>
      <c r="B717" s="105" t="str">
        <f t="shared" si="338"/>
        <v>--</v>
      </c>
      <c r="C717" s="276"/>
      <c r="D717" s="101" t="str">
        <f>IFERROR(IF(VLOOKUP(C717,'Data Sheet'!$A$3:$D$26,4,FALSE)=0,"",VLOOKUP(C717,'Data Sheet'!$A$3:$D$26,4,FALSE)),"")</f>
        <v/>
      </c>
      <c r="E717" s="279"/>
      <c r="F717" s="103" t="str">
        <f>IFERROR(IF(VLOOKUP(E717,'Data Sheet'!$C$29:$E$174,3,FALSE)=0,"",VLOOKUP(E717,'Data Sheet'!$C$29:$E$174,3,FALSE)),"")</f>
        <v/>
      </c>
      <c r="G717" s="106" t="str">
        <f t="shared" si="365"/>
        <v>-</v>
      </c>
      <c r="H717" s="273"/>
      <c r="I717" s="107"/>
      <c r="J717" s="249" t="e">
        <f t="shared" si="366"/>
        <v>#VALUE!</v>
      </c>
      <c r="K717" s="101" t="str">
        <f>IFERROR(INDEX('Data Sheet'!$C$198:$C$275,MATCH(I717,'Data Sheet'!$F$198:$F$275,0)),"")</f>
        <v/>
      </c>
      <c r="L717" s="250" t="str">
        <f>IFERROR(INDEX('Data Sheet'!$G$198:$G$275,MATCH(I717,'Data Sheet'!$F$198:$F$275,0)),"")</f>
        <v/>
      </c>
      <c r="M717" s="194"/>
      <c r="N717" s="248"/>
      <c r="O717" s="248"/>
      <c r="P717" s="108" t="str">
        <f>IFERROR(INDEX(Setup!$D$44:$D$70,MATCH(M717,Setup!$K$44:$K$70,0))&amp;"","")</f>
        <v/>
      </c>
      <c r="Q717" s="108" t="str">
        <f>IFERROR(INDEX(Setup!$E$44:$E$70,MATCH(M717,Setup!$K$44:$K$70,0))&amp;"","")</f>
        <v/>
      </c>
      <c r="R717" s="108" t="str">
        <f>IFERROR(INDEX(Setup!$L$44:$L$70,MATCH(M717,Setup!$K$44:$K$70,0))&amp;"","")</f>
        <v/>
      </c>
      <c r="S717" s="108" t="str">
        <f>Setup!$C$30</f>
        <v>USD</v>
      </c>
      <c r="T717" s="109" t="str">
        <f>IFERROR(INDEX('Data Sheet'!$B$198:$B$275,MATCH(I717,'Data Sheet'!$F$198:$F$275,0)),"")</f>
        <v/>
      </c>
      <c r="U717" s="110" t="str">
        <f>IFERROR(INDEX('Data Sheet'!$D$198:$D$275,MATCH(I717,'Data Sheet'!$F$198:$F$275,0)),"")</f>
        <v/>
      </c>
      <c r="V717" s="99"/>
      <c r="W717" s="195" t="str">
        <f>IF(V717=Setup!$C$30,"Grant",IF(V717=Setup!$C$31,"Local",IF(V717=Setup!$C$32,"Other",IF(ISBLANK(V717),"","Other"))))</f>
        <v/>
      </c>
      <c r="X717" s="255"/>
      <c r="Y717" s="259" t="str">
        <f>IF(X717&lt;&gt;"",X717/VLOOKUP($V717,Setup!$C$30:$D$41,2,0),"")</f>
        <v/>
      </c>
      <c r="Z717" s="262"/>
      <c r="AA717" s="256" t="str">
        <f t="shared" si="339"/>
        <v/>
      </c>
      <c r="AB717" s="262"/>
      <c r="AC717" s="258" t="str">
        <f t="shared" si="340"/>
        <v/>
      </c>
      <c r="AD717" s="262"/>
      <c r="AE717" s="258" t="str">
        <f t="shared" si="341"/>
        <v/>
      </c>
      <c r="AF717" s="262"/>
      <c r="AG717" s="256" t="str">
        <f t="shared" si="342"/>
        <v/>
      </c>
      <c r="AH717" s="256" t="str">
        <f t="shared" si="343"/>
        <v/>
      </c>
      <c r="AI717" s="256" t="str">
        <f t="shared" si="344"/>
        <v/>
      </c>
      <c r="AJ717" s="111"/>
      <c r="AK717" s="255"/>
      <c r="AL717" s="259" t="str">
        <f>IF(AK717&lt;&gt;"",AK717/VLOOKUP($V717,Setup!$C$30:$D$41,2,0),"")</f>
        <v/>
      </c>
      <c r="AM717" s="266"/>
      <c r="AN717" s="258" t="str">
        <f t="shared" si="345"/>
        <v/>
      </c>
      <c r="AO717" s="266"/>
      <c r="AP717" s="258" t="str">
        <f t="shared" si="346"/>
        <v/>
      </c>
      <c r="AQ717" s="266"/>
      <c r="AR717" s="258" t="str">
        <f t="shared" si="347"/>
        <v/>
      </c>
      <c r="AS717" s="266"/>
      <c r="AT717" s="256" t="str">
        <f t="shared" si="348"/>
        <v/>
      </c>
      <c r="AU717" s="256" t="str">
        <f t="shared" si="349"/>
        <v/>
      </c>
      <c r="AV717" s="256" t="str">
        <f t="shared" si="350"/>
        <v/>
      </c>
      <c r="AW717" s="267"/>
      <c r="AX717" s="255"/>
      <c r="AY717" s="259" t="str">
        <f>IF(AX717&lt;&gt;"",AX717/VLOOKUP($V717,Setup!$C$30:$D$41,2,0),"")</f>
        <v/>
      </c>
      <c r="AZ717" s="268"/>
      <c r="BA717" s="258" t="str">
        <f t="shared" si="351"/>
        <v/>
      </c>
      <c r="BB717" s="268"/>
      <c r="BC717" s="258" t="str">
        <f t="shared" si="352"/>
        <v/>
      </c>
      <c r="BD717" s="268"/>
      <c r="BE717" s="258" t="str">
        <f t="shared" si="353"/>
        <v/>
      </c>
      <c r="BF717" s="268"/>
      <c r="BG717" s="256" t="str">
        <f t="shared" si="354"/>
        <v/>
      </c>
      <c r="BH717" s="256" t="str">
        <f t="shared" si="355"/>
        <v/>
      </c>
      <c r="BI717" s="256" t="str">
        <f t="shared" si="356"/>
        <v/>
      </c>
      <c r="BJ717" s="267"/>
      <c r="BK717" s="255"/>
      <c r="BL717" s="259" t="str">
        <f>IF(BK717&lt;&gt;"",BK717/VLOOKUP($V717,Setup!$C$30:$D$41,2,0),"")</f>
        <v/>
      </c>
      <c r="BM717" s="268"/>
      <c r="BN717" s="258" t="str">
        <f t="shared" si="357"/>
        <v/>
      </c>
      <c r="BO717" s="268"/>
      <c r="BP717" s="258" t="str">
        <f t="shared" si="358"/>
        <v/>
      </c>
      <c r="BQ717" s="268"/>
      <c r="BR717" s="258" t="str">
        <f t="shared" si="359"/>
        <v/>
      </c>
      <c r="BS717" s="268"/>
      <c r="BT717" s="256" t="str">
        <f t="shared" si="360"/>
        <v/>
      </c>
      <c r="BU717" s="256" t="str">
        <f t="shared" si="361"/>
        <v/>
      </c>
      <c r="BV717" s="256" t="str">
        <f t="shared" si="362"/>
        <v/>
      </c>
      <c r="BW717" s="267"/>
      <c r="BX717" s="256" t="str">
        <f t="shared" si="363"/>
        <v/>
      </c>
      <c r="BY717" s="256" t="str">
        <f t="shared" si="364"/>
        <v/>
      </c>
      <c r="BZ717" s="281"/>
      <c r="CA717" s="282"/>
      <c r="CF717" s="284"/>
      <c r="CG717" s="284"/>
      <c r="CH717" s="284"/>
      <c r="CI717" s="284"/>
      <c r="CL717" s="356" t="str">
        <f>IFERROR(VLOOKUP(C717,'Data Sheet'!$A$3:$B$26,2,FALSE),"")</f>
        <v/>
      </c>
    </row>
    <row r="718" spans="1:90" ht="15.75" x14ac:dyDescent="0.2">
      <c r="A718" s="97"/>
      <c r="B718" s="105" t="str">
        <f t="shared" ref="B718:B781" si="367">CONCATENATE(D718,"-",F718,"-",N718)</f>
        <v>--</v>
      </c>
      <c r="C718" s="276"/>
      <c r="D718" s="101" t="str">
        <f>IFERROR(IF(VLOOKUP(C718,'Data Sheet'!$A$3:$D$26,4,FALSE)=0,"",VLOOKUP(C718,'Data Sheet'!$A$3:$D$26,4,FALSE)),"")</f>
        <v/>
      </c>
      <c r="E718" s="279"/>
      <c r="F718" s="103" t="str">
        <f>IFERROR(IF(VLOOKUP(E718,'Data Sheet'!$C$29:$E$174,3,FALSE)=0,"",VLOOKUP(E718,'Data Sheet'!$C$29:$E$174,3,FALSE)),"")</f>
        <v/>
      </c>
      <c r="G718" s="106" t="str">
        <f t="shared" si="365"/>
        <v>-</v>
      </c>
      <c r="H718" s="273"/>
      <c r="I718" s="107"/>
      <c r="J718" s="249" t="e">
        <f t="shared" si="366"/>
        <v>#VALUE!</v>
      </c>
      <c r="K718" s="101" t="str">
        <f>IFERROR(INDEX('Data Sheet'!$C$198:$C$275,MATCH(I718,'Data Sheet'!$F$198:$F$275,0)),"")</f>
        <v/>
      </c>
      <c r="L718" s="250" t="str">
        <f>IFERROR(INDEX('Data Sheet'!$G$198:$G$275,MATCH(I718,'Data Sheet'!$F$198:$F$275,0)),"")</f>
        <v/>
      </c>
      <c r="M718" s="194"/>
      <c r="N718" s="248"/>
      <c r="O718" s="248"/>
      <c r="P718" s="108" t="str">
        <f>IFERROR(INDEX(Setup!$D$44:$D$70,MATCH(M718,Setup!$K$44:$K$70,0))&amp;"","")</f>
        <v/>
      </c>
      <c r="Q718" s="108" t="str">
        <f>IFERROR(INDEX(Setup!$E$44:$E$70,MATCH(M718,Setup!$K$44:$K$70,0))&amp;"","")</f>
        <v/>
      </c>
      <c r="R718" s="108" t="str">
        <f>IFERROR(INDEX(Setup!$L$44:$L$70,MATCH(M718,Setup!$K$44:$K$70,0))&amp;"","")</f>
        <v/>
      </c>
      <c r="S718" s="108" t="str">
        <f>Setup!$C$30</f>
        <v>USD</v>
      </c>
      <c r="T718" s="109" t="str">
        <f>IFERROR(INDEX('Data Sheet'!$B$198:$B$275,MATCH(I718,'Data Sheet'!$F$198:$F$275,0)),"")</f>
        <v/>
      </c>
      <c r="U718" s="110" t="str">
        <f>IFERROR(INDEX('Data Sheet'!$D$198:$D$275,MATCH(I718,'Data Sheet'!$F$198:$F$275,0)),"")</f>
        <v/>
      </c>
      <c r="V718" s="99"/>
      <c r="W718" s="195" t="str">
        <f>IF(V718=Setup!$C$30,"Grant",IF(V718=Setup!$C$31,"Local",IF(V718=Setup!$C$32,"Other",IF(ISBLANK(V718),"","Other"))))</f>
        <v/>
      </c>
      <c r="X718" s="255"/>
      <c r="Y718" s="259" t="str">
        <f>IF(X718&lt;&gt;"",X718/VLOOKUP($V718,Setup!$C$30:$D$41,2,0),"")</f>
        <v/>
      </c>
      <c r="Z718" s="262"/>
      <c r="AA718" s="256" t="str">
        <f t="shared" si="339"/>
        <v/>
      </c>
      <c r="AB718" s="262"/>
      <c r="AC718" s="258" t="str">
        <f t="shared" si="340"/>
        <v/>
      </c>
      <c r="AD718" s="262"/>
      <c r="AE718" s="258" t="str">
        <f t="shared" si="341"/>
        <v/>
      </c>
      <c r="AF718" s="262"/>
      <c r="AG718" s="256" t="str">
        <f t="shared" si="342"/>
        <v/>
      </c>
      <c r="AH718" s="256" t="str">
        <f t="shared" si="343"/>
        <v/>
      </c>
      <c r="AI718" s="256" t="str">
        <f t="shared" si="344"/>
        <v/>
      </c>
      <c r="AJ718" s="111"/>
      <c r="AK718" s="255"/>
      <c r="AL718" s="259" t="str">
        <f>IF(AK718&lt;&gt;"",AK718/VLOOKUP($V718,Setup!$C$30:$D$41,2,0),"")</f>
        <v/>
      </c>
      <c r="AM718" s="266"/>
      <c r="AN718" s="258" t="str">
        <f t="shared" si="345"/>
        <v/>
      </c>
      <c r="AO718" s="266"/>
      <c r="AP718" s="258" t="str">
        <f t="shared" si="346"/>
        <v/>
      </c>
      <c r="AQ718" s="266"/>
      <c r="AR718" s="258" t="str">
        <f t="shared" si="347"/>
        <v/>
      </c>
      <c r="AS718" s="266"/>
      <c r="AT718" s="256" t="str">
        <f t="shared" si="348"/>
        <v/>
      </c>
      <c r="AU718" s="256" t="str">
        <f t="shared" si="349"/>
        <v/>
      </c>
      <c r="AV718" s="256" t="str">
        <f t="shared" si="350"/>
        <v/>
      </c>
      <c r="AW718" s="267"/>
      <c r="AX718" s="255"/>
      <c r="AY718" s="259" t="str">
        <f>IF(AX718&lt;&gt;"",AX718/VLOOKUP($V718,Setup!$C$30:$D$41,2,0),"")</f>
        <v/>
      </c>
      <c r="AZ718" s="268"/>
      <c r="BA718" s="258" t="str">
        <f t="shared" si="351"/>
        <v/>
      </c>
      <c r="BB718" s="268"/>
      <c r="BC718" s="258" t="str">
        <f t="shared" si="352"/>
        <v/>
      </c>
      <c r="BD718" s="268"/>
      <c r="BE718" s="258" t="str">
        <f t="shared" si="353"/>
        <v/>
      </c>
      <c r="BF718" s="268"/>
      <c r="BG718" s="256" t="str">
        <f t="shared" si="354"/>
        <v/>
      </c>
      <c r="BH718" s="256" t="str">
        <f t="shared" si="355"/>
        <v/>
      </c>
      <c r="BI718" s="256" t="str">
        <f t="shared" si="356"/>
        <v/>
      </c>
      <c r="BJ718" s="267"/>
      <c r="BK718" s="255"/>
      <c r="BL718" s="259" t="str">
        <f>IF(BK718&lt;&gt;"",BK718/VLOOKUP($V718,Setup!$C$30:$D$41,2,0),"")</f>
        <v/>
      </c>
      <c r="BM718" s="268"/>
      <c r="BN718" s="258" t="str">
        <f t="shared" si="357"/>
        <v/>
      </c>
      <c r="BO718" s="268"/>
      <c r="BP718" s="258" t="str">
        <f t="shared" si="358"/>
        <v/>
      </c>
      <c r="BQ718" s="268"/>
      <c r="BR718" s="258" t="str">
        <f t="shared" si="359"/>
        <v/>
      </c>
      <c r="BS718" s="268"/>
      <c r="BT718" s="256" t="str">
        <f t="shared" si="360"/>
        <v/>
      </c>
      <c r="BU718" s="256" t="str">
        <f t="shared" si="361"/>
        <v/>
      </c>
      <c r="BV718" s="256" t="str">
        <f t="shared" si="362"/>
        <v/>
      </c>
      <c r="BW718" s="267"/>
      <c r="BX718" s="256" t="str">
        <f t="shared" si="363"/>
        <v/>
      </c>
      <c r="BY718" s="256" t="str">
        <f t="shared" si="364"/>
        <v/>
      </c>
      <c r="BZ718" s="281"/>
      <c r="CA718" s="282"/>
      <c r="CF718" s="284"/>
      <c r="CG718" s="284"/>
      <c r="CH718" s="284"/>
      <c r="CI718" s="284"/>
      <c r="CL718" s="356" t="str">
        <f>IFERROR(VLOOKUP(C718,'Data Sheet'!$A$3:$B$26,2,FALSE),"")</f>
        <v/>
      </c>
    </row>
    <row r="719" spans="1:90" ht="15.75" x14ac:dyDescent="0.2">
      <c r="A719" s="97"/>
      <c r="B719" s="105" t="str">
        <f t="shared" si="367"/>
        <v>--</v>
      </c>
      <c r="C719" s="276"/>
      <c r="D719" s="101" t="str">
        <f>IFERROR(IF(VLOOKUP(C719,'Data Sheet'!$A$3:$D$26,4,FALSE)=0,"",VLOOKUP(C719,'Data Sheet'!$A$3:$D$26,4,FALSE)),"")</f>
        <v/>
      </c>
      <c r="E719" s="279"/>
      <c r="F719" s="103" t="str">
        <f>IFERROR(IF(VLOOKUP(E719,'Data Sheet'!$C$29:$E$174,3,FALSE)=0,"",VLOOKUP(E719,'Data Sheet'!$C$29:$E$174,3,FALSE)),"")</f>
        <v/>
      </c>
      <c r="G719" s="106" t="str">
        <f t="shared" si="365"/>
        <v>-</v>
      </c>
      <c r="H719" s="273"/>
      <c r="I719" s="107"/>
      <c r="J719" s="249" t="e">
        <f t="shared" si="366"/>
        <v>#VALUE!</v>
      </c>
      <c r="K719" s="101" t="str">
        <f>IFERROR(INDEX('Data Sheet'!$C$198:$C$275,MATCH(I719,'Data Sheet'!$F$198:$F$275,0)),"")</f>
        <v/>
      </c>
      <c r="L719" s="250" t="str">
        <f>IFERROR(INDEX('Data Sheet'!$G$198:$G$275,MATCH(I719,'Data Sheet'!$F$198:$F$275,0)),"")</f>
        <v/>
      </c>
      <c r="M719" s="194"/>
      <c r="N719" s="248"/>
      <c r="O719" s="248"/>
      <c r="P719" s="108" t="str">
        <f>IFERROR(INDEX(Setup!$D$44:$D$70,MATCH(M719,Setup!$K$44:$K$70,0))&amp;"","")</f>
        <v/>
      </c>
      <c r="Q719" s="108" t="str">
        <f>IFERROR(INDEX(Setup!$E$44:$E$70,MATCH(M719,Setup!$K$44:$K$70,0))&amp;"","")</f>
        <v/>
      </c>
      <c r="R719" s="108" t="str">
        <f>IFERROR(INDEX(Setup!$L$44:$L$70,MATCH(M719,Setup!$K$44:$K$70,0))&amp;"","")</f>
        <v/>
      </c>
      <c r="S719" s="108" t="str">
        <f>Setup!$C$30</f>
        <v>USD</v>
      </c>
      <c r="T719" s="109" t="str">
        <f>IFERROR(INDEX('Data Sheet'!$B$198:$B$275,MATCH(I719,'Data Sheet'!$F$198:$F$275,0)),"")</f>
        <v/>
      </c>
      <c r="U719" s="110" t="str">
        <f>IFERROR(INDEX('Data Sheet'!$D$198:$D$275,MATCH(I719,'Data Sheet'!$F$198:$F$275,0)),"")</f>
        <v/>
      </c>
      <c r="V719" s="99"/>
      <c r="W719" s="195" t="str">
        <f>IF(V719=Setup!$C$30,"Grant",IF(V719=Setup!$C$31,"Local",IF(V719=Setup!$C$32,"Other",IF(ISBLANK(V719),"","Other"))))</f>
        <v/>
      </c>
      <c r="X719" s="255"/>
      <c r="Y719" s="259" t="str">
        <f>IF(X719&lt;&gt;"",X719/VLOOKUP($V719,Setup!$C$30:$D$41,2,0),"")</f>
        <v/>
      </c>
      <c r="Z719" s="262"/>
      <c r="AA719" s="256" t="str">
        <f t="shared" si="339"/>
        <v/>
      </c>
      <c r="AB719" s="262"/>
      <c r="AC719" s="258" t="str">
        <f t="shared" si="340"/>
        <v/>
      </c>
      <c r="AD719" s="262"/>
      <c r="AE719" s="258" t="str">
        <f t="shared" si="341"/>
        <v/>
      </c>
      <c r="AF719" s="262"/>
      <c r="AG719" s="256" t="str">
        <f t="shared" si="342"/>
        <v/>
      </c>
      <c r="AH719" s="256" t="str">
        <f t="shared" si="343"/>
        <v/>
      </c>
      <c r="AI719" s="256" t="str">
        <f t="shared" si="344"/>
        <v/>
      </c>
      <c r="AJ719" s="111"/>
      <c r="AK719" s="255"/>
      <c r="AL719" s="259" t="str">
        <f>IF(AK719&lt;&gt;"",AK719/VLOOKUP($V719,Setup!$C$30:$D$41,2,0),"")</f>
        <v/>
      </c>
      <c r="AM719" s="266"/>
      <c r="AN719" s="258" t="str">
        <f t="shared" si="345"/>
        <v/>
      </c>
      <c r="AO719" s="266"/>
      <c r="AP719" s="258" t="str">
        <f t="shared" si="346"/>
        <v/>
      </c>
      <c r="AQ719" s="266"/>
      <c r="AR719" s="258" t="str">
        <f t="shared" si="347"/>
        <v/>
      </c>
      <c r="AS719" s="266"/>
      <c r="AT719" s="256" t="str">
        <f t="shared" si="348"/>
        <v/>
      </c>
      <c r="AU719" s="256" t="str">
        <f t="shared" si="349"/>
        <v/>
      </c>
      <c r="AV719" s="256" t="str">
        <f t="shared" si="350"/>
        <v/>
      </c>
      <c r="AW719" s="267"/>
      <c r="AX719" s="255"/>
      <c r="AY719" s="259" t="str">
        <f>IF(AX719&lt;&gt;"",AX719/VLOOKUP($V719,Setup!$C$30:$D$41,2,0),"")</f>
        <v/>
      </c>
      <c r="AZ719" s="268"/>
      <c r="BA719" s="258" t="str">
        <f t="shared" si="351"/>
        <v/>
      </c>
      <c r="BB719" s="268"/>
      <c r="BC719" s="258" t="str">
        <f t="shared" si="352"/>
        <v/>
      </c>
      <c r="BD719" s="268"/>
      <c r="BE719" s="258" t="str">
        <f t="shared" si="353"/>
        <v/>
      </c>
      <c r="BF719" s="268"/>
      <c r="BG719" s="256" t="str">
        <f t="shared" si="354"/>
        <v/>
      </c>
      <c r="BH719" s="256" t="str">
        <f t="shared" si="355"/>
        <v/>
      </c>
      <c r="BI719" s="256" t="str">
        <f t="shared" si="356"/>
        <v/>
      </c>
      <c r="BJ719" s="267"/>
      <c r="BK719" s="255"/>
      <c r="BL719" s="259" t="str">
        <f>IF(BK719&lt;&gt;"",BK719/VLOOKUP($V719,Setup!$C$30:$D$41,2,0),"")</f>
        <v/>
      </c>
      <c r="BM719" s="268"/>
      <c r="BN719" s="258" t="str">
        <f t="shared" si="357"/>
        <v/>
      </c>
      <c r="BO719" s="268"/>
      <c r="BP719" s="258" t="str">
        <f t="shared" si="358"/>
        <v/>
      </c>
      <c r="BQ719" s="268"/>
      <c r="BR719" s="258" t="str">
        <f t="shared" si="359"/>
        <v/>
      </c>
      <c r="BS719" s="268"/>
      <c r="BT719" s="256" t="str">
        <f t="shared" si="360"/>
        <v/>
      </c>
      <c r="BU719" s="256" t="str">
        <f t="shared" si="361"/>
        <v/>
      </c>
      <c r="BV719" s="256" t="str">
        <f t="shared" si="362"/>
        <v/>
      </c>
      <c r="BW719" s="267"/>
      <c r="BX719" s="256" t="str">
        <f t="shared" si="363"/>
        <v/>
      </c>
      <c r="BY719" s="256" t="str">
        <f t="shared" si="364"/>
        <v/>
      </c>
      <c r="BZ719" s="281"/>
      <c r="CA719" s="282"/>
      <c r="CF719" s="284"/>
      <c r="CG719" s="284"/>
      <c r="CH719" s="284"/>
      <c r="CI719" s="284"/>
      <c r="CL719" s="356" t="str">
        <f>IFERROR(VLOOKUP(C719,'Data Sheet'!$A$3:$B$26,2,FALSE),"")</f>
        <v/>
      </c>
    </row>
    <row r="720" spans="1:90" ht="15.75" x14ac:dyDescent="0.2">
      <c r="A720" s="97"/>
      <c r="B720" s="105" t="str">
        <f t="shared" si="367"/>
        <v>--</v>
      </c>
      <c r="C720" s="276"/>
      <c r="D720" s="101" t="str">
        <f>IFERROR(IF(VLOOKUP(C720,'Data Sheet'!$A$3:$D$26,4,FALSE)=0,"",VLOOKUP(C720,'Data Sheet'!$A$3:$D$26,4,FALSE)),"")</f>
        <v/>
      </c>
      <c r="E720" s="279"/>
      <c r="F720" s="103" t="str">
        <f>IFERROR(IF(VLOOKUP(E720,'Data Sheet'!$C$29:$E$174,3,FALSE)=0,"",VLOOKUP(E720,'Data Sheet'!$C$29:$E$174,3,FALSE)),"")</f>
        <v/>
      </c>
      <c r="G720" s="106" t="str">
        <f t="shared" si="365"/>
        <v>-</v>
      </c>
      <c r="H720" s="273"/>
      <c r="I720" s="107"/>
      <c r="J720" s="249" t="e">
        <f t="shared" si="366"/>
        <v>#VALUE!</v>
      </c>
      <c r="K720" s="101" t="str">
        <f>IFERROR(INDEX('Data Sheet'!$C$198:$C$275,MATCH(I720,'Data Sheet'!$F$198:$F$275,0)),"")</f>
        <v/>
      </c>
      <c r="L720" s="250" t="str">
        <f>IFERROR(INDEX('Data Sheet'!$G$198:$G$275,MATCH(I720,'Data Sheet'!$F$198:$F$275,0)),"")</f>
        <v/>
      </c>
      <c r="M720" s="194"/>
      <c r="N720" s="248"/>
      <c r="O720" s="248"/>
      <c r="P720" s="108" t="str">
        <f>IFERROR(INDEX(Setup!$D$44:$D$70,MATCH(M720,Setup!$K$44:$K$70,0))&amp;"","")</f>
        <v/>
      </c>
      <c r="Q720" s="108" t="str">
        <f>IFERROR(INDEX(Setup!$E$44:$E$70,MATCH(M720,Setup!$K$44:$K$70,0))&amp;"","")</f>
        <v/>
      </c>
      <c r="R720" s="108" t="str">
        <f>IFERROR(INDEX(Setup!$L$44:$L$70,MATCH(M720,Setup!$K$44:$K$70,0))&amp;"","")</f>
        <v/>
      </c>
      <c r="S720" s="108" t="str">
        <f>Setup!$C$30</f>
        <v>USD</v>
      </c>
      <c r="T720" s="109" t="str">
        <f>IFERROR(INDEX('Data Sheet'!$B$198:$B$275,MATCH(I720,'Data Sheet'!$F$198:$F$275,0)),"")</f>
        <v/>
      </c>
      <c r="U720" s="110" t="str">
        <f>IFERROR(INDEX('Data Sheet'!$D$198:$D$275,MATCH(I720,'Data Sheet'!$F$198:$F$275,0)),"")</f>
        <v/>
      </c>
      <c r="V720" s="99"/>
      <c r="W720" s="195" t="str">
        <f>IF(V720=Setup!$C$30,"Grant",IF(V720=Setup!$C$31,"Local",IF(V720=Setup!$C$32,"Other",IF(ISBLANK(V720),"","Other"))))</f>
        <v/>
      </c>
      <c r="X720" s="255"/>
      <c r="Y720" s="259" t="str">
        <f>IF(X720&lt;&gt;"",X720/VLOOKUP($V720,Setup!$C$30:$D$41,2,0),"")</f>
        <v/>
      </c>
      <c r="Z720" s="262"/>
      <c r="AA720" s="256" t="str">
        <f t="shared" si="339"/>
        <v/>
      </c>
      <c r="AB720" s="262"/>
      <c r="AC720" s="258" t="str">
        <f t="shared" si="340"/>
        <v/>
      </c>
      <c r="AD720" s="262"/>
      <c r="AE720" s="258" t="str">
        <f t="shared" si="341"/>
        <v/>
      </c>
      <c r="AF720" s="262"/>
      <c r="AG720" s="256" t="str">
        <f t="shared" si="342"/>
        <v/>
      </c>
      <c r="AH720" s="256" t="str">
        <f t="shared" si="343"/>
        <v/>
      </c>
      <c r="AI720" s="256" t="str">
        <f t="shared" si="344"/>
        <v/>
      </c>
      <c r="AJ720" s="111"/>
      <c r="AK720" s="255"/>
      <c r="AL720" s="259" t="str">
        <f>IF(AK720&lt;&gt;"",AK720/VLOOKUP($V720,Setup!$C$30:$D$41,2,0),"")</f>
        <v/>
      </c>
      <c r="AM720" s="266"/>
      <c r="AN720" s="258" t="str">
        <f t="shared" si="345"/>
        <v/>
      </c>
      <c r="AO720" s="266"/>
      <c r="AP720" s="258" t="str">
        <f t="shared" si="346"/>
        <v/>
      </c>
      <c r="AQ720" s="266"/>
      <c r="AR720" s="258" t="str">
        <f t="shared" si="347"/>
        <v/>
      </c>
      <c r="AS720" s="266"/>
      <c r="AT720" s="256" t="str">
        <f t="shared" si="348"/>
        <v/>
      </c>
      <c r="AU720" s="256" t="str">
        <f t="shared" si="349"/>
        <v/>
      </c>
      <c r="AV720" s="256" t="str">
        <f t="shared" si="350"/>
        <v/>
      </c>
      <c r="AW720" s="267"/>
      <c r="AX720" s="255"/>
      <c r="AY720" s="259" t="str">
        <f>IF(AX720&lt;&gt;"",AX720/VLOOKUP($V720,Setup!$C$30:$D$41,2,0),"")</f>
        <v/>
      </c>
      <c r="AZ720" s="268"/>
      <c r="BA720" s="258" t="str">
        <f t="shared" si="351"/>
        <v/>
      </c>
      <c r="BB720" s="268"/>
      <c r="BC720" s="258" t="str">
        <f t="shared" si="352"/>
        <v/>
      </c>
      <c r="BD720" s="268"/>
      <c r="BE720" s="258" t="str">
        <f t="shared" si="353"/>
        <v/>
      </c>
      <c r="BF720" s="268"/>
      <c r="BG720" s="256" t="str">
        <f t="shared" si="354"/>
        <v/>
      </c>
      <c r="BH720" s="256" t="str">
        <f t="shared" si="355"/>
        <v/>
      </c>
      <c r="BI720" s="256" t="str">
        <f t="shared" si="356"/>
        <v/>
      </c>
      <c r="BJ720" s="267"/>
      <c r="BK720" s="255"/>
      <c r="BL720" s="259" t="str">
        <f>IF(BK720&lt;&gt;"",BK720/VLOOKUP($V720,Setup!$C$30:$D$41,2,0),"")</f>
        <v/>
      </c>
      <c r="BM720" s="268"/>
      <c r="BN720" s="258" t="str">
        <f t="shared" si="357"/>
        <v/>
      </c>
      <c r="BO720" s="268"/>
      <c r="BP720" s="258" t="str">
        <f t="shared" si="358"/>
        <v/>
      </c>
      <c r="BQ720" s="268"/>
      <c r="BR720" s="258" t="str">
        <f t="shared" si="359"/>
        <v/>
      </c>
      <c r="BS720" s="268"/>
      <c r="BT720" s="256" t="str">
        <f t="shared" si="360"/>
        <v/>
      </c>
      <c r="BU720" s="256" t="str">
        <f t="shared" si="361"/>
        <v/>
      </c>
      <c r="BV720" s="256" t="str">
        <f t="shared" si="362"/>
        <v/>
      </c>
      <c r="BW720" s="267"/>
      <c r="BX720" s="256" t="str">
        <f t="shared" si="363"/>
        <v/>
      </c>
      <c r="BY720" s="256" t="str">
        <f t="shared" si="364"/>
        <v/>
      </c>
      <c r="BZ720" s="281"/>
      <c r="CA720" s="282"/>
      <c r="CF720" s="284"/>
      <c r="CG720" s="284"/>
      <c r="CH720" s="284"/>
      <c r="CI720" s="284"/>
      <c r="CL720" s="356" t="str">
        <f>IFERROR(VLOOKUP(C720,'Data Sheet'!$A$3:$B$26,2,FALSE),"")</f>
        <v/>
      </c>
    </row>
    <row r="721" spans="1:90" ht="15.75" x14ac:dyDescent="0.2">
      <c r="A721" s="97"/>
      <c r="B721" s="105" t="str">
        <f t="shared" si="367"/>
        <v>--</v>
      </c>
      <c r="C721" s="276"/>
      <c r="D721" s="101" t="str">
        <f>IFERROR(IF(VLOOKUP(C721,'Data Sheet'!$A$3:$D$26,4,FALSE)=0,"",VLOOKUP(C721,'Data Sheet'!$A$3:$D$26,4,FALSE)),"")</f>
        <v/>
      </c>
      <c r="E721" s="279"/>
      <c r="F721" s="103" t="str">
        <f>IFERROR(IF(VLOOKUP(E721,'Data Sheet'!$C$29:$E$174,3,FALSE)=0,"",VLOOKUP(E721,'Data Sheet'!$C$29:$E$174,3,FALSE)),"")</f>
        <v/>
      </c>
      <c r="G721" s="106" t="str">
        <f t="shared" si="365"/>
        <v>-</v>
      </c>
      <c r="H721" s="273"/>
      <c r="I721" s="107"/>
      <c r="J721" s="249" t="e">
        <f t="shared" si="366"/>
        <v>#VALUE!</v>
      </c>
      <c r="K721" s="101" t="str">
        <f>IFERROR(INDEX('Data Sheet'!$C$198:$C$275,MATCH(I721,'Data Sheet'!$F$198:$F$275,0)),"")</f>
        <v/>
      </c>
      <c r="L721" s="250" t="str">
        <f>IFERROR(INDEX('Data Sheet'!$G$198:$G$275,MATCH(I721,'Data Sheet'!$F$198:$F$275,0)),"")</f>
        <v/>
      </c>
      <c r="M721" s="194"/>
      <c r="N721" s="248"/>
      <c r="O721" s="248"/>
      <c r="P721" s="108" t="str">
        <f>IFERROR(INDEX(Setup!$D$44:$D$70,MATCH(M721,Setup!$K$44:$K$70,0))&amp;"","")</f>
        <v/>
      </c>
      <c r="Q721" s="108" t="str">
        <f>IFERROR(INDEX(Setup!$E$44:$E$70,MATCH(M721,Setup!$K$44:$K$70,0))&amp;"","")</f>
        <v/>
      </c>
      <c r="R721" s="108" t="str">
        <f>IFERROR(INDEX(Setup!$L$44:$L$70,MATCH(M721,Setup!$K$44:$K$70,0))&amp;"","")</f>
        <v/>
      </c>
      <c r="S721" s="108" t="str">
        <f>Setup!$C$30</f>
        <v>USD</v>
      </c>
      <c r="T721" s="109" t="str">
        <f>IFERROR(INDEX('Data Sheet'!$B$198:$B$275,MATCH(I721,'Data Sheet'!$F$198:$F$275,0)),"")</f>
        <v/>
      </c>
      <c r="U721" s="110" t="str">
        <f>IFERROR(INDEX('Data Sheet'!$D$198:$D$275,MATCH(I721,'Data Sheet'!$F$198:$F$275,0)),"")</f>
        <v/>
      </c>
      <c r="V721" s="99"/>
      <c r="W721" s="195" t="str">
        <f>IF(V721=Setup!$C$30,"Grant",IF(V721=Setup!$C$31,"Local",IF(V721=Setup!$C$32,"Other",IF(ISBLANK(V721),"","Other"))))</f>
        <v/>
      </c>
      <c r="X721" s="255"/>
      <c r="Y721" s="259" t="str">
        <f>IF(X721&lt;&gt;"",X721/VLOOKUP($V721,Setup!$C$30:$D$41,2,0),"")</f>
        <v/>
      </c>
      <c r="Z721" s="262"/>
      <c r="AA721" s="256" t="str">
        <f t="shared" si="339"/>
        <v/>
      </c>
      <c r="AB721" s="262"/>
      <c r="AC721" s="258" t="str">
        <f t="shared" si="340"/>
        <v/>
      </c>
      <c r="AD721" s="262"/>
      <c r="AE721" s="258" t="str">
        <f t="shared" si="341"/>
        <v/>
      </c>
      <c r="AF721" s="262"/>
      <c r="AG721" s="256" t="str">
        <f t="shared" si="342"/>
        <v/>
      </c>
      <c r="AH721" s="256" t="str">
        <f t="shared" si="343"/>
        <v/>
      </c>
      <c r="AI721" s="256" t="str">
        <f t="shared" si="344"/>
        <v/>
      </c>
      <c r="AJ721" s="111"/>
      <c r="AK721" s="255"/>
      <c r="AL721" s="259" t="str">
        <f>IF(AK721&lt;&gt;"",AK721/VLOOKUP($V721,Setup!$C$30:$D$41,2,0),"")</f>
        <v/>
      </c>
      <c r="AM721" s="266"/>
      <c r="AN721" s="258" t="str">
        <f t="shared" si="345"/>
        <v/>
      </c>
      <c r="AO721" s="266"/>
      <c r="AP721" s="258" t="str">
        <f t="shared" si="346"/>
        <v/>
      </c>
      <c r="AQ721" s="266"/>
      <c r="AR721" s="258" t="str">
        <f t="shared" si="347"/>
        <v/>
      </c>
      <c r="AS721" s="266"/>
      <c r="AT721" s="256" t="str">
        <f t="shared" si="348"/>
        <v/>
      </c>
      <c r="AU721" s="256" t="str">
        <f t="shared" si="349"/>
        <v/>
      </c>
      <c r="AV721" s="256" t="str">
        <f t="shared" si="350"/>
        <v/>
      </c>
      <c r="AW721" s="267"/>
      <c r="AX721" s="255"/>
      <c r="AY721" s="259" t="str">
        <f>IF(AX721&lt;&gt;"",AX721/VLOOKUP($V721,Setup!$C$30:$D$41,2,0),"")</f>
        <v/>
      </c>
      <c r="AZ721" s="268"/>
      <c r="BA721" s="258" t="str">
        <f t="shared" si="351"/>
        <v/>
      </c>
      <c r="BB721" s="268"/>
      <c r="BC721" s="258" t="str">
        <f t="shared" si="352"/>
        <v/>
      </c>
      <c r="BD721" s="268"/>
      <c r="BE721" s="258" t="str">
        <f t="shared" si="353"/>
        <v/>
      </c>
      <c r="BF721" s="268"/>
      <c r="BG721" s="256" t="str">
        <f t="shared" si="354"/>
        <v/>
      </c>
      <c r="BH721" s="256" t="str">
        <f t="shared" si="355"/>
        <v/>
      </c>
      <c r="BI721" s="256" t="str">
        <f t="shared" si="356"/>
        <v/>
      </c>
      <c r="BJ721" s="267"/>
      <c r="BK721" s="255"/>
      <c r="BL721" s="259" t="str">
        <f>IF(BK721&lt;&gt;"",BK721/VLOOKUP($V721,Setup!$C$30:$D$41,2,0),"")</f>
        <v/>
      </c>
      <c r="BM721" s="268"/>
      <c r="BN721" s="258" t="str">
        <f t="shared" si="357"/>
        <v/>
      </c>
      <c r="BO721" s="268"/>
      <c r="BP721" s="258" t="str">
        <f t="shared" si="358"/>
        <v/>
      </c>
      <c r="BQ721" s="268"/>
      <c r="BR721" s="258" t="str">
        <f t="shared" si="359"/>
        <v/>
      </c>
      <c r="BS721" s="268"/>
      <c r="BT721" s="256" t="str">
        <f t="shared" si="360"/>
        <v/>
      </c>
      <c r="BU721" s="256" t="str">
        <f t="shared" si="361"/>
        <v/>
      </c>
      <c r="BV721" s="256" t="str">
        <f t="shared" si="362"/>
        <v/>
      </c>
      <c r="BW721" s="267"/>
      <c r="BX721" s="256" t="str">
        <f t="shared" si="363"/>
        <v/>
      </c>
      <c r="BY721" s="256" t="str">
        <f t="shared" si="364"/>
        <v/>
      </c>
      <c r="BZ721" s="281"/>
      <c r="CA721" s="282"/>
      <c r="CF721" s="284"/>
      <c r="CG721" s="284"/>
      <c r="CH721" s="284"/>
      <c r="CI721" s="284"/>
      <c r="CL721" s="356" t="str">
        <f>IFERROR(VLOOKUP(C721,'Data Sheet'!$A$3:$B$26,2,FALSE),"")</f>
        <v/>
      </c>
    </row>
    <row r="722" spans="1:90" ht="15.75" x14ac:dyDescent="0.2">
      <c r="A722" s="97"/>
      <c r="B722" s="105" t="str">
        <f t="shared" si="367"/>
        <v>--</v>
      </c>
      <c r="C722" s="276"/>
      <c r="D722" s="101" t="str">
        <f>IFERROR(IF(VLOOKUP(C722,'Data Sheet'!$A$3:$D$26,4,FALSE)=0,"",VLOOKUP(C722,'Data Sheet'!$A$3:$D$26,4,FALSE)),"")</f>
        <v/>
      </c>
      <c r="E722" s="279"/>
      <c r="F722" s="103" t="str">
        <f>IFERROR(IF(VLOOKUP(E722,'Data Sheet'!$C$29:$E$174,3,FALSE)=0,"",VLOOKUP(E722,'Data Sheet'!$C$29:$E$174,3,FALSE)),"")</f>
        <v/>
      </c>
      <c r="G722" s="106" t="str">
        <f t="shared" si="365"/>
        <v>-</v>
      </c>
      <c r="H722" s="273"/>
      <c r="I722" s="107"/>
      <c r="J722" s="249" t="e">
        <f t="shared" si="366"/>
        <v>#VALUE!</v>
      </c>
      <c r="K722" s="101" t="str">
        <f>IFERROR(INDEX('Data Sheet'!$C$198:$C$275,MATCH(I722,'Data Sheet'!$F$198:$F$275,0)),"")</f>
        <v/>
      </c>
      <c r="L722" s="250" t="str">
        <f>IFERROR(INDEX('Data Sheet'!$G$198:$G$275,MATCH(I722,'Data Sheet'!$F$198:$F$275,0)),"")</f>
        <v/>
      </c>
      <c r="M722" s="194"/>
      <c r="N722" s="248"/>
      <c r="O722" s="248"/>
      <c r="P722" s="108" t="str">
        <f>IFERROR(INDEX(Setup!$D$44:$D$70,MATCH(M722,Setup!$K$44:$K$70,0))&amp;"","")</f>
        <v/>
      </c>
      <c r="Q722" s="108" t="str">
        <f>IFERROR(INDEX(Setup!$E$44:$E$70,MATCH(M722,Setup!$K$44:$K$70,0))&amp;"","")</f>
        <v/>
      </c>
      <c r="R722" s="108" t="str">
        <f>IFERROR(INDEX(Setup!$L$44:$L$70,MATCH(M722,Setup!$K$44:$K$70,0))&amp;"","")</f>
        <v/>
      </c>
      <c r="S722" s="108" t="str">
        <f>Setup!$C$30</f>
        <v>USD</v>
      </c>
      <c r="T722" s="109" t="str">
        <f>IFERROR(INDEX('Data Sheet'!$B$198:$B$275,MATCH(I722,'Data Sheet'!$F$198:$F$275,0)),"")</f>
        <v/>
      </c>
      <c r="U722" s="110" t="str">
        <f>IFERROR(INDEX('Data Sheet'!$D$198:$D$275,MATCH(I722,'Data Sheet'!$F$198:$F$275,0)),"")</f>
        <v/>
      </c>
      <c r="V722" s="99"/>
      <c r="W722" s="195" t="str">
        <f>IF(V722=Setup!$C$30,"Grant",IF(V722=Setup!$C$31,"Local",IF(V722=Setup!$C$32,"Other",IF(ISBLANK(V722),"","Other"))))</f>
        <v/>
      </c>
      <c r="X722" s="255"/>
      <c r="Y722" s="259" t="str">
        <f>IF(X722&lt;&gt;"",X722/VLOOKUP($V722,Setup!$C$30:$D$41,2,0),"")</f>
        <v/>
      </c>
      <c r="Z722" s="262"/>
      <c r="AA722" s="256" t="str">
        <f t="shared" si="339"/>
        <v/>
      </c>
      <c r="AB722" s="262"/>
      <c r="AC722" s="258" t="str">
        <f t="shared" si="340"/>
        <v/>
      </c>
      <c r="AD722" s="262"/>
      <c r="AE722" s="258" t="str">
        <f t="shared" si="341"/>
        <v/>
      </c>
      <c r="AF722" s="262"/>
      <c r="AG722" s="256" t="str">
        <f t="shared" si="342"/>
        <v/>
      </c>
      <c r="AH722" s="256" t="str">
        <f t="shared" si="343"/>
        <v/>
      </c>
      <c r="AI722" s="256" t="str">
        <f t="shared" si="344"/>
        <v/>
      </c>
      <c r="AJ722" s="111"/>
      <c r="AK722" s="255"/>
      <c r="AL722" s="259" t="str">
        <f>IF(AK722&lt;&gt;"",AK722/VLOOKUP($V722,Setup!$C$30:$D$41,2,0),"")</f>
        <v/>
      </c>
      <c r="AM722" s="266"/>
      <c r="AN722" s="258" t="str">
        <f t="shared" si="345"/>
        <v/>
      </c>
      <c r="AO722" s="266"/>
      <c r="AP722" s="258" t="str">
        <f t="shared" si="346"/>
        <v/>
      </c>
      <c r="AQ722" s="266"/>
      <c r="AR722" s="258" t="str">
        <f t="shared" si="347"/>
        <v/>
      </c>
      <c r="AS722" s="266"/>
      <c r="AT722" s="256" t="str">
        <f t="shared" si="348"/>
        <v/>
      </c>
      <c r="AU722" s="256" t="str">
        <f t="shared" si="349"/>
        <v/>
      </c>
      <c r="AV722" s="256" t="str">
        <f t="shared" si="350"/>
        <v/>
      </c>
      <c r="AW722" s="267"/>
      <c r="AX722" s="255"/>
      <c r="AY722" s="259" t="str">
        <f>IF(AX722&lt;&gt;"",AX722/VLOOKUP($V722,Setup!$C$30:$D$41,2,0),"")</f>
        <v/>
      </c>
      <c r="AZ722" s="268"/>
      <c r="BA722" s="258" t="str">
        <f t="shared" si="351"/>
        <v/>
      </c>
      <c r="BB722" s="268"/>
      <c r="BC722" s="258" t="str">
        <f t="shared" si="352"/>
        <v/>
      </c>
      <c r="BD722" s="268"/>
      <c r="BE722" s="258" t="str">
        <f t="shared" si="353"/>
        <v/>
      </c>
      <c r="BF722" s="268"/>
      <c r="BG722" s="256" t="str">
        <f t="shared" si="354"/>
        <v/>
      </c>
      <c r="BH722" s="256" t="str">
        <f t="shared" si="355"/>
        <v/>
      </c>
      <c r="BI722" s="256" t="str">
        <f t="shared" si="356"/>
        <v/>
      </c>
      <c r="BJ722" s="267"/>
      <c r="BK722" s="255"/>
      <c r="BL722" s="259" t="str">
        <f>IF(BK722&lt;&gt;"",BK722/VLOOKUP($V722,Setup!$C$30:$D$41,2,0),"")</f>
        <v/>
      </c>
      <c r="BM722" s="268"/>
      <c r="BN722" s="258" t="str">
        <f t="shared" si="357"/>
        <v/>
      </c>
      <c r="BO722" s="268"/>
      <c r="BP722" s="258" t="str">
        <f t="shared" si="358"/>
        <v/>
      </c>
      <c r="BQ722" s="268"/>
      <c r="BR722" s="258" t="str">
        <f t="shared" si="359"/>
        <v/>
      </c>
      <c r="BS722" s="268"/>
      <c r="BT722" s="256" t="str">
        <f t="shared" si="360"/>
        <v/>
      </c>
      <c r="BU722" s="256" t="str">
        <f t="shared" si="361"/>
        <v/>
      </c>
      <c r="BV722" s="256" t="str">
        <f t="shared" si="362"/>
        <v/>
      </c>
      <c r="BW722" s="267"/>
      <c r="BX722" s="256" t="str">
        <f t="shared" si="363"/>
        <v/>
      </c>
      <c r="BY722" s="256" t="str">
        <f t="shared" si="364"/>
        <v/>
      </c>
      <c r="BZ722" s="281"/>
      <c r="CA722" s="282"/>
      <c r="CF722" s="284"/>
      <c r="CG722" s="284"/>
      <c r="CH722" s="284"/>
      <c r="CI722" s="284"/>
      <c r="CL722" s="356" t="str">
        <f>IFERROR(VLOOKUP(C722,'Data Sheet'!$A$3:$B$26,2,FALSE),"")</f>
        <v/>
      </c>
    </row>
    <row r="723" spans="1:90" ht="15.75" x14ac:dyDescent="0.2">
      <c r="A723" s="97"/>
      <c r="B723" s="105" t="str">
        <f t="shared" si="367"/>
        <v>--</v>
      </c>
      <c r="C723" s="276"/>
      <c r="D723" s="101" t="str">
        <f>IFERROR(IF(VLOOKUP(C723,'Data Sheet'!$A$3:$D$26,4,FALSE)=0,"",VLOOKUP(C723,'Data Sheet'!$A$3:$D$26,4,FALSE)),"")</f>
        <v/>
      </c>
      <c r="E723" s="279"/>
      <c r="F723" s="103" t="str">
        <f>IFERROR(IF(VLOOKUP(E723,'Data Sheet'!$C$29:$E$174,3,FALSE)=0,"",VLOOKUP(E723,'Data Sheet'!$C$29:$E$174,3,FALSE)),"")</f>
        <v/>
      </c>
      <c r="G723" s="106" t="str">
        <f t="shared" si="365"/>
        <v>-</v>
      </c>
      <c r="H723" s="273"/>
      <c r="I723" s="107"/>
      <c r="J723" s="249" t="e">
        <f t="shared" si="366"/>
        <v>#VALUE!</v>
      </c>
      <c r="K723" s="101" t="str">
        <f>IFERROR(INDEX('Data Sheet'!$C$198:$C$275,MATCH(I723,'Data Sheet'!$F$198:$F$275,0)),"")</f>
        <v/>
      </c>
      <c r="L723" s="250" t="str">
        <f>IFERROR(INDEX('Data Sheet'!$G$198:$G$275,MATCH(I723,'Data Sheet'!$F$198:$F$275,0)),"")</f>
        <v/>
      </c>
      <c r="M723" s="194"/>
      <c r="N723" s="248"/>
      <c r="O723" s="248"/>
      <c r="P723" s="108" t="str">
        <f>IFERROR(INDEX(Setup!$D$44:$D$70,MATCH(M723,Setup!$K$44:$K$70,0))&amp;"","")</f>
        <v/>
      </c>
      <c r="Q723" s="108" t="str">
        <f>IFERROR(INDEX(Setup!$E$44:$E$70,MATCH(M723,Setup!$K$44:$K$70,0))&amp;"","")</f>
        <v/>
      </c>
      <c r="R723" s="108" t="str">
        <f>IFERROR(INDEX(Setup!$L$44:$L$70,MATCH(M723,Setup!$K$44:$K$70,0))&amp;"","")</f>
        <v/>
      </c>
      <c r="S723" s="108" t="str">
        <f>Setup!$C$30</f>
        <v>USD</v>
      </c>
      <c r="T723" s="109" t="str">
        <f>IFERROR(INDEX('Data Sheet'!$B$198:$B$275,MATCH(I723,'Data Sheet'!$F$198:$F$275,0)),"")</f>
        <v/>
      </c>
      <c r="U723" s="110" t="str">
        <f>IFERROR(INDEX('Data Sheet'!$D$198:$D$275,MATCH(I723,'Data Sheet'!$F$198:$F$275,0)),"")</f>
        <v/>
      </c>
      <c r="V723" s="99"/>
      <c r="W723" s="195" t="str">
        <f>IF(V723=Setup!$C$30,"Grant",IF(V723=Setup!$C$31,"Local",IF(V723=Setup!$C$32,"Other",IF(ISBLANK(V723),"","Other"))))</f>
        <v/>
      </c>
      <c r="X723" s="255"/>
      <c r="Y723" s="259" t="str">
        <f>IF(X723&lt;&gt;"",X723/VLOOKUP($V723,Setup!$C$30:$D$41,2,0),"")</f>
        <v/>
      </c>
      <c r="Z723" s="262"/>
      <c r="AA723" s="256" t="str">
        <f t="shared" si="339"/>
        <v/>
      </c>
      <c r="AB723" s="262"/>
      <c r="AC723" s="258" t="str">
        <f t="shared" si="340"/>
        <v/>
      </c>
      <c r="AD723" s="262"/>
      <c r="AE723" s="258" t="str">
        <f t="shared" si="341"/>
        <v/>
      </c>
      <c r="AF723" s="262"/>
      <c r="AG723" s="256" t="str">
        <f t="shared" si="342"/>
        <v/>
      </c>
      <c r="AH723" s="256" t="str">
        <f t="shared" si="343"/>
        <v/>
      </c>
      <c r="AI723" s="256" t="str">
        <f t="shared" si="344"/>
        <v/>
      </c>
      <c r="AJ723" s="111"/>
      <c r="AK723" s="255"/>
      <c r="AL723" s="259" t="str">
        <f>IF(AK723&lt;&gt;"",AK723/VLOOKUP($V723,Setup!$C$30:$D$41,2,0),"")</f>
        <v/>
      </c>
      <c r="AM723" s="266"/>
      <c r="AN723" s="258" t="str">
        <f t="shared" si="345"/>
        <v/>
      </c>
      <c r="AO723" s="266"/>
      <c r="AP723" s="258" t="str">
        <f t="shared" si="346"/>
        <v/>
      </c>
      <c r="AQ723" s="266"/>
      <c r="AR723" s="258" t="str">
        <f t="shared" si="347"/>
        <v/>
      </c>
      <c r="AS723" s="266"/>
      <c r="AT723" s="256" t="str">
        <f t="shared" si="348"/>
        <v/>
      </c>
      <c r="AU723" s="256" t="str">
        <f t="shared" si="349"/>
        <v/>
      </c>
      <c r="AV723" s="256" t="str">
        <f t="shared" si="350"/>
        <v/>
      </c>
      <c r="AW723" s="267"/>
      <c r="AX723" s="255"/>
      <c r="AY723" s="259" t="str">
        <f>IF(AX723&lt;&gt;"",AX723/VLOOKUP($V723,Setup!$C$30:$D$41,2,0),"")</f>
        <v/>
      </c>
      <c r="AZ723" s="268"/>
      <c r="BA723" s="258" t="str">
        <f t="shared" si="351"/>
        <v/>
      </c>
      <c r="BB723" s="268"/>
      <c r="BC723" s="258" t="str">
        <f t="shared" si="352"/>
        <v/>
      </c>
      <c r="BD723" s="268"/>
      <c r="BE723" s="258" t="str">
        <f t="shared" si="353"/>
        <v/>
      </c>
      <c r="BF723" s="268"/>
      <c r="BG723" s="256" t="str">
        <f t="shared" si="354"/>
        <v/>
      </c>
      <c r="BH723" s="256" t="str">
        <f t="shared" si="355"/>
        <v/>
      </c>
      <c r="BI723" s="256" t="str">
        <f t="shared" si="356"/>
        <v/>
      </c>
      <c r="BJ723" s="267"/>
      <c r="BK723" s="255"/>
      <c r="BL723" s="259" t="str">
        <f>IF(BK723&lt;&gt;"",BK723/VLOOKUP($V723,Setup!$C$30:$D$41,2,0),"")</f>
        <v/>
      </c>
      <c r="BM723" s="268"/>
      <c r="BN723" s="258" t="str">
        <f t="shared" si="357"/>
        <v/>
      </c>
      <c r="BO723" s="268"/>
      <c r="BP723" s="258" t="str">
        <f t="shared" si="358"/>
        <v/>
      </c>
      <c r="BQ723" s="268"/>
      <c r="BR723" s="258" t="str">
        <f t="shared" si="359"/>
        <v/>
      </c>
      <c r="BS723" s="268"/>
      <c r="BT723" s="256" t="str">
        <f t="shared" si="360"/>
        <v/>
      </c>
      <c r="BU723" s="256" t="str">
        <f t="shared" si="361"/>
        <v/>
      </c>
      <c r="BV723" s="256" t="str">
        <f t="shared" si="362"/>
        <v/>
      </c>
      <c r="BW723" s="267"/>
      <c r="BX723" s="256" t="str">
        <f t="shared" si="363"/>
        <v/>
      </c>
      <c r="BY723" s="256" t="str">
        <f t="shared" si="364"/>
        <v/>
      </c>
      <c r="BZ723" s="281"/>
      <c r="CA723" s="282"/>
      <c r="CF723" s="284"/>
      <c r="CG723" s="284"/>
      <c r="CH723" s="284"/>
      <c r="CI723" s="284"/>
      <c r="CL723" s="356" t="str">
        <f>IFERROR(VLOOKUP(C723,'Data Sheet'!$A$3:$B$26,2,FALSE),"")</f>
        <v/>
      </c>
    </row>
    <row r="724" spans="1:90" ht="15.75" x14ac:dyDescent="0.2">
      <c r="A724" s="97"/>
      <c r="B724" s="105" t="str">
        <f t="shared" si="367"/>
        <v>--</v>
      </c>
      <c r="C724" s="276"/>
      <c r="D724" s="101" t="str">
        <f>IFERROR(IF(VLOOKUP(C724,'Data Sheet'!$A$3:$D$26,4,FALSE)=0,"",VLOOKUP(C724,'Data Sheet'!$A$3:$D$26,4,FALSE)),"")</f>
        <v/>
      </c>
      <c r="E724" s="279"/>
      <c r="F724" s="103" t="str">
        <f>IFERROR(IF(VLOOKUP(E724,'Data Sheet'!$C$29:$E$174,3,FALSE)=0,"",VLOOKUP(E724,'Data Sheet'!$C$29:$E$174,3,FALSE)),"")</f>
        <v/>
      </c>
      <c r="G724" s="106" t="str">
        <f t="shared" si="365"/>
        <v>-</v>
      </c>
      <c r="H724" s="273"/>
      <c r="I724" s="107"/>
      <c r="J724" s="249" t="e">
        <f t="shared" si="366"/>
        <v>#VALUE!</v>
      </c>
      <c r="K724" s="101" t="str">
        <f>IFERROR(INDEX('Data Sheet'!$C$198:$C$275,MATCH(I724,'Data Sheet'!$F$198:$F$275,0)),"")</f>
        <v/>
      </c>
      <c r="L724" s="250" t="str">
        <f>IFERROR(INDEX('Data Sheet'!$G$198:$G$275,MATCH(I724,'Data Sheet'!$F$198:$F$275,0)),"")</f>
        <v/>
      </c>
      <c r="M724" s="194"/>
      <c r="N724" s="248"/>
      <c r="O724" s="248"/>
      <c r="P724" s="108" t="str">
        <f>IFERROR(INDEX(Setup!$D$44:$D$70,MATCH(M724,Setup!$K$44:$K$70,0))&amp;"","")</f>
        <v/>
      </c>
      <c r="Q724" s="108" t="str">
        <f>IFERROR(INDEX(Setup!$E$44:$E$70,MATCH(M724,Setup!$K$44:$K$70,0))&amp;"","")</f>
        <v/>
      </c>
      <c r="R724" s="108" t="str">
        <f>IFERROR(INDEX(Setup!$L$44:$L$70,MATCH(M724,Setup!$K$44:$K$70,0))&amp;"","")</f>
        <v/>
      </c>
      <c r="S724" s="108" t="str">
        <f>Setup!$C$30</f>
        <v>USD</v>
      </c>
      <c r="T724" s="109" t="str">
        <f>IFERROR(INDEX('Data Sheet'!$B$198:$B$275,MATCH(I724,'Data Sheet'!$F$198:$F$275,0)),"")</f>
        <v/>
      </c>
      <c r="U724" s="110" t="str">
        <f>IFERROR(INDEX('Data Sheet'!$D$198:$D$275,MATCH(I724,'Data Sheet'!$F$198:$F$275,0)),"")</f>
        <v/>
      </c>
      <c r="V724" s="99"/>
      <c r="W724" s="195" t="str">
        <f>IF(V724=Setup!$C$30,"Grant",IF(V724=Setup!$C$31,"Local",IF(V724=Setup!$C$32,"Other",IF(ISBLANK(V724),"","Other"))))</f>
        <v/>
      </c>
      <c r="X724" s="255"/>
      <c r="Y724" s="259" t="str">
        <f>IF(X724&lt;&gt;"",X724/VLOOKUP($V724,Setup!$C$30:$D$41,2,0),"")</f>
        <v/>
      </c>
      <c r="Z724" s="262"/>
      <c r="AA724" s="256" t="str">
        <f t="shared" si="339"/>
        <v/>
      </c>
      <c r="AB724" s="262"/>
      <c r="AC724" s="258" t="str">
        <f t="shared" si="340"/>
        <v/>
      </c>
      <c r="AD724" s="262"/>
      <c r="AE724" s="258" t="str">
        <f t="shared" si="341"/>
        <v/>
      </c>
      <c r="AF724" s="262"/>
      <c r="AG724" s="256" t="str">
        <f t="shared" si="342"/>
        <v/>
      </c>
      <c r="AH724" s="256" t="str">
        <f t="shared" si="343"/>
        <v/>
      </c>
      <c r="AI724" s="256" t="str">
        <f t="shared" si="344"/>
        <v/>
      </c>
      <c r="AJ724" s="111"/>
      <c r="AK724" s="255"/>
      <c r="AL724" s="259" t="str">
        <f>IF(AK724&lt;&gt;"",AK724/VLOOKUP($V724,Setup!$C$30:$D$41,2,0),"")</f>
        <v/>
      </c>
      <c r="AM724" s="266"/>
      <c r="AN724" s="258" t="str">
        <f t="shared" si="345"/>
        <v/>
      </c>
      <c r="AO724" s="266"/>
      <c r="AP724" s="258" t="str">
        <f t="shared" si="346"/>
        <v/>
      </c>
      <c r="AQ724" s="266"/>
      <c r="AR724" s="258" t="str">
        <f t="shared" si="347"/>
        <v/>
      </c>
      <c r="AS724" s="266"/>
      <c r="AT724" s="256" t="str">
        <f t="shared" si="348"/>
        <v/>
      </c>
      <c r="AU724" s="256" t="str">
        <f t="shared" si="349"/>
        <v/>
      </c>
      <c r="AV724" s="256" t="str">
        <f t="shared" si="350"/>
        <v/>
      </c>
      <c r="AW724" s="267"/>
      <c r="AX724" s="255"/>
      <c r="AY724" s="259" t="str">
        <f>IF(AX724&lt;&gt;"",AX724/VLOOKUP($V724,Setup!$C$30:$D$41,2,0),"")</f>
        <v/>
      </c>
      <c r="AZ724" s="268"/>
      <c r="BA724" s="258" t="str">
        <f t="shared" si="351"/>
        <v/>
      </c>
      <c r="BB724" s="268"/>
      <c r="BC724" s="258" t="str">
        <f t="shared" si="352"/>
        <v/>
      </c>
      <c r="BD724" s="268"/>
      <c r="BE724" s="258" t="str">
        <f t="shared" si="353"/>
        <v/>
      </c>
      <c r="BF724" s="268"/>
      <c r="BG724" s="256" t="str">
        <f t="shared" si="354"/>
        <v/>
      </c>
      <c r="BH724" s="256" t="str">
        <f t="shared" si="355"/>
        <v/>
      </c>
      <c r="BI724" s="256" t="str">
        <f t="shared" si="356"/>
        <v/>
      </c>
      <c r="BJ724" s="267"/>
      <c r="BK724" s="255"/>
      <c r="BL724" s="259" t="str">
        <f>IF(BK724&lt;&gt;"",BK724/VLOOKUP($V724,Setup!$C$30:$D$41,2,0),"")</f>
        <v/>
      </c>
      <c r="BM724" s="268"/>
      <c r="BN724" s="258" t="str">
        <f t="shared" si="357"/>
        <v/>
      </c>
      <c r="BO724" s="268"/>
      <c r="BP724" s="258" t="str">
        <f t="shared" si="358"/>
        <v/>
      </c>
      <c r="BQ724" s="268"/>
      <c r="BR724" s="258" t="str">
        <f t="shared" si="359"/>
        <v/>
      </c>
      <c r="BS724" s="268"/>
      <c r="BT724" s="256" t="str">
        <f t="shared" si="360"/>
        <v/>
      </c>
      <c r="BU724" s="256" t="str">
        <f t="shared" si="361"/>
        <v/>
      </c>
      <c r="BV724" s="256" t="str">
        <f t="shared" si="362"/>
        <v/>
      </c>
      <c r="BW724" s="267"/>
      <c r="BX724" s="256" t="str">
        <f t="shared" si="363"/>
        <v/>
      </c>
      <c r="BY724" s="256" t="str">
        <f t="shared" si="364"/>
        <v/>
      </c>
      <c r="BZ724" s="281"/>
      <c r="CA724" s="282"/>
      <c r="CF724" s="284"/>
      <c r="CG724" s="284"/>
      <c r="CH724" s="284"/>
      <c r="CI724" s="284"/>
      <c r="CL724" s="356" t="str">
        <f>IFERROR(VLOOKUP(C724,'Data Sheet'!$A$3:$B$26,2,FALSE),"")</f>
        <v/>
      </c>
    </row>
    <row r="725" spans="1:90" ht="15.75" x14ac:dyDescent="0.2">
      <c r="A725" s="97"/>
      <c r="B725" s="105" t="str">
        <f t="shared" si="367"/>
        <v>--</v>
      </c>
      <c r="C725" s="276"/>
      <c r="D725" s="101" t="str">
        <f>IFERROR(IF(VLOOKUP(C725,'Data Sheet'!$A$3:$D$26,4,FALSE)=0,"",VLOOKUP(C725,'Data Sheet'!$A$3:$D$26,4,FALSE)),"")</f>
        <v/>
      </c>
      <c r="E725" s="279"/>
      <c r="F725" s="103" t="str">
        <f>IFERROR(IF(VLOOKUP(E725,'Data Sheet'!$C$29:$E$174,3,FALSE)=0,"",VLOOKUP(E725,'Data Sheet'!$C$29:$E$174,3,FALSE)),"")</f>
        <v/>
      </c>
      <c r="G725" s="106" t="str">
        <f t="shared" si="365"/>
        <v>-</v>
      </c>
      <c r="H725" s="273"/>
      <c r="I725" s="107"/>
      <c r="J725" s="249" t="e">
        <f t="shared" si="366"/>
        <v>#VALUE!</v>
      </c>
      <c r="K725" s="101" t="str">
        <f>IFERROR(INDEX('Data Sheet'!$C$198:$C$275,MATCH(I725,'Data Sheet'!$F$198:$F$275,0)),"")</f>
        <v/>
      </c>
      <c r="L725" s="250" t="str">
        <f>IFERROR(INDEX('Data Sheet'!$G$198:$G$275,MATCH(I725,'Data Sheet'!$F$198:$F$275,0)),"")</f>
        <v/>
      </c>
      <c r="M725" s="194"/>
      <c r="N725" s="248"/>
      <c r="O725" s="248"/>
      <c r="P725" s="108" t="str">
        <f>IFERROR(INDEX(Setup!$D$44:$D$70,MATCH(M725,Setup!$K$44:$K$70,0))&amp;"","")</f>
        <v/>
      </c>
      <c r="Q725" s="108" t="str">
        <f>IFERROR(INDEX(Setup!$E$44:$E$70,MATCH(M725,Setup!$K$44:$K$70,0))&amp;"","")</f>
        <v/>
      </c>
      <c r="R725" s="108" t="str">
        <f>IFERROR(INDEX(Setup!$L$44:$L$70,MATCH(M725,Setup!$K$44:$K$70,0))&amp;"","")</f>
        <v/>
      </c>
      <c r="S725" s="108" t="str">
        <f>Setup!$C$30</f>
        <v>USD</v>
      </c>
      <c r="T725" s="109" t="str">
        <f>IFERROR(INDEX('Data Sheet'!$B$198:$B$275,MATCH(I725,'Data Sheet'!$F$198:$F$275,0)),"")</f>
        <v/>
      </c>
      <c r="U725" s="110" t="str">
        <f>IFERROR(INDEX('Data Sheet'!$D$198:$D$275,MATCH(I725,'Data Sheet'!$F$198:$F$275,0)),"")</f>
        <v/>
      </c>
      <c r="V725" s="99"/>
      <c r="W725" s="195" t="str">
        <f>IF(V725=Setup!$C$30,"Grant",IF(V725=Setup!$C$31,"Local",IF(V725=Setup!$C$32,"Other",IF(ISBLANK(V725),"","Other"))))</f>
        <v/>
      </c>
      <c r="X725" s="255"/>
      <c r="Y725" s="259" t="str">
        <f>IF(X725&lt;&gt;"",X725/VLOOKUP($V725,Setup!$C$30:$D$41,2,0),"")</f>
        <v/>
      </c>
      <c r="Z725" s="262"/>
      <c r="AA725" s="256" t="str">
        <f t="shared" si="339"/>
        <v/>
      </c>
      <c r="AB725" s="262"/>
      <c r="AC725" s="258" t="str">
        <f t="shared" si="340"/>
        <v/>
      </c>
      <c r="AD725" s="262"/>
      <c r="AE725" s="258" t="str">
        <f t="shared" si="341"/>
        <v/>
      </c>
      <c r="AF725" s="262"/>
      <c r="AG725" s="256" t="str">
        <f t="shared" si="342"/>
        <v/>
      </c>
      <c r="AH725" s="256" t="str">
        <f t="shared" si="343"/>
        <v/>
      </c>
      <c r="AI725" s="256" t="str">
        <f t="shared" si="344"/>
        <v/>
      </c>
      <c r="AJ725" s="111"/>
      <c r="AK725" s="255"/>
      <c r="AL725" s="259" t="str">
        <f>IF(AK725&lt;&gt;"",AK725/VLOOKUP($V725,Setup!$C$30:$D$41,2,0),"")</f>
        <v/>
      </c>
      <c r="AM725" s="266"/>
      <c r="AN725" s="258" t="str">
        <f t="shared" si="345"/>
        <v/>
      </c>
      <c r="AO725" s="266"/>
      <c r="AP725" s="258" t="str">
        <f t="shared" si="346"/>
        <v/>
      </c>
      <c r="AQ725" s="266"/>
      <c r="AR725" s="258" t="str">
        <f t="shared" si="347"/>
        <v/>
      </c>
      <c r="AS725" s="266"/>
      <c r="AT725" s="256" t="str">
        <f t="shared" si="348"/>
        <v/>
      </c>
      <c r="AU725" s="256" t="str">
        <f t="shared" si="349"/>
        <v/>
      </c>
      <c r="AV725" s="256" t="str">
        <f t="shared" si="350"/>
        <v/>
      </c>
      <c r="AW725" s="267"/>
      <c r="AX725" s="255"/>
      <c r="AY725" s="259" t="str">
        <f>IF(AX725&lt;&gt;"",AX725/VLOOKUP($V725,Setup!$C$30:$D$41,2,0),"")</f>
        <v/>
      </c>
      <c r="AZ725" s="268"/>
      <c r="BA725" s="258" t="str">
        <f t="shared" si="351"/>
        <v/>
      </c>
      <c r="BB725" s="268"/>
      <c r="BC725" s="258" t="str">
        <f t="shared" si="352"/>
        <v/>
      </c>
      <c r="BD725" s="268"/>
      <c r="BE725" s="258" t="str">
        <f t="shared" si="353"/>
        <v/>
      </c>
      <c r="BF725" s="268"/>
      <c r="BG725" s="256" t="str">
        <f t="shared" si="354"/>
        <v/>
      </c>
      <c r="BH725" s="256" t="str">
        <f t="shared" si="355"/>
        <v/>
      </c>
      <c r="BI725" s="256" t="str">
        <f t="shared" si="356"/>
        <v/>
      </c>
      <c r="BJ725" s="267"/>
      <c r="BK725" s="255"/>
      <c r="BL725" s="259" t="str">
        <f>IF(BK725&lt;&gt;"",BK725/VLOOKUP($V725,Setup!$C$30:$D$41,2,0),"")</f>
        <v/>
      </c>
      <c r="BM725" s="268"/>
      <c r="BN725" s="258" t="str">
        <f t="shared" si="357"/>
        <v/>
      </c>
      <c r="BO725" s="268"/>
      <c r="BP725" s="258" t="str">
        <f t="shared" si="358"/>
        <v/>
      </c>
      <c r="BQ725" s="268"/>
      <c r="BR725" s="258" t="str">
        <f t="shared" si="359"/>
        <v/>
      </c>
      <c r="BS725" s="268"/>
      <c r="BT725" s="256" t="str">
        <f t="shared" si="360"/>
        <v/>
      </c>
      <c r="BU725" s="256" t="str">
        <f t="shared" si="361"/>
        <v/>
      </c>
      <c r="BV725" s="256" t="str">
        <f t="shared" si="362"/>
        <v/>
      </c>
      <c r="BW725" s="267"/>
      <c r="BX725" s="256" t="str">
        <f t="shared" si="363"/>
        <v/>
      </c>
      <c r="BY725" s="256" t="str">
        <f t="shared" si="364"/>
        <v/>
      </c>
      <c r="BZ725" s="281"/>
      <c r="CA725" s="282"/>
      <c r="CF725" s="284"/>
      <c r="CG725" s="284"/>
      <c r="CH725" s="284"/>
      <c r="CI725" s="284"/>
      <c r="CL725" s="356" t="str">
        <f>IFERROR(VLOOKUP(C725,'Data Sheet'!$A$3:$B$26,2,FALSE),"")</f>
        <v/>
      </c>
    </row>
    <row r="726" spans="1:90" ht="15.75" x14ac:dyDescent="0.2">
      <c r="A726" s="97"/>
      <c r="B726" s="105" t="str">
        <f t="shared" si="367"/>
        <v>--</v>
      </c>
      <c r="C726" s="276"/>
      <c r="D726" s="101" t="str">
        <f>IFERROR(IF(VLOOKUP(C726,'Data Sheet'!$A$3:$D$26,4,FALSE)=0,"",VLOOKUP(C726,'Data Sheet'!$A$3:$D$26,4,FALSE)),"")</f>
        <v/>
      </c>
      <c r="E726" s="279"/>
      <c r="F726" s="103" t="str">
        <f>IFERROR(IF(VLOOKUP(E726,'Data Sheet'!$C$29:$E$174,3,FALSE)=0,"",VLOOKUP(E726,'Data Sheet'!$C$29:$E$174,3,FALSE)),"")</f>
        <v/>
      </c>
      <c r="G726" s="106" t="str">
        <f t="shared" si="365"/>
        <v>-</v>
      </c>
      <c r="H726" s="273"/>
      <c r="I726" s="107"/>
      <c r="J726" s="249" t="e">
        <f t="shared" si="366"/>
        <v>#VALUE!</v>
      </c>
      <c r="K726" s="101" t="str">
        <f>IFERROR(INDEX('Data Sheet'!$C$198:$C$275,MATCH(I726,'Data Sheet'!$F$198:$F$275,0)),"")</f>
        <v/>
      </c>
      <c r="L726" s="250" t="str">
        <f>IFERROR(INDEX('Data Sheet'!$G$198:$G$275,MATCH(I726,'Data Sheet'!$F$198:$F$275,0)),"")</f>
        <v/>
      </c>
      <c r="M726" s="194"/>
      <c r="N726" s="248"/>
      <c r="O726" s="248"/>
      <c r="P726" s="108" t="str">
        <f>IFERROR(INDEX(Setup!$D$44:$D$70,MATCH(M726,Setup!$K$44:$K$70,0))&amp;"","")</f>
        <v/>
      </c>
      <c r="Q726" s="108" t="str">
        <f>IFERROR(INDEX(Setup!$E$44:$E$70,MATCH(M726,Setup!$K$44:$K$70,0))&amp;"","")</f>
        <v/>
      </c>
      <c r="R726" s="108" t="str">
        <f>IFERROR(INDEX(Setup!$L$44:$L$70,MATCH(M726,Setup!$K$44:$K$70,0))&amp;"","")</f>
        <v/>
      </c>
      <c r="S726" s="108" t="str">
        <f>Setup!$C$30</f>
        <v>USD</v>
      </c>
      <c r="T726" s="109" t="str">
        <f>IFERROR(INDEX('Data Sheet'!$B$198:$B$275,MATCH(I726,'Data Sheet'!$F$198:$F$275,0)),"")</f>
        <v/>
      </c>
      <c r="U726" s="110" t="str">
        <f>IFERROR(INDEX('Data Sheet'!$D$198:$D$275,MATCH(I726,'Data Sheet'!$F$198:$F$275,0)),"")</f>
        <v/>
      </c>
      <c r="V726" s="99"/>
      <c r="W726" s="195" t="str">
        <f>IF(V726=Setup!$C$30,"Grant",IF(V726=Setup!$C$31,"Local",IF(V726=Setup!$C$32,"Other",IF(ISBLANK(V726),"","Other"))))</f>
        <v/>
      </c>
      <c r="X726" s="255"/>
      <c r="Y726" s="259" t="str">
        <f>IF(X726&lt;&gt;"",X726/VLOOKUP($V726,Setup!$C$30:$D$41,2,0),"")</f>
        <v/>
      </c>
      <c r="Z726" s="262"/>
      <c r="AA726" s="256" t="str">
        <f t="shared" si="339"/>
        <v/>
      </c>
      <c r="AB726" s="262"/>
      <c r="AC726" s="258" t="str">
        <f t="shared" si="340"/>
        <v/>
      </c>
      <c r="AD726" s="262"/>
      <c r="AE726" s="258" t="str">
        <f t="shared" si="341"/>
        <v/>
      </c>
      <c r="AF726" s="262"/>
      <c r="AG726" s="256" t="str">
        <f t="shared" si="342"/>
        <v/>
      </c>
      <c r="AH726" s="256" t="str">
        <f t="shared" si="343"/>
        <v/>
      </c>
      <c r="AI726" s="256" t="str">
        <f t="shared" si="344"/>
        <v/>
      </c>
      <c r="AJ726" s="111"/>
      <c r="AK726" s="255"/>
      <c r="AL726" s="259" t="str">
        <f>IF(AK726&lt;&gt;"",AK726/VLOOKUP($V726,Setup!$C$30:$D$41,2,0),"")</f>
        <v/>
      </c>
      <c r="AM726" s="266"/>
      <c r="AN726" s="258" t="str">
        <f t="shared" si="345"/>
        <v/>
      </c>
      <c r="AO726" s="266"/>
      <c r="AP726" s="258" t="str">
        <f t="shared" si="346"/>
        <v/>
      </c>
      <c r="AQ726" s="266"/>
      <c r="AR726" s="258" t="str">
        <f t="shared" si="347"/>
        <v/>
      </c>
      <c r="AS726" s="266"/>
      <c r="AT726" s="256" t="str">
        <f t="shared" si="348"/>
        <v/>
      </c>
      <c r="AU726" s="256" t="str">
        <f t="shared" si="349"/>
        <v/>
      </c>
      <c r="AV726" s="256" t="str">
        <f t="shared" si="350"/>
        <v/>
      </c>
      <c r="AW726" s="267"/>
      <c r="AX726" s="255"/>
      <c r="AY726" s="259" t="str">
        <f>IF(AX726&lt;&gt;"",AX726/VLOOKUP($V726,Setup!$C$30:$D$41,2,0),"")</f>
        <v/>
      </c>
      <c r="AZ726" s="268"/>
      <c r="BA726" s="258" t="str">
        <f t="shared" si="351"/>
        <v/>
      </c>
      <c r="BB726" s="268"/>
      <c r="BC726" s="258" t="str">
        <f t="shared" si="352"/>
        <v/>
      </c>
      <c r="BD726" s="268"/>
      <c r="BE726" s="258" t="str">
        <f t="shared" si="353"/>
        <v/>
      </c>
      <c r="BF726" s="268"/>
      <c r="BG726" s="256" t="str">
        <f t="shared" si="354"/>
        <v/>
      </c>
      <c r="BH726" s="256" t="str">
        <f t="shared" si="355"/>
        <v/>
      </c>
      <c r="BI726" s="256" t="str">
        <f t="shared" si="356"/>
        <v/>
      </c>
      <c r="BJ726" s="267"/>
      <c r="BK726" s="255"/>
      <c r="BL726" s="259" t="str">
        <f>IF(BK726&lt;&gt;"",BK726/VLOOKUP($V726,Setup!$C$30:$D$41,2,0),"")</f>
        <v/>
      </c>
      <c r="BM726" s="268"/>
      <c r="BN726" s="258" t="str">
        <f t="shared" si="357"/>
        <v/>
      </c>
      <c r="BO726" s="268"/>
      <c r="BP726" s="258" t="str">
        <f t="shared" si="358"/>
        <v/>
      </c>
      <c r="BQ726" s="268"/>
      <c r="BR726" s="258" t="str">
        <f t="shared" si="359"/>
        <v/>
      </c>
      <c r="BS726" s="268"/>
      <c r="BT726" s="256" t="str">
        <f t="shared" si="360"/>
        <v/>
      </c>
      <c r="BU726" s="256" t="str">
        <f t="shared" si="361"/>
        <v/>
      </c>
      <c r="BV726" s="256" t="str">
        <f t="shared" si="362"/>
        <v/>
      </c>
      <c r="BW726" s="267"/>
      <c r="BX726" s="256" t="str">
        <f t="shared" si="363"/>
        <v/>
      </c>
      <c r="BY726" s="256" t="str">
        <f t="shared" si="364"/>
        <v/>
      </c>
      <c r="BZ726" s="281"/>
      <c r="CA726" s="282"/>
      <c r="CF726" s="284"/>
      <c r="CG726" s="284"/>
      <c r="CH726" s="284"/>
      <c r="CI726" s="284"/>
      <c r="CL726" s="356" t="str">
        <f>IFERROR(VLOOKUP(C726,'Data Sheet'!$A$3:$B$26,2,FALSE),"")</f>
        <v/>
      </c>
    </row>
    <row r="727" spans="1:90" ht="15.75" x14ac:dyDescent="0.2">
      <c r="A727" s="97"/>
      <c r="B727" s="105" t="str">
        <f t="shared" si="367"/>
        <v>--</v>
      </c>
      <c r="C727" s="276"/>
      <c r="D727" s="101" t="str">
        <f>IFERROR(IF(VLOOKUP(C727,'Data Sheet'!$A$3:$D$26,4,FALSE)=0,"",VLOOKUP(C727,'Data Sheet'!$A$3:$D$26,4,FALSE)),"")</f>
        <v/>
      </c>
      <c r="E727" s="279"/>
      <c r="F727" s="103" t="str">
        <f>IFERROR(IF(VLOOKUP(E727,'Data Sheet'!$C$29:$E$174,3,FALSE)=0,"",VLOOKUP(E727,'Data Sheet'!$C$29:$E$174,3,FALSE)),"")</f>
        <v/>
      </c>
      <c r="G727" s="106" t="str">
        <f t="shared" si="365"/>
        <v>-</v>
      </c>
      <c r="H727" s="273"/>
      <c r="I727" s="107"/>
      <c r="J727" s="249" t="e">
        <f t="shared" si="366"/>
        <v>#VALUE!</v>
      </c>
      <c r="K727" s="101" t="str">
        <f>IFERROR(INDEX('Data Sheet'!$C$198:$C$275,MATCH(I727,'Data Sheet'!$F$198:$F$275,0)),"")</f>
        <v/>
      </c>
      <c r="L727" s="250" t="str">
        <f>IFERROR(INDEX('Data Sheet'!$G$198:$G$275,MATCH(I727,'Data Sheet'!$F$198:$F$275,0)),"")</f>
        <v/>
      </c>
      <c r="M727" s="194"/>
      <c r="N727" s="248"/>
      <c r="O727" s="248"/>
      <c r="P727" s="108" t="str">
        <f>IFERROR(INDEX(Setup!$D$44:$D$70,MATCH(M727,Setup!$K$44:$K$70,0))&amp;"","")</f>
        <v/>
      </c>
      <c r="Q727" s="108" t="str">
        <f>IFERROR(INDEX(Setup!$E$44:$E$70,MATCH(M727,Setup!$K$44:$K$70,0))&amp;"","")</f>
        <v/>
      </c>
      <c r="R727" s="108" t="str">
        <f>IFERROR(INDEX(Setup!$L$44:$L$70,MATCH(M727,Setup!$K$44:$K$70,0))&amp;"","")</f>
        <v/>
      </c>
      <c r="S727" s="108" t="str">
        <f>Setup!$C$30</f>
        <v>USD</v>
      </c>
      <c r="T727" s="109" t="str">
        <f>IFERROR(INDEX('Data Sheet'!$B$198:$B$275,MATCH(I727,'Data Sheet'!$F$198:$F$275,0)),"")</f>
        <v/>
      </c>
      <c r="U727" s="110" t="str">
        <f>IFERROR(INDEX('Data Sheet'!$D$198:$D$275,MATCH(I727,'Data Sheet'!$F$198:$F$275,0)),"")</f>
        <v/>
      </c>
      <c r="V727" s="99"/>
      <c r="W727" s="195" t="str">
        <f>IF(V727=Setup!$C$30,"Grant",IF(V727=Setup!$C$31,"Local",IF(V727=Setup!$C$32,"Other",IF(ISBLANK(V727),"","Other"))))</f>
        <v/>
      </c>
      <c r="X727" s="255"/>
      <c r="Y727" s="259" t="str">
        <f>IF(X727&lt;&gt;"",X727/VLOOKUP($V727,Setup!$C$30:$D$41,2,0),"")</f>
        <v/>
      </c>
      <c r="Z727" s="262"/>
      <c r="AA727" s="256" t="str">
        <f t="shared" si="339"/>
        <v/>
      </c>
      <c r="AB727" s="262"/>
      <c r="AC727" s="258" t="str">
        <f t="shared" si="340"/>
        <v/>
      </c>
      <c r="AD727" s="262"/>
      <c r="AE727" s="258" t="str">
        <f t="shared" si="341"/>
        <v/>
      </c>
      <c r="AF727" s="262"/>
      <c r="AG727" s="256" t="str">
        <f t="shared" si="342"/>
        <v/>
      </c>
      <c r="AH727" s="256" t="str">
        <f t="shared" si="343"/>
        <v/>
      </c>
      <c r="AI727" s="256" t="str">
        <f t="shared" si="344"/>
        <v/>
      </c>
      <c r="AJ727" s="111"/>
      <c r="AK727" s="255"/>
      <c r="AL727" s="259" t="str">
        <f>IF(AK727&lt;&gt;"",AK727/VLOOKUP($V727,Setup!$C$30:$D$41,2,0),"")</f>
        <v/>
      </c>
      <c r="AM727" s="266"/>
      <c r="AN727" s="258" t="str">
        <f t="shared" si="345"/>
        <v/>
      </c>
      <c r="AO727" s="266"/>
      <c r="AP727" s="258" t="str">
        <f t="shared" si="346"/>
        <v/>
      </c>
      <c r="AQ727" s="266"/>
      <c r="AR727" s="258" t="str">
        <f t="shared" si="347"/>
        <v/>
      </c>
      <c r="AS727" s="266"/>
      <c r="AT727" s="256" t="str">
        <f t="shared" si="348"/>
        <v/>
      </c>
      <c r="AU727" s="256" t="str">
        <f t="shared" si="349"/>
        <v/>
      </c>
      <c r="AV727" s="256" t="str">
        <f t="shared" si="350"/>
        <v/>
      </c>
      <c r="AW727" s="267"/>
      <c r="AX727" s="255"/>
      <c r="AY727" s="259" t="str">
        <f>IF(AX727&lt;&gt;"",AX727/VLOOKUP($V727,Setup!$C$30:$D$41,2,0),"")</f>
        <v/>
      </c>
      <c r="AZ727" s="268"/>
      <c r="BA727" s="258" t="str">
        <f t="shared" si="351"/>
        <v/>
      </c>
      <c r="BB727" s="268"/>
      <c r="BC727" s="258" t="str">
        <f t="shared" si="352"/>
        <v/>
      </c>
      <c r="BD727" s="268"/>
      <c r="BE727" s="258" t="str">
        <f t="shared" si="353"/>
        <v/>
      </c>
      <c r="BF727" s="268"/>
      <c r="BG727" s="256" t="str">
        <f t="shared" si="354"/>
        <v/>
      </c>
      <c r="BH727" s="256" t="str">
        <f t="shared" si="355"/>
        <v/>
      </c>
      <c r="BI727" s="256" t="str">
        <f t="shared" si="356"/>
        <v/>
      </c>
      <c r="BJ727" s="267"/>
      <c r="BK727" s="255"/>
      <c r="BL727" s="259" t="str">
        <f>IF(BK727&lt;&gt;"",BK727/VLOOKUP($V727,Setup!$C$30:$D$41,2,0),"")</f>
        <v/>
      </c>
      <c r="BM727" s="268"/>
      <c r="BN727" s="258" t="str">
        <f t="shared" si="357"/>
        <v/>
      </c>
      <c r="BO727" s="268"/>
      <c r="BP727" s="258" t="str">
        <f t="shared" si="358"/>
        <v/>
      </c>
      <c r="BQ727" s="268"/>
      <c r="BR727" s="258" t="str">
        <f t="shared" si="359"/>
        <v/>
      </c>
      <c r="BS727" s="268"/>
      <c r="BT727" s="256" t="str">
        <f t="shared" si="360"/>
        <v/>
      </c>
      <c r="BU727" s="256" t="str">
        <f t="shared" si="361"/>
        <v/>
      </c>
      <c r="BV727" s="256" t="str">
        <f t="shared" si="362"/>
        <v/>
      </c>
      <c r="BW727" s="267"/>
      <c r="BX727" s="256" t="str">
        <f t="shared" si="363"/>
        <v/>
      </c>
      <c r="BY727" s="256" t="str">
        <f t="shared" si="364"/>
        <v/>
      </c>
      <c r="BZ727" s="281"/>
      <c r="CA727" s="282"/>
      <c r="CF727" s="284"/>
      <c r="CG727" s="284"/>
      <c r="CH727" s="284"/>
      <c r="CI727" s="284"/>
      <c r="CL727" s="356" t="str">
        <f>IFERROR(VLOOKUP(C727,'Data Sheet'!$A$3:$B$26,2,FALSE),"")</f>
        <v/>
      </c>
    </row>
    <row r="728" spans="1:90" ht="15.75" x14ac:dyDescent="0.2">
      <c r="A728" s="97"/>
      <c r="B728" s="105" t="str">
        <f t="shared" si="367"/>
        <v>--</v>
      </c>
      <c r="C728" s="276"/>
      <c r="D728" s="101" t="str">
        <f>IFERROR(IF(VLOOKUP(C728,'Data Sheet'!$A$3:$D$26,4,FALSE)=0,"",VLOOKUP(C728,'Data Sheet'!$A$3:$D$26,4,FALSE)),"")</f>
        <v/>
      </c>
      <c r="E728" s="279"/>
      <c r="F728" s="103" t="str">
        <f>IFERROR(IF(VLOOKUP(E728,'Data Sheet'!$C$29:$E$174,3,FALSE)=0,"",VLOOKUP(E728,'Data Sheet'!$C$29:$E$174,3,FALSE)),"")</f>
        <v/>
      </c>
      <c r="G728" s="106" t="str">
        <f t="shared" si="365"/>
        <v>-</v>
      </c>
      <c r="H728" s="273"/>
      <c r="I728" s="107"/>
      <c r="J728" s="249" t="e">
        <f t="shared" si="366"/>
        <v>#VALUE!</v>
      </c>
      <c r="K728" s="101" t="str">
        <f>IFERROR(INDEX('Data Sheet'!$C$198:$C$275,MATCH(I728,'Data Sheet'!$F$198:$F$275,0)),"")</f>
        <v/>
      </c>
      <c r="L728" s="250" t="str">
        <f>IFERROR(INDEX('Data Sheet'!$G$198:$G$275,MATCH(I728,'Data Sheet'!$F$198:$F$275,0)),"")</f>
        <v/>
      </c>
      <c r="M728" s="194"/>
      <c r="N728" s="248"/>
      <c r="O728" s="248"/>
      <c r="P728" s="108" t="str">
        <f>IFERROR(INDEX(Setup!$D$44:$D$70,MATCH(M728,Setup!$K$44:$K$70,0))&amp;"","")</f>
        <v/>
      </c>
      <c r="Q728" s="108" t="str">
        <f>IFERROR(INDEX(Setup!$E$44:$E$70,MATCH(M728,Setup!$K$44:$K$70,0))&amp;"","")</f>
        <v/>
      </c>
      <c r="R728" s="108" t="str">
        <f>IFERROR(INDEX(Setup!$L$44:$L$70,MATCH(M728,Setup!$K$44:$K$70,0))&amp;"","")</f>
        <v/>
      </c>
      <c r="S728" s="108" t="str">
        <f>Setup!$C$30</f>
        <v>USD</v>
      </c>
      <c r="T728" s="109" t="str">
        <f>IFERROR(INDEX('Data Sheet'!$B$198:$B$275,MATCH(I728,'Data Sheet'!$F$198:$F$275,0)),"")</f>
        <v/>
      </c>
      <c r="U728" s="110" t="str">
        <f>IFERROR(INDEX('Data Sheet'!$D$198:$D$275,MATCH(I728,'Data Sheet'!$F$198:$F$275,0)),"")</f>
        <v/>
      </c>
      <c r="V728" s="99"/>
      <c r="W728" s="195" t="str">
        <f>IF(V728=Setup!$C$30,"Grant",IF(V728=Setup!$C$31,"Local",IF(V728=Setup!$C$32,"Other",IF(ISBLANK(V728),"","Other"))))</f>
        <v/>
      </c>
      <c r="X728" s="255"/>
      <c r="Y728" s="259" t="str">
        <f>IF(X728&lt;&gt;"",X728/VLOOKUP($V728,Setup!$C$30:$D$41,2,0),"")</f>
        <v/>
      </c>
      <c r="Z728" s="262"/>
      <c r="AA728" s="256" t="str">
        <f t="shared" si="339"/>
        <v/>
      </c>
      <c r="AB728" s="262"/>
      <c r="AC728" s="258" t="str">
        <f t="shared" si="340"/>
        <v/>
      </c>
      <c r="AD728" s="262"/>
      <c r="AE728" s="258" t="str">
        <f t="shared" si="341"/>
        <v/>
      </c>
      <c r="AF728" s="262"/>
      <c r="AG728" s="256" t="str">
        <f t="shared" si="342"/>
        <v/>
      </c>
      <c r="AH728" s="256" t="str">
        <f t="shared" si="343"/>
        <v/>
      </c>
      <c r="AI728" s="256" t="str">
        <f t="shared" si="344"/>
        <v/>
      </c>
      <c r="AJ728" s="111"/>
      <c r="AK728" s="255"/>
      <c r="AL728" s="259" t="str">
        <f>IF(AK728&lt;&gt;"",AK728/VLOOKUP($V728,Setup!$C$30:$D$41,2,0),"")</f>
        <v/>
      </c>
      <c r="AM728" s="266"/>
      <c r="AN728" s="258" t="str">
        <f t="shared" si="345"/>
        <v/>
      </c>
      <c r="AO728" s="266"/>
      <c r="AP728" s="258" t="str">
        <f t="shared" si="346"/>
        <v/>
      </c>
      <c r="AQ728" s="266"/>
      <c r="AR728" s="258" t="str">
        <f t="shared" si="347"/>
        <v/>
      </c>
      <c r="AS728" s="266"/>
      <c r="AT728" s="256" t="str">
        <f t="shared" si="348"/>
        <v/>
      </c>
      <c r="AU728" s="256" t="str">
        <f t="shared" si="349"/>
        <v/>
      </c>
      <c r="AV728" s="256" t="str">
        <f t="shared" si="350"/>
        <v/>
      </c>
      <c r="AW728" s="267"/>
      <c r="AX728" s="255"/>
      <c r="AY728" s="259" t="str">
        <f>IF(AX728&lt;&gt;"",AX728/VLOOKUP($V728,Setup!$C$30:$D$41,2,0),"")</f>
        <v/>
      </c>
      <c r="AZ728" s="268"/>
      <c r="BA728" s="258" t="str">
        <f t="shared" si="351"/>
        <v/>
      </c>
      <c r="BB728" s="268"/>
      <c r="BC728" s="258" t="str">
        <f t="shared" si="352"/>
        <v/>
      </c>
      <c r="BD728" s="268"/>
      <c r="BE728" s="258" t="str">
        <f t="shared" si="353"/>
        <v/>
      </c>
      <c r="BF728" s="268"/>
      <c r="BG728" s="256" t="str">
        <f t="shared" si="354"/>
        <v/>
      </c>
      <c r="BH728" s="256" t="str">
        <f t="shared" si="355"/>
        <v/>
      </c>
      <c r="BI728" s="256" t="str">
        <f t="shared" si="356"/>
        <v/>
      </c>
      <c r="BJ728" s="267"/>
      <c r="BK728" s="255"/>
      <c r="BL728" s="259" t="str">
        <f>IF(BK728&lt;&gt;"",BK728/VLOOKUP($V728,Setup!$C$30:$D$41,2,0),"")</f>
        <v/>
      </c>
      <c r="BM728" s="268"/>
      <c r="BN728" s="258" t="str">
        <f t="shared" si="357"/>
        <v/>
      </c>
      <c r="BO728" s="268"/>
      <c r="BP728" s="258" t="str">
        <f t="shared" si="358"/>
        <v/>
      </c>
      <c r="BQ728" s="268"/>
      <c r="BR728" s="258" t="str">
        <f t="shared" si="359"/>
        <v/>
      </c>
      <c r="BS728" s="268"/>
      <c r="BT728" s="256" t="str">
        <f t="shared" si="360"/>
        <v/>
      </c>
      <c r="BU728" s="256" t="str">
        <f t="shared" si="361"/>
        <v/>
      </c>
      <c r="BV728" s="256" t="str">
        <f t="shared" si="362"/>
        <v/>
      </c>
      <c r="BW728" s="267"/>
      <c r="BX728" s="256" t="str">
        <f t="shared" si="363"/>
        <v/>
      </c>
      <c r="BY728" s="256" t="str">
        <f t="shared" si="364"/>
        <v/>
      </c>
      <c r="BZ728" s="281"/>
      <c r="CA728" s="282"/>
      <c r="CF728" s="284"/>
      <c r="CG728" s="284"/>
      <c r="CH728" s="284"/>
      <c r="CI728" s="284"/>
      <c r="CL728" s="356" t="str">
        <f>IFERROR(VLOOKUP(C728,'Data Sheet'!$A$3:$B$26,2,FALSE),"")</f>
        <v/>
      </c>
    </row>
    <row r="729" spans="1:90" ht="15.75" x14ac:dyDescent="0.2">
      <c r="A729" s="97"/>
      <c r="B729" s="105" t="str">
        <f t="shared" si="367"/>
        <v>--</v>
      </c>
      <c r="C729" s="276"/>
      <c r="D729" s="101" t="str">
        <f>IFERROR(IF(VLOOKUP(C729,'Data Sheet'!$A$3:$D$26,4,FALSE)=0,"",VLOOKUP(C729,'Data Sheet'!$A$3:$D$26,4,FALSE)),"")</f>
        <v/>
      </c>
      <c r="E729" s="279"/>
      <c r="F729" s="103" t="str">
        <f>IFERROR(IF(VLOOKUP(E729,'Data Sheet'!$C$29:$E$174,3,FALSE)=0,"",VLOOKUP(E729,'Data Sheet'!$C$29:$E$174,3,FALSE)),"")</f>
        <v/>
      </c>
      <c r="G729" s="106" t="str">
        <f t="shared" si="365"/>
        <v>-</v>
      </c>
      <c r="H729" s="273"/>
      <c r="I729" s="107"/>
      <c r="J729" s="249" t="e">
        <f t="shared" si="366"/>
        <v>#VALUE!</v>
      </c>
      <c r="K729" s="101" t="str">
        <f>IFERROR(INDEX('Data Sheet'!$C$198:$C$275,MATCH(I729,'Data Sheet'!$F$198:$F$275,0)),"")</f>
        <v/>
      </c>
      <c r="L729" s="250" t="str">
        <f>IFERROR(INDEX('Data Sheet'!$G$198:$G$275,MATCH(I729,'Data Sheet'!$F$198:$F$275,0)),"")</f>
        <v/>
      </c>
      <c r="M729" s="194"/>
      <c r="N729" s="248"/>
      <c r="O729" s="248"/>
      <c r="P729" s="108" t="str">
        <f>IFERROR(INDEX(Setup!$D$44:$D$70,MATCH(M729,Setup!$K$44:$K$70,0))&amp;"","")</f>
        <v/>
      </c>
      <c r="Q729" s="108" t="str">
        <f>IFERROR(INDEX(Setup!$E$44:$E$70,MATCH(M729,Setup!$K$44:$K$70,0))&amp;"","")</f>
        <v/>
      </c>
      <c r="R729" s="108" t="str">
        <f>IFERROR(INDEX(Setup!$L$44:$L$70,MATCH(M729,Setup!$K$44:$K$70,0))&amp;"","")</f>
        <v/>
      </c>
      <c r="S729" s="108" t="str">
        <f>Setup!$C$30</f>
        <v>USD</v>
      </c>
      <c r="T729" s="109" t="str">
        <f>IFERROR(INDEX('Data Sheet'!$B$198:$B$275,MATCH(I729,'Data Sheet'!$F$198:$F$275,0)),"")</f>
        <v/>
      </c>
      <c r="U729" s="110" t="str">
        <f>IFERROR(INDEX('Data Sheet'!$D$198:$D$275,MATCH(I729,'Data Sheet'!$F$198:$F$275,0)),"")</f>
        <v/>
      </c>
      <c r="V729" s="99"/>
      <c r="W729" s="195" t="str">
        <f>IF(V729=Setup!$C$30,"Grant",IF(V729=Setup!$C$31,"Local",IF(V729=Setup!$C$32,"Other",IF(ISBLANK(V729),"","Other"))))</f>
        <v/>
      </c>
      <c r="X729" s="255"/>
      <c r="Y729" s="259" t="str">
        <f>IF(X729&lt;&gt;"",X729/VLOOKUP($V729,Setup!$C$30:$D$41,2,0),"")</f>
        <v/>
      </c>
      <c r="Z729" s="262"/>
      <c r="AA729" s="256" t="str">
        <f t="shared" si="339"/>
        <v/>
      </c>
      <c r="AB729" s="262"/>
      <c r="AC729" s="258" t="str">
        <f t="shared" si="340"/>
        <v/>
      </c>
      <c r="AD729" s="262"/>
      <c r="AE729" s="258" t="str">
        <f t="shared" si="341"/>
        <v/>
      </c>
      <c r="AF729" s="262"/>
      <c r="AG729" s="256" t="str">
        <f t="shared" si="342"/>
        <v/>
      </c>
      <c r="AH729" s="256" t="str">
        <f t="shared" si="343"/>
        <v/>
      </c>
      <c r="AI729" s="256" t="str">
        <f t="shared" si="344"/>
        <v/>
      </c>
      <c r="AJ729" s="111"/>
      <c r="AK729" s="255"/>
      <c r="AL729" s="259" t="str">
        <f>IF(AK729&lt;&gt;"",AK729/VLOOKUP($V729,Setup!$C$30:$D$41,2,0),"")</f>
        <v/>
      </c>
      <c r="AM729" s="266"/>
      <c r="AN729" s="258" t="str">
        <f t="shared" si="345"/>
        <v/>
      </c>
      <c r="AO729" s="266"/>
      <c r="AP729" s="258" t="str">
        <f t="shared" si="346"/>
        <v/>
      </c>
      <c r="AQ729" s="266"/>
      <c r="AR729" s="258" t="str">
        <f t="shared" si="347"/>
        <v/>
      </c>
      <c r="AS729" s="266"/>
      <c r="AT729" s="256" t="str">
        <f t="shared" si="348"/>
        <v/>
      </c>
      <c r="AU729" s="256" t="str">
        <f t="shared" si="349"/>
        <v/>
      </c>
      <c r="AV729" s="256" t="str">
        <f t="shared" si="350"/>
        <v/>
      </c>
      <c r="AW729" s="267"/>
      <c r="AX729" s="255"/>
      <c r="AY729" s="259" t="str">
        <f>IF(AX729&lt;&gt;"",AX729/VLOOKUP($V729,Setup!$C$30:$D$41,2,0),"")</f>
        <v/>
      </c>
      <c r="AZ729" s="268"/>
      <c r="BA729" s="258" t="str">
        <f t="shared" si="351"/>
        <v/>
      </c>
      <c r="BB729" s="268"/>
      <c r="BC729" s="258" t="str">
        <f t="shared" si="352"/>
        <v/>
      </c>
      <c r="BD729" s="268"/>
      <c r="BE729" s="258" t="str">
        <f t="shared" si="353"/>
        <v/>
      </c>
      <c r="BF729" s="268"/>
      <c r="BG729" s="256" t="str">
        <f t="shared" si="354"/>
        <v/>
      </c>
      <c r="BH729" s="256" t="str">
        <f t="shared" si="355"/>
        <v/>
      </c>
      <c r="BI729" s="256" t="str">
        <f t="shared" si="356"/>
        <v/>
      </c>
      <c r="BJ729" s="267"/>
      <c r="BK729" s="255"/>
      <c r="BL729" s="259" t="str">
        <f>IF(BK729&lt;&gt;"",BK729/VLOOKUP($V729,Setup!$C$30:$D$41,2,0),"")</f>
        <v/>
      </c>
      <c r="BM729" s="268"/>
      <c r="BN729" s="258" t="str">
        <f t="shared" si="357"/>
        <v/>
      </c>
      <c r="BO729" s="268"/>
      <c r="BP729" s="258" t="str">
        <f t="shared" si="358"/>
        <v/>
      </c>
      <c r="BQ729" s="268"/>
      <c r="BR729" s="258" t="str">
        <f t="shared" si="359"/>
        <v/>
      </c>
      <c r="BS729" s="268"/>
      <c r="BT729" s="256" t="str">
        <f t="shared" si="360"/>
        <v/>
      </c>
      <c r="BU729" s="256" t="str">
        <f t="shared" si="361"/>
        <v/>
      </c>
      <c r="BV729" s="256" t="str">
        <f t="shared" si="362"/>
        <v/>
      </c>
      <c r="BW729" s="267"/>
      <c r="BX729" s="256" t="str">
        <f t="shared" si="363"/>
        <v/>
      </c>
      <c r="BY729" s="256" t="str">
        <f t="shared" si="364"/>
        <v/>
      </c>
      <c r="BZ729" s="281"/>
      <c r="CA729" s="282"/>
      <c r="CF729" s="284"/>
      <c r="CG729" s="284"/>
      <c r="CH729" s="284"/>
      <c r="CI729" s="284"/>
      <c r="CL729" s="356" t="str">
        <f>IFERROR(VLOOKUP(C729,'Data Sheet'!$A$3:$B$26,2,FALSE),"")</f>
        <v/>
      </c>
    </row>
    <row r="730" spans="1:90" ht="15.75" x14ac:dyDescent="0.2">
      <c r="A730" s="97"/>
      <c r="B730" s="105" t="str">
        <f t="shared" si="367"/>
        <v>--</v>
      </c>
      <c r="C730" s="276"/>
      <c r="D730" s="101" t="str">
        <f>IFERROR(IF(VLOOKUP(C730,'Data Sheet'!$A$3:$D$26,4,FALSE)=0,"",VLOOKUP(C730,'Data Sheet'!$A$3:$D$26,4,FALSE)),"")</f>
        <v/>
      </c>
      <c r="E730" s="279"/>
      <c r="F730" s="103" t="str">
        <f>IFERROR(IF(VLOOKUP(E730,'Data Sheet'!$C$29:$E$174,3,FALSE)=0,"",VLOOKUP(E730,'Data Sheet'!$C$29:$E$174,3,FALSE)),"")</f>
        <v/>
      </c>
      <c r="G730" s="106" t="str">
        <f t="shared" si="365"/>
        <v>-</v>
      </c>
      <c r="H730" s="273"/>
      <c r="I730" s="107"/>
      <c r="J730" s="249" t="e">
        <f t="shared" si="366"/>
        <v>#VALUE!</v>
      </c>
      <c r="K730" s="101" t="str">
        <f>IFERROR(INDEX('Data Sheet'!$C$198:$C$275,MATCH(I730,'Data Sheet'!$F$198:$F$275,0)),"")</f>
        <v/>
      </c>
      <c r="L730" s="250" t="str">
        <f>IFERROR(INDEX('Data Sheet'!$G$198:$G$275,MATCH(I730,'Data Sheet'!$F$198:$F$275,0)),"")</f>
        <v/>
      </c>
      <c r="M730" s="194"/>
      <c r="N730" s="248"/>
      <c r="O730" s="248"/>
      <c r="P730" s="108" t="str">
        <f>IFERROR(INDEX(Setup!$D$44:$D$70,MATCH(M730,Setup!$K$44:$K$70,0))&amp;"","")</f>
        <v/>
      </c>
      <c r="Q730" s="108" t="str">
        <f>IFERROR(INDEX(Setup!$E$44:$E$70,MATCH(M730,Setup!$K$44:$K$70,0))&amp;"","")</f>
        <v/>
      </c>
      <c r="R730" s="108" t="str">
        <f>IFERROR(INDEX(Setup!$L$44:$L$70,MATCH(M730,Setup!$K$44:$K$70,0))&amp;"","")</f>
        <v/>
      </c>
      <c r="S730" s="108" t="str">
        <f>Setup!$C$30</f>
        <v>USD</v>
      </c>
      <c r="T730" s="109" t="str">
        <f>IFERROR(INDEX('Data Sheet'!$B$198:$B$275,MATCH(I730,'Data Sheet'!$F$198:$F$275,0)),"")</f>
        <v/>
      </c>
      <c r="U730" s="110" t="str">
        <f>IFERROR(INDEX('Data Sheet'!$D$198:$D$275,MATCH(I730,'Data Sheet'!$F$198:$F$275,0)),"")</f>
        <v/>
      </c>
      <c r="V730" s="99"/>
      <c r="W730" s="195" t="str">
        <f>IF(V730=Setup!$C$30,"Grant",IF(V730=Setup!$C$31,"Local",IF(V730=Setup!$C$32,"Other",IF(ISBLANK(V730),"","Other"))))</f>
        <v/>
      </c>
      <c r="X730" s="255"/>
      <c r="Y730" s="259" t="str">
        <f>IF(X730&lt;&gt;"",X730/VLOOKUP($V730,Setup!$C$30:$D$41,2,0),"")</f>
        <v/>
      </c>
      <c r="Z730" s="262"/>
      <c r="AA730" s="256" t="str">
        <f t="shared" si="339"/>
        <v/>
      </c>
      <c r="AB730" s="262"/>
      <c r="AC730" s="258" t="str">
        <f t="shared" si="340"/>
        <v/>
      </c>
      <c r="AD730" s="262"/>
      <c r="AE730" s="258" t="str">
        <f t="shared" si="341"/>
        <v/>
      </c>
      <c r="AF730" s="262"/>
      <c r="AG730" s="256" t="str">
        <f t="shared" si="342"/>
        <v/>
      </c>
      <c r="AH730" s="256" t="str">
        <f t="shared" si="343"/>
        <v/>
      </c>
      <c r="AI730" s="256" t="str">
        <f t="shared" si="344"/>
        <v/>
      </c>
      <c r="AJ730" s="111"/>
      <c r="AK730" s="255"/>
      <c r="AL730" s="259" t="str">
        <f>IF(AK730&lt;&gt;"",AK730/VLOOKUP($V730,Setup!$C$30:$D$41,2,0),"")</f>
        <v/>
      </c>
      <c r="AM730" s="266"/>
      <c r="AN730" s="258" t="str">
        <f t="shared" si="345"/>
        <v/>
      </c>
      <c r="AO730" s="266"/>
      <c r="AP730" s="258" t="str">
        <f t="shared" si="346"/>
        <v/>
      </c>
      <c r="AQ730" s="266"/>
      <c r="AR730" s="258" t="str">
        <f t="shared" si="347"/>
        <v/>
      </c>
      <c r="AS730" s="266"/>
      <c r="AT730" s="256" t="str">
        <f t="shared" si="348"/>
        <v/>
      </c>
      <c r="AU730" s="256" t="str">
        <f t="shared" si="349"/>
        <v/>
      </c>
      <c r="AV730" s="256" t="str">
        <f t="shared" si="350"/>
        <v/>
      </c>
      <c r="AW730" s="267"/>
      <c r="AX730" s="255"/>
      <c r="AY730" s="259" t="str">
        <f>IF(AX730&lt;&gt;"",AX730/VLOOKUP($V730,Setup!$C$30:$D$41,2,0),"")</f>
        <v/>
      </c>
      <c r="AZ730" s="268"/>
      <c r="BA730" s="258" t="str">
        <f t="shared" si="351"/>
        <v/>
      </c>
      <c r="BB730" s="268"/>
      <c r="BC730" s="258" t="str">
        <f t="shared" si="352"/>
        <v/>
      </c>
      <c r="BD730" s="268"/>
      <c r="BE730" s="258" t="str">
        <f t="shared" si="353"/>
        <v/>
      </c>
      <c r="BF730" s="268"/>
      <c r="BG730" s="256" t="str">
        <f t="shared" si="354"/>
        <v/>
      </c>
      <c r="BH730" s="256" t="str">
        <f t="shared" si="355"/>
        <v/>
      </c>
      <c r="BI730" s="256" t="str">
        <f t="shared" si="356"/>
        <v/>
      </c>
      <c r="BJ730" s="267"/>
      <c r="BK730" s="255"/>
      <c r="BL730" s="259" t="str">
        <f>IF(BK730&lt;&gt;"",BK730/VLOOKUP($V730,Setup!$C$30:$D$41,2,0),"")</f>
        <v/>
      </c>
      <c r="BM730" s="268"/>
      <c r="BN730" s="258" t="str">
        <f t="shared" si="357"/>
        <v/>
      </c>
      <c r="BO730" s="268"/>
      <c r="BP730" s="258" t="str">
        <f t="shared" si="358"/>
        <v/>
      </c>
      <c r="BQ730" s="268"/>
      <c r="BR730" s="258" t="str">
        <f t="shared" si="359"/>
        <v/>
      </c>
      <c r="BS730" s="268"/>
      <c r="BT730" s="256" t="str">
        <f t="shared" si="360"/>
        <v/>
      </c>
      <c r="BU730" s="256" t="str">
        <f t="shared" si="361"/>
        <v/>
      </c>
      <c r="BV730" s="256" t="str">
        <f t="shared" si="362"/>
        <v/>
      </c>
      <c r="BW730" s="267"/>
      <c r="BX730" s="256" t="str">
        <f t="shared" si="363"/>
        <v/>
      </c>
      <c r="BY730" s="256" t="str">
        <f t="shared" si="364"/>
        <v/>
      </c>
      <c r="BZ730" s="281"/>
      <c r="CA730" s="282"/>
      <c r="CF730" s="284"/>
      <c r="CG730" s="284"/>
      <c r="CH730" s="284"/>
      <c r="CI730" s="284"/>
      <c r="CL730" s="356" t="str">
        <f>IFERROR(VLOOKUP(C730,'Data Sheet'!$A$3:$B$26,2,FALSE),"")</f>
        <v/>
      </c>
    </row>
    <row r="731" spans="1:90" ht="15.75" x14ac:dyDescent="0.2">
      <c r="A731" s="97"/>
      <c r="B731" s="105" t="str">
        <f t="shared" si="367"/>
        <v>--</v>
      </c>
      <c r="C731" s="276"/>
      <c r="D731" s="101" t="str">
        <f>IFERROR(IF(VLOOKUP(C731,'Data Sheet'!$A$3:$D$26,4,FALSE)=0,"",VLOOKUP(C731,'Data Sheet'!$A$3:$D$26,4,FALSE)),"")</f>
        <v/>
      </c>
      <c r="E731" s="279"/>
      <c r="F731" s="103" t="str">
        <f>IFERROR(IF(VLOOKUP(E731,'Data Sheet'!$C$29:$E$174,3,FALSE)=0,"",VLOOKUP(E731,'Data Sheet'!$C$29:$E$174,3,FALSE)),"")</f>
        <v/>
      </c>
      <c r="G731" s="106" t="str">
        <f t="shared" si="365"/>
        <v>-</v>
      </c>
      <c r="H731" s="273"/>
      <c r="I731" s="107"/>
      <c r="J731" s="249" t="e">
        <f t="shared" si="366"/>
        <v>#VALUE!</v>
      </c>
      <c r="K731" s="101" t="str">
        <f>IFERROR(INDEX('Data Sheet'!$C$198:$C$275,MATCH(I731,'Data Sheet'!$F$198:$F$275,0)),"")</f>
        <v/>
      </c>
      <c r="L731" s="250" t="str">
        <f>IFERROR(INDEX('Data Sheet'!$G$198:$G$275,MATCH(I731,'Data Sheet'!$F$198:$F$275,0)),"")</f>
        <v/>
      </c>
      <c r="M731" s="194"/>
      <c r="N731" s="248"/>
      <c r="O731" s="248"/>
      <c r="P731" s="108" t="str">
        <f>IFERROR(INDEX(Setup!$D$44:$D$70,MATCH(M731,Setup!$K$44:$K$70,0))&amp;"","")</f>
        <v/>
      </c>
      <c r="Q731" s="108" t="str">
        <f>IFERROR(INDEX(Setup!$E$44:$E$70,MATCH(M731,Setup!$K$44:$K$70,0))&amp;"","")</f>
        <v/>
      </c>
      <c r="R731" s="108" t="str">
        <f>IFERROR(INDEX(Setup!$L$44:$L$70,MATCH(M731,Setup!$K$44:$K$70,0))&amp;"","")</f>
        <v/>
      </c>
      <c r="S731" s="108" t="str">
        <f>Setup!$C$30</f>
        <v>USD</v>
      </c>
      <c r="T731" s="109" t="str">
        <f>IFERROR(INDEX('Data Sheet'!$B$198:$B$275,MATCH(I731,'Data Sheet'!$F$198:$F$275,0)),"")</f>
        <v/>
      </c>
      <c r="U731" s="110" t="str">
        <f>IFERROR(INDEX('Data Sheet'!$D$198:$D$275,MATCH(I731,'Data Sheet'!$F$198:$F$275,0)),"")</f>
        <v/>
      </c>
      <c r="V731" s="99"/>
      <c r="W731" s="195" t="str">
        <f>IF(V731=Setup!$C$30,"Grant",IF(V731=Setup!$C$31,"Local",IF(V731=Setup!$C$32,"Other",IF(ISBLANK(V731),"","Other"))))</f>
        <v/>
      </c>
      <c r="X731" s="255"/>
      <c r="Y731" s="259" t="str">
        <f>IF(X731&lt;&gt;"",X731/VLOOKUP($V731,Setup!$C$30:$D$41,2,0),"")</f>
        <v/>
      </c>
      <c r="Z731" s="262"/>
      <c r="AA731" s="256" t="str">
        <f t="shared" si="339"/>
        <v/>
      </c>
      <c r="AB731" s="262"/>
      <c r="AC731" s="258" t="str">
        <f t="shared" si="340"/>
        <v/>
      </c>
      <c r="AD731" s="262"/>
      <c r="AE731" s="258" t="str">
        <f t="shared" si="341"/>
        <v/>
      </c>
      <c r="AF731" s="262"/>
      <c r="AG731" s="256" t="str">
        <f t="shared" si="342"/>
        <v/>
      </c>
      <c r="AH731" s="256" t="str">
        <f t="shared" si="343"/>
        <v/>
      </c>
      <c r="AI731" s="256" t="str">
        <f t="shared" si="344"/>
        <v/>
      </c>
      <c r="AJ731" s="111"/>
      <c r="AK731" s="255"/>
      <c r="AL731" s="259" t="str">
        <f>IF(AK731&lt;&gt;"",AK731/VLOOKUP($V731,Setup!$C$30:$D$41,2,0),"")</f>
        <v/>
      </c>
      <c r="AM731" s="266"/>
      <c r="AN731" s="258" t="str">
        <f t="shared" si="345"/>
        <v/>
      </c>
      <c r="AO731" s="266"/>
      <c r="AP731" s="258" t="str">
        <f t="shared" si="346"/>
        <v/>
      </c>
      <c r="AQ731" s="266"/>
      <c r="AR731" s="258" t="str">
        <f t="shared" si="347"/>
        <v/>
      </c>
      <c r="AS731" s="266"/>
      <c r="AT731" s="256" t="str">
        <f t="shared" si="348"/>
        <v/>
      </c>
      <c r="AU731" s="256" t="str">
        <f t="shared" si="349"/>
        <v/>
      </c>
      <c r="AV731" s="256" t="str">
        <f t="shared" si="350"/>
        <v/>
      </c>
      <c r="AW731" s="267"/>
      <c r="AX731" s="255"/>
      <c r="AY731" s="259" t="str">
        <f>IF(AX731&lt;&gt;"",AX731/VLOOKUP($V731,Setup!$C$30:$D$41,2,0),"")</f>
        <v/>
      </c>
      <c r="AZ731" s="268"/>
      <c r="BA731" s="258" t="str">
        <f t="shared" si="351"/>
        <v/>
      </c>
      <c r="BB731" s="268"/>
      <c r="BC731" s="258" t="str">
        <f t="shared" si="352"/>
        <v/>
      </c>
      <c r="BD731" s="268"/>
      <c r="BE731" s="258" t="str">
        <f t="shared" si="353"/>
        <v/>
      </c>
      <c r="BF731" s="268"/>
      <c r="BG731" s="256" t="str">
        <f t="shared" si="354"/>
        <v/>
      </c>
      <c r="BH731" s="256" t="str">
        <f t="shared" si="355"/>
        <v/>
      </c>
      <c r="BI731" s="256" t="str">
        <f t="shared" si="356"/>
        <v/>
      </c>
      <c r="BJ731" s="267"/>
      <c r="BK731" s="255"/>
      <c r="BL731" s="259" t="str">
        <f>IF(BK731&lt;&gt;"",BK731/VLOOKUP($V731,Setup!$C$30:$D$41,2,0),"")</f>
        <v/>
      </c>
      <c r="BM731" s="268"/>
      <c r="BN731" s="258" t="str">
        <f t="shared" si="357"/>
        <v/>
      </c>
      <c r="BO731" s="268"/>
      <c r="BP731" s="258" t="str">
        <f t="shared" si="358"/>
        <v/>
      </c>
      <c r="BQ731" s="268"/>
      <c r="BR731" s="258" t="str">
        <f t="shared" si="359"/>
        <v/>
      </c>
      <c r="BS731" s="268"/>
      <c r="BT731" s="256" t="str">
        <f t="shared" si="360"/>
        <v/>
      </c>
      <c r="BU731" s="256" t="str">
        <f t="shared" si="361"/>
        <v/>
      </c>
      <c r="BV731" s="256" t="str">
        <f t="shared" si="362"/>
        <v/>
      </c>
      <c r="BW731" s="267"/>
      <c r="BX731" s="256" t="str">
        <f t="shared" si="363"/>
        <v/>
      </c>
      <c r="BY731" s="256" t="str">
        <f t="shared" si="364"/>
        <v/>
      </c>
      <c r="BZ731" s="281"/>
      <c r="CA731" s="282"/>
      <c r="CF731" s="284"/>
      <c r="CG731" s="284"/>
      <c r="CH731" s="284"/>
      <c r="CI731" s="284"/>
      <c r="CL731" s="356" t="str">
        <f>IFERROR(VLOOKUP(C731,'Data Sheet'!$A$3:$B$26,2,FALSE),"")</f>
        <v/>
      </c>
    </row>
    <row r="732" spans="1:90" ht="15.75" x14ac:dyDescent="0.2">
      <c r="A732" s="97"/>
      <c r="B732" s="105" t="str">
        <f t="shared" si="367"/>
        <v>--</v>
      </c>
      <c r="C732" s="276"/>
      <c r="D732" s="101" t="str">
        <f>IFERROR(IF(VLOOKUP(C732,'Data Sheet'!$A$3:$D$26,4,FALSE)=0,"",VLOOKUP(C732,'Data Sheet'!$A$3:$D$26,4,FALSE)),"")</f>
        <v/>
      </c>
      <c r="E732" s="279"/>
      <c r="F732" s="103" t="str">
        <f>IFERROR(IF(VLOOKUP(E732,'Data Sheet'!$C$29:$E$174,3,FALSE)=0,"",VLOOKUP(E732,'Data Sheet'!$C$29:$E$174,3,FALSE)),"")</f>
        <v/>
      </c>
      <c r="G732" s="106" t="str">
        <f t="shared" si="365"/>
        <v>-</v>
      </c>
      <c r="H732" s="273"/>
      <c r="I732" s="107"/>
      <c r="J732" s="249" t="e">
        <f t="shared" si="366"/>
        <v>#VALUE!</v>
      </c>
      <c r="K732" s="101" t="str">
        <f>IFERROR(INDEX('Data Sheet'!$C$198:$C$275,MATCH(I732,'Data Sheet'!$F$198:$F$275,0)),"")</f>
        <v/>
      </c>
      <c r="L732" s="250" t="str">
        <f>IFERROR(INDEX('Data Sheet'!$G$198:$G$275,MATCH(I732,'Data Sheet'!$F$198:$F$275,0)),"")</f>
        <v/>
      </c>
      <c r="M732" s="194"/>
      <c r="N732" s="248"/>
      <c r="O732" s="248"/>
      <c r="P732" s="108" t="str">
        <f>IFERROR(INDEX(Setup!$D$44:$D$70,MATCH(M732,Setup!$K$44:$K$70,0))&amp;"","")</f>
        <v/>
      </c>
      <c r="Q732" s="108" t="str">
        <f>IFERROR(INDEX(Setup!$E$44:$E$70,MATCH(M732,Setup!$K$44:$K$70,0))&amp;"","")</f>
        <v/>
      </c>
      <c r="R732" s="108" t="str">
        <f>IFERROR(INDEX(Setup!$L$44:$L$70,MATCH(M732,Setup!$K$44:$K$70,0))&amp;"","")</f>
        <v/>
      </c>
      <c r="S732" s="108" t="str">
        <f>Setup!$C$30</f>
        <v>USD</v>
      </c>
      <c r="T732" s="109" t="str">
        <f>IFERROR(INDEX('Data Sheet'!$B$198:$B$275,MATCH(I732,'Data Sheet'!$F$198:$F$275,0)),"")</f>
        <v/>
      </c>
      <c r="U732" s="110" t="str">
        <f>IFERROR(INDEX('Data Sheet'!$D$198:$D$275,MATCH(I732,'Data Sheet'!$F$198:$F$275,0)),"")</f>
        <v/>
      </c>
      <c r="V732" s="99"/>
      <c r="W732" s="195" t="str">
        <f>IF(V732=Setup!$C$30,"Grant",IF(V732=Setup!$C$31,"Local",IF(V732=Setup!$C$32,"Other",IF(ISBLANK(V732),"","Other"))))</f>
        <v/>
      </c>
      <c r="X732" s="255"/>
      <c r="Y732" s="259" t="str">
        <f>IF(X732&lt;&gt;"",X732/VLOOKUP($V732,Setup!$C$30:$D$41,2,0),"")</f>
        <v/>
      </c>
      <c r="Z732" s="262"/>
      <c r="AA732" s="256" t="str">
        <f t="shared" si="339"/>
        <v/>
      </c>
      <c r="AB732" s="262"/>
      <c r="AC732" s="258" t="str">
        <f t="shared" si="340"/>
        <v/>
      </c>
      <c r="AD732" s="262"/>
      <c r="AE732" s="258" t="str">
        <f t="shared" si="341"/>
        <v/>
      </c>
      <c r="AF732" s="262"/>
      <c r="AG732" s="256" t="str">
        <f t="shared" si="342"/>
        <v/>
      </c>
      <c r="AH732" s="256" t="str">
        <f t="shared" si="343"/>
        <v/>
      </c>
      <c r="AI732" s="256" t="str">
        <f t="shared" si="344"/>
        <v/>
      </c>
      <c r="AJ732" s="111"/>
      <c r="AK732" s="255"/>
      <c r="AL732" s="259" t="str">
        <f>IF(AK732&lt;&gt;"",AK732/VLOOKUP($V732,Setup!$C$30:$D$41,2,0),"")</f>
        <v/>
      </c>
      <c r="AM732" s="266"/>
      <c r="AN732" s="258" t="str">
        <f t="shared" si="345"/>
        <v/>
      </c>
      <c r="AO732" s="266"/>
      <c r="AP732" s="258" t="str">
        <f t="shared" si="346"/>
        <v/>
      </c>
      <c r="AQ732" s="266"/>
      <c r="AR732" s="258" t="str">
        <f t="shared" si="347"/>
        <v/>
      </c>
      <c r="AS732" s="266"/>
      <c r="AT732" s="256" t="str">
        <f t="shared" si="348"/>
        <v/>
      </c>
      <c r="AU732" s="256" t="str">
        <f t="shared" si="349"/>
        <v/>
      </c>
      <c r="AV732" s="256" t="str">
        <f t="shared" si="350"/>
        <v/>
      </c>
      <c r="AW732" s="267"/>
      <c r="AX732" s="255"/>
      <c r="AY732" s="259" t="str">
        <f>IF(AX732&lt;&gt;"",AX732/VLOOKUP($V732,Setup!$C$30:$D$41,2,0),"")</f>
        <v/>
      </c>
      <c r="AZ732" s="268"/>
      <c r="BA732" s="258" t="str">
        <f t="shared" si="351"/>
        <v/>
      </c>
      <c r="BB732" s="268"/>
      <c r="BC732" s="258" t="str">
        <f t="shared" si="352"/>
        <v/>
      </c>
      <c r="BD732" s="268"/>
      <c r="BE732" s="258" t="str">
        <f t="shared" si="353"/>
        <v/>
      </c>
      <c r="BF732" s="268"/>
      <c r="BG732" s="256" t="str">
        <f t="shared" si="354"/>
        <v/>
      </c>
      <c r="BH732" s="256" t="str">
        <f t="shared" si="355"/>
        <v/>
      </c>
      <c r="BI732" s="256" t="str">
        <f t="shared" si="356"/>
        <v/>
      </c>
      <c r="BJ732" s="267"/>
      <c r="BK732" s="255"/>
      <c r="BL732" s="259" t="str">
        <f>IF(BK732&lt;&gt;"",BK732/VLOOKUP($V732,Setup!$C$30:$D$41,2,0),"")</f>
        <v/>
      </c>
      <c r="BM732" s="268"/>
      <c r="BN732" s="258" t="str">
        <f t="shared" si="357"/>
        <v/>
      </c>
      <c r="BO732" s="268"/>
      <c r="BP732" s="258" t="str">
        <f t="shared" si="358"/>
        <v/>
      </c>
      <c r="BQ732" s="268"/>
      <c r="BR732" s="258" t="str">
        <f t="shared" si="359"/>
        <v/>
      </c>
      <c r="BS732" s="268"/>
      <c r="BT732" s="256" t="str">
        <f t="shared" si="360"/>
        <v/>
      </c>
      <c r="BU732" s="256" t="str">
        <f t="shared" si="361"/>
        <v/>
      </c>
      <c r="BV732" s="256" t="str">
        <f t="shared" si="362"/>
        <v/>
      </c>
      <c r="BW732" s="267"/>
      <c r="BX732" s="256" t="str">
        <f t="shared" si="363"/>
        <v/>
      </c>
      <c r="BY732" s="256" t="str">
        <f t="shared" si="364"/>
        <v/>
      </c>
      <c r="BZ732" s="281"/>
      <c r="CA732" s="282"/>
      <c r="CF732" s="284"/>
      <c r="CG732" s="284"/>
      <c r="CH732" s="284"/>
      <c r="CI732" s="284"/>
      <c r="CL732" s="356" t="str">
        <f>IFERROR(VLOOKUP(C732,'Data Sheet'!$A$3:$B$26,2,FALSE),"")</f>
        <v/>
      </c>
    </row>
    <row r="733" spans="1:90" ht="15.75" x14ac:dyDescent="0.2">
      <c r="A733" s="97"/>
      <c r="B733" s="105" t="str">
        <f t="shared" si="367"/>
        <v>--</v>
      </c>
      <c r="C733" s="276"/>
      <c r="D733" s="101" t="str">
        <f>IFERROR(IF(VLOOKUP(C733,'Data Sheet'!$A$3:$D$26,4,FALSE)=0,"",VLOOKUP(C733,'Data Sheet'!$A$3:$D$26,4,FALSE)),"")</f>
        <v/>
      </c>
      <c r="E733" s="279"/>
      <c r="F733" s="103" t="str">
        <f>IFERROR(IF(VLOOKUP(E733,'Data Sheet'!$C$29:$E$174,3,FALSE)=0,"",VLOOKUP(E733,'Data Sheet'!$C$29:$E$174,3,FALSE)),"")</f>
        <v/>
      </c>
      <c r="G733" s="106" t="str">
        <f t="shared" si="365"/>
        <v>-</v>
      </c>
      <c r="H733" s="273"/>
      <c r="I733" s="107"/>
      <c r="J733" s="249" t="e">
        <f t="shared" si="366"/>
        <v>#VALUE!</v>
      </c>
      <c r="K733" s="101" t="str">
        <f>IFERROR(INDEX('Data Sheet'!$C$198:$C$275,MATCH(I733,'Data Sheet'!$F$198:$F$275,0)),"")</f>
        <v/>
      </c>
      <c r="L733" s="250" t="str">
        <f>IFERROR(INDEX('Data Sheet'!$G$198:$G$275,MATCH(I733,'Data Sheet'!$F$198:$F$275,0)),"")</f>
        <v/>
      </c>
      <c r="M733" s="194"/>
      <c r="N733" s="248"/>
      <c r="O733" s="248"/>
      <c r="P733" s="108" t="str">
        <f>IFERROR(INDEX(Setup!$D$44:$D$70,MATCH(M733,Setup!$K$44:$K$70,0))&amp;"","")</f>
        <v/>
      </c>
      <c r="Q733" s="108" t="str">
        <f>IFERROR(INDEX(Setup!$E$44:$E$70,MATCH(M733,Setup!$K$44:$K$70,0))&amp;"","")</f>
        <v/>
      </c>
      <c r="R733" s="108" t="str">
        <f>IFERROR(INDEX(Setup!$L$44:$L$70,MATCH(M733,Setup!$K$44:$K$70,0))&amp;"","")</f>
        <v/>
      </c>
      <c r="S733" s="108" t="str">
        <f>Setup!$C$30</f>
        <v>USD</v>
      </c>
      <c r="T733" s="109" t="str">
        <f>IFERROR(INDEX('Data Sheet'!$B$198:$B$275,MATCH(I733,'Data Sheet'!$F$198:$F$275,0)),"")</f>
        <v/>
      </c>
      <c r="U733" s="110" t="str">
        <f>IFERROR(INDEX('Data Sheet'!$D$198:$D$275,MATCH(I733,'Data Sheet'!$F$198:$F$275,0)),"")</f>
        <v/>
      </c>
      <c r="V733" s="99"/>
      <c r="W733" s="195" t="str">
        <f>IF(V733=Setup!$C$30,"Grant",IF(V733=Setup!$C$31,"Local",IF(V733=Setup!$C$32,"Other",IF(ISBLANK(V733),"","Other"))))</f>
        <v/>
      </c>
      <c r="X733" s="255"/>
      <c r="Y733" s="259" t="str">
        <f>IF(X733&lt;&gt;"",X733/VLOOKUP($V733,Setup!$C$30:$D$41,2,0),"")</f>
        <v/>
      </c>
      <c r="Z733" s="262"/>
      <c r="AA733" s="256" t="str">
        <f t="shared" si="339"/>
        <v/>
      </c>
      <c r="AB733" s="262"/>
      <c r="AC733" s="258" t="str">
        <f t="shared" si="340"/>
        <v/>
      </c>
      <c r="AD733" s="262"/>
      <c r="AE733" s="258" t="str">
        <f t="shared" si="341"/>
        <v/>
      </c>
      <c r="AF733" s="262"/>
      <c r="AG733" s="256" t="str">
        <f t="shared" si="342"/>
        <v/>
      </c>
      <c r="AH733" s="256" t="str">
        <f t="shared" si="343"/>
        <v/>
      </c>
      <c r="AI733" s="256" t="str">
        <f t="shared" si="344"/>
        <v/>
      </c>
      <c r="AJ733" s="111"/>
      <c r="AK733" s="255"/>
      <c r="AL733" s="259" t="str">
        <f>IF(AK733&lt;&gt;"",AK733/VLOOKUP($V733,Setup!$C$30:$D$41,2,0),"")</f>
        <v/>
      </c>
      <c r="AM733" s="266"/>
      <c r="AN733" s="258" t="str">
        <f t="shared" si="345"/>
        <v/>
      </c>
      <c r="AO733" s="266"/>
      <c r="AP733" s="258" t="str">
        <f t="shared" si="346"/>
        <v/>
      </c>
      <c r="AQ733" s="266"/>
      <c r="AR733" s="258" t="str">
        <f t="shared" si="347"/>
        <v/>
      </c>
      <c r="AS733" s="266"/>
      <c r="AT733" s="256" t="str">
        <f t="shared" si="348"/>
        <v/>
      </c>
      <c r="AU733" s="256" t="str">
        <f t="shared" si="349"/>
        <v/>
      </c>
      <c r="AV733" s="256" t="str">
        <f t="shared" si="350"/>
        <v/>
      </c>
      <c r="AW733" s="267"/>
      <c r="AX733" s="255"/>
      <c r="AY733" s="259" t="str">
        <f>IF(AX733&lt;&gt;"",AX733/VLOOKUP($V733,Setup!$C$30:$D$41,2,0),"")</f>
        <v/>
      </c>
      <c r="AZ733" s="268"/>
      <c r="BA733" s="258" t="str">
        <f t="shared" si="351"/>
        <v/>
      </c>
      <c r="BB733" s="268"/>
      <c r="BC733" s="258" t="str">
        <f t="shared" si="352"/>
        <v/>
      </c>
      <c r="BD733" s="268"/>
      <c r="BE733" s="258" t="str">
        <f t="shared" si="353"/>
        <v/>
      </c>
      <c r="BF733" s="268"/>
      <c r="BG733" s="256" t="str">
        <f t="shared" si="354"/>
        <v/>
      </c>
      <c r="BH733" s="256" t="str">
        <f t="shared" si="355"/>
        <v/>
      </c>
      <c r="BI733" s="256" t="str">
        <f t="shared" si="356"/>
        <v/>
      </c>
      <c r="BJ733" s="267"/>
      <c r="BK733" s="255"/>
      <c r="BL733" s="259" t="str">
        <f>IF(BK733&lt;&gt;"",BK733/VLOOKUP($V733,Setup!$C$30:$D$41,2,0),"")</f>
        <v/>
      </c>
      <c r="BM733" s="268"/>
      <c r="BN733" s="258" t="str">
        <f t="shared" si="357"/>
        <v/>
      </c>
      <c r="BO733" s="268"/>
      <c r="BP733" s="258" t="str">
        <f t="shared" si="358"/>
        <v/>
      </c>
      <c r="BQ733" s="268"/>
      <c r="BR733" s="258" t="str">
        <f t="shared" si="359"/>
        <v/>
      </c>
      <c r="BS733" s="268"/>
      <c r="BT733" s="256" t="str">
        <f t="shared" si="360"/>
        <v/>
      </c>
      <c r="BU733" s="256" t="str">
        <f t="shared" si="361"/>
        <v/>
      </c>
      <c r="BV733" s="256" t="str">
        <f t="shared" si="362"/>
        <v/>
      </c>
      <c r="BW733" s="267"/>
      <c r="BX733" s="256" t="str">
        <f t="shared" si="363"/>
        <v/>
      </c>
      <c r="BY733" s="256" t="str">
        <f t="shared" si="364"/>
        <v/>
      </c>
      <c r="BZ733" s="281"/>
      <c r="CA733" s="282"/>
      <c r="CF733" s="284"/>
      <c r="CG733" s="284"/>
      <c r="CH733" s="284"/>
      <c r="CI733" s="284"/>
      <c r="CL733" s="356" t="str">
        <f>IFERROR(VLOOKUP(C733,'Data Sheet'!$A$3:$B$26,2,FALSE),"")</f>
        <v/>
      </c>
    </row>
    <row r="734" spans="1:90" ht="15.75" x14ac:dyDescent="0.2">
      <c r="A734" s="97"/>
      <c r="B734" s="105" t="str">
        <f t="shared" si="367"/>
        <v>--</v>
      </c>
      <c r="C734" s="276"/>
      <c r="D734" s="101" t="str">
        <f>IFERROR(IF(VLOOKUP(C734,'Data Sheet'!$A$3:$D$26,4,FALSE)=0,"",VLOOKUP(C734,'Data Sheet'!$A$3:$D$26,4,FALSE)),"")</f>
        <v/>
      </c>
      <c r="E734" s="279"/>
      <c r="F734" s="103" t="str">
        <f>IFERROR(IF(VLOOKUP(E734,'Data Sheet'!$C$29:$E$174,3,FALSE)=0,"",VLOOKUP(E734,'Data Sheet'!$C$29:$E$174,3,FALSE)),"")</f>
        <v/>
      </c>
      <c r="G734" s="106" t="str">
        <f t="shared" si="365"/>
        <v>-</v>
      </c>
      <c r="H734" s="273"/>
      <c r="I734" s="107"/>
      <c r="J734" s="249" t="e">
        <f t="shared" si="366"/>
        <v>#VALUE!</v>
      </c>
      <c r="K734" s="101" t="str">
        <f>IFERROR(INDEX('Data Sheet'!$C$198:$C$275,MATCH(I734,'Data Sheet'!$F$198:$F$275,0)),"")</f>
        <v/>
      </c>
      <c r="L734" s="250" t="str">
        <f>IFERROR(INDEX('Data Sheet'!$G$198:$G$275,MATCH(I734,'Data Sheet'!$F$198:$F$275,0)),"")</f>
        <v/>
      </c>
      <c r="M734" s="194"/>
      <c r="N734" s="248"/>
      <c r="O734" s="248"/>
      <c r="P734" s="108" t="str">
        <f>IFERROR(INDEX(Setup!$D$44:$D$70,MATCH(M734,Setup!$K$44:$K$70,0))&amp;"","")</f>
        <v/>
      </c>
      <c r="Q734" s="108" t="str">
        <f>IFERROR(INDEX(Setup!$E$44:$E$70,MATCH(M734,Setup!$K$44:$K$70,0))&amp;"","")</f>
        <v/>
      </c>
      <c r="R734" s="108" t="str">
        <f>IFERROR(INDEX(Setup!$L$44:$L$70,MATCH(M734,Setup!$K$44:$K$70,0))&amp;"","")</f>
        <v/>
      </c>
      <c r="S734" s="108" t="str">
        <f>Setup!$C$30</f>
        <v>USD</v>
      </c>
      <c r="T734" s="109" t="str">
        <f>IFERROR(INDEX('Data Sheet'!$B$198:$B$275,MATCH(I734,'Data Sheet'!$F$198:$F$275,0)),"")</f>
        <v/>
      </c>
      <c r="U734" s="110" t="str">
        <f>IFERROR(INDEX('Data Sheet'!$D$198:$D$275,MATCH(I734,'Data Sheet'!$F$198:$F$275,0)),"")</f>
        <v/>
      </c>
      <c r="V734" s="99"/>
      <c r="W734" s="195" t="str">
        <f>IF(V734=Setup!$C$30,"Grant",IF(V734=Setup!$C$31,"Local",IF(V734=Setup!$C$32,"Other",IF(ISBLANK(V734),"","Other"))))</f>
        <v/>
      </c>
      <c r="X734" s="255"/>
      <c r="Y734" s="259" t="str">
        <f>IF(X734&lt;&gt;"",X734/VLOOKUP($V734,Setup!$C$30:$D$41,2,0),"")</f>
        <v/>
      </c>
      <c r="Z734" s="262"/>
      <c r="AA734" s="256" t="str">
        <f t="shared" si="339"/>
        <v/>
      </c>
      <c r="AB734" s="262"/>
      <c r="AC734" s="258" t="str">
        <f t="shared" si="340"/>
        <v/>
      </c>
      <c r="AD734" s="262"/>
      <c r="AE734" s="258" t="str">
        <f t="shared" si="341"/>
        <v/>
      </c>
      <c r="AF734" s="262"/>
      <c r="AG734" s="256" t="str">
        <f t="shared" si="342"/>
        <v/>
      </c>
      <c r="AH734" s="256" t="str">
        <f t="shared" si="343"/>
        <v/>
      </c>
      <c r="AI734" s="256" t="str">
        <f t="shared" si="344"/>
        <v/>
      </c>
      <c r="AJ734" s="111"/>
      <c r="AK734" s="255"/>
      <c r="AL734" s="259" t="str">
        <f>IF(AK734&lt;&gt;"",AK734/VLOOKUP($V734,Setup!$C$30:$D$41,2,0),"")</f>
        <v/>
      </c>
      <c r="AM734" s="266"/>
      <c r="AN734" s="258" t="str">
        <f t="shared" si="345"/>
        <v/>
      </c>
      <c r="AO734" s="266"/>
      <c r="AP734" s="258" t="str">
        <f t="shared" si="346"/>
        <v/>
      </c>
      <c r="AQ734" s="266"/>
      <c r="AR734" s="258" t="str">
        <f t="shared" si="347"/>
        <v/>
      </c>
      <c r="AS734" s="266"/>
      <c r="AT734" s="256" t="str">
        <f t="shared" si="348"/>
        <v/>
      </c>
      <c r="AU734" s="256" t="str">
        <f t="shared" si="349"/>
        <v/>
      </c>
      <c r="AV734" s="256" t="str">
        <f t="shared" si="350"/>
        <v/>
      </c>
      <c r="AW734" s="267"/>
      <c r="AX734" s="255"/>
      <c r="AY734" s="259" t="str">
        <f>IF(AX734&lt;&gt;"",AX734/VLOOKUP($V734,Setup!$C$30:$D$41,2,0),"")</f>
        <v/>
      </c>
      <c r="AZ734" s="268"/>
      <c r="BA734" s="258" t="str">
        <f t="shared" si="351"/>
        <v/>
      </c>
      <c r="BB734" s="268"/>
      <c r="BC734" s="258" t="str">
        <f t="shared" si="352"/>
        <v/>
      </c>
      <c r="BD734" s="268"/>
      <c r="BE734" s="258" t="str">
        <f t="shared" si="353"/>
        <v/>
      </c>
      <c r="BF734" s="268"/>
      <c r="BG734" s="256" t="str">
        <f t="shared" si="354"/>
        <v/>
      </c>
      <c r="BH734" s="256" t="str">
        <f t="shared" si="355"/>
        <v/>
      </c>
      <c r="BI734" s="256" t="str">
        <f t="shared" si="356"/>
        <v/>
      </c>
      <c r="BJ734" s="267"/>
      <c r="BK734" s="255"/>
      <c r="BL734" s="259" t="str">
        <f>IF(BK734&lt;&gt;"",BK734/VLOOKUP($V734,Setup!$C$30:$D$41,2,0),"")</f>
        <v/>
      </c>
      <c r="BM734" s="268"/>
      <c r="BN734" s="258" t="str">
        <f t="shared" si="357"/>
        <v/>
      </c>
      <c r="BO734" s="268"/>
      <c r="BP734" s="258" t="str">
        <f t="shared" si="358"/>
        <v/>
      </c>
      <c r="BQ734" s="268"/>
      <c r="BR734" s="258" t="str">
        <f t="shared" si="359"/>
        <v/>
      </c>
      <c r="BS734" s="268"/>
      <c r="BT734" s="256" t="str">
        <f t="shared" si="360"/>
        <v/>
      </c>
      <c r="BU734" s="256" t="str">
        <f t="shared" si="361"/>
        <v/>
      </c>
      <c r="BV734" s="256" t="str">
        <f t="shared" si="362"/>
        <v/>
      </c>
      <c r="BW734" s="267"/>
      <c r="BX734" s="256" t="str">
        <f t="shared" si="363"/>
        <v/>
      </c>
      <c r="BY734" s="256" t="str">
        <f t="shared" si="364"/>
        <v/>
      </c>
      <c r="BZ734" s="281"/>
      <c r="CA734" s="282"/>
      <c r="CF734" s="284"/>
      <c r="CG734" s="284"/>
      <c r="CH734" s="284"/>
      <c r="CI734" s="284"/>
      <c r="CL734" s="356" t="str">
        <f>IFERROR(VLOOKUP(C734,'Data Sheet'!$A$3:$B$26,2,FALSE),"")</f>
        <v/>
      </c>
    </row>
    <row r="735" spans="1:90" ht="15.75" x14ac:dyDescent="0.2">
      <c r="A735" s="97"/>
      <c r="B735" s="105" t="str">
        <f t="shared" si="367"/>
        <v>--</v>
      </c>
      <c r="C735" s="276"/>
      <c r="D735" s="101" t="str">
        <f>IFERROR(IF(VLOOKUP(C735,'Data Sheet'!$A$3:$D$26,4,FALSE)=0,"",VLOOKUP(C735,'Data Sheet'!$A$3:$D$26,4,FALSE)),"")</f>
        <v/>
      </c>
      <c r="E735" s="279"/>
      <c r="F735" s="103" t="str">
        <f>IFERROR(IF(VLOOKUP(E735,'Data Sheet'!$C$29:$E$174,3,FALSE)=0,"",VLOOKUP(E735,'Data Sheet'!$C$29:$E$174,3,FALSE)),"")</f>
        <v/>
      </c>
      <c r="G735" s="106" t="str">
        <f t="shared" si="365"/>
        <v>-</v>
      </c>
      <c r="H735" s="273"/>
      <c r="I735" s="107"/>
      <c r="J735" s="249" t="e">
        <f t="shared" si="366"/>
        <v>#VALUE!</v>
      </c>
      <c r="K735" s="101" t="str">
        <f>IFERROR(INDEX('Data Sheet'!$C$198:$C$275,MATCH(I735,'Data Sheet'!$F$198:$F$275,0)),"")</f>
        <v/>
      </c>
      <c r="L735" s="250" t="str">
        <f>IFERROR(INDEX('Data Sheet'!$G$198:$G$275,MATCH(I735,'Data Sheet'!$F$198:$F$275,0)),"")</f>
        <v/>
      </c>
      <c r="M735" s="194"/>
      <c r="N735" s="248"/>
      <c r="O735" s="248"/>
      <c r="P735" s="108" t="str">
        <f>IFERROR(INDEX(Setup!$D$44:$D$70,MATCH(M735,Setup!$K$44:$K$70,0))&amp;"","")</f>
        <v/>
      </c>
      <c r="Q735" s="108" t="str">
        <f>IFERROR(INDEX(Setup!$E$44:$E$70,MATCH(M735,Setup!$K$44:$K$70,0))&amp;"","")</f>
        <v/>
      </c>
      <c r="R735" s="108" t="str">
        <f>IFERROR(INDEX(Setup!$L$44:$L$70,MATCH(M735,Setup!$K$44:$K$70,0))&amp;"","")</f>
        <v/>
      </c>
      <c r="S735" s="108" t="str">
        <f>Setup!$C$30</f>
        <v>USD</v>
      </c>
      <c r="T735" s="109" t="str">
        <f>IFERROR(INDEX('Data Sheet'!$B$198:$B$275,MATCH(I735,'Data Sheet'!$F$198:$F$275,0)),"")</f>
        <v/>
      </c>
      <c r="U735" s="110" t="str">
        <f>IFERROR(INDEX('Data Sheet'!$D$198:$D$275,MATCH(I735,'Data Sheet'!$F$198:$F$275,0)),"")</f>
        <v/>
      </c>
      <c r="V735" s="99"/>
      <c r="W735" s="195" t="str">
        <f>IF(V735=Setup!$C$30,"Grant",IF(V735=Setup!$C$31,"Local",IF(V735=Setup!$C$32,"Other",IF(ISBLANK(V735),"","Other"))))</f>
        <v/>
      </c>
      <c r="X735" s="255"/>
      <c r="Y735" s="259" t="str">
        <f>IF(X735&lt;&gt;"",X735/VLOOKUP($V735,Setup!$C$30:$D$41,2,0),"")</f>
        <v/>
      </c>
      <c r="Z735" s="262"/>
      <c r="AA735" s="256" t="str">
        <f t="shared" si="339"/>
        <v/>
      </c>
      <c r="AB735" s="262"/>
      <c r="AC735" s="258" t="str">
        <f t="shared" si="340"/>
        <v/>
      </c>
      <c r="AD735" s="262"/>
      <c r="AE735" s="258" t="str">
        <f t="shared" si="341"/>
        <v/>
      </c>
      <c r="AF735" s="262"/>
      <c r="AG735" s="256" t="str">
        <f t="shared" si="342"/>
        <v/>
      </c>
      <c r="AH735" s="256" t="str">
        <f t="shared" si="343"/>
        <v/>
      </c>
      <c r="AI735" s="256" t="str">
        <f t="shared" si="344"/>
        <v/>
      </c>
      <c r="AJ735" s="111"/>
      <c r="AK735" s="255"/>
      <c r="AL735" s="259" t="str">
        <f>IF(AK735&lt;&gt;"",AK735/VLOOKUP($V735,Setup!$C$30:$D$41,2,0),"")</f>
        <v/>
      </c>
      <c r="AM735" s="266"/>
      <c r="AN735" s="258" t="str">
        <f t="shared" si="345"/>
        <v/>
      </c>
      <c r="AO735" s="266"/>
      <c r="AP735" s="258" t="str">
        <f t="shared" si="346"/>
        <v/>
      </c>
      <c r="AQ735" s="266"/>
      <c r="AR735" s="258" t="str">
        <f t="shared" si="347"/>
        <v/>
      </c>
      <c r="AS735" s="266"/>
      <c r="AT735" s="256" t="str">
        <f t="shared" si="348"/>
        <v/>
      </c>
      <c r="AU735" s="256" t="str">
        <f t="shared" si="349"/>
        <v/>
      </c>
      <c r="AV735" s="256" t="str">
        <f t="shared" si="350"/>
        <v/>
      </c>
      <c r="AW735" s="267"/>
      <c r="AX735" s="255"/>
      <c r="AY735" s="259" t="str">
        <f>IF(AX735&lt;&gt;"",AX735/VLOOKUP($V735,Setup!$C$30:$D$41,2,0),"")</f>
        <v/>
      </c>
      <c r="AZ735" s="268"/>
      <c r="BA735" s="258" t="str">
        <f t="shared" si="351"/>
        <v/>
      </c>
      <c r="BB735" s="268"/>
      <c r="BC735" s="258" t="str">
        <f t="shared" si="352"/>
        <v/>
      </c>
      <c r="BD735" s="268"/>
      <c r="BE735" s="258" t="str">
        <f t="shared" si="353"/>
        <v/>
      </c>
      <c r="BF735" s="268"/>
      <c r="BG735" s="256" t="str">
        <f t="shared" si="354"/>
        <v/>
      </c>
      <c r="BH735" s="256" t="str">
        <f t="shared" si="355"/>
        <v/>
      </c>
      <c r="BI735" s="256" t="str">
        <f t="shared" si="356"/>
        <v/>
      </c>
      <c r="BJ735" s="267"/>
      <c r="BK735" s="255"/>
      <c r="BL735" s="259" t="str">
        <f>IF(BK735&lt;&gt;"",BK735/VLOOKUP($V735,Setup!$C$30:$D$41,2,0),"")</f>
        <v/>
      </c>
      <c r="BM735" s="268"/>
      <c r="BN735" s="258" t="str">
        <f t="shared" si="357"/>
        <v/>
      </c>
      <c r="BO735" s="268"/>
      <c r="BP735" s="258" t="str">
        <f t="shared" si="358"/>
        <v/>
      </c>
      <c r="BQ735" s="268"/>
      <c r="BR735" s="258" t="str">
        <f t="shared" si="359"/>
        <v/>
      </c>
      <c r="BS735" s="268"/>
      <c r="BT735" s="256" t="str">
        <f t="shared" si="360"/>
        <v/>
      </c>
      <c r="BU735" s="256" t="str">
        <f t="shared" si="361"/>
        <v/>
      </c>
      <c r="BV735" s="256" t="str">
        <f t="shared" si="362"/>
        <v/>
      </c>
      <c r="BW735" s="267"/>
      <c r="BX735" s="256" t="str">
        <f t="shared" si="363"/>
        <v/>
      </c>
      <c r="BY735" s="256" t="str">
        <f t="shared" si="364"/>
        <v/>
      </c>
      <c r="BZ735" s="281"/>
      <c r="CA735" s="282"/>
      <c r="CF735" s="284"/>
      <c r="CG735" s="284"/>
      <c r="CH735" s="284"/>
      <c r="CI735" s="284"/>
      <c r="CL735" s="356" t="str">
        <f>IFERROR(VLOOKUP(C735,'Data Sheet'!$A$3:$B$26,2,FALSE),"")</f>
        <v/>
      </c>
    </row>
    <row r="736" spans="1:90" ht="15.75" x14ac:dyDescent="0.2">
      <c r="A736" s="97"/>
      <c r="B736" s="105" t="str">
        <f t="shared" si="367"/>
        <v>--</v>
      </c>
      <c r="C736" s="276"/>
      <c r="D736" s="101" t="str">
        <f>IFERROR(IF(VLOOKUP(C736,'Data Sheet'!$A$3:$D$26,4,FALSE)=0,"",VLOOKUP(C736,'Data Sheet'!$A$3:$D$26,4,FALSE)),"")</f>
        <v/>
      </c>
      <c r="E736" s="279"/>
      <c r="F736" s="103" t="str">
        <f>IFERROR(IF(VLOOKUP(E736,'Data Sheet'!$C$29:$E$174,3,FALSE)=0,"",VLOOKUP(E736,'Data Sheet'!$C$29:$E$174,3,FALSE)),"")</f>
        <v/>
      </c>
      <c r="G736" s="106" t="str">
        <f t="shared" si="365"/>
        <v>-</v>
      </c>
      <c r="H736" s="273"/>
      <c r="I736" s="107"/>
      <c r="J736" s="249" t="e">
        <f t="shared" si="366"/>
        <v>#VALUE!</v>
      </c>
      <c r="K736" s="101" t="str">
        <f>IFERROR(INDEX('Data Sheet'!$C$198:$C$275,MATCH(I736,'Data Sheet'!$F$198:$F$275,0)),"")</f>
        <v/>
      </c>
      <c r="L736" s="250" t="str">
        <f>IFERROR(INDEX('Data Sheet'!$G$198:$G$275,MATCH(I736,'Data Sheet'!$F$198:$F$275,0)),"")</f>
        <v/>
      </c>
      <c r="M736" s="194"/>
      <c r="N736" s="248"/>
      <c r="O736" s="248"/>
      <c r="P736" s="108" t="str">
        <f>IFERROR(INDEX(Setup!$D$44:$D$70,MATCH(M736,Setup!$K$44:$K$70,0))&amp;"","")</f>
        <v/>
      </c>
      <c r="Q736" s="108" t="str">
        <f>IFERROR(INDEX(Setup!$E$44:$E$70,MATCH(M736,Setup!$K$44:$K$70,0))&amp;"","")</f>
        <v/>
      </c>
      <c r="R736" s="108" t="str">
        <f>IFERROR(INDEX(Setup!$L$44:$L$70,MATCH(M736,Setup!$K$44:$K$70,0))&amp;"","")</f>
        <v/>
      </c>
      <c r="S736" s="108" t="str">
        <f>Setup!$C$30</f>
        <v>USD</v>
      </c>
      <c r="T736" s="109" t="str">
        <f>IFERROR(INDEX('Data Sheet'!$B$198:$B$275,MATCH(I736,'Data Sheet'!$F$198:$F$275,0)),"")</f>
        <v/>
      </c>
      <c r="U736" s="110" t="str">
        <f>IFERROR(INDEX('Data Sheet'!$D$198:$D$275,MATCH(I736,'Data Sheet'!$F$198:$F$275,0)),"")</f>
        <v/>
      </c>
      <c r="V736" s="99"/>
      <c r="W736" s="195" t="str">
        <f>IF(V736=Setup!$C$30,"Grant",IF(V736=Setup!$C$31,"Local",IF(V736=Setup!$C$32,"Other",IF(ISBLANK(V736),"","Other"))))</f>
        <v/>
      </c>
      <c r="X736" s="255"/>
      <c r="Y736" s="259" t="str">
        <f>IF(X736&lt;&gt;"",X736/VLOOKUP($V736,Setup!$C$30:$D$41,2,0),"")</f>
        <v/>
      </c>
      <c r="Z736" s="262"/>
      <c r="AA736" s="256" t="str">
        <f t="shared" si="339"/>
        <v/>
      </c>
      <c r="AB736" s="262"/>
      <c r="AC736" s="258" t="str">
        <f t="shared" si="340"/>
        <v/>
      </c>
      <c r="AD736" s="262"/>
      <c r="AE736" s="258" t="str">
        <f t="shared" si="341"/>
        <v/>
      </c>
      <c r="AF736" s="262"/>
      <c r="AG736" s="256" t="str">
        <f t="shared" si="342"/>
        <v/>
      </c>
      <c r="AH736" s="256" t="str">
        <f t="shared" si="343"/>
        <v/>
      </c>
      <c r="AI736" s="256" t="str">
        <f t="shared" si="344"/>
        <v/>
      </c>
      <c r="AJ736" s="111"/>
      <c r="AK736" s="255"/>
      <c r="AL736" s="259" t="str">
        <f>IF(AK736&lt;&gt;"",AK736/VLOOKUP($V736,Setup!$C$30:$D$41,2,0),"")</f>
        <v/>
      </c>
      <c r="AM736" s="266"/>
      <c r="AN736" s="258" t="str">
        <f t="shared" si="345"/>
        <v/>
      </c>
      <c r="AO736" s="266"/>
      <c r="AP736" s="258" t="str">
        <f t="shared" si="346"/>
        <v/>
      </c>
      <c r="AQ736" s="266"/>
      <c r="AR736" s="258" t="str">
        <f t="shared" si="347"/>
        <v/>
      </c>
      <c r="AS736" s="266"/>
      <c r="AT736" s="256" t="str">
        <f t="shared" si="348"/>
        <v/>
      </c>
      <c r="AU736" s="256" t="str">
        <f t="shared" si="349"/>
        <v/>
      </c>
      <c r="AV736" s="256" t="str">
        <f t="shared" si="350"/>
        <v/>
      </c>
      <c r="AW736" s="267"/>
      <c r="AX736" s="255"/>
      <c r="AY736" s="259" t="str">
        <f>IF(AX736&lt;&gt;"",AX736/VLOOKUP($V736,Setup!$C$30:$D$41,2,0),"")</f>
        <v/>
      </c>
      <c r="AZ736" s="268"/>
      <c r="BA736" s="258" t="str">
        <f t="shared" si="351"/>
        <v/>
      </c>
      <c r="BB736" s="268"/>
      <c r="BC736" s="258" t="str">
        <f t="shared" si="352"/>
        <v/>
      </c>
      <c r="BD736" s="268"/>
      <c r="BE736" s="258" t="str">
        <f t="shared" si="353"/>
        <v/>
      </c>
      <c r="BF736" s="268"/>
      <c r="BG736" s="256" t="str">
        <f t="shared" si="354"/>
        <v/>
      </c>
      <c r="BH736" s="256" t="str">
        <f t="shared" si="355"/>
        <v/>
      </c>
      <c r="BI736" s="256" t="str">
        <f t="shared" si="356"/>
        <v/>
      </c>
      <c r="BJ736" s="267"/>
      <c r="BK736" s="255"/>
      <c r="BL736" s="259" t="str">
        <f>IF(BK736&lt;&gt;"",BK736/VLOOKUP($V736,Setup!$C$30:$D$41,2,0),"")</f>
        <v/>
      </c>
      <c r="BM736" s="268"/>
      <c r="BN736" s="258" t="str">
        <f t="shared" si="357"/>
        <v/>
      </c>
      <c r="BO736" s="268"/>
      <c r="BP736" s="258" t="str">
        <f t="shared" si="358"/>
        <v/>
      </c>
      <c r="BQ736" s="268"/>
      <c r="BR736" s="258" t="str">
        <f t="shared" si="359"/>
        <v/>
      </c>
      <c r="BS736" s="268"/>
      <c r="BT736" s="256" t="str">
        <f t="shared" si="360"/>
        <v/>
      </c>
      <c r="BU736" s="256" t="str">
        <f t="shared" si="361"/>
        <v/>
      </c>
      <c r="BV736" s="256" t="str">
        <f t="shared" si="362"/>
        <v/>
      </c>
      <c r="BW736" s="267"/>
      <c r="BX736" s="256" t="str">
        <f t="shared" si="363"/>
        <v/>
      </c>
      <c r="BY736" s="256" t="str">
        <f t="shared" si="364"/>
        <v/>
      </c>
      <c r="BZ736" s="281"/>
      <c r="CA736" s="282"/>
      <c r="CF736" s="284"/>
      <c r="CG736" s="284"/>
      <c r="CH736" s="284"/>
      <c r="CI736" s="284"/>
      <c r="CL736" s="356" t="str">
        <f>IFERROR(VLOOKUP(C736,'Data Sheet'!$A$3:$B$26,2,FALSE),"")</f>
        <v/>
      </c>
    </row>
    <row r="737" spans="1:90" ht="15.75" x14ac:dyDescent="0.2">
      <c r="A737" s="97"/>
      <c r="B737" s="105" t="str">
        <f t="shared" si="367"/>
        <v>--</v>
      </c>
      <c r="C737" s="276"/>
      <c r="D737" s="101" t="str">
        <f>IFERROR(IF(VLOOKUP(C737,'Data Sheet'!$A$3:$D$26,4,FALSE)=0,"",VLOOKUP(C737,'Data Sheet'!$A$3:$D$26,4,FALSE)),"")</f>
        <v/>
      </c>
      <c r="E737" s="279"/>
      <c r="F737" s="103" t="str">
        <f>IFERROR(IF(VLOOKUP(E737,'Data Sheet'!$C$29:$E$174,3,FALSE)=0,"",VLOOKUP(E737,'Data Sheet'!$C$29:$E$174,3,FALSE)),"")</f>
        <v/>
      </c>
      <c r="G737" s="106" t="str">
        <f t="shared" si="365"/>
        <v>-</v>
      </c>
      <c r="H737" s="273"/>
      <c r="I737" s="107"/>
      <c r="J737" s="249" t="e">
        <f t="shared" si="366"/>
        <v>#VALUE!</v>
      </c>
      <c r="K737" s="101" t="str">
        <f>IFERROR(INDEX('Data Sheet'!$C$198:$C$275,MATCH(I737,'Data Sheet'!$F$198:$F$275,0)),"")</f>
        <v/>
      </c>
      <c r="L737" s="250" t="str">
        <f>IFERROR(INDEX('Data Sheet'!$G$198:$G$275,MATCH(I737,'Data Sheet'!$F$198:$F$275,0)),"")</f>
        <v/>
      </c>
      <c r="M737" s="194"/>
      <c r="N737" s="248"/>
      <c r="O737" s="248"/>
      <c r="P737" s="108" t="str">
        <f>IFERROR(INDEX(Setup!$D$44:$D$70,MATCH(M737,Setup!$K$44:$K$70,0))&amp;"","")</f>
        <v/>
      </c>
      <c r="Q737" s="108" t="str">
        <f>IFERROR(INDEX(Setup!$E$44:$E$70,MATCH(M737,Setup!$K$44:$K$70,0))&amp;"","")</f>
        <v/>
      </c>
      <c r="R737" s="108" t="str">
        <f>IFERROR(INDEX(Setup!$L$44:$L$70,MATCH(M737,Setup!$K$44:$K$70,0))&amp;"","")</f>
        <v/>
      </c>
      <c r="S737" s="108" t="str">
        <f>Setup!$C$30</f>
        <v>USD</v>
      </c>
      <c r="T737" s="109" t="str">
        <f>IFERROR(INDEX('Data Sheet'!$B$198:$B$275,MATCH(I737,'Data Sheet'!$F$198:$F$275,0)),"")</f>
        <v/>
      </c>
      <c r="U737" s="110" t="str">
        <f>IFERROR(INDEX('Data Sheet'!$D$198:$D$275,MATCH(I737,'Data Sheet'!$F$198:$F$275,0)),"")</f>
        <v/>
      </c>
      <c r="V737" s="99"/>
      <c r="W737" s="195" t="str">
        <f>IF(V737=Setup!$C$30,"Grant",IF(V737=Setup!$C$31,"Local",IF(V737=Setup!$C$32,"Other",IF(ISBLANK(V737),"","Other"))))</f>
        <v/>
      </c>
      <c r="X737" s="255"/>
      <c r="Y737" s="259" t="str">
        <f>IF(X737&lt;&gt;"",X737/VLOOKUP($V737,Setup!$C$30:$D$41,2,0),"")</f>
        <v/>
      </c>
      <c r="Z737" s="262"/>
      <c r="AA737" s="256" t="str">
        <f t="shared" si="339"/>
        <v/>
      </c>
      <c r="AB737" s="262"/>
      <c r="AC737" s="258" t="str">
        <f t="shared" si="340"/>
        <v/>
      </c>
      <c r="AD737" s="262"/>
      <c r="AE737" s="258" t="str">
        <f t="shared" si="341"/>
        <v/>
      </c>
      <c r="AF737" s="262"/>
      <c r="AG737" s="256" t="str">
        <f t="shared" si="342"/>
        <v/>
      </c>
      <c r="AH737" s="256" t="str">
        <f t="shared" si="343"/>
        <v/>
      </c>
      <c r="AI737" s="256" t="str">
        <f t="shared" si="344"/>
        <v/>
      </c>
      <c r="AJ737" s="111"/>
      <c r="AK737" s="255"/>
      <c r="AL737" s="259" t="str">
        <f>IF(AK737&lt;&gt;"",AK737/VLOOKUP($V737,Setup!$C$30:$D$41,2,0),"")</f>
        <v/>
      </c>
      <c r="AM737" s="266"/>
      <c r="AN737" s="258" t="str">
        <f t="shared" si="345"/>
        <v/>
      </c>
      <c r="AO737" s="266"/>
      <c r="AP737" s="258" t="str">
        <f t="shared" si="346"/>
        <v/>
      </c>
      <c r="AQ737" s="266"/>
      <c r="AR737" s="258" t="str">
        <f t="shared" si="347"/>
        <v/>
      </c>
      <c r="AS737" s="266"/>
      <c r="AT737" s="256" t="str">
        <f t="shared" si="348"/>
        <v/>
      </c>
      <c r="AU737" s="256" t="str">
        <f t="shared" si="349"/>
        <v/>
      </c>
      <c r="AV737" s="256" t="str">
        <f t="shared" si="350"/>
        <v/>
      </c>
      <c r="AW737" s="267"/>
      <c r="AX737" s="255"/>
      <c r="AY737" s="259" t="str">
        <f>IF(AX737&lt;&gt;"",AX737/VLOOKUP($V737,Setup!$C$30:$D$41,2,0),"")</f>
        <v/>
      </c>
      <c r="AZ737" s="268"/>
      <c r="BA737" s="258" t="str">
        <f t="shared" si="351"/>
        <v/>
      </c>
      <c r="BB737" s="268"/>
      <c r="BC737" s="258" t="str">
        <f t="shared" si="352"/>
        <v/>
      </c>
      <c r="BD737" s="268"/>
      <c r="BE737" s="258" t="str">
        <f t="shared" si="353"/>
        <v/>
      </c>
      <c r="BF737" s="268"/>
      <c r="BG737" s="256" t="str">
        <f t="shared" si="354"/>
        <v/>
      </c>
      <c r="BH737" s="256" t="str">
        <f t="shared" si="355"/>
        <v/>
      </c>
      <c r="BI737" s="256" t="str">
        <f t="shared" si="356"/>
        <v/>
      </c>
      <c r="BJ737" s="267"/>
      <c r="BK737" s="255"/>
      <c r="BL737" s="259" t="str">
        <f>IF(BK737&lt;&gt;"",BK737/VLOOKUP($V737,Setup!$C$30:$D$41,2,0),"")</f>
        <v/>
      </c>
      <c r="BM737" s="268"/>
      <c r="BN737" s="258" t="str">
        <f t="shared" si="357"/>
        <v/>
      </c>
      <c r="BO737" s="268"/>
      <c r="BP737" s="258" t="str">
        <f t="shared" si="358"/>
        <v/>
      </c>
      <c r="BQ737" s="268"/>
      <c r="BR737" s="258" t="str">
        <f t="shared" si="359"/>
        <v/>
      </c>
      <c r="BS737" s="268"/>
      <c r="BT737" s="256" t="str">
        <f t="shared" si="360"/>
        <v/>
      </c>
      <c r="BU737" s="256" t="str">
        <f t="shared" si="361"/>
        <v/>
      </c>
      <c r="BV737" s="256" t="str">
        <f t="shared" si="362"/>
        <v/>
      </c>
      <c r="BW737" s="267"/>
      <c r="BX737" s="256" t="str">
        <f t="shared" si="363"/>
        <v/>
      </c>
      <c r="BY737" s="256" t="str">
        <f t="shared" si="364"/>
        <v/>
      </c>
      <c r="BZ737" s="281"/>
      <c r="CA737" s="282"/>
      <c r="CF737" s="284"/>
      <c r="CG737" s="284"/>
      <c r="CH737" s="284"/>
      <c r="CI737" s="284"/>
      <c r="CL737" s="356" t="str">
        <f>IFERROR(VLOOKUP(C737,'Data Sheet'!$A$3:$B$26,2,FALSE),"")</f>
        <v/>
      </c>
    </row>
    <row r="738" spans="1:90" ht="15.75" x14ac:dyDescent="0.2">
      <c r="A738" s="97"/>
      <c r="B738" s="105" t="str">
        <f t="shared" si="367"/>
        <v>--</v>
      </c>
      <c r="C738" s="276"/>
      <c r="D738" s="101" t="str">
        <f>IFERROR(IF(VLOOKUP(C738,'Data Sheet'!$A$3:$D$26,4,FALSE)=0,"",VLOOKUP(C738,'Data Sheet'!$A$3:$D$26,4,FALSE)),"")</f>
        <v/>
      </c>
      <c r="E738" s="279"/>
      <c r="F738" s="103" t="str">
        <f>IFERROR(IF(VLOOKUP(E738,'Data Sheet'!$C$29:$E$174,3,FALSE)=0,"",VLOOKUP(E738,'Data Sheet'!$C$29:$E$174,3,FALSE)),"")</f>
        <v/>
      </c>
      <c r="G738" s="106" t="str">
        <f t="shared" si="365"/>
        <v>-</v>
      </c>
      <c r="H738" s="273"/>
      <c r="I738" s="107"/>
      <c r="J738" s="249" t="e">
        <f t="shared" si="366"/>
        <v>#VALUE!</v>
      </c>
      <c r="K738" s="101" t="str">
        <f>IFERROR(INDEX('Data Sheet'!$C$198:$C$275,MATCH(I738,'Data Sheet'!$F$198:$F$275,0)),"")</f>
        <v/>
      </c>
      <c r="L738" s="250" t="str">
        <f>IFERROR(INDEX('Data Sheet'!$G$198:$G$275,MATCH(I738,'Data Sheet'!$F$198:$F$275,0)),"")</f>
        <v/>
      </c>
      <c r="M738" s="194"/>
      <c r="N738" s="248"/>
      <c r="O738" s="248"/>
      <c r="P738" s="108" t="str">
        <f>IFERROR(INDEX(Setup!$D$44:$D$70,MATCH(M738,Setup!$K$44:$K$70,0))&amp;"","")</f>
        <v/>
      </c>
      <c r="Q738" s="108" t="str">
        <f>IFERROR(INDEX(Setup!$E$44:$E$70,MATCH(M738,Setup!$K$44:$K$70,0))&amp;"","")</f>
        <v/>
      </c>
      <c r="R738" s="108" t="str">
        <f>IFERROR(INDEX(Setup!$L$44:$L$70,MATCH(M738,Setup!$K$44:$K$70,0))&amp;"","")</f>
        <v/>
      </c>
      <c r="S738" s="108" t="str">
        <f>Setup!$C$30</f>
        <v>USD</v>
      </c>
      <c r="T738" s="109" t="str">
        <f>IFERROR(INDEX('Data Sheet'!$B$198:$B$275,MATCH(I738,'Data Sheet'!$F$198:$F$275,0)),"")</f>
        <v/>
      </c>
      <c r="U738" s="110" t="str">
        <f>IFERROR(INDEX('Data Sheet'!$D$198:$D$275,MATCH(I738,'Data Sheet'!$F$198:$F$275,0)),"")</f>
        <v/>
      </c>
      <c r="V738" s="99"/>
      <c r="W738" s="195" t="str">
        <f>IF(V738=Setup!$C$30,"Grant",IF(V738=Setup!$C$31,"Local",IF(V738=Setup!$C$32,"Other",IF(ISBLANK(V738),"","Other"))))</f>
        <v/>
      </c>
      <c r="X738" s="255"/>
      <c r="Y738" s="259" t="str">
        <f>IF(X738&lt;&gt;"",X738/VLOOKUP($V738,Setup!$C$30:$D$41,2,0),"")</f>
        <v/>
      </c>
      <c r="Z738" s="262"/>
      <c r="AA738" s="256" t="str">
        <f t="shared" si="339"/>
        <v/>
      </c>
      <c r="AB738" s="262"/>
      <c r="AC738" s="258" t="str">
        <f t="shared" si="340"/>
        <v/>
      </c>
      <c r="AD738" s="262"/>
      <c r="AE738" s="258" t="str">
        <f t="shared" si="341"/>
        <v/>
      </c>
      <c r="AF738" s="262"/>
      <c r="AG738" s="256" t="str">
        <f t="shared" si="342"/>
        <v/>
      </c>
      <c r="AH738" s="256" t="str">
        <f t="shared" si="343"/>
        <v/>
      </c>
      <c r="AI738" s="256" t="str">
        <f t="shared" si="344"/>
        <v/>
      </c>
      <c r="AJ738" s="111"/>
      <c r="AK738" s="255"/>
      <c r="AL738" s="259" t="str">
        <f>IF(AK738&lt;&gt;"",AK738/VLOOKUP($V738,Setup!$C$30:$D$41,2,0),"")</f>
        <v/>
      </c>
      <c r="AM738" s="266"/>
      <c r="AN738" s="258" t="str">
        <f t="shared" si="345"/>
        <v/>
      </c>
      <c r="AO738" s="266"/>
      <c r="AP738" s="258" t="str">
        <f t="shared" si="346"/>
        <v/>
      </c>
      <c r="AQ738" s="266"/>
      <c r="AR738" s="258" t="str">
        <f t="shared" si="347"/>
        <v/>
      </c>
      <c r="AS738" s="266"/>
      <c r="AT738" s="256" t="str">
        <f t="shared" si="348"/>
        <v/>
      </c>
      <c r="AU738" s="256" t="str">
        <f t="shared" si="349"/>
        <v/>
      </c>
      <c r="AV738" s="256" t="str">
        <f t="shared" si="350"/>
        <v/>
      </c>
      <c r="AW738" s="267"/>
      <c r="AX738" s="255"/>
      <c r="AY738" s="259" t="str">
        <f>IF(AX738&lt;&gt;"",AX738/VLOOKUP($V738,Setup!$C$30:$D$41,2,0),"")</f>
        <v/>
      </c>
      <c r="AZ738" s="268"/>
      <c r="BA738" s="258" t="str">
        <f t="shared" si="351"/>
        <v/>
      </c>
      <c r="BB738" s="268"/>
      <c r="BC738" s="258" t="str">
        <f t="shared" si="352"/>
        <v/>
      </c>
      <c r="BD738" s="268"/>
      <c r="BE738" s="258" t="str">
        <f t="shared" si="353"/>
        <v/>
      </c>
      <c r="BF738" s="268"/>
      <c r="BG738" s="256" t="str">
        <f t="shared" si="354"/>
        <v/>
      </c>
      <c r="BH738" s="256" t="str">
        <f t="shared" si="355"/>
        <v/>
      </c>
      <c r="BI738" s="256" t="str">
        <f t="shared" si="356"/>
        <v/>
      </c>
      <c r="BJ738" s="267"/>
      <c r="BK738" s="255"/>
      <c r="BL738" s="259" t="str">
        <f>IF(BK738&lt;&gt;"",BK738/VLOOKUP($V738,Setup!$C$30:$D$41,2,0),"")</f>
        <v/>
      </c>
      <c r="BM738" s="268"/>
      <c r="BN738" s="258" t="str">
        <f t="shared" si="357"/>
        <v/>
      </c>
      <c r="BO738" s="268"/>
      <c r="BP738" s="258" t="str">
        <f t="shared" si="358"/>
        <v/>
      </c>
      <c r="BQ738" s="268"/>
      <c r="BR738" s="258" t="str">
        <f t="shared" si="359"/>
        <v/>
      </c>
      <c r="BS738" s="268"/>
      <c r="BT738" s="256" t="str">
        <f t="shared" si="360"/>
        <v/>
      </c>
      <c r="BU738" s="256" t="str">
        <f t="shared" si="361"/>
        <v/>
      </c>
      <c r="BV738" s="256" t="str">
        <f t="shared" si="362"/>
        <v/>
      </c>
      <c r="BW738" s="267"/>
      <c r="BX738" s="256" t="str">
        <f t="shared" si="363"/>
        <v/>
      </c>
      <c r="BY738" s="256" t="str">
        <f t="shared" si="364"/>
        <v/>
      </c>
      <c r="BZ738" s="281"/>
      <c r="CA738" s="282"/>
      <c r="CF738" s="284"/>
      <c r="CG738" s="284"/>
      <c r="CH738" s="284"/>
      <c r="CI738" s="284"/>
      <c r="CL738" s="356" t="str">
        <f>IFERROR(VLOOKUP(C738,'Data Sheet'!$A$3:$B$26,2,FALSE),"")</f>
        <v/>
      </c>
    </row>
    <row r="739" spans="1:90" ht="15.75" x14ac:dyDescent="0.2">
      <c r="A739" s="97"/>
      <c r="B739" s="105" t="str">
        <f t="shared" si="367"/>
        <v>--</v>
      </c>
      <c r="C739" s="276"/>
      <c r="D739" s="101" t="str">
        <f>IFERROR(IF(VLOOKUP(C739,'Data Sheet'!$A$3:$D$26,4,FALSE)=0,"",VLOOKUP(C739,'Data Sheet'!$A$3:$D$26,4,FALSE)),"")</f>
        <v/>
      </c>
      <c r="E739" s="279"/>
      <c r="F739" s="103" t="str">
        <f>IFERROR(IF(VLOOKUP(E739,'Data Sheet'!$C$29:$E$174,3,FALSE)=0,"",VLOOKUP(E739,'Data Sheet'!$C$29:$E$174,3,FALSE)),"")</f>
        <v/>
      </c>
      <c r="G739" s="106" t="str">
        <f t="shared" si="365"/>
        <v>-</v>
      </c>
      <c r="H739" s="273"/>
      <c r="I739" s="107"/>
      <c r="J739" s="249" t="e">
        <f t="shared" si="366"/>
        <v>#VALUE!</v>
      </c>
      <c r="K739" s="101" t="str">
        <f>IFERROR(INDEX('Data Sheet'!$C$198:$C$275,MATCH(I739,'Data Sheet'!$F$198:$F$275,0)),"")</f>
        <v/>
      </c>
      <c r="L739" s="250" t="str">
        <f>IFERROR(INDEX('Data Sheet'!$G$198:$G$275,MATCH(I739,'Data Sheet'!$F$198:$F$275,0)),"")</f>
        <v/>
      </c>
      <c r="M739" s="194"/>
      <c r="N739" s="248"/>
      <c r="O739" s="248"/>
      <c r="P739" s="108" t="str">
        <f>IFERROR(INDEX(Setup!$D$44:$D$70,MATCH(M739,Setup!$K$44:$K$70,0))&amp;"","")</f>
        <v/>
      </c>
      <c r="Q739" s="108" t="str">
        <f>IFERROR(INDEX(Setup!$E$44:$E$70,MATCH(M739,Setup!$K$44:$K$70,0))&amp;"","")</f>
        <v/>
      </c>
      <c r="R739" s="108" t="str">
        <f>IFERROR(INDEX(Setup!$L$44:$L$70,MATCH(M739,Setup!$K$44:$K$70,0))&amp;"","")</f>
        <v/>
      </c>
      <c r="S739" s="108" t="str">
        <f>Setup!$C$30</f>
        <v>USD</v>
      </c>
      <c r="T739" s="109" t="str">
        <f>IFERROR(INDEX('Data Sheet'!$B$198:$B$275,MATCH(I739,'Data Sheet'!$F$198:$F$275,0)),"")</f>
        <v/>
      </c>
      <c r="U739" s="110" t="str">
        <f>IFERROR(INDEX('Data Sheet'!$D$198:$D$275,MATCH(I739,'Data Sheet'!$F$198:$F$275,0)),"")</f>
        <v/>
      </c>
      <c r="V739" s="99"/>
      <c r="W739" s="195" t="str">
        <f>IF(V739=Setup!$C$30,"Grant",IF(V739=Setup!$C$31,"Local",IF(V739=Setup!$C$32,"Other",IF(ISBLANK(V739),"","Other"))))</f>
        <v/>
      </c>
      <c r="X739" s="255"/>
      <c r="Y739" s="259" t="str">
        <f>IF(X739&lt;&gt;"",X739/VLOOKUP($V739,Setup!$C$30:$D$41,2,0),"")</f>
        <v/>
      </c>
      <c r="Z739" s="262"/>
      <c r="AA739" s="256" t="str">
        <f t="shared" si="339"/>
        <v/>
      </c>
      <c r="AB739" s="262"/>
      <c r="AC739" s="258" t="str">
        <f t="shared" si="340"/>
        <v/>
      </c>
      <c r="AD739" s="262"/>
      <c r="AE739" s="258" t="str">
        <f t="shared" si="341"/>
        <v/>
      </c>
      <c r="AF739" s="262"/>
      <c r="AG739" s="256" t="str">
        <f t="shared" si="342"/>
        <v/>
      </c>
      <c r="AH739" s="256" t="str">
        <f t="shared" si="343"/>
        <v/>
      </c>
      <c r="AI739" s="256" t="str">
        <f t="shared" si="344"/>
        <v/>
      </c>
      <c r="AJ739" s="111"/>
      <c r="AK739" s="255"/>
      <c r="AL739" s="259" t="str">
        <f>IF(AK739&lt;&gt;"",AK739/VLOOKUP($V739,Setup!$C$30:$D$41,2,0),"")</f>
        <v/>
      </c>
      <c r="AM739" s="266"/>
      <c r="AN739" s="258" t="str">
        <f t="shared" si="345"/>
        <v/>
      </c>
      <c r="AO739" s="266"/>
      <c r="AP739" s="258" t="str">
        <f t="shared" si="346"/>
        <v/>
      </c>
      <c r="AQ739" s="266"/>
      <c r="AR739" s="258" t="str">
        <f t="shared" si="347"/>
        <v/>
      </c>
      <c r="AS739" s="266"/>
      <c r="AT739" s="256" t="str">
        <f t="shared" si="348"/>
        <v/>
      </c>
      <c r="AU739" s="256" t="str">
        <f t="shared" si="349"/>
        <v/>
      </c>
      <c r="AV739" s="256" t="str">
        <f t="shared" si="350"/>
        <v/>
      </c>
      <c r="AW739" s="267"/>
      <c r="AX739" s="255"/>
      <c r="AY739" s="259" t="str">
        <f>IF(AX739&lt;&gt;"",AX739/VLOOKUP($V739,Setup!$C$30:$D$41,2,0),"")</f>
        <v/>
      </c>
      <c r="AZ739" s="268"/>
      <c r="BA739" s="258" t="str">
        <f t="shared" si="351"/>
        <v/>
      </c>
      <c r="BB739" s="268"/>
      <c r="BC739" s="258" t="str">
        <f t="shared" si="352"/>
        <v/>
      </c>
      <c r="BD739" s="268"/>
      <c r="BE739" s="258" t="str">
        <f t="shared" si="353"/>
        <v/>
      </c>
      <c r="BF739" s="268"/>
      <c r="BG739" s="256" t="str">
        <f t="shared" si="354"/>
        <v/>
      </c>
      <c r="BH739" s="256" t="str">
        <f t="shared" si="355"/>
        <v/>
      </c>
      <c r="BI739" s="256" t="str">
        <f t="shared" si="356"/>
        <v/>
      </c>
      <c r="BJ739" s="267"/>
      <c r="BK739" s="255"/>
      <c r="BL739" s="259" t="str">
        <f>IF(BK739&lt;&gt;"",BK739/VLOOKUP($V739,Setup!$C$30:$D$41,2,0),"")</f>
        <v/>
      </c>
      <c r="BM739" s="268"/>
      <c r="BN739" s="258" t="str">
        <f t="shared" si="357"/>
        <v/>
      </c>
      <c r="BO739" s="268"/>
      <c r="BP739" s="258" t="str">
        <f t="shared" si="358"/>
        <v/>
      </c>
      <c r="BQ739" s="268"/>
      <c r="BR739" s="258" t="str">
        <f t="shared" si="359"/>
        <v/>
      </c>
      <c r="BS739" s="268"/>
      <c r="BT739" s="256" t="str">
        <f t="shared" si="360"/>
        <v/>
      </c>
      <c r="BU739" s="256" t="str">
        <f t="shared" si="361"/>
        <v/>
      </c>
      <c r="BV739" s="256" t="str">
        <f t="shared" si="362"/>
        <v/>
      </c>
      <c r="BW739" s="267"/>
      <c r="BX739" s="256" t="str">
        <f t="shared" si="363"/>
        <v/>
      </c>
      <c r="BY739" s="256" t="str">
        <f t="shared" si="364"/>
        <v/>
      </c>
      <c r="BZ739" s="281"/>
      <c r="CA739" s="282"/>
      <c r="CF739" s="284"/>
      <c r="CG739" s="284"/>
      <c r="CH739" s="284"/>
      <c r="CI739" s="284"/>
      <c r="CL739" s="356" t="str">
        <f>IFERROR(VLOOKUP(C739,'Data Sheet'!$A$3:$B$26,2,FALSE),"")</f>
        <v/>
      </c>
    </row>
    <row r="740" spans="1:90" ht="15.75" x14ac:dyDescent="0.2">
      <c r="A740" s="97"/>
      <c r="B740" s="105" t="str">
        <f t="shared" si="367"/>
        <v>--</v>
      </c>
      <c r="C740" s="276"/>
      <c r="D740" s="101" t="str">
        <f>IFERROR(IF(VLOOKUP(C740,'Data Sheet'!$A$3:$D$26,4,FALSE)=0,"",VLOOKUP(C740,'Data Sheet'!$A$3:$D$26,4,FALSE)),"")</f>
        <v/>
      </c>
      <c r="E740" s="279"/>
      <c r="F740" s="103" t="str">
        <f>IFERROR(IF(VLOOKUP(E740,'Data Sheet'!$C$29:$E$174,3,FALSE)=0,"",VLOOKUP(E740,'Data Sheet'!$C$29:$E$174,3,FALSE)),"")</f>
        <v/>
      </c>
      <c r="G740" s="106" t="str">
        <f t="shared" si="365"/>
        <v>-</v>
      </c>
      <c r="H740" s="273"/>
      <c r="I740" s="107"/>
      <c r="J740" s="249" t="e">
        <f t="shared" si="366"/>
        <v>#VALUE!</v>
      </c>
      <c r="K740" s="101" t="str">
        <f>IFERROR(INDEX('Data Sheet'!$C$198:$C$275,MATCH(I740,'Data Sheet'!$F$198:$F$275,0)),"")</f>
        <v/>
      </c>
      <c r="L740" s="250" t="str">
        <f>IFERROR(INDEX('Data Sheet'!$G$198:$G$275,MATCH(I740,'Data Sheet'!$F$198:$F$275,0)),"")</f>
        <v/>
      </c>
      <c r="M740" s="194"/>
      <c r="N740" s="248"/>
      <c r="O740" s="248"/>
      <c r="P740" s="108" t="str">
        <f>IFERROR(INDEX(Setup!$D$44:$D$70,MATCH(M740,Setup!$K$44:$K$70,0))&amp;"","")</f>
        <v/>
      </c>
      <c r="Q740" s="108" t="str">
        <f>IFERROR(INDEX(Setup!$E$44:$E$70,MATCH(M740,Setup!$K$44:$K$70,0))&amp;"","")</f>
        <v/>
      </c>
      <c r="R740" s="108" t="str">
        <f>IFERROR(INDEX(Setup!$L$44:$L$70,MATCH(M740,Setup!$K$44:$K$70,0))&amp;"","")</f>
        <v/>
      </c>
      <c r="S740" s="108" t="str">
        <f>Setup!$C$30</f>
        <v>USD</v>
      </c>
      <c r="T740" s="109" t="str">
        <f>IFERROR(INDEX('Data Sheet'!$B$198:$B$275,MATCH(I740,'Data Sheet'!$F$198:$F$275,0)),"")</f>
        <v/>
      </c>
      <c r="U740" s="110" t="str">
        <f>IFERROR(INDEX('Data Sheet'!$D$198:$D$275,MATCH(I740,'Data Sheet'!$F$198:$F$275,0)),"")</f>
        <v/>
      </c>
      <c r="V740" s="99"/>
      <c r="W740" s="195" t="str">
        <f>IF(V740=Setup!$C$30,"Grant",IF(V740=Setup!$C$31,"Local",IF(V740=Setup!$C$32,"Other",IF(ISBLANK(V740),"","Other"))))</f>
        <v/>
      </c>
      <c r="X740" s="255"/>
      <c r="Y740" s="259" t="str">
        <f>IF(X740&lt;&gt;"",X740/VLOOKUP($V740,Setup!$C$30:$D$41,2,0),"")</f>
        <v/>
      </c>
      <c r="Z740" s="262"/>
      <c r="AA740" s="256" t="str">
        <f t="shared" si="339"/>
        <v/>
      </c>
      <c r="AB740" s="262"/>
      <c r="AC740" s="258" t="str">
        <f t="shared" si="340"/>
        <v/>
      </c>
      <c r="AD740" s="262"/>
      <c r="AE740" s="258" t="str">
        <f t="shared" si="341"/>
        <v/>
      </c>
      <c r="AF740" s="262"/>
      <c r="AG740" s="256" t="str">
        <f t="shared" si="342"/>
        <v/>
      </c>
      <c r="AH740" s="256" t="str">
        <f t="shared" si="343"/>
        <v/>
      </c>
      <c r="AI740" s="256" t="str">
        <f t="shared" si="344"/>
        <v/>
      </c>
      <c r="AJ740" s="111"/>
      <c r="AK740" s="255"/>
      <c r="AL740" s="259" t="str">
        <f>IF(AK740&lt;&gt;"",AK740/VLOOKUP($V740,Setup!$C$30:$D$41,2,0),"")</f>
        <v/>
      </c>
      <c r="AM740" s="266"/>
      <c r="AN740" s="258" t="str">
        <f t="shared" si="345"/>
        <v/>
      </c>
      <c r="AO740" s="266"/>
      <c r="AP740" s="258" t="str">
        <f t="shared" si="346"/>
        <v/>
      </c>
      <c r="AQ740" s="266"/>
      <c r="AR740" s="258" t="str">
        <f t="shared" si="347"/>
        <v/>
      </c>
      <c r="AS740" s="266"/>
      <c r="AT740" s="256" t="str">
        <f t="shared" si="348"/>
        <v/>
      </c>
      <c r="AU740" s="256" t="str">
        <f t="shared" si="349"/>
        <v/>
      </c>
      <c r="AV740" s="256" t="str">
        <f t="shared" si="350"/>
        <v/>
      </c>
      <c r="AW740" s="267"/>
      <c r="AX740" s="255"/>
      <c r="AY740" s="259" t="str">
        <f>IF(AX740&lt;&gt;"",AX740/VLOOKUP($V740,Setup!$C$30:$D$41,2,0),"")</f>
        <v/>
      </c>
      <c r="AZ740" s="268"/>
      <c r="BA740" s="258" t="str">
        <f t="shared" si="351"/>
        <v/>
      </c>
      <c r="BB740" s="268"/>
      <c r="BC740" s="258" t="str">
        <f t="shared" si="352"/>
        <v/>
      </c>
      <c r="BD740" s="268"/>
      <c r="BE740" s="258" t="str">
        <f t="shared" si="353"/>
        <v/>
      </c>
      <c r="BF740" s="268"/>
      <c r="BG740" s="256" t="str">
        <f t="shared" si="354"/>
        <v/>
      </c>
      <c r="BH740" s="256" t="str">
        <f t="shared" si="355"/>
        <v/>
      </c>
      <c r="BI740" s="256" t="str">
        <f t="shared" si="356"/>
        <v/>
      </c>
      <c r="BJ740" s="267"/>
      <c r="BK740" s="255"/>
      <c r="BL740" s="259" t="str">
        <f>IF(BK740&lt;&gt;"",BK740/VLOOKUP($V740,Setup!$C$30:$D$41,2,0),"")</f>
        <v/>
      </c>
      <c r="BM740" s="268"/>
      <c r="BN740" s="258" t="str">
        <f t="shared" si="357"/>
        <v/>
      </c>
      <c r="BO740" s="268"/>
      <c r="BP740" s="258" t="str">
        <f t="shared" si="358"/>
        <v/>
      </c>
      <c r="BQ740" s="268"/>
      <c r="BR740" s="258" t="str">
        <f t="shared" si="359"/>
        <v/>
      </c>
      <c r="BS740" s="268"/>
      <c r="BT740" s="256" t="str">
        <f t="shared" si="360"/>
        <v/>
      </c>
      <c r="BU740" s="256" t="str">
        <f t="shared" si="361"/>
        <v/>
      </c>
      <c r="BV740" s="256" t="str">
        <f t="shared" si="362"/>
        <v/>
      </c>
      <c r="BW740" s="267"/>
      <c r="BX740" s="256" t="str">
        <f t="shared" si="363"/>
        <v/>
      </c>
      <c r="BY740" s="256" t="str">
        <f t="shared" si="364"/>
        <v/>
      </c>
      <c r="BZ740" s="281"/>
      <c r="CA740" s="282"/>
      <c r="CF740" s="284"/>
      <c r="CG740" s="284"/>
      <c r="CH740" s="284"/>
      <c r="CI740" s="284"/>
      <c r="CL740" s="356" t="str">
        <f>IFERROR(VLOOKUP(C740,'Data Sheet'!$A$3:$B$26,2,FALSE),"")</f>
        <v/>
      </c>
    </row>
    <row r="741" spans="1:90" ht="15.75" x14ac:dyDescent="0.2">
      <c r="A741" s="97"/>
      <c r="B741" s="105" t="str">
        <f t="shared" si="367"/>
        <v>--</v>
      </c>
      <c r="C741" s="276"/>
      <c r="D741" s="101" t="str">
        <f>IFERROR(IF(VLOOKUP(C741,'Data Sheet'!$A$3:$D$26,4,FALSE)=0,"",VLOOKUP(C741,'Data Sheet'!$A$3:$D$26,4,FALSE)),"")</f>
        <v/>
      </c>
      <c r="E741" s="279"/>
      <c r="F741" s="103" t="str">
        <f>IFERROR(IF(VLOOKUP(E741,'Data Sheet'!$C$29:$E$174,3,FALSE)=0,"",VLOOKUP(E741,'Data Sheet'!$C$29:$E$174,3,FALSE)),"")</f>
        <v/>
      </c>
      <c r="G741" s="106" t="str">
        <f t="shared" si="365"/>
        <v>-</v>
      </c>
      <c r="H741" s="273"/>
      <c r="I741" s="107"/>
      <c r="J741" s="249" t="e">
        <f t="shared" si="366"/>
        <v>#VALUE!</v>
      </c>
      <c r="K741" s="101" t="str">
        <f>IFERROR(INDEX('Data Sheet'!$C$198:$C$275,MATCH(I741,'Data Sheet'!$F$198:$F$275,0)),"")</f>
        <v/>
      </c>
      <c r="L741" s="250" t="str">
        <f>IFERROR(INDEX('Data Sheet'!$G$198:$G$275,MATCH(I741,'Data Sheet'!$F$198:$F$275,0)),"")</f>
        <v/>
      </c>
      <c r="M741" s="194"/>
      <c r="N741" s="248"/>
      <c r="O741" s="248"/>
      <c r="P741" s="108" t="str">
        <f>IFERROR(INDEX(Setup!$D$44:$D$70,MATCH(M741,Setup!$K$44:$K$70,0))&amp;"","")</f>
        <v/>
      </c>
      <c r="Q741" s="108" t="str">
        <f>IFERROR(INDEX(Setup!$E$44:$E$70,MATCH(M741,Setup!$K$44:$K$70,0))&amp;"","")</f>
        <v/>
      </c>
      <c r="R741" s="108" t="str">
        <f>IFERROR(INDEX(Setup!$L$44:$L$70,MATCH(M741,Setup!$K$44:$K$70,0))&amp;"","")</f>
        <v/>
      </c>
      <c r="S741" s="108" t="str">
        <f>Setup!$C$30</f>
        <v>USD</v>
      </c>
      <c r="T741" s="109" t="str">
        <f>IFERROR(INDEX('Data Sheet'!$B$198:$B$275,MATCH(I741,'Data Sheet'!$F$198:$F$275,0)),"")</f>
        <v/>
      </c>
      <c r="U741" s="110" t="str">
        <f>IFERROR(INDEX('Data Sheet'!$D$198:$D$275,MATCH(I741,'Data Sheet'!$F$198:$F$275,0)),"")</f>
        <v/>
      </c>
      <c r="V741" s="99"/>
      <c r="W741" s="195" t="str">
        <f>IF(V741=Setup!$C$30,"Grant",IF(V741=Setup!$C$31,"Local",IF(V741=Setup!$C$32,"Other",IF(ISBLANK(V741),"","Other"))))</f>
        <v/>
      </c>
      <c r="X741" s="255"/>
      <c r="Y741" s="259" t="str">
        <f>IF(X741&lt;&gt;"",X741/VLOOKUP($V741,Setup!$C$30:$D$41,2,0),"")</f>
        <v/>
      </c>
      <c r="Z741" s="262"/>
      <c r="AA741" s="256" t="str">
        <f t="shared" si="339"/>
        <v/>
      </c>
      <c r="AB741" s="262"/>
      <c r="AC741" s="258" t="str">
        <f t="shared" si="340"/>
        <v/>
      </c>
      <c r="AD741" s="262"/>
      <c r="AE741" s="258" t="str">
        <f t="shared" si="341"/>
        <v/>
      </c>
      <c r="AF741" s="262"/>
      <c r="AG741" s="256" t="str">
        <f t="shared" si="342"/>
        <v/>
      </c>
      <c r="AH741" s="256" t="str">
        <f t="shared" si="343"/>
        <v/>
      </c>
      <c r="AI741" s="256" t="str">
        <f t="shared" si="344"/>
        <v/>
      </c>
      <c r="AJ741" s="111"/>
      <c r="AK741" s="255"/>
      <c r="AL741" s="259" t="str">
        <f>IF(AK741&lt;&gt;"",AK741/VLOOKUP($V741,Setup!$C$30:$D$41,2,0),"")</f>
        <v/>
      </c>
      <c r="AM741" s="266"/>
      <c r="AN741" s="258" t="str">
        <f t="shared" si="345"/>
        <v/>
      </c>
      <c r="AO741" s="266"/>
      <c r="AP741" s="258" t="str">
        <f t="shared" si="346"/>
        <v/>
      </c>
      <c r="AQ741" s="266"/>
      <c r="AR741" s="258" t="str">
        <f t="shared" si="347"/>
        <v/>
      </c>
      <c r="AS741" s="266"/>
      <c r="AT741" s="256" t="str">
        <f t="shared" si="348"/>
        <v/>
      </c>
      <c r="AU741" s="256" t="str">
        <f t="shared" si="349"/>
        <v/>
      </c>
      <c r="AV741" s="256" t="str">
        <f t="shared" si="350"/>
        <v/>
      </c>
      <c r="AW741" s="267"/>
      <c r="AX741" s="255"/>
      <c r="AY741" s="259" t="str">
        <f>IF(AX741&lt;&gt;"",AX741/VLOOKUP($V741,Setup!$C$30:$D$41,2,0),"")</f>
        <v/>
      </c>
      <c r="AZ741" s="268"/>
      <c r="BA741" s="258" t="str">
        <f t="shared" si="351"/>
        <v/>
      </c>
      <c r="BB741" s="268"/>
      <c r="BC741" s="258" t="str">
        <f t="shared" si="352"/>
        <v/>
      </c>
      <c r="BD741" s="268"/>
      <c r="BE741" s="258" t="str">
        <f t="shared" si="353"/>
        <v/>
      </c>
      <c r="BF741" s="268"/>
      <c r="BG741" s="256" t="str">
        <f t="shared" si="354"/>
        <v/>
      </c>
      <c r="BH741" s="256" t="str">
        <f t="shared" si="355"/>
        <v/>
      </c>
      <c r="BI741" s="256" t="str">
        <f t="shared" si="356"/>
        <v/>
      </c>
      <c r="BJ741" s="267"/>
      <c r="BK741" s="255"/>
      <c r="BL741" s="259" t="str">
        <f>IF(BK741&lt;&gt;"",BK741/VLOOKUP($V741,Setup!$C$30:$D$41,2,0),"")</f>
        <v/>
      </c>
      <c r="BM741" s="268"/>
      <c r="BN741" s="258" t="str">
        <f t="shared" si="357"/>
        <v/>
      </c>
      <c r="BO741" s="268"/>
      <c r="BP741" s="258" t="str">
        <f t="shared" si="358"/>
        <v/>
      </c>
      <c r="BQ741" s="268"/>
      <c r="BR741" s="258" t="str">
        <f t="shared" si="359"/>
        <v/>
      </c>
      <c r="BS741" s="268"/>
      <c r="BT741" s="256" t="str">
        <f t="shared" si="360"/>
        <v/>
      </c>
      <c r="BU741" s="256" t="str">
        <f t="shared" si="361"/>
        <v/>
      </c>
      <c r="BV741" s="256" t="str">
        <f t="shared" si="362"/>
        <v/>
      </c>
      <c r="BW741" s="267"/>
      <c r="BX741" s="256" t="str">
        <f t="shared" si="363"/>
        <v/>
      </c>
      <c r="BY741" s="256" t="str">
        <f t="shared" si="364"/>
        <v/>
      </c>
      <c r="BZ741" s="281"/>
      <c r="CA741" s="282"/>
      <c r="CF741" s="284"/>
      <c r="CG741" s="284"/>
      <c r="CH741" s="284"/>
      <c r="CI741" s="284"/>
      <c r="CL741" s="356" t="str">
        <f>IFERROR(VLOOKUP(C741,'Data Sheet'!$A$3:$B$26,2,FALSE),"")</f>
        <v/>
      </c>
    </row>
    <row r="742" spans="1:90" ht="15.75" x14ac:dyDescent="0.2">
      <c r="A742" s="97"/>
      <c r="B742" s="105" t="str">
        <f t="shared" si="367"/>
        <v>--</v>
      </c>
      <c r="C742" s="276"/>
      <c r="D742" s="101" t="str">
        <f>IFERROR(IF(VLOOKUP(C742,'Data Sheet'!$A$3:$D$26,4,FALSE)=0,"",VLOOKUP(C742,'Data Sheet'!$A$3:$D$26,4,FALSE)),"")</f>
        <v/>
      </c>
      <c r="E742" s="279"/>
      <c r="F742" s="103" t="str">
        <f>IFERROR(IF(VLOOKUP(E742,'Data Sheet'!$C$29:$E$174,3,FALSE)=0,"",VLOOKUP(E742,'Data Sheet'!$C$29:$E$174,3,FALSE)),"")</f>
        <v/>
      </c>
      <c r="G742" s="106" t="str">
        <f t="shared" si="365"/>
        <v>-</v>
      </c>
      <c r="H742" s="273"/>
      <c r="I742" s="107"/>
      <c r="J742" s="249" t="e">
        <f t="shared" si="366"/>
        <v>#VALUE!</v>
      </c>
      <c r="K742" s="101" t="str">
        <f>IFERROR(INDEX('Data Sheet'!$C$198:$C$275,MATCH(I742,'Data Sheet'!$F$198:$F$275,0)),"")</f>
        <v/>
      </c>
      <c r="L742" s="250" t="str">
        <f>IFERROR(INDEX('Data Sheet'!$G$198:$G$275,MATCH(I742,'Data Sheet'!$F$198:$F$275,0)),"")</f>
        <v/>
      </c>
      <c r="M742" s="194"/>
      <c r="N742" s="248"/>
      <c r="O742" s="248"/>
      <c r="P742" s="108" t="str">
        <f>IFERROR(INDEX(Setup!$D$44:$D$70,MATCH(M742,Setup!$K$44:$K$70,0))&amp;"","")</f>
        <v/>
      </c>
      <c r="Q742" s="108" t="str">
        <f>IFERROR(INDEX(Setup!$E$44:$E$70,MATCH(M742,Setup!$K$44:$K$70,0))&amp;"","")</f>
        <v/>
      </c>
      <c r="R742" s="108" t="str">
        <f>IFERROR(INDEX(Setup!$L$44:$L$70,MATCH(M742,Setup!$K$44:$K$70,0))&amp;"","")</f>
        <v/>
      </c>
      <c r="S742" s="108" t="str">
        <f>Setup!$C$30</f>
        <v>USD</v>
      </c>
      <c r="T742" s="109" t="str">
        <f>IFERROR(INDEX('Data Sheet'!$B$198:$B$275,MATCH(I742,'Data Sheet'!$F$198:$F$275,0)),"")</f>
        <v/>
      </c>
      <c r="U742" s="110" t="str">
        <f>IFERROR(INDEX('Data Sheet'!$D$198:$D$275,MATCH(I742,'Data Sheet'!$F$198:$F$275,0)),"")</f>
        <v/>
      </c>
      <c r="V742" s="99"/>
      <c r="W742" s="195" t="str">
        <f>IF(V742=Setup!$C$30,"Grant",IF(V742=Setup!$C$31,"Local",IF(V742=Setup!$C$32,"Other",IF(ISBLANK(V742),"","Other"))))</f>
        <v/>
      </c>
      <c r="X742" s="255"/>
      <c r="Y742" s="259" t="str">
        <f>IF(X742&lt;&gt;"",X742/VLOOKUP($V742,Setup!$C$30:$D$41,2,0),"")</f>
        <v/>
      </c>
      <c r="Z742" s="262"/>
      <c r="AA742" s="256" t="str">
        <f t="shared" si="339"/>
        <v/>
      </c>
      <c r="AB742" s="262"/>
      <c r="AC742" s="258" t="str">
        <f t="shared" si="340"/>
        <v/>
      </c>
      <c r="AD742" s="262"/>
      <c r="AE742" s="258" t="str">
        <f t="shared" si="341"/>
        <v/>
      </c>
      <c r="AF742" s="262"/>
      <c r="AG742" s="256" t="str">
        <f t="shared" si="342"/>
        <v/>
      </c>
      <c r="AH742" s="256" t="str">
        <f t="shared" si="343"/>
        <v/>
      </c>
      <c r="AI742" s="256" t="str">
        <f t="shared" si="344"/>
        <v/>
      </c>
      <c r="AJ742" s="111"/>
      <c r="AK742" s="255"/>
      <c r="AL742" s="259" t="str">
        <f>IF(AK742&lt;&gt;"",AK742/VLOOKUP($V742,Setup!$C$30:$D$41,2,0),"")</f>
        <v/>
      </c>
      <c r="AM742" s="266"/>
      <c r="AN742" s="258" t="str">
        <f t="shared" si="345"/>
        <v/>
      </c>
      <c r="AO742" s="266"/>
      <c r="AP742" s="258" t="str">
        <f t="shared" si="346"/>
        <v/>
      </c>
      <c r="AQ742" s="266"/>
      <c r="AR742" s="258" t="str">
        <f t="shared" si="347"/>
        <v/>
      </c>
      <c r="AS742" s="266"/>
      <c r="AT742" s="256" t="str">
        <f t="shared" si="348"/>
        <v/>
      </c>
      <c r="AU742" s="256" t="str">
        <f t="shared" si="349"/>
        <v/>
      </c>
      <c r="AV742" s="256" t="str">
        <f t="shared" si="350"/>
        <v/>
      </c>
      <c r="AW742" s="267"/>
      <c r="AX742" s="255"/>
      <c r="AY742" s="259" t="str">
        <f>IF(AX742&lt;&gt;"",AX742/VLOOKUP($V742,Setup!$C$30:$D$41,2,0),"")</f>
        <v/>
      </c>
      <c r="AZ742" s="268"/>
      <c r="BA742" s="258" t="str">
        <f t="shared" si="351"/>
        <v/>
      </c>
      <c r="BB742" s="268"/>
      <c r="BC742" s="258" t="str">
        <f t="shared" si="352"/>
        <v/>
      </c>
      <c r="BD742" s="268"/>
      <c r="BE742" s="258" t="str">
        <f t="shared" si="353"/>
        <v/>
      </c>
      <c r="BF742" s="268"/>
      <c r="BG742" s="256" t="str">
        <f t="shared" si="354"/>
        <v/>
      </c>
      <c r="BH742" s="256" t="str">
        <f t="shared" si="355"/>
        <v/>
      </c>
      <c r="BI742" s="256" t="str">
        <f t="shared" si="356"/>
        <v/>
      </c>
      <c r="BJ742" s="267"/>
      <c r="BK742" s="255"/>
      <c r="BL742" s="259" t="str">
        <f>IF(BK742&lt;&gt;"",BK742/VLOOKUP($V742,Setup!$C$30:$D$41,2,0),"")</f>
        <v/>
      </c>
      <c r="BM742" s="268"/>
      <c r="BN742" s="258" t="str">
        <f t="shared" si="357"/>
        <v/>
      </c>
      <c r="BO742" s="268"/>
      <c r="BP742" s="258" t="str">
        <f t="shared" si="358"/>
        <v/>
      </c>
      <c r="BQ742" s="268"/>
      <c r="BR742" s="258" t="str">
        <f t="shared" si="359"/>
        <v/>
      </c>
      <c r="BS742" s="268"/>
      <c r="BT742" s="256" t="str">
        <f t="shared" si="360"/>
        <v/>
      </c>
      <c r="BU742" s="256" t="str">
        <f t="shared" si="361"/>
        <v/>
      </c>
      <c r="BV742" s="256" t="str">
        <f t="shared" si="362"/>
        <v/>
      </c>
      <c r="BW742" s="267"/>
      <c r="BX742" s="256" t="str">
        <f t="shared" si="363"/>
        <v/>
      </c>
      <c r="BY742" s="256" t="str">
        <f t="shared" si="364"/>
        <v/>
      </c>
      <c r="BZ742" s="281"/>
      <c r="CA742" s="282"/>
      <c r="CF742" s="284"/>
      <c r="CG742" s="284"/>
      <c r="CH742" s="284"/>
      <c r="CI742" s="284"/>
      <c r="CL742" s="356" t="str">
        <f>IFERROR(VLOOKUP(C742,'Data Sheet'!$A$3:$B$26,2,FALSE),"")</f>
        <v/>
      </c>
    </row>
    <row r="743" spans="1:90" ht="15.75" x14ac:dyDescent="0.2">
      <c r="A743" s="97"/>
      <c r="B743" s="105" t="str">
        <f t="shared" si="367"/>
        <v>--</v>
      </c>
      <c r="C743" s="276"/>
      <c r="D743" s="101" t="str">
        <f>IFERROR(IF(VLOOKUP(C743,'Data Sheet'!$A$3:$D$26,4,FALSE)=0,"",VLOOKUP(C743,'Data Sheet'!$A$3:$D$26,4,FALSE)),"")</f>
        <v/>
      </c>
      <c r="E743" s="279"/>
      <c r="F743" s="103" t="str">
        <f>IFERROR(IF(VLOOKUP(E743,'Data Sheet'!$C$29:$E$174,3,FALSE)=0,"",VLOOKUP(E743,'Data Sheet'!$C$29:$E$174,3,FALSE)),"")</f>
        <v/>
      </c>
      <c r="G743" s="106" t="str">
        <f t="shared" si="365"/>
        <v>-</v>
      </c>
      <c r="H743" s="273"/>
      <c r="I743" s="107"/>
      <c r="J743" s="249" t="e">
        <f t="shared" si="366"/>
        <v>#VALUE!</v>
      </c>
      <c r="K743" s="101" t="str">
        <f>IFERROR(INDEX('Data Sheet'!$C$198:$C$275,MATCH(I743,'Data Sheet'!$F$198:$F$275,0)),"")</f>
        <v/>
      </c>
      <c r="L743" s="250" t="str">
        <f>IFERROR(INDEX('Data Sheet'!$G$198:$G$275,MATCH(I743,'Data Sheet'!$F$198:$F$275,0)),"")</f>
        <v/>
      </c>
      <c r="M743" s="194"/>
      <c r="N743" s="248"/>
      <c r="O743" s="248"/>
      <c r="P743" s="108" t="str">
        <f>IFERROR(INDEX(Setup!$D$44:$D$70,MATCH(M743,Setup!$K$44:$K$70,0))&amp;"","")</f>
        <v/>
      </c>
      <c r="Q743" s="108" t="str">
        <f>IFERROR(INDEX(Setup!$E$44:$E$70,MATCH(M743,Setup!$K$44:$K$70,0))&amp;"","")</f>
        <v/>
      </c>
      <c r="R743" s="108" t="str">
        <f>IFERROR(INDEX(Setup!$L$44:$L$70,MATCH(M743,Setup!$K$44:$K$70,0))&amp;"","")</f>
        <v/>
      </c>
      <c r="S743" s="108" t="str">
        <f>Setup!$C$30</f>
        <v>USD</v>
      </c>
      <c r="T743" s="109" t="str">
        <f>IFERROR(INDEX('Data Sheet'!$B$198:$B$275,MATCH(I743,'Data Sheet'!$F$198:$F$275,0)),"")</f>
        <v/>
      </c>
      <c r="U743" s="110" t="str">
        <f>IFERROR(INDEX('Data Sheet'!$D$198:$D$275,MATCH(I743,'Data Sheet'!$F$198:$F$275,0)),"")</f>
        <v/>
      </c>
      <c r="V743" s="99"/>
      <c r="W743" s="195" t="str">
        <f>IF(V743=Setup!$C$30,"Grant",IF(V743=Setup!$C$31,"Local",IF(V743=Setup!$C$32,"Other",IF(ISBLANK(V743),"","Other"))))</f>
        <v/>
      </c>
      <c r="X743" s="255"/>
      <c r="Y743" s="259" t="str">
        <f>IF(X743&lt;&gt;"",X743/VLOOKUP($V743,Setup!$C$30:$D$41,2,0),"")</f>
        <v/>
      </c>
      <c r="Z743" s="262"/>
      <c r="AA743" s="256" t="str">
        <f t="shared" si="339"/>
        <v/>
      </c>
      <c r="AB743" s="262"/>
      <c r="AC743" s="258" t="str">
        <f t="shared" si="340"/>
        <v/>
      </c>
      <c r="AD743" s="262"/>
      <c r="AE743" s="258" t="str">
        <f t="shared" si="341"/>
        <v/>
      </c>
      <c r="AF743" s="262"/>
      <c r="AG743" s="256" t="str">
        <f t="shared" si="342"/>
        <v/>
      </c>
      <c r="AH743" s="256" t="str">
        <f t="shared" si="343"/>
        <v/>
      </c>
      <c r="AI743" s="256" t="str">
        <f t="shared" si="344"/>
        <v/>
      </c>
      <c r="AJ743" s="111"/>
      <c r="AK743" s="255"/>
      <c r="AL743" s="259" t="str">
        <f>IF(AK743&lt;&gt;"",AK743/VLOOKUP($V743,Setup!$C$30:$D$41,2,0),"")</f>
        <v/>
      </c>
      <c r="AM743" s="266"/>
      <c r="AN743" s="258" t="str">
        <f t="shared" si="345"/>
        <v/>
      </c>
      <c r="AO743" s="266"/>
      <c r="AP743" s="258" t="str">
        <f t="shared" si="346"/>
        <v/>
      </c>
      <c r="AQ743" s="266"/>
      <c r="AR743" s="258" t="str">
        <f t="shared" si="347"/>
        <v/>
      </c>
      <c r="AS743" s="266"/>
      <c r="AT743" s="256" t="str">
        <f t="shared" si="348"/>
        <v/>
      </c>
      <c r="AU743" s="256" t="str">
        <f t="shared" si="349"/>
        <v/>
      </c>
      <c r="AV743" s="256" t="str">
        <f t="shared" si="350"/>
        <v/>
      </c>
      <c r="AW743" s="267"/>
      <c r="AX743" s="255"/>
      <c r="AY743" s="259" t="str">
        <f>IF(AX743&lt;&gt;"",AX743/VLOOKUP($V743,Setup!$C$30:$D$41,2,0),"")</f>
        <v/>
      </c>
      <c r="AZ743" s="268"/>
      <c r="BA743" s="258" t="str">
        <f t="shared" si="351"/>
        <v/>
      </c>
      <c r="BB743" s="268"/>
      <c r="BC743" s="258" t="str">
        <f t="shared" si="352"/>
        <v/>
      </c>
      <c r="BD743" s="268"/>
      <c r="BE743" s="258" t="str">
        <f t="shared" si="353"/>
        <v/>
      </c>
      <c r="BF743" s="268"/>
      <c r="BG743" s="256" t="str">
        <f t="shared" si="354"/>
        <v/>
      </c>
      <c r="BH743" s="256" t="str">
        <f t="shared" si="355"/>
        <v/>
      </c>
      <c r="BI743" s="256" t="str">
        <f t="shared" si="356"/>
        <v/>
      </c>
      <c r="BJ743" s="267"/>
      <c r="BK743" s="255"/>
      <c r="BL743" s="259" t="str">
        <f>IF(BK743&lt;&gt;"",BK743/VLOOKUP($V743,Setup!$C$30:$D$41,2,0),"")</f>
        <v/>
      </c>
      <c r="BM743" s="268"/>
      <c r="BN743" s="258" t="str">
        <f t="shared" si="357"/>
        <v/>
      </c>
      <c r="BO743" s="268"/>
      <c r="BP743" s="258" t="str">
        <f t="shared" si="358"/>
        <v/>
      </c>
      <c r="BQ743" s="268"/>
      <c r="BR743" s="258" t="str">
        <f t="shared" si="359"/>
        <v/>
      </c>
      <c r="BS743" s="268"/>
      <c r="BT743" s="256" t="str">
        <f t="shared" si="360"/>
        <v/>
      </c>
      <c r="BU743" s="256" t="str">
        <f t="shared" si="361"/>
        <v/>
      </c>
      <c r="BV743" s="256" t="str">
        <f t="shared" si="362"/>
        <v/>
      </c>
      <c r="BW743" s="267"/>
      <c r="BX743" s="256" t="str">
        <f t="shared" si="363"/>
        <v/>
      </c>
      <c r="BY743" s="256" t="str">
        <f t="shared" si="364"/>
        <v/>
      </c>
      <c r="BZ743" s="281"/>
      <c r="CA743" s="282"/>
      <c r="CF743" s="284"/>
      <c r="CG743" s="284"/>
      <c r="CH743" s="284"/>
      <c r="CI743" s="284"/>
      <c r="CL743" s="356" t="str">
        <f>IFERROR(VLOOKUP(C743,'Data Sheet'!$A$3:$B$26,2,FALSE),"")</f>
        <v/>
      </c>
    </row>
    <row r="744" spans="1:90" ht="15.75" x14ac:dyDescent="0.2">
      <c r="A744" s="97"/>
      <c r="B744" s="105" t="str">
        <f t="shared" si="367"/>
        <v>--</v>
      </c>
      <c r="C744" s="276"/>
      <c r="D744" s="101" t="str">
        <f>IFERROR(IF(VLOOKUP(C744,'Data Sheet'!$A$3:$D$26,4,FALSE)=0,"",VLOOKUP(C744,'Data Sheet'!$A$3:$D$26,4,FALSE)),"")</f>
        <v/>
      </c>
      <c r="E744" s="279"/>
      <c r="F744" s="103" t="str">
        <f>IFERROR(IF(VLOOKUP(E744,'Data Sheet'!$C$29:$E$174,3,FALSE)=0,"",VLOOKUP(E744,'Data Sheet'!$C$29:$E$174,3,FALSE)),"")</f>
        <v/>
      </c>
      <c r="G744" s="106" t="str">
        <f t="shared" si="365"/>
        <v>-</v>
      </c>
      <c r="H744" s="273"/>
      <c r="I744" s="107"/>
      <c r="J744" s="249" t="e">
        <f t="shared" si="366"/>
        <v>#VALUE!</v>
      </c>
      <c r="K744" s="101" t="str">
        <f>IFERROR(INDEX('Data Sheet'!$C$198:$C$275,MATCH(I744,'Data Sheet'!$F$198:$F$275,0)),"")</f>
        <v/>
      </c>
      <c r="L744" s="250" t="str">
        <f>IFERROR(INDEX('Data Sheet'!$G$198:$G$275,MATCH(I744,'Data Sheet'!$F$198:$F$275,0)),"")</f>
        <v/>
      </c>
      <c r="M744" s="194"/>
      <c r="N744" s="248"/>
      <c r="O744" s="248"/>
      <c r="P744" s="108" t="str">
        <f>IFERROR(INDEX(Setup!$D$44:$D$70,MATCH(M744,Setup!$K$44:$K$70,0))&amp;"","")</f>
        <v/>
      </c>
      <c r="Q744" s="108" t="str">
        <f>IFERROR(INDEX(Setup!$E$44:$E$70,MATCH(M744,Setup!$K$44:$K$70,0))&amp;"","")</f>
        <v/>
      </c>
      <c r="R744" s="108" t="str">
        <f>IFERROR(INDEX(Setup!$L$44:$L$70,MATCH(M744,Setup!$K$44:$K$70,0))&amp;"","")</f>
        <v/>
      </c>
      <c r="S744" s="108" t="str">
        <f>Setup!$C$30</f>
        <v>USD</v>
      </c>
      <c r="T744" s="109" t="str">
        <f>IFERROR(INDEX('Data Sheet'!$B$198:$B$275,MATCH(I744,'Data Sheet'!$F$198:$F$275,0)),"")</f>
        <v/>
      </c>
      <c r="U744" s="110" t="str">
        <f>IFERROR(INDEX('Data Sheet'!$D$198:$D$275,MATCH(I744,'Data Sheet'!$F$198:$F$275,0)),"")</f>
        <v/>
      </c>
      <c r="V744" s="99"/>
      <c r="W744" s="195" t="str">
        <f>IF(V744=Setup!$C$30,"Grant",IF(V744=Setup!$C$31,"Local",IF(V744=Setup!$C$32,"Other",IF(ISBLANK(V744),"","Other"))))</f>
        <v/>
      </c>
      <c r="X744" s="255"/>
      <c r="Y744" s="259" t="str">
        <f>IF(X744&lt;&gt;"",X744/VLOOKUP($V744,Setup!$C$30:$D$41,2,0),"")</f>
        <v/>
      </c>
      <c r="Z744" s="262"/>
      <c r="AA744" s="256" t="str">
        <f t="shared" si="339"/>
        <v/>
      </c>
      <c r="AB744" s="262"/>
      <c r="AC744" s="258" t="str">
        <f t="shared" si="340"/>
        <v/>
      </c>
      <c r="AD744" s="262"/>
      <c r="AE744" s="258" t="str">
        <f t="shared" si="341"/>
        <v/>
      </c>
      <c r="AF744" s="262"/>
      <c r="AG744" s="256" t="str">
        <f t="shared" si="342"/>
        <v/>
      </c>
      <c r="AH744" s="256" t="str">
        <f t="shared" si="343"/>
        <v/>
      </c>
      <c r="AI744" s="256" t="str">
        <f t="shared" si="344"/>
        <v/>
      </c>
      <c r="AJ744" s="111"/>
      <c r="AK744" s="255"/>
      <c r="AL744" s="259" t="str">
        <f>IF(AK744&lt;&gt;"",AK744/VLOOKUP($V744,Setup!$C$30:$D$41,2,0),"")</f>
        <v/>
      </c>
      <c r="AM744" s="266"/>
      <c r="AN744" s="258" t="str">
        <f t="shared" si="345"/>
        <v/>
      </c>
      <c r="AO744" s="266"/>
      <c r="AP744" s="258" t="str">
        <f t="shared" si="346"/>
        <v/>
      </c>
      <c r="AQ744" s="266"/>
      <c r="AR744" s="258" t="str">
        <f t="shared" si="347"/>
        <v/>
      </c>
      <c r="AS744" s="266"/>
      <c r="AT744" s="256" t="str">
        <f t="shared" si="348"/>
        <v/>
      </c>
      <c r="AU744" s="256" t="str">
        <f t="shared" si="349"/>
        <v/>
      </c>
      <c r="AV744" s="256" t="str">
        <f t="shared" si="350"/>
        <v/>
      </c>
      <c r="AW744" s="267"/>
      <c r="AX744" s="255"/>
      <c r="AY744" s="259" t="str">
        <f>IF(AX744&lt;&gt;"",AX744/VLOOKUP($V744,Setup!$C$30:$D$41,2,0),"")</f>
        <v/>
      </c>
      <c r="AZ744" s="268"/>
      <c r="BA744" s="258" t="str">
        <f t="shared" si="351"/>
        <v/>
      </c>
      <c r="BB744" s="268"/>
      <c r="BC744" s="258" t="str">
        <f t="shared" si="352"/>
        <v/>
      </c>
      <c r="BD744" s="268"/>
      <c r="BE744" s="258" t="str">
        <f t="shared" si="353"/>
        <v/>
      </c>
      <c r="BF744" s="268"/>
      <c r="BG744" s="256" t="str">
        <f t="shared" si="354"/>
        <v/>
      </c>
      <c r="BH744" s="256" t="str">
        <f t="shared" si="355"/>
        <v/>
      </c>
      <c r="BI744" s="256" t="str">
        <f t="shared" si="356"/>
        <v/>
      </c>
      <c r="BJ744" s="267"/>
      <c r="BK744" s="255"/>
      <c r="BL744" s="259" t="str">
        <f>IF(BK744&lt;&gt;"",BK744/VLOOKUP($V744,Setup!$C$30:$D$41,2,0),"")</f>
        <v/>
      </c>
      <c r="BM744" s="268"/>
      <c r="BN744" s="258" t="str">
        <f t="shared" si="357"/>
        <v/>
      </c>
      <c r="BO744" s="268"/>
      <c r="BP744" s="258" t="str">
        <f t="shared" si="358"/>
        <v/>
      </c>
      <c r="BQ744" s="268"/>
      <c r="BR744" s="258" t="str">
        <f t="shared" si="359"/>
        <v/>
      </c>
      <c r="BS744" s="268"/>
      <c r="BT744" s="256" t="str">
        <f t="shared" si="360"/>
        <v/>
      </c>
      <c r="BU744" s="256" t="str">
        <f t="shared" si="361"/>
        <v/>
      </c>
      <c r="BV744" s="256" t="str">
        <f t="shared" si="362"/>
        <v/>
      </c>
      <c r="BW744" s="267"/>
      <c r="BX744" s="256" t="str">
        <f t="shared" si="363"/>
        <v/>
      </c>
      <c r="BY744" s="256" t="str">
        <f t="shared" si="364"/>
        <v/>
      </c>
      <c r="BZ744" s="281"/>
      <c r="CA744" s="282"/>
      <c r="CF744" s="284"/>
      <c r="CG744" s="284"/>
      <c r="CH744" s="284"/>
      <c r="CI744" s="284"/>
      <c r="CL744" s="356" t="str">
        <f>IFERROR(VLOOKUP(C744,'Data Sheet'!$A$3:$B$26,2,FALSE),"")</f>
        <v/>
      </c>
    </row>
    <row r="745" spans="1:90" ht="15.75" x14ac:dyDescent="0.2">
      <c r="A745" s="97"/>
      <c r="B745" s="105" t="str">
        <f t="shared" si="367"/>
        <v>--</v>
      </c>
      <c r="C745" s="276"/>
      <c r="D745" s="101" t="str">
        <f>IFERROR(IF(VLOOKUP(C745,'Data Sheet'!$A$3:$D$26,4,FALSE)=0,"",VLOOKUP(C745,'Data Sheet'!$A$3:$D$26,4,FALSE)),"")</f>
        <v/>
      </c>
      <c r="E745" s="279"/>
      <c r="F745" s="103" t="str">
        <f>IFERROR(IF(VLOOKUP(E745,'Data Sheet'!$C$29:$E$174,3,FALSE)=0,"",VLOOKUP(E745,'Data Sheet'!$C$29:$E$174,3,FALSE)),"")</f>
        <v/>
      </c>
      <c r="G745" s="106" t="str">
        <f t="shared" si="365"/>
        <v>-</v>
      </c>
      <c r="H745" s="273"/>
      <c r="I745" s="107"/>
      <c r="J745" s="249" t="e">
        <f t="shared" si="366"/>
        <v>#VALUE!</v>
      </c>
      <c r="K745" s="101" t="str">
        <f>IFERROR(INDEX('Data Sheet'!$C$198:$C$275,MATCH(I745,'Data Sheet'!$F$198:$F$275,0)),"")</f>
        <v/>
      </c>
      <c r="L745" s="250" t="str">
        <f>IFERROR(INDEX('Data Sheet'!$G$198:$G$275,MATCH(I745,'Data Sheet'!$F$198:$F$275,0)),"")</f>
        <v/>
      </c>
      <c r="M745" s="194"/>
      <c r="N745" s="248"/>
      <c r="O745" s="248"/>
      <c r="P745" s="108" t="str">
        <f>IFERROR(INDEX(Setup!$D$44:$D$70,MATCH(M745,Setup!$K$44:$K$70,0))&amp;"","")</f>
        <v/>
      </c>
      <c r="Q745" s="108" t="str">
        <f>IFERROR(INDEX(Setup!$E$44:$E$70,MATCH(M745,Setup!$K$44:$K$70,0))&amp;"","")</f>
        <v/>
      </c>
      <c r="R745" s="108" t="str">
        <f>IFERROR(INDEX(Setup!$L$44:$L$70,MATCH(M745,Setup!$K$44:$K$70,0))&amp;"","")</f>
        <v/>
      </c>
      <c r="S745" s="108" t="str">
        <f>Setup!$C$30</f>
        <v>USD</v>
      </c>
      <c r="T745" s="109" t="str">
        <f>IFERROR(INDEX('Data Sheet'!$B$198:$B$275,MATCH(I745,'Data Sheet'!$F$198:$F$275,0)),"")</f>
        <v/>
      </c>
      <c r="U745" s="110" t="str">
        <f>IFERROR(INDEX('Data Sheet'!$D$198:$D$275,MATCH(I745,'Data Sheet'!$F$198:$F$275,0)),"")</f>
        <v/>
      </c>
      <c r="V745" s="99"/>
      <c r="W745" s="195" t="str">
        <f>IF(V745=Setup!$C$30,"Grant",IF(V745=Setup!$C$31,"Local",IF(V745=Setup!$C$32,"Other",IF(ISBLANK(V745),"","Other"))))</f>
        <v/>
      </c>
      <c r="X745" s="255"/>
      <c r="Y745" s="259" t="str">
        <f>IF(X745&lt;&gt;"",X745/VLOOKUP($V745,Setup!$C$30:$D$41,2,0),"")</f>
        <v/>
      </c>
      <c r="Z745" s="262"/>
      <c r="AA745" s="256" t="str">
        <f t="shared" si="339"/>
        <v/>
      </c>
      <c r="AB745" s="262"/>
      <c r="AC745" s="258" t="str">
        <f t="shared" si="340"/>
        <v/>
      </c>
      <c r="AD745" s="262"/>
      <c r="AE745" s="258" t="str">
        <f t="shared" si="341"/>
        <v/>
      </c>
      <c r="AF745" s="262"/>
      <c r="AG745" s="256" t="str">
        <f t="shared" si="342"/>
        <v/>
      </c>
      <c r="AH745" s="256" t="str">
        <f t="shared" si="343"/>
        <v/>
      </c>
      <c r="AI745" s="256" t="str">
        <f t="shared" si="344"/>
        <v/>
      </c>
      <c r="AJ745" s="111"/>
      <c r="AK745" s="255"/>
      <c r="AL745" s="259" t="str">
        <f>IF(AK745&lt;&gt;"",AK745/VLOOKUP($V745,Setup!$C$30:$D$41,2,0),"")</f>
        <v/>
      </c>
      <c r="AM745" s="266"/>
      <c r="AN745" s="258" t="str">
        <f t="shared" si="345"/>
        <v/>
      </c>
      <c r="AO745" s="266"/>
      <c r="AP745" s="258" t="str">
        <f t="shared" si="346"/>
        <v/>
      </c>
      <c r="AQ745" s="266"/>
      <c r="AR745" s="258" t="str">
        <f t="shared" si="347"/>
        <v/>
      </c>
      <c r="AS745" s="266"/>
      <c r="AT745" s="256" t="str">
        <f t="shared" si="348"/>
        <v/>
      </c>
      <c r="AU745" s="256" t="str">
        <f t="shared" si="349"/>
        <v/>
      </c>
      <c r="AV745" s="256" t="str">
        <f t="shared" si="350"/>
        <v/>
      </c>
      <c r="AW745" s="267"/>
      <c r="AX745" s="255"/>
      <c r="AY745" s="259" t="str">
        <f>IF(AX745&lt;&gt;"",AX745/VLOOKUP($V745,Setup!$C$30:$D$41,2,0),"")</f>
        <v/>
      </c>
      <c r="AZ745" s="268"/>
      <c r="BA745" s="258" t="str">
        <f t="shared" si="351"/>
        <v/>
      </c>
      <c r="BB745" s="268"/>
      <c r="BC745" s="258" t="str">
        <f t="shared" si="352"/>
        <v/>
      </c>
      <c r="BD745" s="268"/>
      <c r="BE745" s="258" t="str">
        <f t="shared" si="353"/>
        <v/>
      </c>
      <c r="BF745" s="268"/>
      <c r="BG745" s="256" t="str">
        <f t="shared" si="354"/>
        <v/>
      </c>
      <c r="BH745" s="256" t="str">
        <f t="shared" si="355"/>
        <v/>
      </c>
      <c r="BI745" s="256" t="str">
        <f t="shared" si="356"/>
        <v/>
      </c>
      <c r="BJ745" s="267"/>
      <c r="BK745" s="255"/>
      <c r="BL745" s="259" t="str">
        <f>IF(BK745&lt;&gt;"",BK745/VLOOKUP($V745,Setup!$C$30:$D$41,2,0),"")</f>
        <v/>
      </c>
      <c r="BM745" s="268"/>
      <c r="BN745" s="258" t="str">
        <f t="shared" si="357"/>
        <v/>
      </c>
      <c r="BO745" s="268"/>
      <c r="BP745" s="258" t="str">
        <f t="shared" si="358"/>
        <v/>
      </c>
      <c r="BQ745" s="268"/>
      <c r="BR745" s="258" t="str">
        <f t="shared" si="359"/>
        <v/>
      </c>
      <c r="BS745" s="268"/>
      <c r="BT745" s="256" t="str">
        <f t="shared" si="360"/>
        <v/>
      </c>
      <c r="BU745" s="256" t="str">
        <f t="shared" si="361"/>
        <v/>
      </c>
      <c r="BV745" s="256" t="str">
        <f t="shared" si="362"/>
        <v/>
      </c>
      <c r="BW745" s="267"/>
      <c r="BX745" s="256" t="str">
        <f t="shared" si="363"/>
        <v/>
      </c>
      <c r="BY745" s="256" t="str">
        <f t="shared" si="364"/>
        <v/>
      </c>
      <c r="BZ745" s="281"/>
      <c r="CA745" s="282"/>
      <c r="CF745" s="284"/>
      <c r="CG745" s="284"/>
      <c r="CH745" s="284"/>
      <c r="CI745" s="284"/>
      <c r="CL745" s="356" t="str">
        <f>IFERROR(VLOOKUP(C745,'Data Sheet'!$A$3:$B$26,2,FALSE),"")</f>
        <v/>
      </c>
    </row>
    <row r="746" spans="1:90" ht="15.75" x14ac:dyDescent="0.2">
      <c r="A746" s="97"/>
      <c r="B746" s="105" t="str">
        <f t="shared" si="367"/>
        <v>--</v>
      </c>
      <c r="C746" s="276"/>
      <c r="D746" s="101" t="str">
        <f>IFERROR(IF(VLOOKUP(C746,'Data Sheet'!$A$3:$D$26,4,FALSE)=0,"",VLOOKUP(C746,'Data Sheet'!$A$3:$D$26,4,FALSE)),"")</f>
        <v/>
      </c>
      <c r="E746" s="279"/>
      <c r="F746" s="103" t="str">
        <f>IFERROR(IF(VLOOKUP(E746,'Data Sheet'!$C$29:$E$174,3,FALSE)=0,"",VLOOKUP(E746,'Data Sheet'!$C$29:$E$174,3,FALSE)),"")</f>
        <v/>
      </c>
      <c r="G746" s="106" t="str">
        <f t="shared" si="365"/>
        <v>-</v>
      </c>
      <c r="H746" s="273"/>
      <c r="I746" s="107"/>
      <c r="J746" s="249" t="e">
        <f t="shared" si="366"/>
        <v>#VALUE!</v>
      </c>
      <c r="K746" s="101" t="str">
        <f>IFERROR(INDEX('Data Sheet'!$C$198:$C$275,MATCH(I746,'Data Sheet'!$F$198:$F$275,0)),"")</f>
        <v/>
      </c>
      <c r="L746" s="250" t="str">
        <f>IFERROR(INDEX('Data Sheet'!$G$198:$G$275,MATCH(I746,'Data Sheet'!$F$198:$F$275,0)),"")</f>
        <v/>
      </c>
      <c r="M746" s="194"/>
      <c r="N746" s="248"/>
      <c r="O746" s="248"/>
      <c r="P746" s="108" t="str">
        <f>IFERROR(INDEX(Setup!$D$44:$D$70,MATCH(M746,Setup!$K$44:$K$70,0))&amp;"","")</f>
        <v/>
      </c>
      <c r="Q746" s="108" t="str">
        <f>IFERROR(INDEX(Setup!$E$44:$E$70,MATCH(M746,Setup!$K$44:$K$70,0))&amp;"","")</f>
        <v/>
      </c>
      <c r="R746" s="108" t="str">
        <f>IFERROR(INDEX(Setup!$L$44:$L$70,MATCH(M746,Setup!$K$44:$K$70,0))&amp;"","")</f>
        <v/>
      </c>
      <c r="S746" s="108" t="str">
        <f>Setup!$C$30</f>
        <v>USD</v>
      </c>
      <c r="T746" s="109" t="str">
        <f>IFERROR(INDEX('Data Sheet'!$B$198:$B$275,MATCH(I746,'Data Sheet'!$F$198:$F$275,0)),"")</f>
        <v/>
      </c>
      <c r="U746" s="110" t="str">
        <f>IFERROR(INDEX('Data Sheet'!$D$198:$D$275,MATCH(I746,'Data Sheet'!$F$198:$F$275,0)),"")</f>
        <v/>
      </c>
      <c r="V746" s="99"/>
      <c r="W746" s="195" t="str">
        <f>IF(V746=Setup!$C$30,"Grant",IF(V746=Setup!$C$31,"Local",IF(V746=Setup!$C$32,"Other",IF(ISBLANK(V746),"","Other"))))</f>
        <v/>
      </c>
      <c r="X746" s="255"/>
      <c r="Y746" s="259" t="str">
        <f>IF(X746&lt;&gt;"",X746/VLOOKUP($V746,Setup!$C$30:$D$41,2,0),"")</f>
        <v/>
      </c>
      <c r="Z746" s="262"/>
      <c r="AA746" s="256" t="str">
        <f t="shared" si="339"/>
        <v/>
      </c>
      <c r="AB746" s="262"/>
      <c r="AC746" s="258" t="str">
        <f t="shared" si="340"/>
        <v/>
      </c>
      <c r="AD746" s="262"/>
      <c r="AE746" s="258" t="str">
        <f t="shared" si="341"/>
        <v/>
      </c>
      <c r="AF746" s="262"/>
      <c r="AG746" s="256" t="str">
        <f t="shared" si="342"/>
        <v/>
      </c>
      <c r="AH746" s="256" t="str">
        <f t="shared" si="343"/>
        <v/>
      </c>
      <c r="AI746" s="256" t="str">
        <f t="shared" si="344"/>
        <v/>
      </c>
      <c r="AJ746" s="111"/>
      <c r="AK746" s="255"/>
      <c r="AL746" s="259" t="str">
        <f>IF(AK746&lt;&gt;"",AK746/VLOOKUP($V746,Setup!$C$30:$D$41,2,0),"")</f>
        <v/>
      </c>
      <c r="AM746" s="266"/>
      <c r="AN746" s="258" t="str">
        <f t="shared" si="345"/>
        <v/>
      </c>
      <c r="AO746" s="266"/>
      <c r="AP746" s="258" t="str">
        <f t="shared" si="346"/>
        <v/>
      </c>
      <c r="AQ746" s="266"/>
      <c r="AR746" s="258" t="str">
        <f t="shared" si="347"/>
        <v/>
      </c>
      <c r="AS746" s="266"/>
      <c r="AT746" s="256" t="str">
        <f t="shared" si="348"/>
        <v/>
      </c>
      <c r="AU746" s="256" t="str">
        <f t="shared" si="349"/>
        <v/>
      </c>
      <c r="AV746" s="256" t="str">
        <f t="shared" si="350"/>
        <v/>
      </c>
      <c r="AW746" s="267"/>
      <c r="AX746" s="255"/>
      <c r="AY746" s="259" t="str">
        <f>IF(AX746&lt;&gt;"",AX746/VLOOKUP($V746,Setup!$C$30:$D$41,2,0),"")</f>
        <v/>
      </c>
      <c r="AZ746" s="268"/>
      <c r="BA746" s="258" t="str">
        <f t="shared" si="351"/>
        <v/>
      </c>
      <c r="BB746" s="268"/>
      <c r="BC746" s="258" t="str">
        <f t="shared" si="352"/>
        <v/>
      </c>
      <c r="BD746" s="268"/>
      <c r="BE746" s="258" t="str">
        <f t="shared" si="353"/>
        <v/>
      </c>
      <c r="BF746" s="268"/>
      <c r="BG746" s="256" t="str">
        <f t="shared" si="354"/>
        <v/>
      </c>
      <c r="BH746" s="256" t="str">
        <f t="shared" si="355"/>
        <v/>
      </c>
      <c r="BI746" s="256" t="str">
        <f t="shared" si="356"/>
        <v/>
      </c>
      <c r="BJ746" s="267"/>
      <c r="BK746" s="255"/>
      <c r="BL746" s="259" t="str">
        <f>IF(BK746&lt;&gt;"",BK746/VLOOKUP($V746,Setup!$C$30:$D$41,2,0),"")</f>
        <v/>
      </c>
      <c r="BM746" s="268"/>
      <c r="BN746" s="258" t="str">
        <f t="shared" si="357"/>
        <v/>
      </c>
      <c r="BO746" s="268"/>
      <c r="BP746" s="258" t="str">
        <f t="shared" si="358"/>
        <v/>
      </c>
      <c r="BQ746" s="268"/>
      <c r="BR746" s="258" t="str">
        <f t="shared" si="359"/>
        <v/>
      </c>
      <c r="BS746" s="268"/>
      <c r="BT746" s="256" t="str">
        <f t="shared" si="360"/>
        <v/>
      </c>
      <c r="BU746" s="256" t="str">
        <f t="shared" si="361"/>
        <v/>
      </c>
      <c r="BV746" s="256" t="str">
        <f t="shared" si="362"/>
        <v/>
      </c>
      <c r="BW746" s="267"/>
      <c r="BX746" s="256" t="str">
        <f t="shared" si="363"/>
        <v/>
      </c>
      <c r="BY746" s="256" t="str">
        <f t="shared" si="364"/>
        <v/>
      </c>
      <c r="BZ746" s="281"/>
      <c r="CA746" s="282"/>
      <c r="CF746" s="284"/>
      <c r="CG746" s="284"/>
      <c r="CH746" s="284"/>
      <c r="CI746" s="284"/>
      <c r="CL746" s="356" t="str">
        <f>IFERROR(VLOOKUP(C746,'Data Sheet'!$A$3:$B$26,2,FALSE),"")</f>
        <v/>
      </c>
    </row>
    <row r="747" spans="1:90" ht="15.75" x14ac:dyDescent="0.2">
      <c r="A747" s="97"/>
      <c r="B747" s="105" t="str">
        <f t="shared" si="367"/>
        <v>--</v>
      </c>
      <c r="C747" s="276"/>
      <c r="D747" s="101" t="str">
        <f>IFERROR(IF(VLOOKUP(C747,'Data Sheet'!$A$3:$D$26,4,FALSE)=0,"",VLOOKUP(C747,'Data Sheet'!$A$3:$D$26,4,FALSE)),"")</f>
        <v/>
      </c>
      <c r="E747" s="279"/>
      <c r="F747" s="103" t="str">
        <f>IFERROR(IF(VLOOKUP(E747,'Data Sheet'!$C$29:$E$174,3,FALSE)=0,"",VLOOKUP(E747,'Data Sheet'!$C$29:$E$174,3,FALSE)),"")</f>
        <v/>
      </c>
      <c r="G747" s="106" t="str">
        <f t="shared" si="365"/>
        <v>-</v>
      </c>
      <c r="H747" s="273"/>
      <c r="I747" s="107"/>
      <c r="J747" s="249" t="e">
        <f t="shared" si="366"/>
        <v>#VALUE!</v>
      </c>
      <c r="K747" s="101" t="str">
        <f>IFERROR(INDEX('Data Sheet'!$C$198:$C$275,MATCH(I747,'Data Sheet'!$F$198:$F$275,0)),"")</f>
        <v/>
      </c>
      <c r="L747" s="250" t="str">
        <f>IFERROR(INDEX('Data Sheet'!$G$198:$G$275,MATCH(I747,'Data Sheet'!$F$198:$F$275,0)),"")</f>
        <v/>
      </c>
      <c r="M747" s="194"/>
      <c r="N747" s="248"/>
      <c r="O747" s="248"/>
      <c r="P747" s="108" t="str">
        <f>IFERROR(INDEX(Setup!$D$44:$D$70,MATCH(M747,Setup!$K$44:$K$70,0))&amp;"","")</f>
        <v/>
      </c>
      <c r="Q747" s="108" t="str">
        <f>IFERROR(INDEX(Setup!$E$44:$E$70,MATCH(M747,Setup!$K$44:$K$70,0))&amp;"","")</f>
        <v/>
      </c>
      <c r="R747" s="108" t="str">
        <f>IFERROR(INDEX(Setup!$L$44:$L$70,MATCH(M747,Setup!$K$44:$K$70,0))&amp;"","")</f>
        <v/>
      </c>
      <c r="S747" s="108" t="str">
        <f>Setup!$C$30</f>
        <v>USD</v>
      </c>
      <c r="T747" s="109" t="str">
        <f>IFERROR(INDEX('Data Sheet'!$B$198:$B$275,MATCH(I747,'Data Sheet'!$F$198:$F$275,0)),"")</f>
        <v/>
      </c>
      <c r="U747" s="110" t="str">
        <f>IFERROR(INDEX('Data Sheet'!$D$198:$D$275,MATCH(I747,'Data Sheet'!$F$198:$F$275,0)),"")</f>
        <v/>
      </c>
      <c r="V747" s="99"/>
      <c r="W747" s="195" t="str">
        <f>IF(V747=Setup!$C$30,"Grant",IF(V747=Setup!$C$31,"Local",IF(V747=Setup!$C$32,"Other",IF(ISBLANK(V747),"","Other"))))</f>
        <v/>
      </c>
      <c r="X747" s="255"/>
      <c r="Y747" s="259" t="str">
        <f>IF(X747&lt;&gt;"",X747/VLOOKUP($V747,Setup!$C$30:$D$41,2,0),"")</f>
        <v/>
      </c>
      <c r="Z747" s="262"/>
      <c r="AA747" s="256" t="str">
        <f t="shared" si="339"/>
        <v/>
      </c>
      <c r="AB747" s="262"/>
      <c r="AC747" s="258" t="str">
        <f t="shared" si="340"/>
        <v/>
      </c>
      <c r="AD747" s="262"/>
      <c r="AE747" s="258" t="str">
        <f t="shared" si="341"/>
        <v/>
      </c>
      <c r="AF747" s="262"/>
      <c r="AG747" s="256" t="str">
        <f t="shared" si="342"/>
        <v/>
      </c>
      <c r="AH747" s="256" t="str">
        <f t="shared" si="343"/>
        <v/>
      </c>
      <c r="AI747" s="256" t="str">
        <f t="shared" si="344"/>
        <v/>
      </c>
      <c r="AJ747" s="111"/>
      <c r="AK747" s="255"/>
      <c r="AL747" s="259" t="str">
        <f>IF(AK747&lt;&gt;"",AK747/VLOOKUP($V747,Setup!$C$30:$D$41,2,0),"")</f>
        <v/>
      </c>
      <c r="AM747" s="266"/>
      <c r="AN747" s="258" t="str">
        <f t="shared" si="345"/>
        <v/>
      </c>
      <c r="AO747" s="266"/>
      <c r="AP747" s="258" t="str">
        <f t="shared" si="346"/>
        <v/>
      </c>
      <c r="AQ747" s="266"/>
      <c r="AR747" s="258" t="str">
        <f t="shared" si="347"/>
        <v/>
      </c>
      <c r="AS747" s="266"/>
      <c r="AT747" s="256" t="str">
        <f t="shared" si="348"/>
        <v/>
      </c>
      <c r="AU747" s="256" t="str">
        <f t="shared" si="349"/>
        <v/>
      </c>
      <c r="AV747" s="256" t="str">
        <f t="shared" si="350"/>
        <v/>
      </c>
      <c r="AW747" s="267"/>
      <c r="AX747" s="255"/>
      <c r="AY747" s="259" t="str">
        <f>IF(AX747&lt;&gt;"",AX747/VLOOKUP($V747,Setup!$C$30:$D$41,2,0),"")</f>
        <v/>
      </c>
      <c r="AZ747" s="268"/>
      <c r="BA747" s="258" t="str">
        <f t="shared" si="351"/>
        <v/>
      </c>
      <c r="BB747" s="268"/>
      <c r="BC747" s="258" t="str">
        <f t="shared" si="352"/>
        <v/>
      </c>
      <c r="BD747" s="268"/>
      <c r="BE747" s="258" t="str">
        <f t="shared" si="353"/>
        <v/>
      </c>
      <c r="BF747" s="268"/>
      <c r="BG747" s="256" t="str">
        <f t="shared" si="354"/>
        <v/>
      </c>
      <c r="BH747" s="256" t="str">
        <f t="shared" si="355"/>
        <v/>
      </c>
      <c r="BI747" s="256" t="str">
        <f t="shared" si="356"/>
        <v/>
      </c>
      <c r="BJ747" s="267"/>
      <c r="BK747" s="255"/>
      <c r="BL747" s="259" t="str">
        <f>IF(BK747&lt;&gt;"",BK747/VLOOKUP($V747,Setup!$C$30:$D$41,2,0),"")</f>
        <v/>
      </c>
      <c r="BM747" s="268"/>
      <c r="BN747" s="258" t="str">
        <f t="shared" si="357"/>
        <v/>
      </c>
      <c r="BO747" s="268"/>
      <c r="BP747" s="258" t="str">
        <f t="shared" si="358"/>
        <v/>
      </c>
      <c r="BQ747" s="268"/>
      <c r="BR747" s="258" t="str">
        <f t="shared" si="359"/>
        <v/>
      </c>
      <c r="BS747" s="268"/>
      <c r="BT747" s="256" t="str">
        <f t="shared" si="360"/>
        <v/>
      </c>
      <c r="BU747" s="256" t="str">
        <f t="shared" si="361"/>
        <v/>
      </c>
      <c r="BV747" s="256" t="str">
        <f t="shared" si="362"/>
        <v/>
      </c>
      <c r="BW747" s="267"/>
      <c r="BX747" s="256" t="str">
        <f t="shared" si="363"/>
        <v/>
      </c>
      <c r="BY747" s="256" t="str">
        <f t="shared" si="364"/>
        <v/>
      </c>
      <c r="BZ747" s="281"/>
      <c r="CA747" s="282"/>
      <c r="CF747" s="284"/>
      <c r="CG747" s="284"/>
      <c r="CH747" s="284"/>
      <c r="CI747" s="284"/>
      <c r="CL747" s="356" t="str">
        <f>IFERROR(VLOOKUP(C747,'Data Sheet'!$A$3:$B$26,2,FALSE),"")</f>
        <v/>
      </c>
    </row>
    <row r="748" spans="1:90" ht="15.75" x14ac:dyDescent="0.2">
      <c r="A748" s="97"/>
      <c r="B748" s="105" t="str">
        <f t="shared" si="367"/>
        <v>--</v>
      </c>
      <c r="C748" s="276"/>
      <c r="D748" s="101" t="str">
        <f>IFERROR(IF(VLOOKUP(C748,'Data Sheet'!$A$3:$D$26,4,FALSE)=0,"",VLOOKUP(C748,'Data Sheet'!$A$3:$D$26,4,FALSE)),"")</f>
        <v/>
      </c>
      <c r="E748" s="279"/>
      <c r="F748" s="103" t="str">
        <f>IFERROR(IF(VLOOKUP(E748,'Data Sheet'!$C$29:$E$174,3,FALSE)=0,"",VLOOKUP(E748,'Data Sheet'!$C$29:$E$174,3,FALSE)),"")</f>
        <v/>
      </c>
      <c r="G748" s="106" t="str">
        <f t="shared" si="365"/>
        <v>-</v>
      </c>
      <c r="H748" s="273"/>
      <c r="I748" s="107"/>
      <c r="J748" s="249" t="e">
        <f t="shared" si="366"/>
        <v>#VALUE!</v>
      </c>
      <c r="K748" s="101" t="str">
        <f>IFERROR(INDEX('Data Sheet'!$C$198:$C$275,MATCH(I748,'Data Sheet'!$F$198:$F$275,0)),"")</f>
        <v/>
      </c>
      <c r="L748" s="250" t="str">
        <f>IFERROR(INDEX('Data Sheet'!$G$198:$G$275,MATCH(I748,'Data Sheet'!$F$198:$F$275,0)),"")</f>
        <v/>
      </c>
      <c r="M748" s="194"/>
      <c r="N748" s="248"/>
      <c r="O748" s="248"/>
      <c r="P748" s="108" t="str">
        <f>IFERROR(INDEX(Setup!$D$44:$D$70,MATCH(M748,Setup!$K$44:$K$70,0))&amp;"","")</f>
        <v/>
      </c>
      <c r="Q748" s="108" t="str">
        <f>IFERROR(INDEX(Setup!$E$44:$E$70,MATCH(M748,Setup!$K$44:$K$70,0))&amp;"","")</f>
        <v/>
      </c>
      <c r="R748" s="108" t="str">
        <f>IFERROR(INDEX(Setup!$L$44:$L$70,MATCH(M748,Setup!$K$44:$K$70,0))&amp;"","")</f>
        <v/>
      </c>
      <c r="S748" s="108" t="str">
        <f>Setup!$C$30</f>
        <v>USD</v>
      </c>
      <c r="T748" s="109" t="str">
        <f>IFERROR(INDEX('Data Sheet'!$B$198:$B$275,MATCH(I748,'Data Sheet'!$F$198:$F$275,0)),"")</f>
        <v/>
      </c>
      <c r="U748" s="110" t="str">
        <f>IFERROR(INDEX('Data Sheet'!$D$198:$D$275,MATCH(I748,'Data Sheet'!$F$198:$F$275,0)),"")</f>
        <v/>
      </c>
      <c r="V748" s="99"/>
      <c r="W748" s="195" t="str">
        <f>IF(V748=Setup!$C$30,"Grant",IF(V748=Setup!$C$31,"Local",IF(V748=Setup!$C$32,"Other",IF(ISBLANK(V748),"","Other"))))</f>
        <v/>
      </c>
      <c r="X748" s="255"/>
      <c r="Y748" s="259" t="str">
        <f>IF(X748&lt;&gt;"",X748/VLOOKUP($V748,Setup!$C$30:$D$41,2,0),"")</f>
        <v/>
      </c>
      <c r="Z748" s="262"/>
      <c r="AA748" s="256" t="str">
        <f t="shared" si="339"/>
        <v/>
      </c>
      <c r="AB748" s="262"/>
      <c r="AC748" s="258" t="str">
        <f t="shared" si="340"/>
        <v/>
      </c>
      <c r="AD748" s="262"/>
      <c r="AE748" s="258" t="str">
        <f t="shared" si="341"/>
        <v/>
      </c>
      <c r="AF748" s="262"/>
      <c r="AG748" s="256" t="str">
        <f t="shared" si="342"/>
        <v/>
      </c>
      <c r="AH748" s="256" t="str">
        <f t="shared" si="343"/>
        <v/>
      </c>
      <c r="AI748" s="256" t="str">
        <f t="shared" si="344"/>
        <v/>
      </c>
      <c r="AJ748" s="111"/>
      <c r="AK748" s="255"/>
      <c r="AL748" s="259" t="str">
        <f>IF(AK748&lt;&gt;"",AK748/VLOOKUP($V748,Setup!$C$30:$D$41,2,0),"")</f>
        <v/>
      </c>
      <c r="AM748" s="266"/>
      <c r="AN748" s="258" t="str">
        <f t="shared" si="345"/>
        <v/>
      </c>
      <c r="AO748" s="266"/>
      <c r="AP748" s="258" t="str">
        <f t="shared" si="346"/>
        <v/>
      </c>
      <c r="AQ748" s="266"/>
      <c r="AR748" s="258" t="str">
        <f t="shared" si="347"/>
        <v/>
      </c>
      <c r="AS748" s="266"/>
      <c r="AT748" s="256" t="str">
        <f t="shared" si="348"/>
        <v/>
      </c>
      <c r="AU748" s="256" t="str">
        <f t="shared" si="349"/>
        <v/>
      </c>
      <c r="AV748" s="256" t="str">
        <f t="shared" si="350"/>
        <v/>
      </c>
      <c r="AW748" s="267"/>
      <c r="AX748" s="255"/>
      <c r="AY748" s="259" t="str">
        <f>IF(AX748&lt;&gt;"",AX748/VLOOKUP($V748,Setup!$C$30:$D$41,2,0),"")</f>
        <v/>
      </c>
      <c r="AZ748" s="268"/>
      <c r="BA748" s="258" t="str">
        <f t="shared" si="351"/>
        <v/>
      </c>
      <c r="BB748" s="268"/>
      <c r="BC748" s="258" t="str">
        <f t="shared" si="352"/>
        <v/>
      </c>
      <c r="BD748" s="268"/>
      <c r="BE748" s="258" t="str">
        <f t="shared" si="353"/>
        <v/>
      </c>
      <c r="BF748" s="268"/>
      <c r="BG748" s="256" t="str">
        <f t="shared" si="354"/>
        <v/>
      </c>
      <c r="BH748" s="256" t="str">
        <f t="shared" si="355"/>
        <v/>
      </c>
      <c r="BI748" s="256" t="str">
        <f t="shared" si="356"/>
        <v/>
      </c>
      <c r="BJ748" s="267"/>
      <c r="BK748" s="255"/>
      <c r="BL748" s="259" t="str">
        <f>IF(BK748&lt;&gt;"",BK748/VLOOKUP($V748,Setup!$C$30:$D$41,2,0),"")</f>
        <v/>
      </c>
      <c r="BM748" s="268"/>
      <c r="BN748" s="258" t="str">
        <f t="shared" si="357"/>
        <v/>
      </c>
      <c r="BO748" s="268"/>
      <c r="BP748" s="258" t="str">
        <f t="shared" si="358"/>
        <v/>
      </c>
      <c r="BQ748" s="268"/>
      <c r="BR748" s="258" t="str">
        <f t="shared" si="359"/>
        <v/>
      </c>
      <c r="BS748" s="268"/>
      <c r="BT748" s="256" t="str">
        <f t="shared" si="360"/>
        <v/>
      </c>
      <c r="BU748" s="256" t="str">
        <f t="shared" si="361"/>
        <v/>
      </c>
      <c r="BV748" s="256" t="str">
        <f t="shared" si="362"/>
        <v/>
      </c>
      <c r="BW748" s="267"/>
      <c r="BX748" s="256" t="str">
        <f t="shared" si="363"/>
        <v/>
      </c>
      <c r="BY748" s="256" t="str">
        <f t="shared" si="364"/>
        <v/>
      </c>
      <c r="BZ748" s="281"/>
      <c r="CA748" s="282"/>
      <c r="CF748" s="284"/>
      <c r="CG748" s="284"/>
      <c r="CH748" s="284"/>
      <c r="CI748" s="284"/>
      <c r="CL748" s="356" t="str">
        <f>IFERROR(VLOOKUP(C748,'Data Sheet'!$A$3:$B$26,2,FALSE),"")</f>
        <v/>
      </c>
    </row>
    <row r="749" spans="1:90" ht="15.75" x14ac:dyDescent="0.2">
      <c r="A749" s="97"/>
      <c r="B749" s="105" t="str">
        <f t="shared" si="367"/>
        <v>--</v>
      </c>
      <c r="C749" s="276"/>
      <c r="D749" s="101" t="str">
        <f>IFERROR(IF(VLOOKUP(C749,'Data Sheet'!$A$3:$D$26,4,FALSE)=0,"",VLOOKUP(C749,'Data Sheet'!$A$3:$D$26,4,FALSE)),"")</f>
        <v/>
      </c>
      <c r="E749" s="279"/>
      <c r="F749" s="103" t="str">
        <f>IFERROR(IF(VLOOKUP(E749,'Data Sheet'!$C$29:$E$174,3,FALSE)=0,"",VLOOKUP(E749,'Data Sheet'!$C$29:$E$174,3,FALSE)),"")</f>
        <v/>
      </c>
      <c r="G749" s="106" t="str">
        <f t="shared" si="365"/>
        <v>-</v>
      </c>
      <c r="H749" s="273"/>
      <c r="I749" s="107"/>
      <c r="J749" s="249" t="e">
        <f t="shared" si="366"/>
        <v>#VALUE!</v>
      </c>
      <c r="K749" s="101" t="str">
        <f>IFERROR(INDEX('Data Sheet'!$C$198:$C$275,MATCH(I749,'Data Sheet'!$F$198:$F$275,0)),"")</f>
        <v/>
      </c>
      <c r="L749" s="250" t="str">
        <f>IFERROR(INDEX('Data Sheet'!$G$198:$G$275,MATCH(I749,'Data Sheet'!$F$198:$F$275,0)),"")</f>
        <v/>
      </c>
      <c r="M749" s="194"/>
      <c r="N749" s="248"/>
      <c r="O749" s="248"/>
      <c r="P749" s="108" t="str">
        <f>IFERROR(INDEX(Setup!$D$44:$D$70,MATCH(M749,Setup!$K$44:$K$70,0))&amp;"","")</f>
        <v/>
      </c>
      <c r="Q749" s="108" t="str">
        <f>IFERROR(INDEX(Setup!$E$44:$E$70,MATCH(M749,Setup!$K$44:$K$70,0))&amp;"","")</f>
        <v/>
      </c>
      <c r="R749" s="108" t="str">
        <f>IFERROR(INDEX(Setup!$L$44:$L$70,MATCH(M749,Setup!$K$44:$K$70,0))&amp;"","")</f>
        <v/>
      </c>
      <c r="S749" s="108" t="str">
        <f>Setup!$C$30</f>
        <v>USD</v>
      </c>
      <c r="T749" s="109" t="str">
        <f>IFERROR(INDEX('Data Sheet'!$B$198:$B$275,MATCH(I749,'Data Sheet'!$F$198:$F$275,0)),"")</f>
        <v/>
      </c>
      <c r="U749" s="110" t="str">
        <f>IFERROR(INDEX('Data Sheet'!$D$198:$D$275,MATCH(I749,'Data Sheet'!$F$198:$F$275,0)),"")</f>
        <v/>
      </c>
      <c r="V749" s="99"/>
      <c r="W749" s="195" t="str">
        <f>IF(V749=Setup!$C$30,"Grant",IF(V749=Setup!$C$31,"Local",IF(V749=Setup!$C$32,"Other",IF(ISBLANK(V749),"","Other"))))</f>
        <v/>
      </c>
      <c r="X749" s="255"/>
      <c r="Y749" s="259" t="str">
        <f>IF(X749&lt;&gt;"",X749/VLOOKUP($V749,Setup!$C$30:$D$41,2,0),"")</f>
        <v/>
      </c>
      <c r="Z749" s="262"/>
      <c r="AA749" s="256" t="str">
        <f t="shared" si="339"/>
        <v/>
      </c>
      <c r="AB749" s="262"/>
      <c r="AC749" s="258" t="str">
        <f t="shared" si="340"/>
        <v/>
      </c>
      <c r="AD749" s="262"/>
      <c r="AE749" s="258" t="str">
        <f t="shared" si="341"/>
        <v/>
      </c>
      <c r="AF749" s="262"/>
      <c r="AG749" s="256" t="str">
        <f t="shared" si="342"/>
        <v/>
      </c>
      <c r="AH749" s="256" t="str">
        <f t="shared" si="343"/>
        <v/>
      </c>
      <c r="AI749" s="256" t="str">
        <f t="shared" si="344"/>
        <v/>
      </c>
      <c r="AJ749" s="111"/>
      <c r="AK749" s="255"/>
      <c r="AL749" s="259" t="str">
        <f>IF(AK749&lt;&gt;"",AK749/VLOOKUP($V749,Setup!$C$30:$D$41,2,0),"")</f>
        <v/>
      </c>
      <c r="AM749" s="266"/>
      <c r="AN749" s="258" t="str">
        <f t="shared" si="345"/>
        <v/>
      </c>
      <c r="AO749" s="266"/>
      <c r="AP749" s="258" t="str">
        <f t="shared" si="346"/>
        <v/>
      </c>
      <c r="AQ749" s="266"/>
      <c r="AR749" s="258" t="str">
        <f t="shared" si="347"/>
        <v/>
      </c>
      <c r="AS749" s="266"/>
      <c r="AT749" s="256" t="str">
        <f t="shared" si="348"/>
        <v/>
      </c>
      <c r="AU749" s="256" t="str">
        <f t="shared" si="349"/>
        <v/>
      </c>
      <c r="AV749" s="256" t="str">
        <f t="shared" si="350"/>
        <v/>
      </c>
      <c r="AW749" s="267"/>
      <c r="AX749" s="255"/>
      <c r="AY749" s="259" t="str">
        <f>IF(AX749&lt;&gt;"",AX749/VLOOKUP($V749,Setup!$C$30:$D$41,2,0),"")</f>
        <v/>
      </c>
      <c r="AZ749" s="268"/>
      <c r="BA749" s="258" t="str">
        <f t="shared" si="351"/>
        <v/>
      </c>
      <c r="BB749" s="268"/>
      <c r="BC749" s="258" t="str">
        <f t="shared" si="352"/>
        <v/>
      </c>
      <c r="BD749" s="268"/>
      <c r="BE749" s="258" t="str">
        <f t="shared" si="353"/>
        <v/>
      </c>
      <c r="BF749" s="268"/>
      <c r="BG749" s="256" t="str">
        <f t="shared" si="354"/>
        <v/>
      </c>
      <c r="BH749" s="256" t="str">
        <f t="shared" si="355"/>
        <v/>
      </c>
      <c r="BI749" s="256" t="str">
        <f t="shared" si="356"/>
        <v/>
      </c>
      <c r="BJ749" s="267"/>
      <c r="BK749" s="255"/>
      <c r="BL749" s="259" t="str">
        <f>IF(BK749&lt;&gt;"",BK749/VLOOKUP($V749,Setup!$C$30:$D$41,2,0),"")</f>
        <v/>
      </c>
      <c r="BM749" s="268"/>
      <c r="BN749" s="258" t="str">
        <f t="shared" si="357"/>
        <v/>
      </c>
      <c r="BO749" s="268"/>
      <c r="BP749" s="258" t="str">
        <f t="shared" si="358"/>
        <v/>
      </c>
      <c r="BQ749" s="268"/>
      <c r="BR749" s="258" t="str">
        <f t="shared" si="359"/>
        <v/>
      </c>
      <c r="BS749" s="268"/>
      <c r="BT749" s="256" t="str">
        <f t="shared" si="360"/>
        <v/>
      </c>
      <c r="BU749" s="256" t="str">
        <f t="shared" si="361"/>
        <v/>
      </c>
      <c r="BV749" s="256" t="str">
        <f t="shared" si="362"/>
        <v/>
      </c>
      <c r="BW749" s="267"/>
      <c r="BX749" s="256" t="str">
        <f t="shared" si="363"/>
        <v/>
      </c>
      <c r="BY749" s="256" t="str">
        <f t="shared" si="364"/>
        <v/>
      </c>
      <c r="BZ749" s="281"/>
      <c r="CA749" s="282"/>
      <c r="CF749" s="284"/>
      <c r="CG749" s="284"/>
      <c r="CH749" s="284"/>
      <c r="CI749" s="284"/>
      <c r="CL749" s="356" t="str">
        <f>IFERROR(VLOOKUP(C749,'Data Sheet'!$A$3:$B$26,2,FALSE),"")</f>
        <v/>
      </c>
    </row>
    <row r="750" spans="1:90" ht="15.75" x14ac:dyDescent="0.2">
      <c r="A750" s="97"/>
      <c r="B750" s="105" t="str">
        <f t="shared" si="367"/>
        <v>--</v>
      </c>
      <c r="C750" s="276"/>
      <c r="D750" s="101" t="str">
        <f>IFERROR(IF(VLOOKUP(C750,'Data Sheet'!$A$3:$D$26,4,FALSE)=0,"",VLOOKUP(C750,'Data Sheet'!$A$3:$D$26,4,FALSE)),"")</f>
        <v/>
      </c>
      <c r="E750" s="279"/>
      <c r="F750" s="103" t="str">
        <f>IFERROR(IF(VLOOKUP(E750,'Data Sheet'!$C$29:$E$174,3,FALSE)=0,"",VLOOKUP(E750,'Data Sheet'!$C$29:$E$174,3,FALSE)),"")</f>
        <v/>
      </c>
      <c r="G750" s="106" t="str">
        <f t="shared" si="365"/>
        <v>-</v>
      </c>
      <c r="H750" s="273"/>
      <c r="I750" s="107"/>
      <c r="J750" s="249" t="e">
        <f t="shared" si="366"/>
        <v>#VALUE!</v>
      </c>
      <c r="K750" s="101" t="str">
        <f>IFERROR(INDEX('Data Sheet'!$C$198:$C$275,MATCH(I750,'Data Sheet'!$F$198:$F$275,0)),"")</f>
        <v/>
      </c>
      <c r="L750" s="250" t="str">
        <f>IFERROR(INDEX('Data Sheet'!$G$198:$G$275,MATCH(I750,'Data Sheet'!$F$198:$F$275,0)),"")</f>
        <v/>
      </c>
      <c r="M750" s="194"/>
      <c r="N750" s="248"/>
      <c r="O750" s="248"/>
      <c r="P750" s="108" t="str">
        <f>IFERROR(INDEX(Setup!$D$44:$D$70,MATCH(M750,Setup!$K$44:$K$70,0))&amp;"","")</f>
        <v/>
      </c>
      <c r="Q750" s="108" t="str">
        <f>IFERROR(INDEX(Setup!$E$44:$E$70,MATCH(M750,Setup!$K$44:$K$70,0))&amp;"","")</f>
        <v/>
      </c>
      <c r="R750" s="108" t="str">
        <f>IFERROR(INDEX(Setup!$L$44:$L$70,MATCH(M750,Setup!$K$44:$K$70,0))&amp;"","")</f>
        <v/>
      </c>
      <c r="S750" s="108" t="str">
        <f>Setup!$C$30</f>
        <v>USD</v>
      </c>
      <c r="T750" s="109" t="str">
        <f>IFERROR(INDEX('Data Sheet'!$B$198:$B$275,MATCH(I750,'Data Sheet'!$F$198:$F$275,0)),"")</f>
        <v/>
      </c>
      <c r="U750" s="110" t="str">
        <f>IFERROR(INDEX('Data Sheet'!$D$198:$D$275,MATCH(I750,'Data Sheet'!$F$198:$F$275,0)),"")</f>
        <v/>
      </c>
      <c r="V750" s="99"/>
      <c r="W750" s="195" t="str">
        <f>IF(V750=Setup!$C$30,"Grant",IF(V750=Setup!$C$31,"Local",IF(V750=Setup!$C$32,"Other",IF(ISBLANK(V750),"","Other"))))</f>
        <v/>
      </c>
      <c r="X750" s="255"/>
      <c r="Y750" s="259" t="str">
        <f>IF(X750&lt;&gt;"",X750/VLOOKUP($V750,Setup!$C$30:$D$41,2,0),"")</f>
        <v/>
      </c>
      <c r="Z750" s="262"/>
      <c r="AA750" s="256" t="str">
        <f t="shared" si="339"/>
        <v/>
      </c>
      <c r="AB750" s="262"/>
      <c r="AC750" s="258" t="str">
        <f t="shared" si="340"/>
        <v/>
      </c>
      <c r="AD750" s="262"/>
      <c r="AE750" s="258" t="str">
        <f t="shared" si="341"/>
        <v/>
      </c>
      <c r="AF750" s="262"/>
      <c r="AG750" s="256" t="str">
        <f t="shared" si="342"/>
        <v/>
      </c>
      <c r="AH750" s="256" t="str">
        <f t="shared" si="343"/>
        <v/>
      </c>
      <c r="AI750" s="256" t="str">
        <f t="shared" si="344"/>
        <v/>
      </c>
      <c r="AJ750" s="111"/>
      <c r="AK750" s="255"/>
      <c r="AL750" s="259" t="str">
        <f>IF(AK750&lt;&gt;"",AK750/VLOOKUP($V750,Setup!$C$30:$D$41,2,0),"")</f>
        <v/>
      </c>
      <c r="AM750" s="266"/>
      <c r="AN750" s="258" t="str">
        <f t="shared" si="345"/>
        <v/>
      </c>
      <c r="AO750" s="266"/>
      <c r="AP750" s="258" t="str">
        <f t="shared" si="346"/>
        <v/>
      </c>
      <c r="AQ750" s="266"/>
      <c r="AR750" s="258" t="str">
        <f t="shared" si="347"/>
        <v/>
      </c>
      <c r="AS750" s="266"/>
      <c r="AT750" s="256" t="str">
        <f t="shared" si="348"/>
        <v/>
      </c>
      <c r="AU750" s="256" t="str">
        <f t="shared" si="349"/>
        <v/>
      </c>
      <c r="AV750" s="256" t="str">
        <f t="shared" si="350"/>
        <v/>
      </c>
      <c r="AW750" s="267"/>
      <c r="AX750" s="255"/>
      <c r="AY750" s="259" t="str">
        <f>IF(AX750&lt;&gt;"",AX750/VLOOKUP($V750,Setup!$C$30:$D$41,2,0),"")</f>
        <v/>
      </c>
      <c r="AZ750" s="268"/>
      <c r="BA750" s="258" t="str">
        <f t="shared" si="351"/>
        <v/>
      </c>
      <c r="BB750" s="268"/>
      <c r="BC750" s="258" t="str">
        <f t="shared" si="352"/>
        <v/>
      </c>
      <c r="BD750" s="268"/>
      <c r="BE750" s="258" t="str">
        <f t="shared" si="353"/>
        <v/>
      </c>
      <c r="BF750" s="268"/>
      <c r="BG750" s="256" t="str">
        <f t="shared" si="354"/>
        <v/>
      </c>
      <c r="BH750" s="256" t="str">
        <f t="shared" si="355"/>
        <v/>
      </c>
      <c r="BI750" s="256" t="str">
        <f t="shared" si="356"/>
        <v/>
      </c>
      <c r="BJ750" s="267"/>
      <c r="BK750" s="255"/>
      <c r="BL750" s="259" t="str">
        <f>IF(BK750&lt;&gt;"",BK750/VLOOKUP($V750,Setup!$C$30:$D$41,2,0),"")</f>
        <v/>
      </c>
      <c r="BM750" s="268"/>
      <c r="BN750" s="258" t="str">
        <f t="shared" si="357"/>
        <v/>
      </c>
      <c r="BO750" s="268"/>
      <c r="BP750" s="258" t="str">
        <f t="shared" si="358"/>
        <v/>
      </c>
      <c r="BQ750" s="268"/>
      <c r="BR750" s="258" t="str">
        <f t="shared" si="359"/>
        <v/>
      </c>
      <c r="BS750" s="268"/>
      <c r="BT750" s="256" t="str">
        <f t="shared" si="360"/>
        <v/>
      </c>
      <c r="BU750" s="256" t="str">
        <f t="shared" si="361"/>
        <v/>
      </c>
      <c r="BV750" s="256" t="str">
        <f t="shared" si="362"/>
        <v/>
      </c>
      <c r="BW750" s="267"/>
      <c r="BX750" s="256" t="str">
        <f t="shared" si="363"/>
        <v/>
      </c>
      <c r="BY750" s="256" t="str">
        <f t="shared" si="364"/>
        <v/>
      </c>
      <c r="BZ750" s="281"/>
      <c r="CA750" s="282"/>
      <c r="CF750" s="284"/>
      <c r="CG750" s="284"/>
      <c r="CH750" s="284"/>
      <c r="CI750" s="284"/>
      <c r="CL750" s="356" t="str">
        <f>IFERROR(VLOOKUP(C750,'Data Sheet'!$A$3:$B$26,2,FALSE),"")</f>
        <v/>
      </c>
    </row>
    <row r="751" spans="1:90" ht="15.75" x14ac:dyDescent="0.2">
      <c r="A751" s="97"/>
      <c r="B751" s="105" t="str">
        <f t="shared" si="367"/>
        <v>--</v>
      </c>
      <c r="C751" s="276"/>
      <c r="D751" s="101" t="str">
        <f>IFERROR(IF(VLOOKUP(C751,'Data Sheet'!$A$3:$D$26,4,FALSE)=0,"",VLOOKUP(C751,'Data Sheet'!$A$3:$D$26,4,FALSE)),"")</f>
        <v/>
      </c>
      <c r="E751" s="279"/>
      <c r="F751" s="103" t="str">
        <f>IFERROR(IF(VLOOKUP(E751,'Data Sheet'!$C$29:$E$174,3,FALSE)=0,"",VLOOKUP(E751,'Data Sheet'!$C$29:$E$174,3,FALSE)),"")</f>
        <v/>
      </c>
      <c r="G751" s="106" t="str">
        <f t="shared" si="365"/>
        <v>-</v>
      </c>
      <c r="H751" s="273"/>
      <c r="I751" s="107"/>
      <c r="J751" s="249" t="e">
        <f t="shared" si="366"/>
        <v>#VALUE!</v>
      </c>
      <c r="K751" s="101" t="str">
        <f>IFERROR(INDEX('Data Sheet'!$C$198:$C$275,MATCH(I751,'Data Sheet'!$F$198:$F$275,0)),"")</f>
        <v/>
      </c>
      <c r="L751" s="250" t="str">
        <f>IFERROR(INDEX('Data Sheet'!$G$198:$G$275,MATCH(I751,'Data Sheet'!$F$198:$F$275,0)),"")</f>
        <v/>
      </c>
      <c r="M751" s="194"/>
      <c r="N751" s="248"/>
      <c r="O751" s="248"/>
      <c r="P751" s="108" t="str">
        <f>IFERROR(INDEX(Setup!$D$44:$D$70,MATCH(M751,Setup!$K$44:$K$70,0))&amp;"","")</f>
        <v/>
      </c>
      <c r="Q751" s="108" t="str">
        <f>IFERROR(INDEX(Setup!$E$44:$E$70,MATCH(M751,Setup!$K$44:$K$70,0))&amp;"","")</f>
        <v/>
      </c>
      <c r="R751" s="108" t="str">
        <f>IFERROR(INDEX(Setup!$L$44:$L$70,MATCH(M751,Setup!$K$44:$K$70,0))&amp;"","")</f>
        <v/>
      </c>
      <c r="S751" s="108" t="str">
        <f>Setup!$C$30</f>
        <v>USD</v>
      </c>
      <c r="T751" s="109" t="str">
        <f>IFERROR(INDEX('Data Sheet'!$B$198:$B$275,MATCH(I751,'Data Sheet'!$F$198:$F$275,0)),"")</f>
        <v/>
      </c>
      <c r="U751" s="110" t="str">
        <f>IFERROR(INDEX('Data Sheet'!$D$198:$D$275,MATCH(I751,'Data Sheet'!$F$198:$F$275,0)),"")</f>
        <v/>
      </c>
      <c r="V751" s="99"/>
      <c r="W751" s="195" t="str">
        <f>IF(V751=Setup!$C$30,"Grant",IF(V751=Setup!$C$31,"Local",IF(V751=Setup!$C$32,"Other",IF(ISBLANK(V751),"","Other"))))</f>
        <v/>
      </c>
      <c r="X751" s="255"/>
      <c r="Y751" s="259" t="str">
        <f>IF(X751&lt;&gt;"",X751/VLOOKUP($V751,Setup!$C$30:$D$41,2,0),"")</f>
        <v/>
      </c>
      <c r="Z751" s="262"/>
      <c r="AA751" s="256" t="str">
        <f t="shared" si="339"/>
        <v/>
      </c>
      <c r="AB751" s="262"/>
      <c r="AC751" s="258" t="str">
        <f t="shared" si="340"/>
        <v/>
      </c>
      <c r="AD751" s="262"/>
      <c r="AE751" s="258" t="str">
        <f t="shared" si="341"/>
        <v/>
      </c>
      <c r="AF751" s="262"/>
      <c r="AG751" s="256" t="str">
        <f t="shared" si="342"/>
        <v/>
      </c>
      <c r="AH751" s="256" t="str">
        <f t="shared" si="343"/>
        <v/>
      </c>
      <c r="AI751" s="256" t="str">
        <f t="shared" si="344"/>
        <v/>
      </c>
      <c r="AJ751" s="111"/>
      <c r="AK751" s="255"/>
      <c r="AL751" s="259" t="str">
        <f>IF(AK751&lt;&gt;"",AK751/VLOOKUP($V751,Setup!$C$30:$D$41,2,0),"")</f>
        <v/>
      </c>
      <c r="AM751" s="266"/>
      <c r="AN751" s="258" t="str">
        <f t="shared" si="345"/>
        <v/>
      </c>
      <c r="AO751" s="266"/>
      <c r="AP751" s="258" t="str">
        <f t="shared" si="346"/>
        <v/>
      </c>
      <c r="AQ751" s="266"/>
      <c r="AR751" s="258" t="str">
        <f t="shared" si="347"/>
        <v/>
      </c>
      <c r="AS751" s="266"/>
      <c r="AT751" s="256" t="str">
        <f t="shared" si="348"/>
        <v/>
      </c>
      <c r="AU751" s="256" t="str">
        <f t="shared" si="349"/>
        <v/>
      </c>
      <c r="AV751" s="256" t="str">
        <f t="shared" si="350"/>
        <v/>
      </c>
      <c r="AW751" s="267"/>
      <c r="AX751" s="255"/>
      <c r="AY751" s="259" t="str">
        <f>IF(AX751&lt;&gt;"",AX751/VLOOKUP($V751,Setup!$C$30:$D$41,2,0),"")</f>
        <v/>
      </c>
      <c r="AZ751" s="268"/>
      <c r="BA751" s="258" t="str">
        <f t="shared" si="351"/>
        <v/>
      </c>
      <c r="BB751" s="268"/>
      <c r="BC751" s="258" t="str">
        <f t="shared" si="352"/>
        <v/>
      </c>
      <c r="BD751" s="268"/>
      <c r="BE751" s="258" t="str">
        <f t="shared" si="353"/>
        <v/>
      </c>
      <c r="BF751" s="268"/>
      <c r="BG751" s="256" t="str">
        <f t="shared" si="354"/>
        <v/>
      </c>
      <c r="BH751" s="256" t="str">
        <f t="shared" si="355"/>
        <v/>
      </c>
      <c r="BI751" s="256" t="str">
        <f t="shared" si="356"/>
        <v/>
      </c>
      <c r="BJ751" s="267"/>
      <c r="BK751" s="255"/>
      <c r="BL751" s="259" t="str">
        <f>IF(BK751&lt;&gt;"",BK751/VLOOKUP($V751,Setup!$C$30:$D$41,2,0),"")</f>
        <v/>
      </c>
      <c r="BM751" s="268"/>
      <c r="BN751" s="258" t="str">
        <f t="shared" si="357"/>
        <v/>
      </c>
      <c r="BO751" s="268"/>
      <c r="BP751" s="258" t="str">
        <f t="shared" si="358"/>
        <v/>
      </c>
      <c r="BQ751" s="268"/>
      <c r="BR751" s="258" t="str">
        <f t="shared" si="359"/>
        <v/>
      </c>
      <c r="BS751" s="268"/>
      <c r="BT751" s="256" t="str">
        <f t="shared" si="360"/>
        <v/>
      </c>
      <c r="BU751" s="256" t="str">
        <f t="shared" si="361"/>
        <v/>
      </c>
      <c r="BV751" s="256" t="str">
        <f t="shared" si="362"/>
        <v/>
      </c>
      <c r="BW751" s="267"/>
      <c r="BX751" s="256" t="str">
        <f t="shared" si="363"/>
        <v/>
      </c>
      <c r="BY751" s="256" t="str">
        <f t="shared" si="364"/>
        <v/>
      </c>
      <c r="BZ751" s="281"/>
      <c r="CA751" s="282"/>
      <c r="CF751" s="284"/>
      <c r="CG751" s="284"/>
      <c r="CH751" s="284"/>
      <c r="CI751" s="284"/>
      <c r="CL751" s="356" t="str">
        <f>IFERROR(VLOOKUP(C751,'Data Sheet'!$A$3:$B$26,2,FALSE),"")</f>
        <v/>
      </c>
    </row>
    <row r="752" spans="1:90" ht="15.75" x14ac:dyDescent="0.2">
      <c r="A752" s="97"/>
      <c r="B752" s="105" t="str">
        <f t="shared" si="367"/>
        <v>--</v>
      </c>
      <c r="C752" s="276"/>
      <c r="D752" s="101" t="str">
        <f>IFERROR(IF(VLOOKUP(C752,'Data Sheet'!$A$3:$D$26,4,FALSE)=0,"",VLOOKUP(C752,'Data Sheet'!$A$3:$D$26,4,FALSE)),"")</f>
        <v/>
      </c>
      <c r="E752" s="279"/>
      <c r="F752" s="103" t="str">
        <f>IFERROR(IF(VLOOKUP(E752,'Data Sheet'!$C$29:$E$174,3,FALSE)=0,"",VLOOKUP(E752,'Data Sheet'!$C$29:$E$174,3,FALSE)),"")</f>
        <v/>
      </c>
      <c r="G752" s="106" t="str">
        <f t="shared" si="365"/>
        <v>-</v>
      </c>
      <c r="H752" s="273"/>
      <c r="I752" s="107"/>
      <c r="J752" s="249" t="e">
        <f t="shared" si="366"/>
        <v>#VALUE!</v>
      </c>
      <c r="K752" s="101" t="str">
        <f>IFERROR(INDEX('Data Sheet'!$C$198:$C$275,MATCH(I752,'Data Sheet'!$F$198:$F$275,0)),"")</f>
        <v/>
      </c>
      <c r="L752" s="250" t="str">
        <f>IFERROR(INDEX('Data Sheet'!$G$198:$G$275,MATCH(I752,'Data Sheet'!$F$198:$F$275,0)),"")</f>
        <v/>
      </c>
      <c r="M752" s="194"/>
      <c r="N752" s="248"/>
      <c r="O752" s="248"/>
      <c r="P752" s="108" t="str">
        <f>IFERROR(INDEX(Setup!$D$44:$D$70,MATCH(M752,Setup!$K$44:$K$70,0))&amp;"","")</f>
        <v/>
      </c>
      <c r="Q752" s="108" t="str">
        <f>IFERROR(INDEX(Setup!$E$44:$E$70,MATCH(M752,Setup!$K$44:$K$70,0))&amp;"","")</f>
        <v/>
      </c>
      <c r="R752" s="108" t="str">
        <f>IFERROR(INDEX(Setup!$L$44:$L$70,MATCH(M752,Setup!$K$44:$K$70,0))&amp;"","")</f>
        <v/>
      </c>
      <c r="S752" s="108" t="str">
        <f>Setup!$C$30</f>
        <v>USD</v>
      </c>
      <c r="T752" s="109" t="str">
        <f>IFERROR(INDEX('Data Sheet'!$B$198:$B$275,MATCH(I752,'Data Sheet'!$F$198:$F$275,0)),"")</f>
        <v/>
      </c>
      <c r="U752" s="110" t="str">
        <f>IFERROR(INDEX('Data Sheet'!$D$198:$D$275,MATCH(I752,'Data Sheet'!$F$198:$F$275,0)),"")</f>
        <v/>
      </c>
      <c r="V752" s="99"/>
      <c r="W752" s="195" t="str">
        <f>IF(V752=Setup!$C$30,"Grant",IF(V752=Setup!$C$31,"Local",IF(V752=Setup!$C$32,"Other",IF(ISBLANK(V752),"","Other"))))</f>
        <v/>
      </c>
      <c r="X752" s="255"/>
      <c r="Y752" s="259" t="str">
        <f>IF(X752&lt;&gt;"",X752/VLOOKUP($V752,Setup!$C$30:$D$41,2,0),"")</f>
        <v/>
      </c>
      <c r="Z752" s="262"/>
      <c r="AA752" s="256" t="str">
        <f t="shared" si="339"/>
        <v/>
      </c>
      <c r="AB752" s="262"/>
      <c r="AC752" s="258" t="str">
        <f t="shared" si="340"/>
        <v/>
      </c>
      <c r="AD752" s="262"/>
      <c r="AE752" s="258" t="str">
        <f t="shared" si="341"/>
        <v/>
      </c>
      <c r="AF752" s="262"/>
      <c r="AG752" s="256" t="str">
        <f t="shared" si="342"/>
        <v/>
      </c>
      <c r="AH752" s="256" t="str">
        <f t="shared" si="343"/>
        <v/>
      </c>
      <c r="AI752" s="256" t="str">
        <f t="shared" si="344"/>
        <v/>
      </c>
      <c r="AJ752" s="111"/>
      <c r="AK752" s="255"/>
      <c r="AL752" s="259" t="str">
        <f>IF(AK752&lt;&gt;"",AK752/VLOOKUP($V752,Setup!$C$30:$D$41,2,0),"")</f>
        <v/>
      </c>
      <c r="AM752" s="266"/>
      <c r="AN752" s="258" t="str">
        <f t="shared" si="345"/>
        <v/>
      </c>
      <c r="AO752" s="266"/>
      <c r="AP752" s="258" t="str">
        <f t="shared" si="346"/>
        <v/>
      </c>
      <c r="AQ752" s="266"/>
      <c r="AR752" s="258" t="str">
        <f t="shared" si="347"/>
        <v/>
      </c>
      <c r="AS752" s="266"/>
      <c r="AT752" s="256" t="str">
        <f t="shared" si="348"/>
        <v/>
      </c>
      <c r="AU752" s="256" t="str">
        <f t="shared" si="349"/>
        <v/>
      </c>
      <c r="AV752" s="256" t="str">
        <f t="shared" si="350"/>
        <v/>
      </c>
      <c r="AW752" s="267"/>
      <c r="AX752" s="255"/>
      <c r="AY752" s="259" t="str">
        <f>IF(AX752&lt;&gt;"",AX752/VLOOKUP($V752,Setup!$C$30:$D$41,2,0),"")</f>
        <v/>
      </c>
      <c r="AZ752" s="268"/>
      <c r="BA752" s="258" t="str">
        <f t="shared" si="351"/>
        <v/>
      </c>
      <c r="BB752" s="268"/>
      <c r="BC752" s="258" t="str">
        <f t="shared" si="352"/>
        <v/>
      </c>
      <c r="BD752" s="268"/>
      <c r="BE752" s="258" t="str">
        <f t="shared" si="353"/>
        <v/>
      </c>
      <c r="BF752" s="268"/>
      <c r="BG752" s="256" t="str">
        <f t="shared" si="354"/>
        <v/>
      </c>
      <c r="BH752" s="256" t="str">
        <f t="shared" si="355"/>
        <v/>
      </c>
      <c r="BI752" s="256" t="str">
        <f t="shared" si="356"/>
        <v/>
      </c>
      <c r="BJ752" s="267"/>
      <c r="BK752" s="255"/>
      <c r="BL752" s="259" t="str">
        <f>IF(BK752&lt;&gt;"",BK752/VLOOKUP($V752,Setup!$C$30:$D$41,2,0),"")</f>
        <v/>
      </c>
      <c r="BM752" s="268"/>
      <c r="BN752" s="258" t="str">
        <f t="shared" si="357"/>
        <v/>
      </c>
      <c r="BO752" s="268"/>
      <c r="BP752" s="258" t="str">
        <f t="shared" si="358"/>
        <v/>
      </c>
      <c r="BQ752" s="268"/>
      <c r="BR752" s="258" t="str">
        <f t="shared" si="359"/>
        <v/>
      </c>
      <c r="BS752" s="268"/>
      <c r="BT752" s="256" t="str">
        <f t="shared" si="360"/>
        <v/>
      </c>
      <c r="BU752" s="256" t="str">
        <f t="shared" si="361"/>
        <v/>
      </c>
      <c r="BV752" s="256" t="str">
        <f t="shared" si="362"/>
        <v/>
      </c>
      <c r="BW752" s="267"/>
      <c r="BX752" s="256" t="str">
        <f t="shared" si="363"/>
        <v/>
      </c>
      <c r="BY752" s="256" t="str">
        <f t="shared" si="364"/>
        <v/>
      </c>
      <c r="BZ752" s="281"/>
      <c r="CA752" s="282"/>
      <c r="CF752" s="284"/>
      <c r="CG752" s="284"/>
      <c r="CH752" s="284"/>
      <c r="CI752" s="284"/>
      <c r="CL752" s="356" t="str">
        <f>IFERROR(VLOOKUP(C752,'Data Sheet'!$A$3:$B$26,2,FALSE),"")</f>
        <v/>
      </c>
    </row>
    <row r="753" spans="1:90" ht="15.75" x14ac:dyDescent="0.2">
      <c r="A753" s="97"/>
      <c r="B753" s="105" t="str">
        <f t="shared" si="367"/>
        <v>--</v>
      </c>
      <c r="C753" s="276"/>
      <c r="D753" s="101" t="str">
        <f>IFERROR(IF(VLOOKUP(C753,'Data Sheet'!$A$3:$D$26,4,FALSE)=0,"",VLOOKUP(C753,'Data Sheet'!$A$3:$D$26,4,FALSE)),"")</f>
        <v/>
      </c>
      <c r="E753" s="279"/>
      <c r="F753" s="103" t="str">
        <f>IFERROR(IF(VLOOKUP(E753,'Data Sheet'!$C$29:$E$174,3,FALSE)=0,"",VLOOKUP(E753,'Data Sheet'!$C$29:$E$174,3,FALSE)),"")</f>
        <v/>
      </c>
      <c r="G753" s="106" t="str">
        <f t="shared" si="365"/>
        <v>-</v>
      </c>
      <c r="H753" s="273"/>
      <c r="I753" s="107"/>
      <c r="J753" s="249" t="e">
        <f t="shared" si="366"/>
        <v>#VALUE!</v>
      </c>
      <c r="K753" s="101" t="str">
        <f>IFERROR(INDEX('Data Sheet'!$C$198:$C$275,MATCH(I753,'Data Sheet'!$F$198:$F$275,0)),"")</f>
        <v/>
      </c>
      <c r="L753" s="250" t="str">
        <f>IFERROR(INDEX('Data Sheet'!$G$198:$G$275,MATCH(I753,'Data Sheet'!$F$198:$F$275,0)),"")</f>
        <v/>
      </c>
      <c r="M753" s="194"/>
      <c r="N753" s="248"/>
      <c r="O753" s="248"/>
      <c r="P753" s="108" t="str">
        <f>IFERROR(INDEX(Setup!$D$44:$D$70,MATCH(M753,Setup!$K$44:$K$70,0))&amp;"","")</f>
        <v/>
      </c>
      <c r="Q753" s="108" t="str">
        <f>IFERROR(INDEX(Setup!$E$44:$E$70,MATCH(M753,Setup!$K$44:$K$70,0))&amp;"","")</f>
        <v/>
      </c>
      <c r="R753" s="108" t="str">
        <f>IFERROR(INDEX(Setup!$L$44:$L$70,MATCH(M753,Setup!$K$44:$K$70,0))&amp;"","")</f>
        <v/>
      </c>
      <c r="S753" s="108" t="str">
        <f>Setup!$C$30</f>
        <v>USD</v>
      </c>
      <c r="T753" s="109" t="str">
        <f>IFERROR(INDEX('Data Sheet'!$B$198:$B$275,MATCH(I753,'Data Sheet'!$F$198:$F$275,0)),"")</f>
        <v/>
      </c>
      <c r="U753" s="110" t="str">
        <f>IFERROR(INDEX('Data Sheet'!$D$198:$D$275,MATCH(I753,'Data Sheet'!$F$198:$F$275,0)),"")</f>
        <v/>
      </c>
      <c r="V753" s="99"/>
      <c r="W753" s="195" t="str">
        <f>IF(V753=Setup!$C$30,"Grant",IF(V753=Setup!$C$31,"Local",IF(V753=Setup!$C$32,"Other",IF(ISBLANK(V753),"","Other"))))</f>
        <v/>
      </c>
      <c r="X753" s="255"/>
      <c r="Y753" s="259" t="str">
        <f>IF(X753&lt;&gt;"",X753/VLOOKUP($V753,Setup!$C$30:$D$41,2,0),"")</f>
        <v/>
      </c>
      <c r="Z753" s="262"/>
      <c r="AA753" s="256" t="str">
        <f t="shared" si="339"/>
        <v/>
      </c>
      <c r="AB753" s="262"/>
      <c r="AC753" s="258" t="str">
        <f t="shared" si="340"/>
        <v/>
      </c>
      <c r="AD753" s="262"/>
      <c r="AE753" s="258" t="str">
        <f t="shared" si="341"/>
        <v/>
      </c>
      <c r="AF753" s="262"/>
      <c r="AG753" s="256" t="str">
        <f t="shared" si="342"/>
        <v/>
      </c>
      <c r="AH753" s="256" t="str">
        <f t="shared" si="343"/>
        <v/>
      </c>
      <c r="AI753" s="256" t="str">
        <f t="shared" si="344"/>
        <v/>
      </c>
      <c r="AJ753" s="111"/>
      <c r="AK753" s="255"/>
      <c r="AL753" s="259" t="str">
        <f>IF(AK753&lt;&gt;"",AK753/VLOOKUP($V753,Setup!$C$30:$D$41,2,0),"")</f>
        <v/>
      </c>
      <c r="AM753" s="266"/>
      <c r="AN753" s="258" t="str">
        <f t="shared" si="345"/>
        <v/>
      </c>
      <c r="AO753" s="266"/>
      <c r="AP753" s="258" t="str">
        <f t="shared" si="346"/>
        <v/>
      </c>
      <c r="AQ753" s="266"/>
      <c r="AR753" s="258" t="str">
        <f t="shared" si="347"/>
        <v/>
      </c>
      <c r="AS753" s="266"/>
      <c r="AT753" s="256" t="str">
        <f t="shared" si="348"/>
        <v/>
      </c>
      <c r="AU753" s="256" t="str">
        <f t="shared" si="349"/>
        <v/>
      </c>
      <c r="AV753" s="256" t="str">
        <f t="shared" si="350"/>
        <v/>
      </c>
      <c r="AW753" s="267"/>
      <c r="AX753" s="255"/>
      <c r="AY753" s="259" t="str">
        <f>IF(AX753&lt;&gt;"",AX753/VLOOKUP($V753,Setup!$C$30:$D$41,2,0),"")</f>
        <v/>
      </c>
      <c r="AZ753" s="268"/>
      <c r="BA753" s="258" t="str">
        <f t="shared" si="351"/>
        <v/>
      </c>
      <c r="BB753" s="268"/>
      <c r="BC753" s="258" t="str">
        <f t="shared" si="352"/>
        <v/>
      </c>
      <c r="BD753" s="268"/>
      <c r="BE753" s="258" t="str">
        <f t="shared" si="353"/>
        <v/>
      </c>
      <c r="BF753" s="268"/>
      <c r="BG753" s="256" t="str">
        <f t="shared" si="354"/>
        <v/>
      </c>
      <c r="BH753" s="256" t="str">
        <f t="shared" si="355"/>
        <v/>
      </c>
      <c r="BI753" s="256" t="str">
        <f t="shared" si="356"/>
        <v/>
      </c>
      <c r="BJ753" s="267"/>
      <c r="BK753" s="255"/>
      <c r="BL753" s="259" t="str">
        <f>IF(BK753&lt;&gt;"",BK753/VLOOKUP($V753,Setup!$C$30:$D$41,2,0),"")</f>
        <v/>
      </c>
      <c r="BM753" s="268"/>
      <c r="BN753" s="258" t="str">
        <f t="shared" si="357"/>
        <v/>
      </c>
      <c r="BO753" s="268"/>
      <c r="BP753" s="258" t="str">
        <f t="shared" si="358"/>
        <v/>
      </c>
      <c r="BQ753" s="268"/>
      <c r="BR753" s="258" t="str">
        <f t="shared" si="359"/>
        <v/>
      </c>
      <c r="BS753" s="268"/>
      <c r="BT753" s="256" t="str">
        <f t="shared" si="360"/>
        <v/>
      </c>
      <c r="BU753" s="256" t="str">
        <f t="shared" si="361"/>
        <v/>
      </c>
      <c r="BV753" s="256" t="str">
        <f t="shared" si="362"/>
        <v/>
      </c>
      <c r="BW753" s="267"/>
      <c r="BX753" s="256" t="str">
        <f t="shared" si="363"/>
        <v/>
      </c>
      <c r="BY753" s="256" t="str">
        <f t="shared" si="364"/>
        <v/>
      </c>
      <c r="BZ753" s="281"/>
      <c r="CA753" s="282"/>
      <c r="CF753" s="284"/>
      <c r="CG753" s="284"/>
      <c r="CH753" s="284"/>
      <c r="CI753" s="284"/>
      <c r="CL753" s="356" t="str">
        <f>IFERROR(VLOOKUP(C753,'Data Sheet'!$A$3:$B$26,2,FALSE),"")</f>
        <v/>
      </c>
    </row>
    <row r="754" spans="1:90" ht="15.75" x14ac:dyDescent="0.2">
      <c r="A754" s="97"/>
      <c r="B754" s="105" t="str">
        <f t="shared" si="367"/>
        <v>--</v>
      </c>
      <c r="C754" s="276"/>
      <c r="D754" s="101" t="str">
        <f>IFERROR(IF(VLOOKUP(C754,'Data Sheet'!$A$3:$D$26,4,FALSE)=0,"",VLOOKUP(C754,'Data Sheet'!$A$3:$D$26,4,FALSE)),"")</f>
        <v/>
      </c>
      <c r="E754" s="279"/>
      <c r="F754" s="103" t="str">
        <f>IFERROR(IF(VLOOKUP(E754,'Data Sheet'!$C$29:$E$174,3,FALSE)=0,"",VLOOKUP(E754,'Data Sheet'!$C$29:$E$174,3,FALSE)),"")</f>
        <v/>
      </c>
      <c r="G754" s="106" t="str">
        <f t="shared" si="365"/>
        <v>-</v>
      </c>
      <c r="H754" s="273"/>
      <c r="I754" s="107"/>
      <c r="J754" s="249" t="e">
        <f t="shared" si="366"/>
        <v>#VALUE!</v>
      </c>
      <c r="K754" s="101" t="str">
        <f>IFERROR(INDEX('Data Sheet'!$C$198:$C$275,MATCH(I754,'Data Sheet'!$F$198:$F$275,0)),"")</f>
        <v/>
      </c>
      <c r="L754" s="250" t="str">
        <f>IFERROR(INDEX('Data Sheet'!$G$198:$G$275,MATCH(I754,'Data Sheet'!$F$198:$F$275,0)),"")</f>
        <v/>
      </c>
      <c r="M754" s="194"/>
      <c r="N754" s="248"/>
      <c r="O754" s="248"/>
      <c r="P754" s="108" t="str">
        <f>IFERROR(INDEX(Setup!$D$44:$D$70,MATCH(M754,Setup!$K$44:$K$70,0))&amp;"","")</f>
        <v/>
      </c>
      <c r="Q754" s="108" t="str">
        <f>IFERROR(INDEX(Setup!$E$44:$E$70,MATCH(M754,Setup!$K$44:$K$70,0))&amp;"","")</f>
        <v/>
      </c>
      <c r="R754" s="108" t="str">
        <f>IFERROR(INDEX(Setup!$L$44:$L$70,MATCH(M754,Setup!$K$44:$K$70,0))&amp;"","")</f>
        <v/>
      </c>
      <c r="S754" s="108" t="str">
        <f>Setup!$C$30</f>
        <v>USD</v>
      </c>
      <c r="T754" s="109" t="str">
        <f>IFERROR(INDEX('Data Sheet'!$B$198:$B$275,MATCH(I754,'Data Sheet'!$F$198:$F$275,0)),"")</f>
        <v/>
      </c>
      <c r="U754" s="110" t="str">
        <f>IFERROR(INDEX('Data Sheet'!$D$198:$D$275,MATCH(I754,'Data Sheet'!$F$198:$F$275,0)),"")</f>
        <v/>
      </c>
      <c r="V754" s="99"/>
      <c r="W754" s="195" t="str">
        <f>IF(V754=Setup!$C$30,"Grant",IF(V754=Setup!$C$31,"Local",IF(V754=Setup!$C$32,"Other",IF(ISBLANK(V754),"","Other"))))</f>
        <v/>
      </c>
      <c r="X754" s="255"/>
      <c r="Y754" s="259" t="str">
        <f>IF(X754&lt;&gt;"",X754/VLOOKUP($V754,Setup!$C$30:$D$41,2,0),"")</f>
        <v/>
      </c>
      <c r="Z754" s="262"/>
      <c r="AA754" s="256" t="str">
        <f t="shared" si="339"/>
        <v/>
      </c>
      <c r="AB754" s="262"/>
      <c r="AC754" s="258" t="str">
        <f t="shared" si="340"/>
        <v/>
      </c>
      <c r="AD754" s="262"/>
      <c r="AE754" s="258" t="str">
        <f t="shared" si="341"/>
        <v/>
      </c>
      <c r="AF754" s="262"/>
      <c r="AG754" s="256" t="str">
        <f t="shared" si="342"/>
        <v/>
      </c>
      <c r="AH754" s="256" t="str">
        <f t="shared" si="343"/>
        <v/>
      </c>
      <c r="AI754" s="256" t="str">
        <f t="shared" si="344"/>
        <v/>
      </c>
      <c r="AJ754" s="111"/>
      <c r="AK754" s="255"/>
      <c r="AL754" s="259" t="str">
        <f>IF(AK754&lt;&gt;"",AK754/VLOOKUP($V754,Setup!$C$30:$D$41,2,0),"")</f>
        <v/>
      </c>
      <c r="AM754" s="266"/>
      <c r="AN754" s="258" t="str">
        <f t="shared" si="345"/>
        <v/>
      </c>
      <c r="AO754" s="266"/>
      <c r="AP754" s="258" t="str">
        <f t="shared" si="346"/>
        <v/>
      </c>
      <c r="AQ754" s="266"/>
      <c r="AR754" s="258" t="str">
        <f t="shared" si="347"/>
        <v/>
      </c>
      <c r="AS754" s="266"/>
      <c r="AT754" s="256" t="str">
        <f t="shared" si="348"/>
        <v/>
      </c>
      <c r="AU754" s="256" t="str">
        <f t="shared" si="349"/>
        <v/>
      </c>
      <c r="AV754" s="256" t="str">
        <f t="shared" si="350"/>
        <v/>
      </c>
      <c r="AW754" s="267"/>
      <c r="AX754" s="255"/>
      <c r="AY754" s="259" t="str">
        <f>IF(AX754&lt;&gt;"",AX754/VLOOKUP($V754,Setup!$C$30:$D$41,2,0),"")</f>
        <v/>
      </c>
      <c r="AZ754" s="268"/>
      <c r="BA754" s="258" t="str">
        <f t="shared" si="351"/>
        <v/>
      </c>
      <c r="BB754" s="268"/>
      <c r="BC754" s="258" t="str">
        <f t="shared" si="352"/>
        <v/>
      </c>
      <c r="BD754" s="268"/>
      <c r="BE754" s="258" t="str">
        <f t="shared" si="353"/>
        <v/>
      </c>
      <c r="BF754" s="268"/>
      <c r="BG754" s="256" t="str">
        <f t="shared" si="354"/>
        <v/>
      </c>
      <c r="BH754" s="256" t="str">
        <f t="shared" si="355"/>
        <v/>
      </c>
      <c r="BI754" s="256" t="str">
        <f t="shared" si="356"/>
        <v/>
      </c>
      <c r="BJ754" s="267"/>
      <c r="BK754" s="255"/>
      <c r="BL754" s="259" t="str">
        <f>IF(BK754&lt;&gt;"",BK754/VLOOKUP($V754,Setup!$C$30:$D$41,2,0),"")</f>
        <v/>
      </c>
      <c r="BM754" s="268"/>
      <c r="BN754" s="258" t="str">
        <f t="shared" si="357"/>
        <v/>
      </c>
      <c r="BO754" s="268"/>
      <c r="BP754" s="258" t="str">
        <f t="shared" si="358"/>
        <v/>
      </c>
      <c r="BQ754" s="268"/>
      <c r="BR754" s="258" t="str">
        <f t="shared" si="359"/>
        <v/>
      </c>
      <c r="BS754" s="268"/>
      <c r="BT754" s="256" t="str">
        <f t="shared" si="360"/>
        <v/>
      </c>
      <c r="BU754" s="256" t="str">
        <f t="shared" si="361"/>
        <v/>
      </c>
      <c r="BV754" s="256" t="str">
        <f t="shared" si="362"/>
        <v/>
      </c>
      <c r="BW754" s="267"/>
      <c r="BX754" s="256" t="str">
        <f t="shared" si="363"/>
        <v/>
      </c>
      <c r="BY754" s="256" t="str">
        <f t="shared" si="364"/>
        <v/>
      </c>
      <c r="BZ754" s="281"/>
      <c r="CA754" s="282"/>
      <c r="CF754" s="284"/>
      <c r="CG754" s="284"/>
      <c r="CH754" s="284"/>
      <c r="CI754" s="284"/>
      <c r="CL754" s="356" t="str">
        <f>IFERROR(VLOOKUP(C754,'Data Sheet'!$A$3:$B$26,2,FALSE),"")</f>
        <v/>
      </c>
    </row>
    <row r="755" spans="1:90" ht="15.75" x14ac:dyDescent="0.2">
      <c r="A755" s="97"/>
      <c r="B755" s="105" t="str">
        <f t="shared" si="367"/>
        <v>--</v>
      </c>
      <c r="C755" s="276"/>
      <c r="D755" s="101" t="str">
        <f>IFERROR(IF(VLOOKUP(C755,'Data Sheet'!$A$3:$D$26,4,FALSE)=0,"",VLOOKUP(C755,'Data Sheet'!$A$3:$D$26,4,FALSE)),"")</f>
        <v/>
      </c>
      <c r="E755" s="279"/>
      <c r="F755" s="103" t="str">
        <f>IFERROR(IF(VLOOKUP(E755,'Data Sheet'!$C$29:$E$174,3,FALSE)=0,"",VLOOKUP(E755,'Data Sheet'!$C$29:$E$174,3,FALSE)),"")</f>
        <v/>
      </c>
      <c r="G755" s="106" t="str">
        <f t="shared" si="365"/>
        <v>-</v>
      </c>
      <c r="H755" s="273"/>
      <c r="I755" s="107"/>
      <c r="J755" s="249" t="e">
        <f t="shared" si="366"/>
        <v>#VALUE!</v>
      </c>
      <c r="K755" s="101" t="str">
        <f>IFERROR(INDEX('Data Sheet'!$C$198:$C$275,MATCH(I755,'Data Sheet'!$F$198:$F$275,0)),"")</f>
        <v/>
      </c>
      <c r="L755" s="250" t="str">
        <f>IFERROR(INDEX('Data Sheet'!$G$198:$G$275,MATCH(I755,'Data Sheet'!$F$198:$F$275,0)),"")</f>
        <v/>
      </c>
      <c r="M755" s="194"/>
      <c r="N755" s="248"/>
      <c r="O755" s="248"/>
      <c r="P755" s="108" t="str">
        <f>IFERROR(INDEX(Setup!$D$44:$D$70,MATCH(M755,Setup!$K$44:$K$70,0))&amp;"","")</f>
        <v/>
      </c>
      <c r="Q755" s="108" t="str">
        <f>IFERROR(INDEX(Setup!$E$44:$E$70,MATCH(M755,Setup!$K$44:$K$70,0))&amp;"","")</f>
        <v/>
      </c>
      <c r="R755" s="108" t="str">
        <f>IFERROR(INDEX(Setup!$L$44:$L$70,MATCH(M755,Setup!$K$44:$K$70,0))&amp;"","")</f>
        <v/>
      </c>
      <c r="S755" s="108" t="str">
        <f>Setup!$C$30</f>
        <v>USD</v>
      </c>
      <c r="T755" s="109" t="str">
        <f>IFERROR(INDEX('Data Sheet'!$B$198:$B$275,MATCH(I755,'Data Sheet'!$F$198:$F$275,0)),"")</f>
        <v/>
      </c>
      <c r="U755" s="110" t="str">
        <f>IFERROR(INDEX('Data Sheet'!$D$198:$D$275,MATCH(I755,'Data Sheet'!$F$198:$F$275,0)),"")</f>
        <v/>
      </c>
      <c r="V755" s="99"/>
      <c r="W755" s="195" t="str">
        <f>IF(V755=Setup!$C$30,"Grant",IF(V755=Setup!$C$31,"Local",IF(V755=Setup!$C$32,"Other",IF(ISBLANK(V755),"","Other"))))</f>
        <v/>
      </c>
      <c r="X755" s="255"/>
      <c r="Y755" s="259" t="str">
        <f>IF(X755&lt;&gt;"",X755/VLOOKUP($V755,Setup!$C$30:$D$41,2,0),"")</f>
        <v/>
      </c>
      <c r="Z755" s="262"/>
      <c r="AA755" s="256" t="str">
        <f t="shared" si="339"/>
        <v/>
      </c>
      <c r="AB755" s="262"/>
      <c r="AC755" s="258" t="str">
        <f t="shared" si="340"/>
        <v/>
      </c>
      <c r="AD755" s="262"/>
      <c r="AE755" s="258" t="str">
        <f t="shared" si="341"/>
        <v/>
      </c>
      <c r="AF755" s="262"/>
      <c r="AG755" s="256" t="str">
        <f t="shared" si="342"/>
        <v/>
      </c>
      <c r="AH755" s="256" t="str">
        <f t="shared" si="343"/>
        <v/>
      </c>
      <c r="AI755" s="256" t="str">
        <f t="shared" si="344"/>
        <v/>
      </c>
      <c r="AJ755" s="111"/>
      <c r="AK755" s="255"/>
      <c r="AL755" s="259" t="str">
        <f>IF(AK755&lt;&gt;"",AK755/VLOOKUP($V755,Setup!$C$30:$D$41,2,0),"")</f>
        <v/>
      </c>
      <c r="AM755" s="266"/>
      <c r="AN755" s="258" t="str">
        <f t="shared" si="345"/>
        <v/>
      </c>
      <c r="AO755" s="266"/>
      <c r="AP755" s="258" t="str">
        <f t="shared" si="346"/>
        <v/>
      </c>
      <c r="AQ755" s="266"/>
      <c r="AR755" s="258" t="str">
        <f t="shared" si="347"/>
        <v/>
      </c>
      <c r="AS755" s="266"/>
      <c r="AT755" s="256" t="str">
        <f t="shared" si="348"/>
        <v/>
      </c>
      <c r="AU755" s="256" t="str">
        <f t="shared" si="349"/>
        <v/>
      </c>
      <c r="AV755" s="256" t="str">
        <f t="shared" si="350"/>
        <v/>
      </c>
      <c r="AW755" s="267"/>
      <c r="AX755" s="255"/>
      <c r="AY755" s="259" t="str">
        <f>IF(AX755&lt;&gt;"",AX755/VLOOKUP($V755,Setup!$C$30:$D$41,2,0),"")</f>
        <v/>
      </c>
      <c r="AZ755" s="268"/>
      <c r="BA755" s="258" t="str">
        <f t="shared" si="351"/>
        <v/>
      </c>
      <c r="BB755" s="268"/>
      <c r="BC755" s="258" t="str">
        <f t="shared" si="352"/>
        <v/>
      </c>
      <c r="BD755" s="268"/>
      <c r="BE755" s="258" t="str">
        <f t="shared" si="353"/>
        <v/>
      </c>
      <c r="BF755" s="268"/>
      <c r="BG755" s="256" t="str">
        <f t="shared" si="354"/>
        <v/>
      </c>
      <c r="BH755" s="256" t="str">
        <f t="shared" si="355"/>
        <v/>
      </c>
      <c r="BI755" s="256" t="str">
        <f t="shared" si="356"/>
        <v/>
      </c>
      <c r="BJ755" s="267"/>
      <c r="BK755" s="255"/>
      <c r="BL755" s="259" t="str">
        <f>IF(BK755&lt;&gt;"",BK755/VLOOKUP($V755,Setup!$C$30:$D$41,2,0),"")</f>
        <v/>
      </c>
      <c r="BM755" s="268"/>
      <c r="BN755" s="258" t="str">
        <f t="shared" si="357"/>
        <v/>
      </c>
      <c r="BO755" s="268"/>
      <c r="BP755" s="258" t="str">
        <f t="shared" si="358"/>
        <v/>
      </c>
      <c r="BQ755" s="268"/>
      <c r="BR755" s="258" t="str">
        <f t="shared" si="359"/>
        <v/>
      </c>
      <c r="BS755" s="268"/>
      <c r="BT755" s="256" t="str">
        <f t="shared" si="360"/>
        <v/>
      </c>
      <c r="BU755" s="256" t="str">
        <f t="shared" si="361"/>
        <v/>
      </c>
      <c r="BV755" s="256" t="str">
        <f t="shared" si="362"/>
        <v/>
      </c>
      <c r="BW755" s="267"/>
      <c r="BX755" s="256" t="str">
        <f t="shared" si="363"/>
        <v/>
      </c>
      <c r="BY755" s="256" t="str">
        <f t="shared" si="364"/>
        <v/>
      </c>
      <c r="BZ755" s="281"/>
      <c r="CA755" s="282"/>
      <c r="CF755" s="284"/>
      <c r="CG755" s="284"/>
      <c r="CH755" s="284"/>
      <c r="CI755" s="284"/>
      <c r="CL755" s="356" t="str">
        <f>IFERROR(VLOOKUP(C755,'Data Sheet'!$A$3:$B$26,2,FALSE),"")</f>
        <v/>
      </c>
    </row>
    <row r="756" spans="1:90" ht="15.75" x14ac:dyDescent="0.2">
      <c r="A756" s="97"/>
      <c r="B756" s="105" t="str">
        <f t="shared" si="367"/>
        <v>--</v>
      </c>
      <c r="C756" s="276"/>
      <c r="D756" s="101" t="str">
        <f>IFERROR(IF(VLOOKUP(C756,'Data Sheet'!$A$3:$D$26,4,FALSE)=0,"",VLOOKUP(C756,'Data Sheet'!$A$3:$D$26,4,FALSE)),"")</f>
        <v/>
      </c>
      <c r="E756" s="279"/>
      <c r="F756" s="103" t="str">
        <f>IFERROR(IF(VLOOKUP(E756,'Data Sheet'!$C$29:$E$174,3,FALSE)=0,"",VLOOKUP(E756,'Data Sheet'!$C$29:$E$174,3,FALSE)),"")</f>
        <v/>
      </c>
      <c r="G756" s="106" t="str">
        <f t="shared" si="365"/>
        <v>-</v>
      </c>
      <c r="H756" s="273"/>
      <c r="I756" s="107"/>
      <c r="J756" s="249" t="e">
        <f t="shared" si="366"/>
        <v>#VALUE!</v>
      </c>
      <c r="K756" s="101" t="str">
        <f>IFERROR(INDEX('Data Sheet'!$C$198:$C$275,MATCH(I756,'Data Sheet'!$F$198:$F$275,0)),"")</f>
        <v/>
      </c>
      <c r="L756" s="250" t="str">
        <f>IFERROR(INDEX('Data Sheet'!$G$198:$G$275,MATCH(I756,'Data Sheet'!$F$198:$F$275,0)),"")</f>
        <v/>
      </c>
      <c r="M756" s="194"/>
      <c r="N756" s="248"/>
      <c r="O756" s="248"/>
      <c r="P756" s="108" t="str">
        <f>IFERROR(INDEX(Setup!$D$44:$D$70,MATCH(M756,Setup!$K$44:$K$70,0))&amp;"","")</f>
        <v/>
      </c>
      <c r="Q756" s="108" t="str">
        <f>IFERROR(INDEX(Setup!$E$44:$E$70,MATCH(M756,Setup!$K$44:$K$70,0))&amp;"","")</f>
        <v/>
      </c>
      <c r="R756" s="108" t="str">
        <f>IFERROR(INDEX(Setup!$L$44:$L$70,MATCH(M756,Setup!$K$44:$K$70,0))&amp;"","")</f>
        <v/>
      </c>
      <c r="S756" s="108" t="str">
        <f>Setup!$C$30</f>
        <v>USD</v>
      </c>
      <c r="T756" s="109" t="str">
        <f>IFERROR(INDEX('Data Sheet'!$B$198:$B$275,MATCH(I756,'Data Sheet'!$F$198:$F$275,0)),"")</f>
        <v/>
      </c>
      <c r="U756" s="110" t="str">
        <f>IFERROR(INDEX('Data Sheet'!$D$198:$D$275,MATCH(I756,'Data Sheet'!$F$198:$F$275,0)),"")</f>
        <v/>
      </c>
      <c r="V756" s="99"/>
      <c r="W756" s="195" t="str">
        <f>IF(V756=Setup!$C$30,"Grant",IF(V756=Setup!$C$31,"Local",IF(V756=Setup!$C$32,"Other",IF(ISBLANK(V756),"","Other"))))</f>
        <v/>
      </c>
      <c r="X756" s="255"/>
      <c r="Y756" s="259" t="str">
        <f>IF(X756&lt;&gt;"",X756/VLOOKUP($V756,Setup!$C$30:$D$41,2,0),"")</f>
        <v/>
      </c>
      <c r="Z756" s="262"/>
      <c r="AA756" s="256" t="str">
        <f t="shared" si="339"/>
        <v/>
      </c>
      <c r="AB756" s="262"/>
      <c r="AC756" s="258" t="str">
        <f t="shared" si="340"/>
        <v/>
      </c>
      <c r="AD756" s="262"/>
      <c r="AE756" s="258" t="str">
        <f t="shared" si="341"/>
        <v/>
      </c>
      <c r="AF756" s="262"/>
      <c r="AG756" s="256" t="str">
        <f t="shared" si="342"/>
        <v/>
      </c>
      <c r="AH756" s="256" t="str">
        <f t="shared" si="343"/>
        <v/>
      </c>
      <c r="AI756" s="256" t="str">
        <f t="shared" si="344"/>
        <v/>
      </c>
      <c r="AJ756" s="111"/>
      <c r="AK756" s="255"/>
      <c r="AL756" s="259" t="str">
        <f>IF(AK756&lt;&gt;"",AK756/VLOOKUP($V756,Setup!$C$30:$D$41,2,0),"")</f>
        <v/>
      </c>
      <c r="AM756" s="266"/>
      <c r="AN756" s="258" t="str">
        <f t="shared" si="345"/>
        <v/>
      </c>
      <c r="AO756" s="266"/>
      <c r="AP756" s="258" t="str">
        <f t="shared" si="346"/>
        <v/>
      </c>
      <c r="AQ756" s="266"/>
      <c r="AR756" s="258" t="str">
        <f t="shared" si="347"/>
        <v/>
      </c>
      <c r="AS756" s="266"/>
      <c r="AT756" s="256" t="str">
        <f t="shared" si="348"/>
        <v/>
      </c>
      <c r="AU756" s="256" t="str">
        <f t="shared" si="349"/>
        <v/>
      </c>
      <c r="AV756" s="256" t="str">
        <f t="shared" si="350"/>
        <v/>
      </c>
      <c r="AW756" s="267"/>
      <c r="AX756" s="255"/>
      <c r="AY756" s="259" t="str">
        <f>IF(AX756&lt;&gt;"",AX756/VLOOKUP($V756,Setup!$C$30:$D$41,2,0),"")</f>
        <v/>
      </c>
      <c r="AZ756" s="268"/>
      <c r="BA756" s="258" t="str">
        <f t="shared" si="351"/>
        <v/>
      </c>
      <c r="BB756" s="268"/>
      <c r="BC756" s="258" t="str">
        <f t="shared" si="352"/>
        <v/>
      </c>
      <c r="BD756" s="268"/>
      <c r="BE756" s="258" t="str">
        <f t="shared" si="353"/>
        <v/>
      </c>
      <c r="BF756" s="268"/>
      <c r="BG756" s="256" t="str">
        <f t="shared" si="354"/>
        <v/>
      </c>
      <c r="BH756" s="256" t="str">
        <f t="shared" si="355"/>
        <v/>
      </c>
      <c r="BI756" s="256" t="str">
        <f t="shared" si="356"/>
        <v/>
      </c>
      <c r="BJ756" s="267"/>
      <c r="BK756" s="255"/>
      <c r="BL756" s="259" t="str">
        <f>IF(BK756&lt;&gt;"",BK756/VLOOKUP($V756,Setup!$C$30:$D$41,2,0),"")</f>
        <v/>
      </c>
      <c r="BM756" s="268"/>
      <c r="BN756" s="258" t="str">
        <f t="shared" si="357"/>
        <v/>
      </c>
      <c r="BO756" s="268"/>
      <c r="BP756" s="258" t="str">
        <f t="shared" si="358"/>
        <v/>
      </c>
      <c r="BQ756" s="268"/>
      <c r="BR756" s="258" t="str">
        <f t="shared" si="359"/>
        <v/>
      </c>
      <c r="BS756" s="268"/>
      <c r="BT756" s="256" t="str">
        <f t="shared" si="360"/>
        <v/>
      </c>
      <c r="BU756" s="256" t="str">
        <f t="shared" si="361"/>
        <v/>
      </c>
      <c r="BV756" s="256" t="str">
        <f t="shared" si="362"/>
        <v/>
      </c>
      <c r="BW756" s="267"/>
      <c r="BX756" s="256" t="str">
        <f t="shared" si="363"/>
        <v/>
      </c>
      <c r="BY756" s="256" t="str">
        <f t="shared" si="364"/>
        <v/>
      </c>
      <c r="BZ756" s="281"/>
      <c r="CA756" s="282"/>
      <c r="CF756" s="284"/>
      <c r="CG756" s="284"/>
      <c r="CH756" s="284"/>
      <c r="CI756" s="284"/>
      <c r="CL756" s="356" t="str">
        <f>IFERROR(VLOOKUP(C756,'Data Sheet'!$A$3:$B$26,2,FALSE),"")</f>
        <v/>
      </c>
    </row>
    <row r="757" spans="1:90" ht="15.75" x14ac:dyDescent="0.2">
      <c r="A757" s="97"/>
      <c r="B757" s="105" t="str">
        <f t="shared" si="367"/>
        <v>--</v>
      </c>
      <c r="C757" s="276"/>
      <c r="D757" s="101" t="str">
        <f>IFERROR(IF(VLOOKUP(C757,'Data Sheet'!$A$3:$D$26,4,FALSE)=0,"",VLOOKUP(C757,'Data Sheet'!$A$3:$D$26,4,FALSE)),"")</f>
        <v/>
      </c>
      <c r="E757" s="279"/>
      <c r="F757" s="103" t="str">
        <f>IFERROR(IF(VLOOKUP(E757,'Data Sheet'!$C$29:$E$174,3,FALSE)=0,"",VLOOKUP(E757,'Data Sheet'!$C$29:$E$174,3,FALSE)),"")</f>
        <v/>
      </c>
      <c r="G757" s="106" t="str">
        <f t="shared" si="365"/>
        <v>-</v>
      </c>
      <c r="H757" s="273"/>
      <c r="I757" s="107"/>
      <c r="J757" s="249" t="e">
        <f t="shared" si="366"/>
        <v>#VALUE!</v>
      </c>
      <c r="K757" s="101" t="str">
        <f>IFERROR(INDEX('Data Sheet'!$C$198:$C$275,MATCH(I757,'Data Sheet'!$F$198:$F$275,0)),"")</f>
        <v/>
      </c>
      <c r="L757" s="250" t="str">
        <f>IFERROR(INDEX('Data Sheet'!$G$198:$G$275,MATCH(I757,'Data Sheet'!$F$198:$F$275,0)),"")</f>
        <v/>
      </c>
      <c r="M757" s="194"/>
      <c r="N757" s="248"/>
      <c r="O757" s="248"/>
      <c r="P757" s="108" t="str">
        <f>IFERROR(INDEX(Setup!$D$44:$D$70,MATCH(M757,Setup!$K$44:$K$70,0))&amp;"","")</f>
        <v/>
      </c>
      <c r="Q757" s="108" t="str">
        <f>IFERROR(INDEX(Setup!$E$44:$E$70,MATCH(M757,Setup!$K$44:$K$70,0))&amp;"","")</f>
        <v/>
      </c>
      <c r="R757" s="108" t="str">
        <f>IFERROR(INDEX(Setup!$L$44:$L$70,MATCH(M757,Setup!$K$44:$K$70,0))&amp;"","")</f>
        <v/>
      </c>
      <c r="S757" s="108" t="str">
        <f>Setup!$C$30</f>
        <v>USD</v>
      </c>
      <c r="T757" s="109" t="str">
        <f>IFERROR(INDEX('Data Sheet'!$B$198:$B$275,MATCH(I757,'Data Sheet'!$F$198:$F$275,0)),"")</f>
        <v/>
      </c>
      <c r="U757" s="110" t="str">
        <f>IFERROR(INDEX('Data Sheet'!$D$198:$D$275,MATCH(I757,'Data Sheet'!$F$198:$F$275,0)),"")</f>
        <v/>
      </c>
      <c r="V757" s="99"/>
      <c r="W757" s="195" t="str">
        <f>IF(V757=Setup!$C$30,"Grant",IF(V757=Setup!$C$31,"Local",IF(V757=Setup!$C$32,"Other",IF(ISBLANK(V757),"","Other"))))</f>
        <v/>
      </c>
      <c r="X757" s="255"/>
      <c r="Y757" s="259" t="str">
        <f>IF(X757&lt;&gt;"",X757/VLOOKUP($V757,Setup!$C$30:$D$41,2,0),"")</f>
        <v/>
      </c>
      <c r="Z757" s="262"/>
      <c r="AA757" s="256" t="str">
        <f t="shared" si="339"/>
        <v/>
      </c>
      <c r="AB757" s="262"/>
      <c r="AC757" s="258" t="str">
        <f t="shared" si="340"/>
        <v/>
      </c>
      <c r="AD757" s="262"/>
      <c r="AE757" s="258" t="str">
        <f t="shared" si="341"/>
        <v/>
      </c>
      <c r="AF757" s="262"/>
      <c r="AG757" s="256" t="str">
        <f t="shared" si="342"/>
        <v/>
      </c>
      <c r="AH757" s="256" t="str">
        <f t="shared" si="343"/>
        <v/>
      </c>
      <c r="AI757" s="256" t="str">
        <f t="shared" si="344"/>
        <v/>
      </c>
      <c r="AJ757" s="111"/>
      <c r="AK757" s="255"/>
      <c r="AL757" s="259" t="str">
        <f>IF(AK757&lt;&gt;"",AK757/VLOOKUP($V757,Setup!$C$30:$D$41,2,0),"")</f>
        <v/>
      </c>
      <c r="AM757" s="266"/>
      <c r="AN757" s="258" t="str">
        <f t="shared" si="345"/>
        <v/>
      </c>
      <c r="AO757" s="266"/>
      <c r="AP757" s="258" t="str">
        <f t="shared" si="346"/>
        <v/>
      </c>
      <c r="AQ757" s="266"/>
      <c r="AR757" s="258" t="str">
        <f t="shared" si="347"/>
        <v/>
      </c>
      <c r="AS757" s="266"/>
      <c r="AT757" s="256" t="str">
        <f t="shared" si="348"/>
        <v/>
      </c>
      <c r="AU757" s="256" t="str">
        <f t="shared" si="349"/>
        <v/>
      </c>
      <c r="AV757" s="256" t="str">
        <f t="shared" si="350"/>
        <v/>
      </c>
      <c r="AW757" s="267"/>
      <c r="AX757" s="255"/>
      <c r="AY757" s="259" t="str">
        <f>IF(AX757&lt;&gt;"",AX757/VLOOKUP($V757,Setup!$C$30:$D$41,2,0),"")</f>
        <v/>
      </c>
      <c r="AZ757" s="268"/>
      <c r="BA757" s="258" t="str">
        <f t="shared" si="351"/>
        <v/>
      </c>
      <c r="BB757" s="268"/>
      <c r="BC757" s="258" t="str">
        <f t="shared" si="352"/>
        <v/>
      </c>
      <c r="BD757" s="268"/>
      <c r="BE757" s="258" t="str">
        <f t="shared" si="353"/>
        <v/>
      </c>
      <c r="BF757" s="268"/>
      <c r="BG757" s="256" t="str">
        <f t="shared" si="354"/>
        <v/>
      </c>
      <c r="BH757" s="256" t="str">
        <f t="shared" si="355"/>
        <v/>
      </c>
      <c r="BI757" s="256" t="str">
        <f t="shared" si="356"/>
        <v/>
      </c>
      <c r="BJ757" s="267"/>
      <c r="BK757" s="255"/>
      <c r="BL757" s="259" t="str">
        <f>IF(BK757&lt;&gt;"",BK757/VLOOKUP($V757,Setup!$C$30:$D$41,2,0),"")</f>
        <v/>
      </c>
      <c r="BM757" s="268"/>
      <c r="BN757" s="258" t="str">
        <f t="shared" si="357"/>
        <v/>
      </c>
      <c r="BO757" s="268"/>
      <c r="BP757" s="258" t="str">
        <f t="shared" si="358"/>
        <v/>
      </c>
      <c r="BQ757" s="268"/>
      <c r="BR757" s="258" t="str">
        <f t="shared" si="359"/>
        <v/>
      </c>
      <c r="BS757" s="268"/>
      <c r="BT757" s="256" t="str">
        <f t="shared" si="360"/>
        <v/>
      </c>
      <c r="BU757" s="256" t="str">
        <f t="shared" si="361"/>
        <v/>
      </c>
      <c r="BV757" s="256" t="str">
        <f t="shared" si="362"/>
        <v/>
      </c>
      <c r="BW757" s="267"/>
      <c r="BX757" s="256" t="str">
        <f t="shared" si="363"/>
        <v/>
      </c>
      <c r="BY757" s="256" t="str">
        <f t="shared" si="364"/>
        <v/>
      </c>
      <c r="BZ757" s="281"/>
      <c r="CA757" s="282"/>
      <c r="CF757" s="284"/>
      <c r="CG757" s="284"/>
      <c r="CH757" s="284"/>
      <c r="CI757" s="284"/>
      <c r="CL757" s="356" t="str">
        <f>IFERROR(VLOOKUP(C757,'Data Sheet'!$A$3:$B$26,2,FALSE),"")</f>
        <v/>
      </c>
    </row>
    <row r="758" spans="1:90" ht="15.75" x14ac:dyDescent="0.2">
      <c r="A758" s="97"/>
      <c r="B758" s="105" t="str">
        <f t="shared" si="367"/>
        <v>--</v>
      </c>
      <c r="C758" s="276"/>
      <c r="D758" s="101" t="str">
        <f>IFERROR(IF(VLOOKUP(C758,'Data Sheet'!$A$3:$D$26,4,FALSE)=0,"",VLOOKUP(C758,'Data Sheet'!$A$3:$D$26,4,FALSE)),"")</f>
        <v/>
      </c>
      <c r="E758" s="279"/>
      <c r="F758" s="103" t="str">
        <f>IFERROR(IF(VLOOKUP(E758,'Data Sheet'!$C$29:$E$174,3,FALSE)=0,"",VLOOKUP(E758,'Data Sheet'!$C$29:$E$174,3,FALSE)),"")</f>
        <v/>
      </c>
      <c r="G758" s="106" t="str">
        <f t="shared" si="365"/>
        <v>-</v>
      </c>
      <c r="H758" s="273"/>
      <c r="I758" s="107"/>
      <c r="J758" s="249" t="e">
        <f t="shared" si="366"/>
        <v>#VALUE!</v>
      </c>
      <c r="K758" s="101" t="str">
        <f>IFERROR(INDEX('Data Sheet'!$C$198:$C$275,MATCH(I758,'Data Sheet'!$F$198:$F$275,0)),"")</f>
        <v/>
      </c>
      <c r="L758" s="250" t="str">
        <f>IFERROR(INDEX('Data Sheet'!$G$198:$G$275,MATCH(I758,'Data Sheet'!$F$198:$F$275,0)),"")</f>
        <v/>
      </c>
      <c r="M758" s="194"/>
      <c r="N758" s="248"/>
      <c r="O758" s="248"/>
      <c r="P758" s="108" t="str">
        <f>IFERROR(INDEX(Setup!$D$44:$D$70,MATCH(M758,Setup!$K$44:$K$70,0))&amp;"","")</f>
        <v/>
      </c>
      <c r="Q758" s="108" t="str">
        <f>IFERROR(INDEX(Setup!$E$44:$E$70,MATCH(M758,Setup!$K$44:$K$70,0))&amp;"","")</f>
        <v/>
      </c>
      <c r="R758" s="108" t="str">
        <f>IFERROR(INDEX(Setup!$L$44:$L$70,MATCH(M758,Setup!$K$44:$K$70,0))&amp;"","")</f>
        <v/>
      </c>
      <c r="S758" s="108" t="str">
        <f>Setup!$C$30</f>
        <v>USD</v>
      </c>
      <c r="T758" s="109" t="str">
        <f>IFERROR(INDEX('Data Sheet'!$B$198:$B$275,MATCH(I758,'Data Sheet'!$F$198:$F$275,0)),"")</f>
        <v/>
      </c>
      <c r="U758" s="110" t="str">
        <f>IFERROR(INDEX('Data Sheet'!$D$198:$D$275,MATCH(I758,'Data Sheet'!$F$198:$F$275,0)),"")</f>
        <v/>
      </c>
      <c r="V758" s="99"/>
      <c r="W758" s="195" t="str">
        <f>IF(V758=Setup!$C$30,"Grant",IF(V758=Setup!$C$31,"Local",IF(V758=Setup!$C$32,"Other",IF(ISBLANK(V758),"","Other"))))</f>
        <v/>
      </c>
      <c r="X758" s="255"/>
      <c r="Y758" s="259" t="str">
        <f>IF(X758&lt;&gt;"",X758/VLOOKUP($V758,Setup!$C$30:$D$41,2,0),"")</f>
        <v/>
      </c>
      <c r="Z758" s="262"/>
      <c r="AA758" s="256" t="str">
        <f t="shared" si="339"/>
        <v/>
      </c>
      <c r="AB758" s="262"/>
      <c r="AC758" s="258" t="str">
        <f t="shared" si="340"/>
        <v/>
      </c>
      <c r="AD758" s="262"/>
      <c r="AE758" s="258" t="str">
        <f t="shared" si="341"/>
        <v/>
      </c>
      <c r="AF758" s="262"/>
      <c r="AG758" s="256" t="str">
        <f t="shared" si="342"/>
        <v/>
      </c>
      <c r="AH758" s="256" t="str">
        <f t="shared" si="343"/>
        <v/>
      </c>
      <c r="AI758" s="256" t="str">
        <f t="shared" si="344"/>
        <v/>
      </c>
      <c r="AJ758" s="111"/>
      <c r="AK758" s="255"/>
      <c r="AL758" s="259" t="str">
        <f>IF(AK758&lt;&gt;"",AK758/VLOOKUP($V758,Setup!$C$30:$D$41,2,0),"")</f>
        <v/>
      </c>
      <c r="AM758" s="266"/>
      <c r="AN758" s="258" t="str">
        <f t="shared" si="345"/>
        <v/>
      </c>
      <c r="AO758" s="266"/>
      <c r="AP758" s="258" t="str">
        <f t="shared" si="346"/>
        <v/>
      </c>
      <c r="AQ758" s="266"/>
      <c r="AR758" s="258" t="str">
        <f t="shared" si="347"/>
        <v/>
      </c>
      <c r="AS758" s="266"/>
      <c r="AT758" s="256" t="str">
        <f t="shared" si="348"/>
        <v/>
      </c>
      <c r="AU758" s="256" t="str">
        <f t="shared" si="349"/>
        <v/>
      </c>
      <c r="AV758" s="256" t="str">
        <f t="shared" si="350"/>
        <v/>
      </c>
      <c r="AW758" s="267"/>
      <c r="AX758" s="255"/>
      <c r="AY758" s="259" t="str">
        <f>IF(AX758&lt;&gt;"",AX758/VLOOKUP($V758,Setup!$C$30:$D$41,2,0),"")</f>
        <v/>
      </c>
      <c r="AZ758" s="268"/>
      <c r="BA758" s="258" t="str">
        <f t="shared" si="351"/>
        <v/>
      </c>
      <c r="BB758" s="268"/>
      <c r="BC758" s="258" t="str">
        <f t="shared" si="352"/>
        <v/>
      </c>
      <c r="BD758" s="268"/>
      <c r="BE758" s="258" t="str">
        <f t="shared" si="353"/>
        <v/>
      </c>
      <c r="BF758" s="268"/>
      <c r="BG758" s="256" t="str">
        <f t="shared" si="354"/>
        <v/>
      </c>
      <c r="BH758" s="256" t="str">
        <f t="shared" si="355"/>
        <v/>
      </c>
      <c r="BI758" s="256" t="str">
        <f t="shared" si="356"/>
        <v/>
      </c>
      <c r="BJ758" s="267"/>
      <c r="BK758" s="255"/>
      <c r="BL758" s="259" t="str">
        <f>IF(BK758&lt;&gt;"",BK758/VLOOKUP($V758,Setup!$C$30:$D$41,2,0),"")</f>
        <v/>
      </c>
      <c r="BM758" s="268"/>
      <c r="BN758" s="258" t="str">
        <f t="shared" si="357"/>
        <v/>
      </c>
      <c r="BO758" s="268"/>
      <c r="BP758" s="258" t="str">
        <f t="shared" si="358"/>
        <v/>
      </c>
      <c r="BQ758" s="268"/>
      <c r="BR758" s="258" t="str">
        <f t="shared" si="359"/>
        <v/>
      </c>
      <c r="BS758" s="268"/>
      <c r="BT758" s="256" t="str">
        <f t="shared" si="360"/>
        <v/>
      </c>
      <c r="BU758" s="256" t="str">
        <f t="shared" si="361"/>
        <v/>
      </c>
      <c r="BV758" s="256" t="str">
        <f t="shared" si="362"/>
        <v/>
      </c>
      <c r="BW758" s="267"/>
      <c r="BX758" s="256" t="str">
        <f t="shared" si="363"/>
        <v/>
      </c>
      <c r="BY758" s="256" t="str">
        <f t="shared" si="364"/>
        <v/>
      </c>
      <c r="BZ758" s="281"/>
      <c r="CA758" s="282"/>
      <c r="CF758" s="284"/>
      <c r="CG758" s="284"/>
      <c r="CH758" s="284"/>
      <c r="CI758" s="284"/>
      <c r="CL758" s="356" t="str">
        <f>IFERROR(VLOOKUP(C758,'Data Sheet'!$A$3:$B$26,2,FALSE),"")</f>
        <v/>
      </c>
    </row>
    <row r="759" spans="1:90" ht="15.75" x14ac:dyDescent="0.2">
      <c r="A759" s="97"/>
      <c r="B759" s="105" t="str">
        <f t="shared" si="367"/>
        <v>--</v>
      </c>
      <c r="C759" s="276"/>
      <c r="D759" s="101" t="str">
        <f>IFERROR(IF(VLOOKUP(C759,'Data Sheet'!$A$3:$D$26,4,FALSE)=0,"",VLOOKUP(C759,'Data Sheet'!$A$3:$D$26,4,FALSE)),"")</f>
        <v/>
      </c>
      <c r="E759" s="279"/>
      <c r="F759" s="103" t="str">
        <f>IFERROR(IF(VLOOKUP(E759,'Data Sheet'!$C$29:$E$174,3,FALSE)=0,"",VLOOKUP(E759,'Data Sheet'!$C$29:$E$174,3,FALSE)),"")</f>
        <v/>
      </c>
      <c r="G759" s="106" t="str">
        <f t="shared" si="365"/>
        <v>-</v>
      </c>
      <c r="H759" s="273"/>
      <c r="I759" s="107"/>
      <c r="J759" s="249" t="e">
        <f t="shared" si="366"/>
        <v>#VALUE!</v>
      </c>
      <c r="K759" s="101" t="str">
        <f>IFERROR(INDEX('Data Sheet'!$C$198:$C$275,MATCH(I759,'Data Sheet'!$F$198:$F$275,0)),"")</f>
        <v/>
      </c>
      <c r="L759" s="250" t="str">
        <f>IFERROR(INDEX('Data Sheet'!$G$198:$G$275,MATCH(I759,'Data Sheet'!$F$198:$F$275,0)),"")</f>
        <v/>
      </c>
      <c r="M759" s="194"/>
      <c r="N759" s="248"/>
      <c r="O759" s="248"/>
      <c r="P759" s="108" t="str">
        <f>IFERROR(INDEX(Setup!$D$44:$D$70,MATCH(M759,Setup!$K$44:$K$70,0))&amp;"","")</f>
        <v/>
      </c>
      <c r="Q759" s="108" t="str">
        <f>IFERROR(INDEX(Setup!$E$44:$E$70,MATCH(M759,Setup!$K$44:$K$70,0))&amp;"","")</f>
        <v/>
      </c>
      <c r="R759" s="108" t="str">
        <f>IFERROR(INDEX(Setup!$L$44:$L$70,MATCH(M759,Setup!$K$44:$K$70,0))&amp;"","")</f>
        <v/>
      </c>
      <c r="S759" s="108" t="str">
        <f>Setup!$C$30</f>
        <v>USD</v>
      </c>
      <c r="T759" s="109" t="str">
        <f>IFERROR(INDEX('Data Sheet'!$B$198:$B$275,MATCH(I759,'Data Sheet'!$F$198:$F$275,0)),"")</f>
        <v/>
      </c>
      <c r="U759" s="110" t="str">
        <f>IFERROR(INDEX('Data Sheet'!$D$198:$D$275,MATCH(I759,'Data Sheet'!$F$198:$F$275,0)),"")</f>
        <v/>
      </c>
      <c r="V759" s="99"/>
      <c r="W759" s="195" t="str">
        <f>IF(V759=Setup!$C$30,"Grant",IF(V759=Setup!$C$31,"Local",IF(V759=Setup!$C$32,"Other",IF(ISBLANK(V759),"","Other"))))</f>
        <v/>
      </c>
      <c r="X759" s="255"/>
      <c r="Y759" s="259" t="str">
        <f>IF(X759&lt;&gt;"",X759/VLOOKUP($V759,Setup!$C$30:$D$41,2,0),"")</f>
        <v/>
      </c>
      <c r="Z759" s="262"/>
      <c r="AA759" s="256" t="str">
        <f t="shared" si="339"/>
        <v/>
      </c>
      <c r="AB759" s="262"/>
      <c r="AC759" s="258" t="str">
        <f t="shared" si="340"/>
        <v/>
      </c>
      <c r="AD759" s="262"/>
      <c r="AE759" s="258" t="str">
        <f t="shared" si="341"/>
        <v/>
      </c>
      <c r="AF759" s="262"/>
      <c r="AG759" s="256" t="str">
        <f t="shared" si="342"/>
        <v/>
      </c>
      <c r="AH759" s="256" t="str">
        <f t="shared" si="343"/>
        <v/>
      </c>
      <c r="AI759" s="256" t="str">
        <f t="shared" si="344"/>
        <v/>
      </c>
      <c r="AJ759" s="111"/>
      <c r="AK759" s="255"/>
      <c r="AL759" s="259" t="str">
        <f>IF(AK759&lt;&gt;"",AK759/VLOOKUP($V759,Setup!$C$30:$D$41,2,0),"")</f>
        <v/>
      </c>
      <c r="AM759" s="266"/>
      <c r="AN759" s="258" t="str">
        <f t="shared" si="345"/>
        <v/>
      </c>
      <c r="AO759" s="266"/>
      <c r="AP759" s="258" t="str">
        <f t="shared" si="346"/>
        <v/>
      </c>
      <c r="AQ759" s="266"/>
      <c r="AR759" s="258" t="str">
        <f t="shared" si="347"/>
        <v/>
      </c>
      <c r="AS759" s="266"/>
      <c r="AT759" s="256" t="str">
        <f t="shared" si="348"/>
        <v/>
      </c>
      <c r="AU759" s="256" t="str">
        <f t="shared" si="349"/>
        <v/>
      </c>
      <c r="AV759" s="256" t="str">
        <f t="shared" si="350"/>
        <v/>
      </c>
      <c r="AW759" s="267"/>
      <c r="AX759" s="255"/>
      <c r="AY759" s="259" t="str">
        <f>IF(AX759&lt;&gt;"",AX759/VLOOKUP($V759,Setup!$C$30:$D$41,2,0),"")</f>
        <v/>
      </c>
      <c r="AZ759" s="268"/>
      <c r="BA759" s="258" t="str">
        <f t="shared" si="351"/>
        <v/>
      </c>
      <c r="BB759" s="268"/>
      <c r="BC759" s="258" t="str">
        <f t="shared" si="352"/>
        <v/>
      </c>
      <c r="BD759" s="268"/>
      <c r="BE759" s="258" t="str">
        <f t="shared" si="353"/>
        <v/>
      </c>
      <c r="BF759" s="268"/>
      <c r="BG759" s="256" t="str">
        <f t="shared" si="354"/>
        <v/>
      </c>
      <c r="BH759" s="256" t="str">
        <f t="shared" si="355"/>
        <v/>
      </c>
      <c r="BI759" s="256" t="str">
        <f t="shared" si="356"/>
        <v/>
      </c>
      <c r="BJ759" s="267"/>
      <c r="BK759" s="255"/>
      <c r="BL759" s="259" t="str">
        <f>IF(BK759&lt;&gt;"",BK759/VLOOKUP($V759,Setup!$C$30:$D$41,2,0),"")</f>
        <v/>
      </c>
      <c r="BM759" s="268"/>
      <c r="BN759" s="258" t="str">
        <f t="shared" si="357"/>
        <v/>
      </c>
      <c r="BO759" s="268"/>
      <c r="BP759" s="258" t="str">
        <f t="shared" si="358"/>
        <v/>
      </c>
      <c r="BQ759" s="268"/>
      <c r="BR759" s="258" t="str">
        <f t="shared" si="359"/>
        <v/>
      </c>
      <c r="BS759" s="268"/>
      <c r="BT759" s="256" t="str">
        <f t="shared" si="360"/>
        <v/>
      </c>
      <c r="BU759" s="256" t="str">
        <f t="shared" si="361"/>
        <v/>
      </c>
      <c r="BV759" s="256" t="str">
        <f t="shared" si="362"/>
        <v/>
      </c>
      <c r="BW759" s="267"/>
      <c r="BX759" s="256" t="str">
        <f t="shared" si="363"/>
        <v/>
      </c>
      <c r="BY759" s="256" t="str">
        <f t="shared" si="364"/>
        <v/>
      </c>
      <c r="BZ759" s="281"/>
      <c r="CA759" s="282"/>
      <c r="CF759" s="284"/>
      <c r="CG759" s="284"/>
      <c r="CH759" s="284"/>
      <c r="CI759" s="284"/>
      <c r="CL759" s="356" t="str">
        <f>IFERROR(VLOOKUP(C759,'Data Sheet'!$A$3:$B$26,2,FALSE),"")</f>
        <v/>
      </c>
    </row>
    <row r="760" spans="1:90" ht="15.75" x14ac:dyDescent="0.2">
      <c r="A760" s="97"/>
      <c r="B760" s="105" t="str">
        <f t="shared" si="367"/>
        <v>--</v>
      </c>
      <c r="C760" s="276"/>
      <c r="D760" s="101" t="str">
        <f>IFERROR(IF(VLOOKUP(C760,'Data Sheet'!$A$3:$D$26,4,FALSE)=0,"",VLOOKUP(C760,'Data Sheet'!$A$3:$D$26,4,FALSE)),"")</f>
        <v/>
      </c>
      <c r="E760" s="279"/>
      <c r="F760" s="103" t="str">
        <f>IFERROR(IF(VLOOKUP(E760,'Data Sheet'!$C$29:$E$174,3,FALSE)=0,"",VLOOKUP(E760,'Data Sheet'!$C$29:$E$174,3,FALSE)),"")</f>
        <v/>
      </c>
      <c r="G760" s="106" t="str">
        <f t="shared" si="365"/>
        <v>-</v>
      </c>
      <c r="H760" s="273"/>
      <c r="I760" s="107"/>
      <c r="J760" s="249" t="e">
        <f t="shared" si="366"/>
        <v>#VALUE!</v>
      </c>
      <c r="K760" s="101" t="str">
        <f>IFERROR(INDEX('Data Sheet'!$C$198:$C$275,MATCH(I760,'Data Sheet'!$F$198:$F$275,0)),"")</f>
        <v/>
      </c>
      <c r="L760" s="250" t="str">
        <f>IFERROR(INDEX('Data Sheet'!$G$198:$G$275,MATCH(I760,'Data Sheet'!$F$198:$F$275,0)),"")</f>
        <v/>
      </c>
      <c r="M760" s="194"/>
      <c r="N760" s="248"/>
      <c r="O760" s="248"/>
      <c r="P760" s="108" t="str">
        <f>IFERROR(INDEX(Setup!$D$44:$D$70,MATCH(M760,Setup!$K$44:$K$70,0))&amp;"","")</f>
        <v/>
      </c>
      <c r="Q760" s="108" t="str">
        <f>IFERROR(INDEX(Setup!$E$44:$E$70,MATCH(M760,Setup!$K$44:$K$70,0))&amp;"","")</f>
        <v/>
      </c>
      <c r="R760" s="108" t="str">
        <f>IFERROR(INDEX(Setup!$L$44:$L$70,MATCH(M760,Setup!$K$44:$K$70,0))&amp;"","")</f>
        <v/>
      </c>
      <c r="S760" s="108" t="str">
        <f>Setup!$C$30</f>
        <v>USD</v>
      </c>
      <c r="T760" s="109" t="str">
        <f>IFERROR(INDEX('Data Sheet'!$B$198:$B$275,MATCH(I760,'Data Sheet'!$F$198:$F$275,0)),"")</f>
        <v/>
      </c>
      <c r="U760" s="110" t="str">
        <f>IFERROR(INDEX('Data Sheet'!$D$198:$D$275,MATCH(I760,'Data Sheet'!$F$198:$F$275,0)),"")</f>
        <v/>
      </c>
      <c r="V760" s="99"/>
      <c r="W760" s="195" t="str">
        <f>IF(V760=Setup!$C$30,"Grant",IF(V760=Setup!$C$31,"Local",IF(V760=Setup!$C$32,"Other",IF(ISBLANK(V760),"","Other"))))</f>
        <v/>
      </c>
      <c r="X760" s="255"/>
      <c r="Y760" s="259" t="str">
        <f>IF(X760&lt;&gt;"",X760/VLOOKUP($V760,Setup!$C$30:$D$41,2,0),"")</f>
        <v/>
      </c>
      <c r="Z760" s="262"/>
      <c r="AA760" s="256" t="str">
        <f t="shared" si="339"/>
        <v/>
      </c>
      <c r="AB760" s="262"/>
      <c r="AC760" s="258" t="str">
        <f t="shared" si="340"/>
        <v/>
      </c>
      <c r="AD760" s="262"/>
      <c r="AE760" s="258" t="str">
        <f t="shared" si="341"/>
        <v/>
      </c>
      <c r="AF760" s="262"/>
      <c r="AG760" s="256" t="str">
        <f t="shared" si="342"/>
        <v/>
      </c>
      <c r="AH760" s="256" t="str">
        <f t="shared" si="343"/>
        <v/>
      </c>
      <c r="AI760" s="256" t="str">
        <f t="shared" si="344"/>
        <v/>
      </c>
      <c r="AJ760" s="111"/>
      <c r="AK760" s="255"/>
      <c r="AL760" s="259" t="str">
        <f>IF(AK760&lt;&gt;"",AK760/VLOOKUP($V760,Setup!$C$30:$D$41,2,0),"")</f>
        <v/>
      </c>
      <c r="AM760" s="266"/>
      <c r="AN760" s="258" t="str">
        <f t="shared" si="345"/>
        <v/>
      </c>
      <c r="AO760" s="266"/>
      <c r="AP760" s="258" t="str">
        <f t="shared" si="346"/>
        <v/>
      </c>
      <c r="AQ760" s="266"/>
      <c r="AR760" s="258" t="str">
        <f t="shared" si="347"/>
        <v/>
      </c>
      <c r="AS760" s="266"/>
      <c r="AT760" s="256" t="str">
        <f t="shared" si="348"/>
        <v/>
      </c>
      <c r="AU760" s="256" t="str">
        <f t="shared" si="349"/>
        <v/>
      </c>
      <c r="AV760" s="256" t="str">
        <f t="shared" si="350"/>
        <v/>
      </c>
      <c r="AW760" s="267"/>
      <c r="AX760" s="255"/>
      <c r="AY760" s="259" t="str">
        <f>IF(AX760&lt;&gt;"",AX760/VLOOKUP($V760,Setup!$C$30:$D$41,2,0),"")</f>
        <v/>
      </c>
      <c r="AZ760" s="268"/>
      <c r="BA760" s="258" t="str">
        <f t="shared" si="351"/>
        <v/>
      </c>
      <c r="BB760" s="268"/>
      <c r="BC760" s="258" t="str">
        <f t="shared" si="352"/>
        <v/>
      </c>
      <c r="BD760" s="268"/>
      <c r="BE760" s="258" t="str">
        <f t="shared" si="353"/>
        <v/>
      </c>
      <c r="BF760" s="268"/>
      <c r="BG760" s="256" t="str">
        <f t="shared" si="354"/>
        <v/>
      </c>
      <c r="BH760" s="256" t="str">
        <f t="shared" si="355"/>
        <v/>
      </c>
      <c r="BI760" s="256" t="str">
        <f t="shared" si="356"/>
        <v/>
      </c>
      <c r="BJ760" s="267"/>
      <c r="BK760" s="255"/>
      <c r="BL760" s="259" t="str">
        <f>IF(BK760&lt;&gt;"",BK760/VLOOKUP($V760,Setup!$C$30:$D$41,2,0),"")</f>
        <v/>
      </c>
      <c r="BM760" s="268"/>
      <c r="BN760" s="258" t="str">
        <f t="shared" si="357"/>
        <v/>
      </c>
      <c r="BO760" s="268"/>
      <c r="BP760" s="258" t="str">
        <f t="shared" si="358"/>
        <v/>
      </c>
      <c r="BQ760" s="268"/>
      <c r="BR760" s="258" t="str">
        <f t="shared" si="359"/>
        <v/>
      </c>
      <c r="BS760" s="268"/>
      <c r="BT760" s="256" t="str">
        <f t="shared" si="360"/>
        <v/>
      </c>
      <c r="BU760" s="256" t="str">
        <f t="shared" si="361"/>
        <v/>
      </c>
      <c r="BV760" s="256" t="str">
        <f t="shared" si="362"/>
        <v/>
      </c>
      <c r="BW760" s="267"/>
      <c r="BX760" s="256" t="str">
        <f t="shared" si="363"/>
        <v/>
      </c>
      <c r="BY760" s="256" t="str">
        <f t="shared" si="364"/>
        <v/>
      </c>
      <c r="BZ760" s="281"/>
      <c r="CA760" s="282"/>
      <c r="CF760" s="284"/>
      <c r="CG760" s="284"/>
      <c r="CH760" s="284"/>
      <c r="CI760" s="284"/>
      <c r="CL760" s="356" t="str">
        <f>IFERROR(VLOOKUP(C760,'Data Sheet'!$A$3:$B$26,2,FALSE),"")</f>
        <v/>
      </c>
    </row>
    <row r="761" spans="1:90" ht="15.75" x14ac:dyDescent="0.2">
      <c r="A761" s="97"/>
      <c r="B761" s="105" t="str">
        <f t="shared" si="367"/>
        <v>--</v>
      </c>
      <c r="C761" s="276"/>
      <c r="D761" s="101" t="str">
        <f>IFERROR(IF(VLOOKUP(C761,'Data Sheet'!$A$3:$D$26,4,FALSE)=0,"",VLOOKUP(C761,'Data Sheet'!$A$3:$D$26,4,FALSE)),"")</f>
        <v/>
      </c>
      <c r="E761" s="279"/>
      <c r="F761" s="103" t="str">
        <f>IFERROR(IF(VLOOKUP(E761,'Data Sheet'!$C$29:$E$174,3,FALSE)=0,"",VLOOKUP(E761,'Data Sheet'!$C$29:$E$174,3,FALSE)),"")</f>
        <v/>
      </c>
      <c r="G761" s="106" t="str">
        <f t="shared" si="365"/>
        <v>-</v>
      </c>
      <c r="H761" s="273"/>
      <c r="I761" s="107"/>
      <c r="J761" s="249" t="e">
        <f t="shared" si="366"/>
        <v>#VALUE!</v>
      </c>
      <c r="K761" s="101" t="str">
        <f>IFERROR(INDEX('Data Sheet'!$C$198:$C$275,MATCH(I761,'Data Sheet'!$F$198:$F$275,0)),"")</f>
        <v/>
      </c>
      <c r="L761" s="250" t="str">
        <f>IFERROR(INDEX('Data Sheet'!$G$198:$G$275,MATCH(I761,'Data Sheet'!$F$198:$F$275,0)),"")</f>
        <v/>
      </c>
      <c r="M761" s="194"/>
      <c r="N761" s="248"/>
      <c r="O761" s="248"/>
      <c r="P761" s="108" t="str">
        <f>IFERROR(INDEX(Setup!$D$44:$D$70,MATCH(M761,Setup!$K$44:$K$70,0))&amp;"","")</f>
        <v/>
      </c>
      <c r="Q761" s="108" t="str">
        <f>IFERROR(INDEX(Setup!$E$44:$E$70,MATCH(M761,Setup!$K$44:$K$70,0))&amp;"","")</f>
        <v/>
      </c>
      <c r="R761" s="108" t="str">
        <f>IFERROR(INDEX(Setup!$L$44:$L$70,MATCH(M761,Setup!$K$44:$K$70,0))&amp;"","")</f>
        <v/>
      </c>
      <c r="S761" s="108" t="str">
        <f>Setup!$C$30</f>
        <v>USD</v>
      </c>
      <c r="T761" s="109" t="str">
        <f>IFERROR(INDEX('Data Sheet'!$B$198:$B$275,MATCH(I761,'Data Sheet'!$F$198:$F$275,0)),"")</f>
        <v/>
      </c>
      <c r="U761" s="110" t="str">
        <f>IFERROR(INDEX('Data Sheet'!$D$198:$D$275,MATCH(I761,'Data Sheet'!$F$198:$F$275,0)),"")</f>
        <v/>
      </c>
      <c r="V761" s="99"/>
      <c r="W761" s="195" t="str">
        <f>IF(V761=Setup!$C$30,"Grant",IF(V761=Setup!$C$31,"Local",IF(V761=Setup!$C$32,"Other",IF(ISBLANK(V761),"","Other"))))</f>
        <v/>
      </c>
      <c r="X761" s="255"/>
      <c r="Y761" s="259" t="str">
        <f>IF(X761&lt;&gt;"",X761/VLOOKUP($V761,Setup!$C$30:$D$41,2,0),"")</f>
        <v/>
      </c>
      <c r="Z761" s="262"/>
      <c r="AA761" s="256" t="str">
        <f t="shared" si="339"/>
        <v/>
      </c>
      <c r="AB761" s="262"/>
      <c r="AC761" s="258" t="str">
        <f t="shared" si="340"/>
        <v/>
      </c>
      <c r="AD761" s="262"/>
      <c r="AE761" s="258" t="str">
        <f t="shared" si="341"/>
        <v/>
      </c>
      <c r="AF761" s="262"/>
      <c r="AG761" s="256" t="str">
        <f t="shared" si="342"/>
        <v/>
      </c>
      <c r="AH761" s="256" t="str">
        <f t="shared" si="343"/>
        <v/>
      </c>
      <c r="AI761" s="256" t="str">
        <f t="shared" si="344"/>
        <v/>
      </c>
      <c r="AJ761" s="111"/>
      <c r="AK761" s="255"/>
      <c r="AL761" s="259" t="str">
        <f>IF(AK761&lt;&gt;"",AK761/VLOOKUP($V761,Setup!$C$30:$D$41,2,0),"")</f>
        <v/>
      </c>
      <c r="AM761" s="266"/>
      <c r="AN761" s="258" t="str">
        <f t="shared" si="345"/>
        <v/>
      </c>
      <c r="AO761" s="266"/>
      <c r="AP761" s="258" t="str">
        <f t="shared" si="346"/>
        <v/>
      </c>
      <c r="AQ761" s="266"/>
      <c r="AR761" s="258" t="str">
        <f t="shared" si="347"/>
        <v/>
      </c>
      <c r="AS761" s="266"/>
      <c r="AT761" s="256" t="str">
        <f t="shared" si="348"/>
        <v/>
      </c>
      <c r="AU761" s="256" t="str">
        <f t="shared" si="349"/>
        <v/>
      </c>
      <c r="AV761" s="256" t="str">
        <f t="shared" si="350"/>
        <v/>
      </c>
      <c r="AW761" s="267"/>
      <c r="AX761" s="255"/>
      <c r="AY761" s="259" t="str">
        <f>IF(AX761&lt;&gt;"",AX761/VLOOKUP($V761,Setup!$C$30:$D$41,2,0),"")</f>
        <v/>
      </c>
      <c r="AZ761" s="268"/>
      <c r="BA761" s="258" t="str">
        <f t="shared" si="351"/>
        <v/>
      </c>
      <c r="BB761" s="268"/>
      <c r="BC761" s="258" t="str">
        <f t="shared" si="352"/>
        <v/>
      </c>
      <c r="BD761" s="268"/>
      <c r="BE761" s="258" t="str">
        <f t="shared" si="353"/>
        <v/>
      </c>
      <c r="BF761" s="268"/>
      <c r="BG761" s="256" t="str">
        <f t="shared" si="354"/>
        <v/>
      </c>
      <c r="BH761" s="256" t="str">
        <f t="shared" si="355"/>
        <v/>
      </c>
      <c r="BI761" s="256" t="str">
        <f t="shared" si="356"/>
        <v/>
      </c>
      <c r="BJ761" s="267"/>
      <c r="BK761" s="255"/>
      <c r="BL761" s="259" t="str">
        <f>IF(BK761&lt;&gt;"",BK761/VLOOKUP($V761,Setup!$C$30:$D$41,2,0),"")</f>
        <v/>
      </c>
      <c r="BM761" s="268"/>
      <c r="BN761" s="258" t="str">
        <f t="shared" si="357"/>
        <v/>
      </c>
      <c r="BO761" s="268"/>
      <c r="BP761" s="258" t="str">
        <f t="shared" si="358"/>
        <v/>
      </c>
      <c r="BQ761" s="268"/>
      <c r="BR761" s="258" t="str">
        <f t="shared" si="359"/>
        <v/>
      </c>
      <c r="BS761" s="268"/>
      <c r="BT761" s="256" t="str">
        <f t="shared" si="360"/>
        <v/>
      </c>
      <c r="BU761" s="256" t="str">
        <f t="shared" si="361"/>
        <v/>
      </c>
      <c r="BV761" s="256" t="str">
        <f t="shared" si="362"/>
        <v/>
      </c>
      <c r="BW761" s="267"/>
      <c r="BX761" s="256" t="str">
        <f t="shared" si="363"/>
        <v/>
      </c>
      <c r="BY761" s="256" t="str">
        <f t="shared" si="364"/>
        <v/>
      </c>
      <c r="BZ761" s="281"/>
      <c r="CA761" s="282"/>
      <c r="CF761" s="284"/>
      <c r="CG761" s="284"/>
      <c r="CH761" s="284"/>
      <c r="CI761" s="284"/>
      <c r="CL761" s="356" t="str">
        <f>IFERROR(VLOOKUP(C761,'Data Sheet'!$A$3:$B$26,2,FALSE),"")</f>
        <v/>
      </c>
    </row>
    <row r="762" spans="1:90" ht="15.75" x14ac:dyDescent="0.2">
      <c r="A762" s="97"/>
      <c r="B762" s="105" t="str">
        <f t="shared" si="367"/>
        <v>--</v>
      </c>
      <c r="C762" s="276"/>
      <c r="D762" s="101" t="str">
        <f>IFERROR(IF(VLOOKUP(C762,'Data Sheet'!$A$3:$D$26,4,FALSE)=0,"",VLOOKUP(C762,'Data Sheet'!$A$3:$D$26,4,FALSE)),"")</f>
        <v/>
      </c>
      <c r="E762" s="279"/>
      <c r="F762" s="103" t="str">
        <f>IFERROR(IF(VLOOKUP(E762,'Data Sheet'!$C$29:$E$174,3,FALSE)=0,"",VLOOKUP(E762,'Data Sheet'!$C$29:$E$174,3,FALSE)),"")</f>
        <v/>
      </c>
      <c r="G762" s="106" t="str">
        <f t="shared" si="365"/>
        <v>-</v>
      </c>
      <c r="H762" s="273"/>
      <c r="I762" s="107"/>
      <c r="J762" s="249" t="e">
        <f t="shared" si="366"/>
        <v>#VALUE!</v>
      </c>
      <c r="K762" s="101" t="str">
        <f>IFERROR(INDEX('Data Sheet'!$C$198:$C$275,MATCH(I762,'Data Sheet'!$F$198:$F$275,0)),"")</f>
        <v/>
      </c>
      <c r="L762" s="250" t="str">
        <f>IFERROR(INDEX('Data Sheet'!$G$198:$G$275,MATCH(I762,'Data Sheet'!$F$198:$F$275,0)),"")</f>
        <v/>
      </c>
      <c r="M762" s="194"/>
      <c r="N762" s="248"/>
      <c r="O762" s="248"/>
      <c r="P762" s="108" t="str">
        <f>IFERROR(INDEX(Setup!$D$44:$D$70,MATCH(M762,Setup!$K$44:$K$70,0))&amp;"","")</f>
        <v/>
      </c>
      <c r="Q762" s="108" t="str">
        <f>IFERROR(INDEX(Setup!$E$44:$E$70,MATCH(M762,Setup!$K$44:$K$70,0))&amp;"","")</f>
        <v/>
      </c>
      <c r="R762" s="108" t="str">
        <f>IFERROR(INDEX(Setup!$L$44:$L$70,MATCH(M762,Setup!$K$44:$K$70,0))&amp;"","")</f>
        <v/>
      </c>
      <c r="S762" s="108" t="str">
        <f>Setup!$C$30</f>
        <v>USD</v>
      </c>
      <c r="T762" s="109" t="str">
        <f>IFERROR(INDEX('Data Sheet'!$B$198:$B$275,MATCH(I762,'Data Sheet'!$F$198:$F$275,0)),"")</f>
        <v/>
      </c>
      <c r="U762" s="110" t="str">
        <f>IFERROR(INDEX('Data Sheet'!$D$198:$D$275,MATCH(I762,'Data Sheet'!$F$198:$F$275,0)),"")</f>
        <v/>
      </c>
      <c r="V762" s="99"/>
      <c r="W762" s="195" t="str">
        <f>IF(V762=Setup!$C$30,"Grant",IF(V762=Setup!$C$31,"Local",IF(V762=Setup!$C$32,"Other",IF(ISBLANK(V762),"","Other"))))</f>
        <v/>
      </c>
      <c r="X762" s="255"/>
      <c r="Y762" s="259" t="str">
        <f>IF(X762&lt;&gt;"",X762/VLOOKUP($V762,Setup!$C$30:$D$41,2,0),"")</f>
        <v/>
      </c>
      <c r="Z762" s="262"/>
      <c r="AA762" s="256" t="str">
        <f t="shared" si="339"/>
        <v/>
      </c>
      <c r="AB762" s="262"/>
      <c r="AC762" s="258" t="str">
        <f t="shared" si="340"/>
        <v/>
      </c>
      <c r="AD762" s="262"/>
      <c r="AE762" s="258" t="str">
        <f t="shared" si="341"/>
        <v/>
      </c>
      <c r="AF762" s="262"/>
      <c r="AG762" s="256" t="str">
        <f t="shared" si="342"/>
        <v/>
      </c>
      <c r="AH762" s="256" t="str">
        <f t="shared" si="343"/>
        <v/>
      </c>
      <c r="AI762" s="256" t="str">
        <f t="shared" si="344"/>
        <v/>
      </c>
      <c r="AJ762" s="111"/>
      <c r="AK762" s="255"/>
      <c r="AL762" s="259" t="str">
        <f>IF(AK762&lt;&gt;"",AK762/VLOOKUP($V762,Setup!$C$30:$D$41,2,0),"")</f>
        <v/>
      </c>
      <c r="AM762" s="266"/>
      <c r="AN762" s="258" t="str">
        <f t="shared" si="345"/>
        <v/>
      </c>
      <c r="AO762" s="266"/>
      <c r="AP762" s="258" t="str">
        <f t="shared" si="346"/>
        <v/>
      </c>
      <c r="AQ762" s="266"/>
      <c r="AR762" s="258" t="str">
        <f t="shared" si="347"/>
        <v/>
      </c>
      <c r="AS762" s="266"/>
      <c r="AT762" s="256" t="str">
        <f t="shared" si="348"/>
        <v/>
      </c>
      <c r="AU762" s="256" t="str">
        <f t="shared" si="349"/>
        <v/>
      </c>
      <c r="AV762" s="256" t="str">
        <f t="shared" si="350"/>
        <v/>
      </c>
      <c r="AW762" s="267"/>
      <c r="AX762" s="255"/>
      <c r="AY762" s="259" t="str">
        <f>IF(AX762&lt;&gt;"",AX762/VLOOKUP($V762,Setup!$C$30:$D$41,2,0),"")</f>
        <v/>
      </c>
      <c r="AZ762" s="268"/>
      <c r="BA762" s="258" t="str">
        <f t="shared" si="351"/>
        <v/>
      </c>
      <c r="BB762" s="268"/>
      <c r="BC762" s="258" t="str">
        <f t="shared" si="352"/>
        <v/>
      </c>
      <c r="BD762" s="268"/>
      <c r="BE762" s="258" t="str">
        <f t="shared" si="353"/>
        <v/>
      </c>
      <c r="BF762" s="268"/>
      <c r="BG762" s="256" t="str">
        <f t="shared" si="354"/>
        <v/>
      </c>
      <c r="BH762" s="256" t="str">
        <f t="shared" si="355"/>
        <v/>
      </c>
      <c r="BI762" s="256" t="str">
        <f t="shared" si="356"/>
        <v/>
      </c>
      <c r="BJ762" s="267"/>
      <c r="BK762" s="255"/>
      <c r="BL762" s="259" t="str">
        <f>IF(BK762&lt;&gt;"",BK762/VLOOKUP($V762,Setup!$C$30:$D$41,2,0),"")</f>
        <v/>
      </c>
      <c r="BM762" s="268"/>
      <c r="BN762" s="258" t="str">
        <f t="shared" si="357"/>
        <v/>
      </c>
      <c r="BO762" s="268"/>
      <c r="BP762" s="258" t="str">
        <f t="shared" si="358"/>
        <v/>
      </c>
      <c r="BQ762" s="268"/>
      <c r="BR762" s="258" t="str">
        <f t="shared" si="359"/>
        <v/>
      </c>
      <c r="BS762" s="268"/>
      <c r="BT762" s="256" t="str">
        <f t="shared" si="360"/>
        <v/>
      </c>
      <c r="BU762" s="256" t="str">
        <f t="shared" si="361"/>
        <v/>
      </c>
      <c r="BV762" s="256" t="str">
        <f t="shared" si="362"/>
        <v/>
      </c>
      <c r="BW762" s="267"/>
      <c r="BX762" s="256" t="str">
        <f t="shared" si="363"/>
        <v/>
      </c>
      <c r="BY762" s="256" t="str">
        <f t="shared" si="364"/>
        <v/>
      </c>
      <c r="BZ762" s="281"/>
      <c r="CA762" s="282"/>
      <c r="CF762" s="284"/>
      <c r="CG762" s="284"/>
      <c r="CH762" s="284"/>
      <c r="CI762" s="284"/>
      <c r="CL762" s="356" t="str">
        <f>IFERROR(VLOOKUP(C762,'Data Sheet'!$A$3:$B$26,2,FALSE),"")</f>
        <v/>
      </c>
    </row>
    <row r="763" spans="1:90" ht="15.75" x14ac:dyDescent="0.2">
      <c r="A763" s="97"/>
      <c r="B763" s="105" t="str">
        <f t="shared" si="367"/>
        <v>--</v>
      </c>
      <c r="C763" s="276"/>
      <c r="D763" s="101" t="str">
        <f>IFERROR(IF(VLOOKUP(C763,'Data Sheet'!$A$3:$D$26,4,FALSE)=0,"",VLOOKUP(C763,'Data Sheet'!$A$3:$D$26,4,FALSE)),"")</f>
        <v/>
      </c>
      <c r="E763" s="279"/>
      <c r="F763" s="103" t="str">
        <f>IFERROR(IF(VLOOKUP(E763,'Data Sheet'!$C$29:$E$174,3,FALSE)=0,"",VLOOKUP(E763,'Data Sheet'!$C$29:$E$174,3,FALSE)),"")</f>
        <v/>
      </c>
      <c r="G763" s="106" t="str">
        <f t="shared" si="365"/>
        <v>-</v>
      </c>
      <c r="H763" s="273"/>
      <c r="I763" s="107"/>
      <c r="J763" s="249" t="e">
        <f t="shared" si="366"/>
        <v>#VALUE!</v>
      </c>
      <c r="K763" s="101" t="str">
        <f>IFERROR(INDEX('Data Sheet'!$C$198:$C$275,MATCH(I763,'Data Sheet'!$F$198:$F$275,0)),"")</f>
        <v/>
      </c>
      <c r="L763" s="250" t="str">
        <f>IFERROR(INDEX('Data Sheet'!$G$198:$G$275,MATCH(I763,'Data Sheet'!$F$198:$F$275,0)),"")</f>
        <v/>
      </c>
      <c r="M763" s="194"/>
      <c r="N763" s="248"/>
      <c r="O763" s="248"/>
      <c r="P763" s="108" t="str">
        <f>IFERROR(INDEX(Setup!$D$44:$D$70,MATCH(M763,Setup!$K$44:$K$70,0))&amp;"","")</f>
        <v/>
      </c>
      <c r="Q763" s="108" t="str">
        <f>IFERROR(INDEX(Setup!$E$44:$E$70,MATCH(M763,Setup!$K$44:$K$70,0))&amp;"","")</f>
        <v/>
      </c>
      <c r="R763" s="108" t="str">
        <f>IFERROR(INDEX(Setup!$L$44:$L$70,MATCH(M763,Setup!$K$44:$K$70,0))&amp;"","")</f>
        <v/>
      </c>
      <c r="S763" s="108" t="str">
        <f>Setup!$C$30</f>
        <v>USD</v>
      </c>
      <c r="T763" s="109" t="str">
        <f>IFERROR(INDEX('Data Sheet'!$B$198:$B$275,MATCH(I763,'Data Sheet'!$F$198:$F$275,0)),"")</f>
        <v/>
      </c>
      <c r="U763" s="110" t="str">
        <f>IFERROR(INDEX('Data Sheet'!$D$198:$D$275,MATCH(I763,'Data Sheet'!$F$198:$F$275,0)),"")</f>
        <v/>
      </c>
      <c r="V763" s="99"/>
      <c r="W763" s="195" t="str">
        <f>IF(V763=Setup!$C$30,"Grant",IF(V763=Setup!$C$31,"Local",IF(V763=Setup!$C$32,"Other",IF(ISBLANK(V763),"","Other"))))</f>
        <v/>
      </c>
      <c r="X763" s="255"/>
      <c r="Y763" s="259" t="str">
        <f>IF(X763&lt;&gt;"",X763/VLOOKUP($V763,Setup!$C$30:$D$41,2,0),"")</f>
        <v/>
      </c>
      <c r="Z763" s="262"/>
      <c r="AA763" s="256" t="str">
        <f t="shared" si="339"/>
        <v/>
      </c>
      <c r="AB763" s="262"/>
      <c r="AC763" s="258" t="str">
        <f t="shared" si="340"/>
        <v/>
      </c>
      <c r="AD763" s="262"/>
      <c r="AE763" s="258" t="str">
        <f t="shared" si="341"/>
        <v/>
      </c>
      <c r="AF763" s="262"/>
      <c r="AG763" s="256" t="str">
        <f t="shared" si="342"/>
        <v/>
      </c>
      <c r="AH763" s="256" t="str">
        <f t="shared" si="343"/>
        <v/>
      </c>
      <c r="AI763" s="256" t="str">
        <f t="shared" si="344"/>
        <v/>
      </c>
      <c r="AJ763" s="111"/>
      <c r="AK763" s="255"/>
      <c r="AL763" s="259" t="str">
        <f>IF(AK763&lt;&gt;"",AK763/VLOOKUP($V763,Setup!$C$30:$D$41,2,0),"")</f>
        <v/>
      </c>
      <c r="AM763" s="266"/>
      <c r="AN763" s="258" t="str">
        <f t="shared" si="345"/>
        <v/>
      </c>
      <c r="AO763" s="266"/>
      <c r="AP763" s="258" t="str">
        <f t="shared" si="346"/>
        <v/>
      </c>
      <c r="AQ763" s="266"/>
      <c r="AR763" s="258" t="str">
        <f t="shared" si="347"/>
        <v/>
      </c>
      <c r="AS763" s="266"/>
      <c r="AT763" s="256" t="str">
        <f t="shared" si="348"/>
        <v/>
      </c>
      <c r="AU763" s="256" t="str">
        <f t="shared" si="349"/>
        <v/>
      </c>
      <c r="AV763" s="256" t="str">
        <f t="shared" si="350"/>
        <v/>
      </c>
      <c r="AW763" s="267"/>
      <c r="AX763" s="255"/>
      <c r="AY763" s="259" t="str">
        <f>IF(AX763&lt;&gt;"",AX763/VLOOKUP($V763,Setup!$C$30:$D$41,2,0),"")</f>
        <v/>
      </c>
      <c r="AZ763" s="268"/>
      <c r="BA763" s="258" t="str">
        <f t="shared" si="351"/>
        <v/>
      </c>
      <c r="BB763" s="268"/>
      <c r="BC763" s="258" t="str">
        <f t="shared" si="352"/>
        <v/>
      </c>
      <c r="BD763" s="268"/>
      <c r="BE763" s="258" t="str">
        <f t="shared" si="353"/>
        <v/>
      </c>
      <c r="BF763" s="268"/>
      <c r="BG763" s="256" t="str">
        <f t="shared" si="354"/>
        <v/>
      </c>
      <c r="BH763" s="256" t="str">
        <f t="shared" si="355"/>
        <v/>
      </c>
      <c r="BI763" s="256" t="str">
        <f t="shared" si="356"/>
        <v/>
      </c>
      <c r="BJ763" s="267"/>
      <c r="BK763" s="255"/>
      <c r="BL763" s="259" t="str">
        <f>IF(BK763&lt;&gt;"",BK763/VLOOKUP($V763,Setup!$C$30:$D$41,2,0),"")</f>
        <v/>
      </c>
      <c r="BM763" s="268"/>
      <c r="BN763" s="258" t="str">
        <f t="shared" si="357"/>
        <v/>
      </c>
      <c r="BO763" s="268"/>
      <c r="BP763" s="258" t="str">
        <f t="shared" si="358"/>
        <v/>
      </c>
      <c r="BQ763" s="268"/>
      <c r="BR763" s="258" t="str">
        <f t="shared" si="359"/>
        <v/>
      </c>
      <c r="BS763" s="268"/>
      <c r="BT763" s="256" t="str">
        <f t="shared" si="360"/>
        <v/>
      </c>
      <c r="BU763" s="256" t="str">
        <f t="shared" si="361"/>
        <v/>
      </c>
      <c r="BV763" s="256" t="str">
        <f t="shared" si="362"/>
        <v/>
      </c>
      <c r="BW763" s="267"/>
      <c r="BX763" s="256" t="str">
        <f t="shared" si="363"/>
        <v/>
      </c>
      <c r="BY763" s="256" t="str">
        <f t="shared" si="364"/>
        <v/>
      </c>
      <c r="BZ763" s="281"/>
      <c r="CA763" s="282"/>
      <c r="CF763" s="284"/>
      <c r="CG763" s="284"/>
      <c r="CH763" s="284"/>
      <c r="CI763" s="284"/>
      <c r="CL763" s="356" t="str">
        <f>IFERROR(VLOOKUP(C763,'Data Sheet'!$A$3:$B$26,2,FALSE),"")</f>
        <v/>
      </c>
    </row>
    <row r="764" spans="1:90" ht="15.75" x14ac:dyDescent="0.2">
      <c r="A764" s="97"/>
      <c r="B764" s="105" t="str">
        <f t="shared" si="367"/>
        <v>--</v>
      </c>
      <c r="C764" s="276"/>
      <c r="D764" s="101" t="str">
        <f>IFERROR(IF(VLOOKUP(C764,'Data Sheet'!$A$3:$D$26,4,FALSE)=0,"",VLOOKUP(C764,'Data Sheet'!$A$3:$D$26,4,FALSE)),"")</f>
        <v/>
      </c>
      <c r="E764" s="279"/>
      <c r="F764" s="103" t="str">
        <f>IFERROR(IF(VLOOKUP(E764,'Data Sheet'!$C$29:$E$174,3,FALSE)=0,"",VLOOKUP(E764,'Data Sheet'!$C$29:$E$174,3,FALSE)),"")</f>
        <v/>
      </c>
      <c r="G764" s="106" t="str">
        <f t="shared" si="365"/>
        <v>-</v>
      </c>
      <c r="H764" s="273"/>
      <c r="I764" s="107"/>
      <c r="J764" s="249" t="e">
        <f t="shared" si="366"/>
        <v>#VALUE!</v>
      </c>
      <c r="K764" s="101" t="str">
        <f>IFERROR(INDEX('Data Sheet'!$C$198:$C$275,MATCH(I764,'Data Sheet'!$F$198:$F$275,0)),"")</f>
        <v/>
      </c>
      <c r="L764" s="250" t="str">
        <f>IFERROR(INDEX('Data Sheet'!$G$198:$G$275,MATCH(I764,'Data Sheet'!$F$198:$F$275,0)),"")</f>
        <v/>
      </c>
      <c r="M764" s="194"/>
      <c r="N764" s="248"/>
      <c r="O764" s="248"/>
      <c r="P764" s="108" t="str">
        <f>IFERROR(INDEX(Setup!$D$44:$D$70,MATCH(M764,Setup!$K$44:$K$70,0))&amp;"","")</f>
        <v/>
      </c>
      <c r="Q764" s="108" t="str">
        <f>IFERROR(INDEX(Setup!$E$44:$E$70,MATCH(M764,Setup!$K$44:$K$70,0))&amp;"","")</f>
        <v/>
      </c>
      <c r="R764" s="108" t="str">
        <f>IFERROR(INDEX(Setup!$L$44:$L$70,MATCH(M764,Setup!$K$44:$K$70,0))&amp;"","")</f>
        <v/>
      </c>
      <c r="S764" s="108" t="str">
        <f>Setup!$C$30</f>
        <v>USD</v>
      </c>
      <c r="T764" s="109" t="str">
        <f>IFERROR(INDEX('Data Sheet'!$B$198:$B$275,MATCH(I764,'Data Sheet'!$F$198:$F$275,0)),"")</f>
        <v/>
      </c>
      <c r="U764" s="110" t="str">
        <f>IFERROR(INDEX('Data Sheet'!$D$198:$D$275,MATCH(I764,'Data Sheet'!$F$198:$F$275,0)),"")</f>
        <v/>
      </c>
      <c r="V764" s="99"/>
      <c r="W764" s="195" t="str">
        <f>IF(V764=Setup!$C$30,"Grant",IF(V764=Setup!$C$31,"Local",IF(V764=Setup!$C$32,"Other",IF(ISBLANK(V764),"","Other"))))</f>
        <v/>
      </c>
      <c r="X764" s="255"/>
      <c r="Y764" s="259" t="str">
        <f>IF(X764&lt;&gt;"",X764/VLOOKUP($V764,Setup!$C$30:$D$41,2,0),"")</f>
        <v/>
      </c>
      <c r="Z764" s="262"/>
      <c r="AA764" s="256" t="str">
        <f t="shared" si="339"/>
        <v/>
      </c>
      <c r="AB764" s="262"/>
      <c r="AC764" s="258" t="str">
        <f t="shared" si="340"/>
        <v/>
      </c>
      <c r="AD764" s="262"/>
      <c r="AE764" s="258" t="str">
        <f t="shared" si="341"/>
        <v/>
      </c>
      <c r="AF764" s="262"/>
      <c r="AG764" s="256" t="str">
        <f t="shared" si="342"/>
        <v/>
      </c>
      <c r="AH764" s="256" t="str">
        <f t="shared" si="343"/>
        <v/>
      </c>
      <c r="AI764" s="256" t="str">
        <f t="shared" si="344"/>
        <v/>
      </c>
      <c r="AJ764" s="111"/>
      <c r="AK764" s="255"/>
      <c r="AL764" s="259" t="str">
        <f>IF(AK764&lt;&gt;"",AK764/VLOOKUP($V764,Setup!$C$30:$D$41,2,0),"")</f>
        <v/>
      </c>
      <c r="AM764" s="266"/>
      <c r="AN764" s="258" t="str">
        <f t="shared" si="345"/>
        <v/>
      </c>
      <c r="AO764" s="266"/>
      <c r="AP764" s="258" t="str">
        <f t="shared" si="346"/>
        <v/>
      </c>
      <c r="AQ764" s="266"/>
      <c r="AR764" s="258" t="str">
        <f t="shared" si="347"/>
        <v/>
      </c>
      <c r="AS764" s="266"/>
      <c r="AT764" s="256" t="str">
        <f t="shared" si="348"/>
        <v/>
      </c>
      <c r="AU764" s="256" t="str">
        <f t="shared" si="349"/>
        <v/>
      </c>
      <c r="AV764" s="256" t="str">
        <f t="shared" si="350"/>
        <v/>
      </c>
      <c r="AW764" s="267"/>
      <c r="AX764" s="255"/>
      <c r="AY764" s="259" t="str">
        <f>IF(AX764&lt;&gt;"",AX764/VLOOKUP($V764,Setup!$C$30:$D$41,2,0),"")</f>
        <v/>
      </c>
      <c r="AZ764" s="268"/>
      <c r="BA764" s="258" t="str">
        <f t="shared" si="351"/>
        <v/>
      </c>
      <c r="BB764" s="268"/>
      <c r="BC764" s="258" t="str">
        <f t="shared" si="352"/>
        <v/>
      </c>
      <c r="BD764" s="268"/>
      <c r="BE764" s="258" t="str">
        <f t="shared" si="353"/>
        <v/>
      </c>
      <c r="BF764" s="268"/>
      <c r="BG764" s="256" t="str">
        <f t="shared" si="354"/>
        <v/>
      </c>
      <c r="BH764" s="256" t="str">
        <f t="shared" si="355"/>
        <v/>
      </c>
      <c r="BI764" s="256" t="str">
        <f t="shared" si="356"/>
        <v/>
      </c>
      <c r="BJ764" s="267"/>
      <c r="BK764" s="255"/>
      <c r="BL764" s="259" t="str">
        <f>IF(BK764&lt;&gt;"",BK764/VLOOKUP($V764,Setup!$C$30:$D$41,2,0),"")</f>
        <v/>
      </c>
      <c r="BM764" s="268"/>
      <c r="BN764" s="258" t="str">
        <f t="shared" si="357"/>
        <v/>
      </c>
      <c r="BO764" s="268"/>
      <c r="BP764" s="258" t="str">
        <f t="shared" si="358"/>
        <v/>
      </c>
      <c r="BQ764" s="268"/>
      <c r="BR764" s="258" t="str">
        <f t="shared" si="359"/>
        <v/>
      </c>
      <c r="BS764" s="268"/>
      <c r="BT764" s="256" t="str">
        <f t="shared" si="360"/>
        <v/>
      </c>
      <c r="BU764" s="256" t="str">
        <f t="shared" si="361"/>
        <v/>
      </c>
      <c r="BV764" s="256" t="str">
        <f t="shared" si="362"/>
        <v/>
      </c>
      <c r="BW764" s="267"/>
      <c r="BX764" s="256" t="str">
        <f t="shared" si="363"/>
        <v/>
      </c>
      <c r="BY764" s="256" t="str">
        <f t="shared" si="364"/>
        <v/>
      </c>
      <c r="BZ764" s="281"/>
      <c r="CA764" s="282"/>
      <c r="CF764" s="284"/>
      <c r="CG764" s="284"/>
      <c r="CH764" s="284"/>
      <c r="CI764" s="284"/>
      <c r="CL764" s="356" t="str">
        <f>IFERROR(VLOOKUP(C764,'Data Sheet'!$A$3:$B$26,2,FALSE),"")</f>
        <v/>
      </c>
    </row>
    <row r="765" spans="1:90" ht="15.75" x14ac:dyDescent="0.2">
      <c r="A765" s="97"/>
      <c r="B765" s="105" t="str">
        <f t="shared" si="367"/>
        <v>--</v>
      </c>
      <c r="C765" s="276"/>
      <c r="D765" s="101" t="str">
        <f>IFERROR(IF(VLOOKUP(C765,'Data Sheet'!$A$3:$D$26,4,FALSE)=0,"",VLOOKUP(C765,'Data Sheet'!$A$3:$D$26,4,FALSE)),"")</f>
        <v/>
      </c>
      <c r="E765" s="279"/>
      <c r="F765" s="103" t="str">
        <f>IFERROR(IF(VLOOKUP(E765,'Data Sheet'!$C$29:$E$174,3,FALSE)=0,"",VLOOKUP(E765,'Data Sheet'!$C$29:$E$174,3,FALSE)),"")</f>
        <v/>
      </c>
      <c r="G765" s="106" t="str">
        <f t="shared" si="365"/>
        <v>-</v>
      </c>
      <c r="H765" s="273"/>
      <c r="I765" s="107"/>
      <c r="J765" s="249" t="e">
        <f t="shared" si="366"/>
        <v>#VALUE!</v>
      </c>
      <c r="K765" s="101" t="str">
        <f>IFERROR(INDEX('Data Sheet'!$C$198:$C$275,MATCH(I765,'Data Sheet'!$F$198:$F$275,0)),"")</f>
        <v/>
      </c>
      <c r="L765" s="250" t="str">
        <f>IFERROR(INDEX('Data Sheet'!$G$198:$G$275,MATCH(I765,'Data Sheet'!$F$198:$F$275,0)),"")</f>
        <v/>
      </c>
      <c r="M765" s="194"/>
      <c r="N765" s="248"/>
      <c r="O765" s="248"/>
      <c r="P765" s="108" t="str">
        <f>IFERROR(INDEX(Setup!$D$44:$D$70,MATCH(M765,Setup!$K$44:$K$70,0))&amp;"","")</f>
        <v/>
      </c>
      <c r="Q765" s="108" t="str">
        <f>IFERROR(INDEX(Setup!$E$44:$E$70,MATCH(M765,Setup!$K$44:$K$70,0))&amp;"","")</f>
        <v/>
      </c>
      <c r="R765" s="108" t="str">
        <f>IFERROR(INDEX(Setup!$L$44:$L$70,MATCH(M765,Setup!$K$44:$K$70,0))&amp;"","")</f>
        <v/>
      </c>
      <c r="S765" s="108" t="str">
        <f>Setup!$C$30</f>
        <v>USD</v>
      </c>
      <c r="T765" s="109" t="str">
        <f>IFERROR(INDEX('Data Sheet'!$B$198:$B$275,MATCH(I765,'Data Sheet'!$F$198:$F$275,0)),"")</f>
        <v/>
      </c>
      <c r="U765" s="110" t="str">
        <f>IFERROR(INDEX('Data Sheet'!$D$198:$D$275,MATCH(I765,'Data Sheet'!$F$198:$F$275,0)),"")</f>
        <v/>
      </c>
      <c r="V765" s="99"/>
      <c r="W765" s="195" t="str">
        <f>IF(V765=Setup!$C$30,"Grant",IF(V765=Setup!$C$31,"Local",IF(V765=Setup!$C$32,"Other",IF(ISBLANK(V765),"","Other"))))</f>
        <v/>
      </c>
      <c r="X765" s="255"/>
      <c r="Y765" s="259" t="str">
        <f>IF(X765&lt;&gt;"",X765/VLOOKUP($V765,Setup!$C$30:$D$41,2,0),"")</f>
        <v/>
      </c>
      <c r="Z765" s="262"/>
      <c r="AA765" s="256" t="str">
        <f t="shared" si="339"/>
        <v/>
      </c>
      <c r="AB765" s="262"/>
      <c r="AC765" s="258" t="str">
        <f t="shared" si="340"/>
        <v/>
      </c>
      <c r="AD765" s="262"/>
      <c r="AE765" s="258" t="str">
        <f t="shared" si="341"/>
        <v/>
      </c>
      <c r="AF765" s="262"/>
      <c r="AG765" s="256" t="str">
        <f t="shared" si="342"/>
        <v/>
      </c>
      <c r="AH765" s="256" t="str">
        <f t="shared" si="343"/>
        <v/>
      </c>
      <c r="AI765" s="256" t="str">
        <f t="shared" si="344"/>
        <v/>
      </c>
      <c r="AJ765" s="111"/>
      <c r="AK765" s="255"/>
      <c r="AL765" s="259" t="str">
        <f>IF(AK765&lt;&gt;"",AK765/VLOOKUP($V765,Setup!$C$30:$D$41,2,0),"")</f>
        <v/>
      </c>
      <c r="AM765" s="266"/>
      <c r="AN765" s="258" t="str">
        <f t="shared" si="345"/>
        <v/>
      </c>
      <c r="AO765" s="266"/>
      <c r="AP765" s="258" t="str">
        <f t="shared" si="346"/>
        <v/>
      </c>
      <c r="AQ765" s="266"/>
      <c r="AR765" s="258" t="str">
        <f t="shared" si="347"/>
        <v/>
      </c>
      <c r="AS765" s="266"/>
      <c r="AT765" s="256" t="str">
        <f t="shared" si="348"/>
        <v/>
      </c>
      <c r="AU765" s="256" t="str">
        <f t="shared" si="349"/>
        <v/>
      </c>
      <c r="AV765" s="256" t="str">
        <f t="shared" si="350"/>
        <v/>
      </c>
      <c r="AW765" s="267"/>
      <c r="AX765" s="255"/>
      <c r="AY765" s="259" t="str">
        <f>IF(AX765&lt;&gt;"",AX765/VLOOKUP($V765,Setup!$C$30:$D$41,2,0),"")</f>
        <v/>
      </c>
      <c r="AZ765" s="268"/>
      <c r="BA765" s="258" t="str">
        <f t="shared" si="351"/>
        <v/>
      </c>
      <c r="BB765" s="268"/>
      <c r="BC765" s="258" t="str">
        <f t="shared" si="352"/>
        <v/>
      </c>
      <c r="BD765" s="268"/>
      <c r="BE765" s="258" t="str">
        <f t="shared" si="353"/>
        <v/>
      </c>
      <c r="BF765" s="268"/>
      <c r="BG765" s="256" t="str">
        <f t="shared" si="354"/>
        <v/>
      </c>
      <c r="BH765" s="256" t="str">
        <f t="shared" si="355"/>
        <v/>
      </c>
      <c r="BI765" s="256" t="str">
        <f t="shared" si="356"/>
        <v/>
      </c>
      <c r="BJ765" s="267"/>
      <c r="BK765" s="255"/>
      <c r="BL765" s="259" t="str">
        <f>IF(BK765&lt;&gt;"",BK765/VLOOKUP($V765,Setup!$C$30:$D$41,2,0),"")</f>
        <v/>
      </c>
      <c r="BM765" s="268"/>
      <c r="BN765" s="258" t="str">
        <f t="shared" si="357"/>
        <v/>
      </c>
      <c r="BO765" s="268"/>
      <c r="BP765" s="258" t="str">
        <f t="shared" si="358"/>
        <v/>
      </c>
      <c r="BQ765" s="268"/>
      <c r="BR765" s="258" t="str">
        <f t="shared" si="359"/>
        <v/>
      </c>
      <c r="BS765" s="268"/>
      <c r="BT765" s="256" t="str">
        <f t="shared" si="360"/>
        <v/>
      </c>
      <c r="BU765" s="256" t="str">
        <f t="shared" si="361"/>
        <v/>
      </c>
      <c r="BV765" s="256" t="str">
        <f t="shared" si="362"/>
        <v/>
      </c>
      <c r="BW765" s="267"/>
      <c r="BX765" s="256" t="str">
        <f t="shared" si="363"/>
        <v/>
      </c>
      <c r="BY765" s="256" t="str">
        <f t="shared" si="364"/>
        <v/>
      </c>
      <c r="BZ765" s="281"/>
      <c r="CA765" s="282"/>
      <c r="CF765" s="284"/>
      <c r="CG765" s="284"/>
      <c r="CH765" s="284"/>
      <c r="CI765" s="284"/>
      <c r="CL765" s="356" t="str">
        <f>IFERROR(VLOOKUP(C765,'Data Sheet'!$A$3:$B$26,2,FALSE),"")</f>
        <v/>
      </c>
    </row>
    <row r="766" spans="1:90" ht="15.75" x14ac:dyDescent="0.2">
      <c r="A766" s="97"/>
      <c r="B766" s="105" t="str">
        <f t="shared" si="367"/>
        <v>--</v>
      </c>
      <c r="C766" s="276"/>
      <c r="D766" s="101" t="str">
        <f>IFERROR(IF(VLOOKUP(C766,'Data Sheet'!$A$3:$D$26,4,FALSE)=0,"",VLOOKUP(C766,'Data Sheet'!$A$3:$D$26,4,FALSE)),"")</f>
        <v/>
      </c>
      <c r="E766" s="279"/>
      <c r="F766" s="103" t="str">
        <f>IFERROR(IF(VLOOKUP(E766,'Data Sheet'!$C$29:$E$174,3,FALSE)=0,"",VLOOKUP(E766,'Data Sheet'!$C$29:$E$174,3,FALSE)),"")</f>
        <v/>
      </c>
      <c r="G766" s="106" t="str">
        <f t="shared" si="365"/>
        <v>-</v>
      </c>
      <c r="H766" s="273"/>
      <c r="I766" s="107"/>
      <c r="J766" s="249" t="e">
        <f t="shared" si="366"/>
        <v>#VALUE!</v>
      </c>
      <c r="K766" s="101" t="str">
        <f>IFERROR(INDEX('Data Sheet'!$C$198:$C$275,MATCH(I766,'Data Sheet'!$F$198:$F$275,0)),"")</f>
        <v/>
      </c>
      <c r="L766" s="250" t="str">
        <f>IFERROR(INDEX('Data Sheet'!$G$198:$G$275,MATCH(I766,'Data Sheet'!$F$198:$F$275,0)),"")</f>
        <v/>
      </c>
      <c r="M766" s="194"/>
      <c r="N766" s="248"/>
      <c r="O766" s="248"/>
      <c r="P766" s="108" t="str">
        <f>IFERROR(INDEX(Setup!$D$44:$D$70,MATCH(M766,Setup!$K$44:$K$70,0))&amp;"","")</f>
        <v/>
      </c>
      <c r="Q766" s="108" t="str">
        <f>IFERROR(INDEX(Setup!$E$44:$E$70,MATCH(M766,Setup!$K$44:$K$70,0))&amp;"","")</f>
        <v/>
      </c>
      <c r="R766" s="108" t="str">
        <f>IFERROR(INDEX(Setup!$L$44:$L$70,MATCH(M766,Setup!$K$44:$K$70,0))&amp;"","")</f>
        <v/>
      </c>
      <c r="S766" s="108" t="str">
        <f>Setup!$C$30</f>
        <v>USD</v>
      </c>
      <c r="T766" s="109" t="str">
        <f>IFERROR(INDEX('Data Sheet'!$B$198:$B$275,MATCH(I766,'Data Sheet'!$F$198:$F$275,0)),"")</f>
        <v/>
      </c>
      <c r="U766" s="110" t="str">
        <f>IFERROR(INDEX('Data Sheet'!$D$198:$D$275,MATCH(I766,'Data Sheet'!$F$198:$F$275,0)),"")</f>
        <v/>
      </c>
      <c r="V766" s="99"/>
      <c r="W766" s="195" t="str">
        <f>IF(V766=Setup!$C$30,"Grant",IF(V766=Setup!$C$31,"Local",IF(V766=Setup!$C$32,"Other",IF(ISBLANK(V766),"","Other"))))</f>
        <v/>
      </c>
      <c r="X766" s="255"/>
      <c r="Y766" s="259" t="str">
        <f>IF(X766&lt;&gt;"",X766/VLOOKUP($V766,Setup!$C$30:$D$41,2,0),"")</f>
        <v/>
      </c>
      <c r="Z766" s="262"/>
      <c r="AA766" s="256" t="str">
        <f t="shared" si="339"/>
        <v/>
      </c>
      <c r="AB766" s="262"/>
      <c r="AC766" s="258" t="str">
        <f t="shared" si="340"/>
        <v/>
      </c>
      <c r="AD766" s="262"/>
      <c r="AE766" s="258" t="str">
        <f t="shared" si="341"/>
        <v/>
      </c>
      <c r="AF766" s="262"/>
      <c r="AG766" s="256" t="str">
        <f t="shared" si="342"/>
        <v/>
      </c>
      <c r="AH766" s="256" t="str">
        <f t="shared" si="343"/>
        <v/>
      </c>
      <c r="AI766" s="256" t="str">
        <f t="shared" si="344"/>
        <v/>
      </c>
      <c r="AJ766" s="111"/>
      <c r="AK766" s="255"/>
      <c r="AL766" s="259" t="str">
        <f>IF(AK766&lt;&gt;"",AK766/VLOOKUP($V766,Setup!$C$30:$D$41,2,0),"")</f>
        <v/>
      </c>
      <c r="AM766" s="266"/>
      <c r="AN766" s="258" t="str">
        <f t="shared" si="345"/>
        <v/>
      </c>
      <c r="AO766" s="266"/>
      <c r="AP766" s="258" t="str">
        <f t="shared" si="346"/>
        <v/>
      </c>
      <c r="AQ766" s="266"/>
      <c r="AR766" s="258" t="str">
        <f t="shared" si="347"/>
        <v/>
      </c>
      <c r="AS766" s="266"/>
      <c r="AT766" s="256" t="str">
        <f t="shared" si="348"/>
        <v/>
      </c>
      <c r="AU766" s="256" t="str">
        <f t="shared" si="349"/>
        <v/>
      </c>
      <c r="AV766" s="256" t="str">
        <f t="shared" si="350"/>
        <v/>
      </c>
      <c r="AW766" s="267"/>
      <c r="AX766" s="255"/>
      <c r="AY766" s="259" t="str">
        <f>IF(AX766&lt;&gt;"",AX766/VLOOKUP($V766,Setup!$C$30:$D$41,2,0),"")</f>
        <v/>
      </c>
      <c r="AZ766" s="268"/>
      <c r="BA766" s="258" t="str">
        <f t="shared" si="351"/>
        <v/>
      </c>
      <c r="BB766" s="268"/>
      <c r="BC766" s="258" t="str">
        <f t="shared" si="352"/>
        <v/>
      </c>
      <c r="BD766" s="268"/>
      <c r="BE766" s="258" t="str">
        <f t="shared" si="353"/>
        <v/>
      </c>
      <c r="BF766" s="268"/>
      <c r="BG766" s="256" t="str">
        <f t="shared" si="354"/>
        <v/>
      </c>
      <c r="BH766" s="256" t="str">
        <f t="shared" si="355"/>
        <v/>
      </c>
      <c r="BI766" s="256" t="str">
        <f t="shared" si="356"/>
        <v/>
      </c>
      <c r="BJ766" s="267"/>
      <c r="BK766" s="255"/>
      <c r="BL766" s="259" t="str">
        <f>IF(BK766&lt;&gt;"",BK766/VLOOKUP($V766,Setup!$C$30:$D$41,2,0),"")</f>
        <v/>
      </c>
      <c r="BM766" s="268"/>
      <c r="BN766" s="258" t="str">
        <f t="shared" si="357"/>
        <v/>
      </c>
      <c r="BO766" s="268"/>
      <c r="BP766" s="258" t="str">
        <f t="shared" si="358"/>
        <v/>
      </c>
      <c r="BQ766" s="268"/>
      <c r="BR766" s="258" t="str">
        <f t="shared" si="359"/>
        <v/>
      </c>
      <c r="BS766" s="268"/>
      <c r="BT766" s="256" t="str">
        <f t="shared" si="360"/>
        <v/>
      </c>
      <c r="BU766" s="256" t="str">
        <f t="shared" si="361"/>
        <v/>
      </c>
      <c r="BV766" s="256" t="str">
        <f t="shared" si="362"/>
        <v/>
      </c>
      <c r="BW766" s="267"/>
      <c r="BX766" s="256" t="str">
        <f t="shared" si="363"/>
        <v/>
      </c>
      <c r="BY766" s="256" t="str">
        <f t="shared" si="364"/>
        <v/>
      </c>
      <c r="BZ766" s="281"/>
      <c r="CA766" s="282"/>
      <c r="CF766" s="284"/>
      <c r="CG766" s="284"/>
      <c r="CH766" s="284"/>
      <c r="CI766" s="284"/>
      <c r="CL766" s="356" t="str">
        <f>IFERROR(VLOOKUP(C766,'Data Sheet'!$A$3:$B$26,2,FALSE),"")</f>
        <v/>
      </c>
    </row>
    <row r="767" spans="1:90" ht="15.75" x14ac:dyDescent="0.2">
      <c r="A767" s="97"/>
      <c r="B767" s="105" t="str">
        <f t="shared" si="367"/>
        <v>--</v>
      </c>
      <c r="C767" s="276"/>
      <c r="D767" s="101" t="str">
        <f>IFERROR(IF(VLOOKUP(C767,'Data Sheet'!$A$3:$D$26,4,FALSE)=0,"",VLOOKUP(C767,'Data Sheet'!$A$3:$D$26,4,FALSE)),"")</f>
        <v/>
      </c>
      <c r="E767" s="279"/>
      <c r="F767" s="103" t="str">
        <f>IFERROR(IF(VLOOKUP(E767,'Data Sheet'!$C$29:$E$174,3,FALSE)=0,"",VLOOKUP(E767,'Data Sheet'!$C$29:$E$174,3,FALSE)),"")</f>
        <v/>
      </c>
      <c r="G767" s="106" t="str">
        <f t="shared" si="365"/>
        <v>-</v>
      </c>
      <c r="H767" s="273"/>
      <c r="I767" s="107"/>
      <c r="J767" s="249" t="e">
        <f t="shared" si="366"/>
        <v>#VALUE!</v>
      </c>
      <c r="K767" s="101" t="str">
        <f>IFERROR(INDEX('Data Sheet'!$C$198:$C$275,MATCH(I767,'Data Sheet'!$F$198:$F$275,0)),"")</f>
        <v/>
      </c>
      <c r="L767" s="250" t="str">
        <f>IFERROR(INDEX('Data Sheet'!$G$198:$G$275,MATCH(I767,'Data Sheet'!$F$198:$F$275,0)),"")</f>
        <v/>
      </c>
      <c r="M767" s="194"/>
      <c r="N767" s="248"/>
      <c r="O767" s="248"/>
      <c r="P767" s="108" t="str">
        <f>IFERROR(INDEX(Setup!$D$44:$D$70,MATCH(M767,Setup!$K$44:$K$70,0))&amp;"","")</f>
        <v/>
      </c>
      <c r="Q767" s="108" t="str">
        <f>IFERROR(INDEX(Setup!$E$44:$E$70,MATCH(M767,Setup!$K$44:$K$70,0))&amp;"","")</f>
        <v/>
      </c>
      <c r="R767" s="108" t="str">
        <f>IFERROR(INDEX(Setup!$L$44:$L$70,MATCH(M767,Setup!$K$44:$K$70,0))&amp;"","")</f>
        <v/>
      </c>
      <c r="S767" s="108" t="str">
        <f>Setup!$C$30</f>
        <v>USD</v>
      </c>
      <c r="T767" s="109" t="str">
        <f>IFERROR(INDEX('Data Sheet'!$B$198:$B$275,MATCH(I767,'Data Sheet'!$F$198:$F$275,0)),"")</f>
        <v/>
      </c>
      <c r="U767" s="110" t="str">
        <f>IFERROR(INDEX('Data Sheet'!$D$198:$D$275,MATCH(I767,'Data Sheet'!$F$198:$F$275,0)),"")</f>
        <v/>
      </c>
      <c r="V767" s="99"/>
      <c r="W767" s="195" t="str">
        <f>IF(V767=Setup!$C$30,"Grant",IF(V767=Setup!$C$31,"Local",IF(V767=Setup!$C$32,"Other",IF(ISBLANK(V767),"","Other"))))</f>
        <v/>
      </c>
      <c r="X767" s="255"/>
      <c r="Y767" s="259" t="str">
        <f>IF(X767&lt;&gt;"",X767/VLOOKUP($V767,Setup!$C$30:$D$41,2,0),"")</f>
        <v/>
      </c>
      <c r="Z767" s="262"/>
      <c r="AA767" s="256" t="str">
        <f t="shared" si="339"/>
        <v/>
      </c>
      <c r="AB767" s="262"/>
      <c r="AC767" s="258" t="str">
        <f t="shared" si="340"/>
        <v/>
      </c>
      <c r="AD767" s="262"/>
      <c r="AE767" s="258" t="str">
        <f t="shared" si="341"/>
        <v/>
      </c>
      <c r="AF767" s="262"/>
      <c r="AG767" s="256" t="str">
        <f t="shared" si="342"/>
        <v/>
      </c>
      <c r="AH767" s="256" t="str">
        <f t="shared" si="343"/>
        <v/>
      </c>
      <c r="AI767" s="256" t="str">
        <f t="shared" si="344"/>
        <v/>
      </c>
      <c r="AJ767" s="111"/>
      <c r="AK767" s="255"/>
      <c r="AL767" s="259" t="str">
        <f>IF(AK767&lt;&gt;"",AK767/VLOOKUP($V767,Setup!$C$30:$D$41,2,0),"")</f>
        <v/>
      </c>
      <c r="AM767" s="266"/>
      <c r="AN767" s="258" t="str">
        <f t="shared" si="345"/>
        <v/>
      </c>
      <c r="AO767" s="266"/>
      <c r="AP767" s="258" t="str">
        <f t="shared" si="346"/>
        <v/>
      </c>
      <c r="AQ767" s="266"/>
      <c r="AR767" s="258" t="str">
        <f t="shared" si="347"/>
        <v/>
      </c>
      <c r="AS767" s="266"/>
      <c r="AT767" s="256" t="str">
        <f t="shared" si="348"/>
        <v/>
      </c>
      <c r="AU767" s="256" t="str">
        <f t="shared" si="349"/>
        <v/>
      </c>
      <c r="AV767" s="256" t="str">
        <f t="shared" si="350"/>
        <v/>
      </c>
      <c r="AW767" s="267"/>
      <c r="AX767" s="255"/>
      <c r="AY767" s="259" t="str">
        <f>IF(AX767&lt;&gt;"",AX767/VLOOKUP($V767,Setup!$C$30:$D$41,2,0),"")</f>
        <v/>
      </c>
      <c r="AZ767" s="268"/>
      <c r="BA767" s="258" t="str">
        <f t="shared" si="351"/>
        <v/>
      </c>
      <c r="BB767" s="268"/>
      <c r="BC767" s="258" t="str">
        <f t="shared" si="352"/>
        <v/>
      </c>
      <c r="BD767" s="268"/>
      <c r="BE767" s="258" t="str">
        <f t="shared" si="353"/>
        <v/>
      </c>
      <c r="BF767" s="268"/>
      <c r="BG767" s="256" t="str">
        <f t="shared" si="354"/>
        <v/>
      </c>
      <c r="BH767" s="256" t="str">
        <f t="shared" si="355"/>
        <v/>
      </c>
      <c r="BI767" s="256" t="str">
        <f t="shared" si="356"/>
        <v/>
      </c>
      <c r="BJ767" s="267"/>
      <c r="BK767" s="255"/>
      <c r="BL767" s="259" t="str">
        <f>IF(BK767&lt;&gt;"",BK767/VLOOKUP($V767,Setup!$C$30:$D$41,2,0),"")</f>
        <v/>
      </c>
      <c r="BM767" s="268"/>
      <c r="BN767" s="258" t="str">
        <f t="shared" si="357"/>
        <v/>
      </c>
      <c r="BO767" s="268"/>
      <c r="BP767" s="258" t="str">
        <f t="shared" si="358"/>
        <v/>
      </c>
      <c r="BQ767" s="268"/>
      <c r="BR767" s="258" t="str">
        <f t="shared" si="359"/>
        <v/>
      </c>
      <c r="BS767" s="268"/>
      <c r="BT767" s="256" t="str">
        <f t="shared" si="360"/>
        <v/>
      </c>
      <c r="BU767" s="256" t="str">
        <f t="shared" si="361"/>
        <v/>
      </c>
      <c r="BV767" s="256" t="str">
        <f t="shared" si="362"/>
        <v/>
      </c>
      <c r="BW767" s="267"/>
      <c r="BX767" s="256" t="str">
        <f t="shared" si="363"/>
        <v/>
      </c>
      <c r="BY767" s="256" t="str">
        <f t="shared" si="364"/>
        <v/>
      </c>
      <c r="BZ767" s="281"/>
      <c r="CA767" s="282"/>
      <c r="CF767" s="284"/>
      <c r="CG767" s="284"/>
      <c r="CH767" s="284"/>
      <c r="CI767" s="284"/>
      <c r="CL767" s="356" t="str">
        <f>IFERROR(VLOOKUP(C767,'Data Sheet'!$A$3:$B$26,2,FALSE),"")</f>
        <v/>
      </c>
    </row>
    <row r="768" spans="1:90" ht="15.75" x14ac:dyDescent="0.2">
      <c r="A768" s="97"/>
      <c r="B768" s="105" t="str">
        <f t="shared" si="367"/>
        <v>--</v>
      </c>
      <c r="C768" s="276"/>
      <c r="D768" s="101" t="str">
        <f>IFERROR(IF(VLOOKUP(C768,'Data Sheet'!$A$3:$D$26,4,FALSE)=0,"",VLOOKUP(C768,'Data Sheet'!$A$3:$D$26,4,FALSE)),"")</f>
        <v/>
      </c>
      <c r="E768" s="279"/>
      <c r="F768" s="103" t="str">
        <f>IFERROR(IF(VLOOKUP(E768,'Data Sheet'!$C$29:$E$174,3,FALSE)=0,"",VLOOKUP(E768,'Data Sheet'!$C$29:$E$174,3,FALSE)),"")</f>
        <v/>
      </c>
      <c r="G768" s="106" t="str">
        <f t="shared" si="365"/>
        <v>-</v>
      </c>
      <c r="H768" s="273"/>
      <c r="I768" s="107"/>
      <c r="J768" s="249" t="e">
        <f t="shared" si="366"/>
        <v>#VALUE!</v>
      </c>
      <c r="K768" s="101" t="str">
        <f>IFERROR(INDEX('Data Sheet'!$C$198:$C$275,MATCH(I768,'Data Sheet'!$F$198:$F$275,0)),"")</f>
        <v/>
      </c>
      <c r="L768" s="250" t="str">
        <f>IFERROR(INDEX('Data Sheet'!$G$198:$G$275,MATCH(I768,'Data Sheet'!$F$198:$F$275,0)),"")</f>
        <v/>
      </c>
      <c r="M768" s="194"/>
      <c r="N768" s="248"/>
      <c r="O768" s="248"/>
      <c r="P768" s="108" t="str">
        <f>IFERROR(INDEX(Setup!$D$44:$D$70,MATCH(M768,Setup!$K$44:$K$70,0))&amp;"","")</f>
        <v/>
      </c>
      <c r="Q768" s="108" t="str">
        <f>IFERROR(INDEX(Setup!$E$44:$E$70,MATCH(M768,Setup!$K$44:$K$70,0))&amp;"","")</f>
        <v/>
      </c>
      <c r="R768" s="108" t="str">
        <f>IFERROR(INDEX(Setup!$L$44:$L$70,MATCH(M768,Setup!$K$44:$K$70,0))&amp;"","")</f>
        <v/>
      </c>
      <c r="S768" s="108" t="str">
        <f>Setup!$C$30</f>
        <v>USD</v>
      </c>
      <c r="T768" s="109" t="str">
        <f>IFERROR(INDEX('Data Sheet'!$B$198:$B$275,MATCH(I768,'Data Sheet'!$F$198:$F$275,0)),"")</f>
        <v/>
      </c>
      <c r="U768" s="110" t="str">
        <f>IFERROR(INDEX('Data Sheet'!$D$198:$D$275,MATCH(I768,'Data Sheet'!$F$198:$F$275,0)),"")</f>
        <v/>
      </c>
      <c r="V768" s="99"/>
      <c r="W768" s="195" t="str">
        <f>IF(V768=Setup!$C$30,"Grant",IF(V768=Setup!$C$31,"Local",IF(V768=Setup!$C$32,"Other",IF(ISBLANK(V768),"","Other"))))</f>
        <v/>
      </c>
      <c r="X768" s="255"/>
      <c r="Y768" s="259" t="str">
        <f>IF(X768&lt;&gt;"",X768/VLOOKUP($V768,Setup!$C$30:$D$41,2,0),"")</f>
        <v/>
      </c>
      <c r="Z768" s="262"/>
      <c r="AA768" s="256" t="str">
        <f t="shared" si="339"/>
        <v/>
      </c>
      <c r="AB768" s="262"/>
      <c r="AC768" s="258" t="str">
        <f t="shared" si="340"/>
        <v/>
      </c>
      <c r="AD768" s="262"/>
      <c r="AE768" s="258" t="str">
        <f t="shared" si="341"/>
        <v/>
      </c>
      <c r="AF768" s="262"/>
      <c r="AG768" s="256" t="str">
        <f t="shared" si="342"/>
        <v/>
      </c>
      <c r="AH768" s="256" t="str">
        <f t="shared" si="343"/>
        <v/>
      </c>
      <c r="AI768" s="256" t="str">
        <f t="shared" si="344"/>
        <v/>
      </c>
      <c r="AJ768" s="111"/>
      <c r="AK768" s="255"/>
      <c r="AL768" s="259" t="str">
        <f>IF(AK768&lt;&gt;"",AK768/VLOOKUP($V768,Setup!$C$30:$D$41,2,0),"")</f>
        <v/>
      </c>
      <c r="AM768" s="266"/>
      <c r="AN768" s="258" t="str">
        <f t="shared" si="345"/>
        <v/>
      </c>
      <c r="AO768" s="266"/>
      <c r="AP768" s="258" t="str">
        <f t="shared" si="346"/>
        <v/>
      </c>
      <c r="AQ768" s="266"/>
      <c r="AR768" s="258" t="str">
        <f t="shared" si="347"/>
        <v/>
      </c>
      <c r="AS768" s="266"/>
      <c r="AT768" s="256" t="str">
        <f t="shared" si="348"/>
        <v/>
      </c>
      <c r="AU768" s="256" t="str">
        <f t="shared" si="349"/>
        <v/>
      </c>
      <c r="AV768" s="256" t="str">
        <f t="shared" si="350"/>
        <v/>
      </c>
      <c r="AW768" s="267"/>
      <c r="AX768" s="255"/>
      <c r="AY768" s="259" t="str">
        <f>IF(AX768&lt;&gt;"",AX768/VLOOKUP($V768,Setup!$C$30:$D$41,2,0),"")</f>
        <v/>
      </c>
      <c r="AZ768" s="268"/>
      <c r="BA768" s="258" t="str">
        <f t="shared" si="351"/>
        <v/>
      </c>
      <c r="BB768" s="268"/>
      <c r="BC768" s="258" t="str">
        <f t="shared" si="352"/>
        <v/>
      </c>
      <c r="BD768" s="268"/>
      <c r="BE768" s="258" t="str">
        <f t="shared" si="353"/>
        <v/>
      </c>
      <c r="BF768" s="268"/>
      <c r="BG768" s="256" t="str">
        <f t="shared" si="354"/>
        <v/>
      </c>
      <c r="BH768" s="256" t="str">
        <f t="shared" si="355"/>
        <v/>
      </c>
      <c r="BI768" s="256" t="str">
        <f t="shared" si="356"/>
        <v/>
      </c>
      <c r="BJ768" s="267"/>
      <c r="BK768" s="255"/>
      <c r="BL768" s="259" t="str">
        <f>IF(BK768&lt;&gt;"",BK768/VLOOKUP($V768,Setup!$C$30:$D$41,2,0),"")</f>
        <v/>
      </c>
      <c r="BM768" s="268"/>
      <c r="BN768" s="258" t="str">
        <f t="shared" si="357"/>
        <v/>
      </c>
      <c r="BO768" s="268"/>
      <c r="BP768" s="258" t="str">
        <f t="shared" si="358"/>
        <v/>
      </c>
      <c r="BQ768" s="268"/>
      <c r="BR768" s="258" t="str">
        <f t="shared" si="359"/>
        <v/>
      </c>
      <c r="BS768" s="268"/>
      <c r="BT768" s="256" t="str">
        <f t="shared" si="360"/>
        <v/>
      </c>
      <c r="BU768" s="256" t="str">
        <f t="shared" si="361"/>
        <v/>
      </c>
      <c r="BV768" s="256" t="str">
        <f t="shared" si="362"/>
        <v/>
      </c>
      <c r="BW768" s="267"/>
      <c r="BX768" s="256" t="str">
        <f t="shared" si="363"/>
        <v/>
      </c>
      <c r="BY768" s="256" t="str">
        <f t="shared" si="364"/>
        <v/>
      </c>
      <c r="BZ768" s="281"/>
      <c r="CA768" s="282"/>
      <c r="CF768" s="284"/>
      <c r="CG768" s="284"/>
      <c r="CH768" s="284"/>
      <c r="CI768" s="284"/>
      <c r="CL768" s="356" t="str">
        <f>IFERROR(VLOOKUP(C768,'Data Sheet'!$A$3:$B$26,2,FALSE),"")</f>
        <v/>
      </c>
    </row>
    <row r="769" spans="1:90" ht="15.75" x14ac:dyDescent="0.2">
      <c r="A769" s="97"/>
      <c r="B769" s="105" t="str">
        <f t="shared" si="367"/>
        <v>--</v>
      </c>
      <c r="C769" s="276"/>
      <c r="D769" s="101" t="str">
        <f>IFERROR(IF(VLOOKUP(C769,'Data Sheet'!$A$3:$D$26,4,FALSE)=0,"",VLOOKUP(C769,'Data Sheet'!$A$3:$D$26,4,FALSE)),"")</f>
        <v/>
      </c>
      <c r="E769" s="279"/>
      <c r="F769" s="103" t="str">
        <f>IFERROR(IF(VLOOKUP(E769,'Data Sheet'!$C$29:$E$174,3,FALSE)=0,"",VLOOKUP(E769,'Data Sheet'!$C$29:$E$174,3,FALSE)),"")</f>
        <v/>
      </c>
      <c r="G769" s="106" t="str">
        <f t="shared" si="365"/>
        <v>-</v>
      </c>
      <c r="H769" s="273"/>
      <c r="I769" s="107"/>
      <c r="J769" s="249" t="e">
        <f t="shared" si="366"/>
        <v>#VALUE!</v>
      </c>
      <c r="K769" s="101" t="str">
        <f>IFERROR(INDEX('Data Sheet'!$C$198:$C$275,MATCH(I769,'Data Sheet'!$F$198:$F$275,0)),"")</f>
        <v/>
      </c>
      <c r="L769" s="250" t="str">
        <f>IFERROR(INDEX('Data Sheet'!$G$198:$G$275,MATCH(I769,'Data Sheet'!$F$198:$F$275,0)),"")</f>
        <v/>
      </c>
      <c r="M769" s="194"/>
      <c r="N769" s="248"/>
      <c r="O769" s="248"/>
      <c r="P769" s="108" t="str">
        <f>IFERROR(INDEX(Setup!$D$44:$D$70,MATCH(M769,Setup!$K$44:$K$70,0))&amp;"","")</f>
        <v/>
      </c>
      <c r="Q769" s="108" t="str">
        <f>IFERROR(INDEX(Setup!$E$44:$E$70,MATCH(M769,Setup!$K$44:$K$70,0))&amp;"","")</f>
        <v/>
      </c>
      <c r="R769" s="108" t="str">
        <f>IFERROR(INDEX(Setup!$L$44:$L$70,MATCH(M769,Setup!$K$44:$K$70,0))&amp;"","")</f>
        <v/>
      </c>
      <c r="S769" s="108" t="str">
        <f>Setup!$C$30</f>
        <v>USD</v>
      </c>
      <c r="T769" s="109" t="str">
        <f>IFERROR(INDEX('Data Sheet'!$B$198:$B$275,MATCH(I769,'Data Sheet'!$F$198:$F$275,0)),"")</f>
        <v/>
      </c>
      <c r="U769" s="110" t="str">
        <f>IFERROR(INDEX('Data Sheet'!$D$198:$D$275,MATCH(I769,'Data Sheet'!$F$198:$F$275,0)),"")</f>
        <v/>
      </c>
      <c r="V769" s="99"/>
      <c r="W769" s="195" t="str">
        <f>IF(V769=Setup!$C$30,"Grant",IF(V769=Setup!$C$31,"Local",IF(V769=Setup!$C$32,"Other",IF(ISBLANK(V769),"","Other"))))</f>
        <v/>
      </c>
      <c r="X769" s="255"/>
      <c r="Y769" s="259" t="str">
        <f>IF(X769&lt;&gt;"",X769/VLOOKUP($V769,Setup!$C$30:$D$41,2,0),"")</f>
        <v/>
      </c>
      <c r="Z769" s="262"/>
      <c r="AA769" s="256" t="str">
        <f t="shared" si="339"/>
        <v/>
      </c>
      <c r="AB769" s="262"/>
      <c r="AC769" s="258" t="str">
        <f t="shared" si="340"/>
        <v/>
      </c>
      <c r="AD769" s="262"/>
      <c r="AE769" s="258" t="str">
        <f t="shared" si="341"/>
        <v/>
      </c>
      <c r="AF769" s="262"/>
      <c r="AG769" s="256" t="str">
        <f t="shared" si="342"/>
        <v/>
      </c>
      <c r="AH769" s="256" t="str">
        <f t="shared" si="343"/>
        <v/>
      </c>
      <c r="AI769" s="256" t="str">
        <f t="shared" si="344"/>
        <v/>
      </c>
      <c r="AJ769" s="111"/>
      <c r="AK769" s="255"/>
      <c r="AL769" s="259" t="str">
        <f>IF(AK769&lt;&gt;"",AK769/VLOOKUP($V769,Setup!$C$30:$D$41,2,0),"")</f>
        <v/>
      </c>
      <c r="AM769" s="266"/>
      <c r="AN769" s="258" t="str">
        <f t="shared" si="345"/>
        <v/>
      </c>
      <c r="AO769" s="266"/>
      <c r="AP769" s="258" t="str">
        <f t="shared" si="346"/>
        <v/>
      </c>
      <c r="AQ769" s="266"/>
      <c r="AR769" s="258" t="str">
        <f t="shared" si="347"/>
        <v/>
      </c>
      <c r="AS769" s="266"/>
      <c r="AT769" s="256" t="str">
        <f t="shared" si="348"/>
        <v/>
      </c>
      <c r="AU769" s="256" t="str">
        <f t="shared" si="349"/>
        <v/>
      </c>
      <c r="AV769" s="256" t="str">
        <f t="shared" si="350"/>
        <v/>
      </c>
      <c r="AW769" s="267"/>
      <c r="AX769" s="255"/>
      <c r="AY769" s="259" t="str">
        <f>IF(AX769&lt;&gt;"",AX769/VLOOKUP($V769,Setup!$C$30:$D$41,2,0),"")</f>
        <v/>
      </c>
      <c r="AZ769" s="268"/>
      <c r="BA769" s="258" t="str">
        <f t="shared" si="351"/>
        <v/>
      </c>
      <c r="BB769" s="268"/>
      <c r="BC769" s="258" t="str">
        <f t="shared" si="352"/>
        <v/>
      </c>
      <c r="BD769" s="268"/>
      <c r="BE769" s="258" t="str">
        <f t="shared" si="353"/>
        <v/>
      </c>
      <c r="BF769" s="268"/>
      <c r="BG769" s="256" t="str">
        <f t="shared" si="354"/>
        <v/>
      </c>
      <c r="BH769" s="256" t="str">
        <f t="shared" si="355"/>
        <v/>
      </c>
      <c r="BI769" s="256" t="str">
        <f t="shared" si="356"/>
        <v/>
      </c>
      <c r="BJ769" s="267"/>
      <c r="BK769" s="255"/>
      <c r="BL769" s="259" t="str">
        <f>IF(BK769&lt;&gt;"",BK769/VLOOKUP($V769,Setup!$C$30:$D$41,2,0),"")</f>
        <v/>
      </c>
      <c r="BM769" s="268"/>
      <c r="BN769" s="258" t="str">
        <f t="shared" si="357"/>
        <v/>
      </c>
      <c r="BO769" s="268"/>
      <c r="BP769" s="258" t="str">
        <f t="shared" si="358"/>
        <v/>
      </c>
      <c r="BQ769" s="268"/>
      <c r="BR769" s="258" t="str">
        <f t="shared" si="359"/>
        <v/>
      </c>
      <c r="BS769" s="268"/>
      <c r="BT769" s="256" t="str">
        <f t="shared" si="360"/>
        <v/>
      </c>
      <c r="BU769" s="256" t="str">
        <f t="shared" si="361"/>
        <v/>
      </c>
      <c r="BV769" s="256" t="str">
        <f t="shared" si="362"/>
        <v/>
      </c>
      <c r="BW769" s="267"/>
      <c r="BX769" s="256" t="str">
        <f t="shared" si="363"/>
        <v/>
      </c>
      <c r="BY769" s="256" t="str">
        <f t="shared" si="364"/>
        <v/>
      </c>
      <c r="BZ769" s="281"/>
      <c r="CA769" s="282"/>
      <c r="CF769" s="284"/>
      <c r="CG769" s="284"/>
      <c r="CH769" s="284"/>
      <c r="CI769" s="284"/>
      <c r="CL769" s="356" t="str">
        <f>IFERROR(VLOOKUP(C769,'Data Sheet'!$A$3:$B$26,2,FALSE),"")</f>
        <v/>
      </c>
    </row>
    <row r="770" spans="1:90" ht="15.75" x14ac:dyDescent="0.2">
      <c r="A770" s="97"/>
      <c r="B770" s="105" t="str">
        <f t="shared" si="367"/>
        <v>--</v>
      </c>
      <c r="C770" s="276"/>
      <c r="D770" s="101" t="str">
        <f>IFERROR(IF(VLOOKUP(C770,'Data Sheet'!$A$3:$D$26,4,FALSE)=0,"",VLOOKUP(C770,'Data Sheet'!$A$3:$D$26,4,FALSE)),"")</f>
        <v/>
      </c>
      <c r="E770" s="279"/>
      <c r="F770" s="103" t="str">
        <f>IFERROR(IF(VLOOKUP(E770,'Data Sheet'!$C$29:$E$174,3,FALSE)=0,"",VLOOKUP(E770,'Data Sheet'!$C$29:$E$174,3,FALSE)),"")</f>
        <v/>
      </c>
      <c r="G770" s="106" t="str">
        <f t="shared" si="365"/>
        <v>-</v>
      </c>
      <c r="H770" s="273"/>
      <c r="I770" s="107"/>
      <c r="J770" s="249" t="e">
        <f t="shared" si="366"/>
        <v>#VALUE!</v>
      </c>
      <c r="K770" s="101" t="str">
        <f>IFERROR(INDEX('Data Sheet'!$C$198:$C$275,MATCH(I770,'Data Sheet'!$F$198:$F$275,0)),"")</f>
        <v/>
      </c>
      <c r="L770" s="250" t="str">
        <f>IFERROR(INDEX('Data Sheet'!$G$198:$G$275,MATCH(I770,'Data Sheet'!$F$198:$F$275,0)),"")</f>
        <v/>
      </c>
      <c r="M770" s="194"/>
      <c r="N770" s="248"/>
      <c r="O770" s="248"/>
      <c r="P770" s="108" t="str">
        <f>IFERROR(INDEX(Setup!$D$44:$D$70,MATCH(M770,Setup!$K$44:$K$70,0))&amp;"","")</f>
        <v/>
      </c>
      <c r="Q770" s="108" t="str">
        <f>IFERROR(INDEX(Setup!$E$44:$E$70,MATCH(M770,Setup!$K$44:$K$70,0))&amp;"","")</f>
        <v/>
      </c>
      <c r="R770" s="108" t="str">
        <f>IFERROR(INDEX(Setup!$L$44:$L$70,MATCH(M770,Setup!$K$44:$K$70,0))&amp;"","")</f>
        <v/>
      </c>
      <c r="S770" s="108" t="str">
        <f>Setup!$C$30</f>
        <v>USD</v>
      </c>
      <c r="T770" s="109" t="str">
        <f>IFERROR(INDEX('Data Sheet'!$B$198:$B$275,MATCH(I770,'Data Sheet'!$F$198:$F$275,0)),"")</f>
        <v/>
      </c>
      <c r="U770" s="110" t="str">
        <f>IFERROR(INDEX('Data Sheet'!$D$198:$D$275,MATCH(I770,'Data Sheet'!$F$198:$F$275,0)),"")</f>
        <v/>
      </c>
      <c r="V770" s="99"/>
      <c r="W770" s="195" t="str">
        <f>IF(V770=Setup!$C$30,"Grant",IF(V770=Setup!$C$31,"Local",IF(V770=Setup!$C$32,"Other",IF(ISBLANK(V770),"","Other"))))</f>
        <v/>
      </c>
      <c r="X770" s="255"/>
      <c r="Y770" s="259" t="str">
        <f>IF(X770&lt;&gt;"",X770/VLOOKUP($V770,Setup!$C$30:$D$41,2,0),"")</f>
        <v/>
      </c>
      <c r="Z770" s="262"/>
      <c r="AA770" s="256" t="str">
        <f t="shared" si="339"/>
        <v/>
      </c>
      <c r="AB770" s="262"/>
      <c r="AC770" s="258" t="str">
        <f t="shared" si="340"/>
        <v/>
      </c>
      <c r="AD770" s="262"/>
      <c r="AE770" s="258" t="str">
        <f t="shared" si="341"/>
        <v/>
      </c>
      <c r="AF770" s="262"/>
      <c r="AG770" s="256" t="str">
        <f t="shared" si="342"/>
        <v/>
      </c>
      <c r="AH770" s="256" t="str">
        <f t="shared" si="343"/>
        <v/>
      </c>
      <c r="AI770" s="256" t="str">
        <f t="shared" si="344"/>
        <v/>
      </c>
      <c r="AJ770" s="111"/>
      <c r="AK770" s="255"/>
      <c r="AL770" s="259" t="str">
        <f>IF(AK770&lt;&gt;"",AK770/VLOOKUP($V770,Setup!$C$30:$D$41,2,0),"")</f>
        <v/>
      </c>
      <c r="AM770" s="266"/>
      <c r="AN770" s="258" t="str">
        <f t="shared" si="345"/>
        <v/>
      </c>
      <c r="AO770" s="266"/>
      <c r="AP770" s="258" t="str">
        <f t="shared" si="346"/>
        <v/>
      </c>
      <c r="AQ770" s="266"/>
      <c r="AR770" s="258" t="str">
        <f t="shared" si="347"/>
        <v/>
      </c>
      <c r="AS770" s="266"/>
      <c r="AT770" s="256" t="str">
        <f t="shared" si="348"/>
        <v/>
      </c>
      <c r="AU770" s="256" t="str">
        <f t="shared" si="349"/>
        <v/>
      </c>
      <c r="AV770" s="256" t="str">
        <f t="shared" si="350"/>
        <v/>
      </c>
      <c r="AW770" s="267"/>
      <c r="AX770" s="255"/>
      <c r="AY770" s="259" t="str">
        <f>IF(AX770&lt;&gt;"",AX770/VLOOKUP($V770,Setup!$C$30:$D$41,2,0),"")</f>
        <v/>
      </c>
      <c r="AZ770" s="268"/>
      <c r="BA770" s="258" t="str">
        <f t="shared" si="351"/>
        <v/>
      </c>
      <c r="BB770" s="268"/>
      <c r="BC770" s="258" t="str">
        <f t="shared" si="352"/>
        <v/>
      </c>
      <c r="BD770" s="268"/>
      <c r="BE770" s="258" t="str">
        <f t="shared" si="353"/>
        <v/>
      </c>
      <c r="BF770" s="268"/>
      <c r="BG770" s="256" t="str">
        <f t="shared" si="354"/>
        <v/>
      </c>
      <c r="BH770" s="256" t="str">
        <f t="shared" si="355"/>
        <v/>
      </c>
      <c r="BI770" s="256" t="str">
        <f t="shared" si="356"/>
        <v/>
      </c>
      <c r="BJ770" s="267"/>
      <c r="BK770" s="255"/>
      <c r="BL770" s="259" t="str">
        <f>IF(BK770&lt;&gt;"",BK770/VLOOKUP($V770,Setup!$C$30:$D$41,2,0),"")</f>
        <v/>
      </c>
      <c r="BM770" s="268"/>
      <c r="BN770" s="258" t="str">
        <f t="shared" si="357"/>
        <v/>
      </c>
      <c r="BO770" s="268"/>
      <c r="BP770" s="258" t="str">
        <f t="shared" si="358"/>
        <v/>
      </c>
      <c r="BQ770" s="268"/>
      <c r="BR770" s="258" t="str">
        <f t="shared" si="359"/>
        <v/>
      </c>
      <c r="BS770" s="268"/>
      <c r="BT770" s="256" t="str">
        <f t="shared" si="360"/>
        <v/>
      </c>
      <c r="BU770" s="256" t="str">
        <f t="shared" si="361"/>
        <v/>
      </c>
      <c r="BV770" s="256" t="str">
        <f t="shared" si="362"/>
        <v/>
      </c>
      <c r="BW770" s="267"/>
      <c r="BX770" s="256" t="str">
        <f t="shared" si="363"/>
        <v/>
      </c>
      <c r="BY770" s="256" t="str">
        <f t="shared" si="364"/>
        <v/>
      </c>
      <c r="BZ770" s="281"/>
      <c r="CA770" s="282"/>
      <c r="CF770" s="284"/>
      <c r="CG770" s="284"/>
      <c r="CH770" s="284"/>
      <c r="CI770" s="284"/>
      <c r="CL770" s="356" t="str">
        <f>IFERROR(VLOOKUP(C770,'Data Sheet'!$A$3:$B$26,2,FALSE),"")</f>
        <v/>
      </c>
    </row>
    <row r="771" spans="1:90" ht="15.75" x14ac:dyDescent="0.2">
      <c r="A771" s="97"/>
      <c r="B771" s="105" t="str">
        <f t="shared" si="367"/>
        <v>--</v>
      </c>
      <c r="C771" s="276"/>
      <c r="D771" s="101" t="str">
        <f>IFERROR(IF(VLOOKUP(C771,'Data Sheet'!$A$3:$D$26,4,FALSE)=0,"",VLOOKUP(C771,'Data Sheet'!$A$3:$D$26,4,FALSE)),"")</f>
        <v/>
      </c>
      <c r="E771" s="279"/>
      <c r="F771" s="103" t="str">
        <f>IFERROR(IF(VLOOKUP(E771,'Data Sheet'!$C$29:$E$174,3,FALSE)=0,"",VLOOKUP(E771,'Data Sheet'!$C$29:$E$174,3,FALSE)),"")</f>
        <v/>
      </c>
      <c r="G771" s="106" t="str">
        <f t="shared" si="365"/>
        <v>-</v>
      </c>
      <c r="H771" s="273"/>
      <c r="I771" s="107"/>
      <c r="J771" s="249" t="e">
        <f t="shared" si="366"/>
        <v>#VALUE!</v>
      </c>
      <c r="K771" s="101" t="str">
        <f>IFERROR(INDEX('Data Sheet'!$C$198:$C$275,MATCH(I771,'Data Sheet'!$F$198:$F$275,0)),"")</f>
        <v/>
      </c>
      <c r="L771" s="250" t="str">
        <f>IFERROR(INDEX('Data Sheet'!$G$198:$G$275,MATCH(I771,'Data Sheet'!$F$198:$F$275,0)),"")</f>
        <v/>
      </c>
      <c r="M771" s="194"/>
      <c r="N771" s="248"/>
      <c r="O771" s="248"/>
      <c r="P771" s="108" t="str">
        <f>IFERROR(INDEX(Setup!$D$44:$D$70,MATCH(M771,Setup!$K$44:$K$70,0))&amp;"","")</f>
        <v/>
      </c>
      <c r="Q771" s="108" t="str">
        <f>IFERROR(INDEX(Setup!$E$44:$E$70,MATCH(M771,Setup!$K$44:$K$70,0))&amp;"","")</f>
        <v/>
      </c>
      <c r="R771" s="108" t="str">
        <f>IFERROR(INDEX(Setup!$L$44:$L$70,MATCH(M771,Setup!$K$44:$K$70,0))&amp;"","")</f>
        <v/>
      </c>
      <c r="S771" s="108" t="str">
        <f>Setup!$C$30</f>
        <v>USD</v>
      </c>
      <c r="T771" s="109" t="str">
        <f>IFERROR(INDEX('Data Sheet'!$B$198:$B$275,MATCH(I771,'Data Sheet'!$F$198:$F$275,0)),"")</f>
        <v/>
      </c>
      <c r="U771" s="110" t="str">
        <f>IFERROR(INDEX('Data Sheet'!$D$198:$D$275,MATCH(I771,'Data Sheet'!$F$198:$F$275,0)),"")</f>
        <v/>
      </c>
      <c r="V771" s="99"/>
      <c r="W771" s="195" t="str">
        <f>IF(V771=Setup!$C$30,"Grant",IF(V771=Setup!$C$31,"Local",IF(V771=Setup!$C$32,"Other",IF(ISBLANK(V771),"","Other"))))</f>
        <v/>
      </c>
      <c r="X771" s="255"/>
      <c r="Y771" s="259" t="str">
        <f>IF(X771&lt;&gt;"",X771/VLOOKUP($V771,Setup!$C$30:$D$41,2,0),"")</f>
        <v/>
      </c>
      <c r="Z771" s="262"/>
      <c r="AA771" s="256" t="str">
        <f t="shared" si="339"/>
        <v/>
      </c>
      <c r="AB771" s="262"/>
      <c r="AC771" s="258" t="str">
        <f t="shared" si="340"/>
        <v/>
      </c>
      <c r="AD771" s="262"/>
      <c r="AE771" s="258" t="str">
        <f t="shared" si="341"/>
        <v/>
      </c>
      <c r="AF771" s="262"/>
      <c r="AG771" s="256" t="str">
        <f t="shared" si="342"/>
        <v/>
      </c>
      <c r="AH771" s="256" t="str">
        <f t="shared" si="343"/>
        <v/>
      </c>
      <c r="AI771" s="256" t="str">
        <f t="shared" si="344"/>
        <v/>
      </c>
      <c r="AJ771" s="111"/>
      <c r="AK771" s="255"/>
      <c r="AL771" s="259" t="str">
        <f>IF(AK771&lt;&gt;"",AK771/VLOOKUP($V771,Setup!$C$30:$D$41,2,0),"")</f>
        <v/>
      </c>
      <c r="AM771" s="266"/>
      <c r="AN771" s="258" t="str">
        <f t="shared" si="345"/>
        <v/>
      </c>
      <c r="AO771" s="266"/>
      <c r="AP771" s="258" t="str">
        <f t="shared" si="346"/>
        <v/>
      </c>
      <c r="AQ771" s="266"/>
      <c r="AR771" s="258" t="str">
        <f t="shared" si="347"/>
        <v/>
      </c>
      <c r="AS771" s="266"/>
      <c r="AT771" s="256" t="str">
        <f t="shared" si="348"/>
        <v/>
      </c>
      <c r="AU771" s="256" t="str">
        <f t="shared" si="349"/>
        <v/>
      </c>
      <c r="AV771" s="256" t="str">
        <f t="shared" si="350"/>
        <v/>
      </c>
      <c r="AW771" s="267"/>
      <c r="AX771" s="255"/>
      <c r="AY771" s="259" t="str">
        <f>IF(AX771&lt;&gt;"",AX771/VLOOKUP($V771,Setup!$C$30:$D$41,2,0),"")</f>
        <v/>
      </c>
      <c r="AZ771" s="268"/>
      <c r="BA771" s="258" t="str">
        <f t="shared" si="351"/>
        <v/>
      </c>
      <c r="BB771" s="268"/>
      <c r="BC771" s="258" t="str">
        <f t="shared" si="352"/>
        <v/>
      </c>
      <c r="BD771" s="268"/>
      <c r="BE771" s="258" t="str">
        <f t="shared" si="353"/>
        <v/>
      </c>
      <c r="BF771" s="268"/>
      <c r="BG771" s="256" t="str">
        <f t="shared" si="354"/>
        <v/>
      </c>
      <c r="BH771" s="256" t="str">
        <f t="shared" si="355"/>
        <v/>
      </c>
      <c r="BI771" s="256" t="str">
        <f t="shared" si="356"/>
        <v/>
      </c>
      <c r="BJ771" s="267"/>
      <c r="BK771" s="255"/>
      <c r="BL771" s="259" t="str">
        <f>IF(BK771&lt;&gt;"",BK771/VLOOKUP($V771,Setup!$C$30:$D$41,2,0),"")</f>
        <v/>
      </c>
      <c r="BM771" s="268"/>
      <c r="BN771" s="258" t="str">
        <f t="shared" si="357"/>
        <v/>
      </c>
      <c r="BO771" s="268"/>
      <c r="BP771" s="258" t="str">
        <f t="shared" si="358"/>
        <v/>
      </c>
      <c r="BQ771" s="268"/>
      <c r="BR771" s="258" t="str">
        <f t="shared" si="359"/>
        <v/>
      </c>
      <c r="BS771" s="268"/>
      <c r="BT771" s="256" t="str">
        <f t="shared" si="360"/>
        <v/>
      </c>
      <c r="BU771" s="256" t="str">
        <f t="shared" si="361"/>
        <v/>
      </c>
      <c r="BV771" s="256" t="str">
        <f t="shared" si="362"/>
        <v/>
      </c>
      <c r="BW771" s="267"/>
      <c r="BX771" s="256" t="str">
        <f t="shared" si="363"/>
        <v/>
      </c>
      <c r="BY771" s="256" t="str">
        <f t="shared" si="364"/>
        <v/>
      </c>
      <c r="BZ771" s="281"/>
      <c r="CA771" s="282"/>
      <c r="CF771" s="284"/>
      <c r="CG771" s="284"/>
      <c r="CH771" s="284"/>
      <c r="CI771" s="284"/>
      <c r="CL771" s="356" t="str">
        <f>IFERROR(VLOOKUP(C771,'Data Sheet'!$A$3:$B$26,2,FALSE),"")</f>
        <v/>
      </c>
    </row>
    <row r="772" spans="1:90" ht="15.75" x14ac:dyDescent="0.2">
      <c r="A772" s="97"/>
      <c r="B772" s="105" t="str">
        <f t="shared" si="367"/>
        <v>--</v>
      </c>
      <c r="C772" s="276"/>
      <c r="D772" s="101" t="str">
        <f>IFERROR(IF(VLOOKUP(C772,'Data Sheet'!$A$3:$D$26,4,FALSE)=0,"",VLOOKUP(C772,'Data Sheet'!$A$3:$D$26,4,FALSE)),"")</f>
        <v/>
      </c>
      <c r="E772" s="279"/>
      <c r="F772" s="103" t="str">
        <f>IFERROR(IF(VLOOKUP(E772,'Data Sheet'!$C$29:$E$174,3,FALSE)=0,"",VLOOKUP(E772,'Data Sheet'!$C$29:$E$174,3,FALSE)),"")</f>
        <v/>
      </c>
      <c r="G772" s="106" t="str">
        <f t="shared" si="365"/>
        <v>-</v>
      </c>
      <c r="H772" s="273"/>
      <c r="I772" s="107"/>
      <c r="J772" s="249" t="e">
        <f t="shared" si="366"/>
        <v>#VALUE!</v>
      </c>
      <c r="K772" s="101" t="str">
        <f>IFERROR(INDEX('Data Sheet'!$C$198:$C$275,MATCH(I772,'Data Sheet'!$F$198:$F$275,0)),"")</f>
        <v/>
      </c>
      <c r="L772" s="250" t="str">
        <f>IFERROR(INDEX('Data Sheet'!$G$198:$G$275,MATCH(I772,'Data Sheet'!$F$198:$F$275,0)),"")</f>
        <v/>
      </c>
      <c r="M772" s="194"/>
      <c r="N772" s="248"/>
      <c r="O772" s="248"/>
      <c r="P772" s="108" t="str">
        <f>IFERROR(INDEX(Setup!$D$44:$D$70,MATCH(M772,Setup!$K$44:$K$70,0))&amp;"","")</f>
        <v/>
      </c>
      <c r="Q772" s="108" t="str">
        <f>IFERROR(INDEX(Setup!$E$44:$E$70,MATCH(M772,Setup!$K$44:$K$70,0))&amp;"","")</f>
        <v/>
      </c>
      <c r="R772" s="108" t="str">
        <f>IFERROR(INDEX(Setup!$L$44:$L$70,MATCH(M772,Setup!$K$44:$K$70,0))&amp;"","")</f>
        <v/>
      </c>
      <c r="S772" s="108" t="str">
        <f>Setup!$C$30</f>
        <v>USD</v>
      </c>
      <c r="T772" s="109" t="str">
        <f>IFERROR(INDEX('Data Sheet'!$B$198:$B$275,MATCH(I772,'Data Sheet'!$F$198:$F$275,0)),"")</f>
        <v/>
      </c>
      <c r="U772" s="110" t="str">
        <f>IFERROR(INDEX('Data Sheet'!$D$198:$D$275,MATCH(I772,'Data Sheet'!$F$198:$F$275,0)),"")</f>
        <v/>
      </c>
      <c r="V772" s="99"/>
      <c r="W772" s="195" t="str">
        <f>IF(V772=Setup!$C$30,"Grant",IF(V772=Setup!$C$31,"Local",IF(V772=Setup!$C$32,"Other",IF(ISBLANK(V772),"","Other"))))</f>
        <v/>
      </c>
      <c r="X772" s="255"/>
      <c r="Y772" s="259" t="str">
        <f>IF(X772&lt;&gt;"",X772/VLOOKUP($V772,Setup!$C$30:$D$41,2,0),"")</f>
        <v/>
      </c>
      <c r="Z772" s="262"/>
      <c r="AA772" s="256" t="str">
        <f t="shared" si="339"/>
        <v/>
      </c>
      <c r="AB772" s="262"/>
      <c r="AC772" s="258" t="str">
        <f t="shared" si="340"/>
        <v/>
      </c>
      <c r="AD772" s="262"/>
      <c r="AE772" s="258" t="str">
        <f t="shared" si="341"/>
        <v/>
      </c>
      <c r="AF772" s="262"/>
      <c r="AG772" s="256" t="str">
        <f t="shared" si="342"/>
        <v/>
      </c>
      <c r="AH772" s="256" t="str">
        <f t="shared" si="343"/>
        <v/>
      </c>
      <c r="AI772" s="256" t="str">
        <f t="shared" si="344"/>
        <v/>
      </c>
      <c r="AJ772" s="111"/>
      <c r="AK772" s="255"/>
      <c r="AL772" s="259" t="str">
        <f>IF(AK772&lt;&gt;"",AK772/VLOOKUP($V772,Setup!$C$30:$D$41,2,0),"")</f>
        <v/>
      </c>
      <c r="AM772" s="266"/>
      <c r="AN772" s="258" t="str">
        <f t="shared" si="345"/>
        <v/>
      </c>
      <c r="AO772" s="266"/>
      <c r="AP772" s="258" t="str">
        <f t="shared" si="346"/>
        <v/>
      </c>
      <c r="AQ772" s="266"/>
      <c r="AR772" s="258" t="str">
        <f t="shared" si="347"/>
        <v/>
      </c>
      <c r="AS772" s="266"/>
      <c r="AT772" s="256" t="str">
        <f t="shared" si="348"/>
        <v/>
      </c>
      <c r="AU772" s="256" t="str">
        <f t="shared" si="349"/>
        <v/>
      </c>
      <c r="AV772" s="256" t="str">
        <f t="shared" si="350"/>
        <v/>
      </c>
      <c r="AW772" s="267"/>
      <c r="AX772" s="255"/>
      <c r="AY772" s="259" t="str">
        <f>IF(AX772&lt;&gt;"",AX772/VLOOKUP($V772,Setup!$C$30:$D$41,2,0),"")</f>
        <v/>
      </c>
      <c r="AZ772" s="268"/>
      <c r="BA772" s="258" t="str">
        <f t="shared" si="351"/>
        <v/>
      </c>
      <c r="BB772" s="268"/>
      <c r="BC772" s="258" t="str">
        <f t="shared" si="352"/>
        <v/>
      </c>
      <c r="BD772" s="268"/>
      <c r="BE772" s="258" t="str">
        <f t="shared" si="353"/>
        <v/>
      </c>
      <c r="BF772" s="268"/>
      <c r="BG772" s="256" t="str">
        <f t="shared" si="354"/>
        <v/>
      </c>
      <c r="BH772" s="256" t="str">
        <f t="shared" si="355"/>
        <v/>
      </c>
      <c r="BI772" s="256" t="str">
        <f t="shared" si="356"/>
        <v/>
      </c>
      <c r="BJ772" s="267"/>
      <c r="BK772" s="255"/>
      <c r="BL772" s="259" t="str">
        <f>IF(BK772&lt;&gt;"",BK772/VLOOKUP($V772,Setup!$C$30:$D$41,2,0),"")</f>
        <v/>
      </c>
      <c r="BM772" s="268"/>
      <c r="BN772" s="258" t="str">
        <f t="shared" si="357"/>
        <v/>
      </c>
      <c r="BO772" s="268"/>
      <c r="BP772" s="258" t="str">
        <f t="shared" si="358"/>
        <v/>
      </c>
      <c r="BQ772" s="268"/>
      <c r="BR772" s="258" t="str">
        <f t="shared" si="359"/>
        <v/>
      </c>
      <c r="BS772" s="268"/>
      <c r="BT772" s="256" t="str">
        <f t="shared" si="360"/>
        <v/>
      </c>
      <c r="BU772" s="256" t="str">
        <f t="shared" si="361"/>
        <v/>
      </c>
      <c r="BV772" s="256" t="str">
        <f t="shared" si="362"/>
        <v/>
      </c>
      <c r="BW772" s="267"/>
      <c r="BX772" s="256" t="str">
        <f t="shared" si="363"/>
        <v/>
      </c>
      <c r="BY772" s="256" t="str">
        <f t="shared" si="364"/>
        <v/>
      </c>
      <c r="BZ772" s="281"/>
      <c r="CA772" s="282"/>
      <c r="CF772" s="284"/>
      <c r="CG772" s="284"/>
      <c r="CH772" s="284"/>
      <c r="CI772" s="284"/>
      <c r="CL772" s="356" t="str">
        <f>IFERROR(VLOOKUP(C772,'Data Sheet'!$A$3:$B$26,2,FALSE),"")</f>
        <v/>
      </c>
    </row>
    <row r="773" spans="1:90" ht="15.75" x14ac:dyDescent="0.2">
      <c r="A773" s="97"/>
      <c r="B773" s="105" t="str">
        <f t="shared" si="367"/>
        <v>--</v>
      </c>
      <c r="C773" s="276"/>
      <c r="D773" s="101" t="str">
        <f>IFERROR(IF(VLOOKUP(C773,'Data Sheet'!$A$3:$D$26,4,FALSE)=0,"",VLOOKUP(C773,'Data Sheet'!$A$3:$D$26,4,FALSE)),"")</f>
        <v/>
      </c>
      <c r="E773" s="279"/>
      <c r="F773" s="103" t="str">
        <f>IFERROR(IF(VLOOKUP(E773,'Data Sheet'!$C$29:$E$174,3,FALSE)=0,"",VLOOKUP(E773,'Data Sheet'!$C$29:$E$174,3,FALSE)),"")</f>
        <v/>
      </c>
      <c r="G773" s="106" t="str">
        <f t="shared" si="365"/>
        <v>-</v>
      </c>
      <c r="H773" s="273"/>
      <c r="I773" s="107"/>
      <c r="J773" s="249" t="e">
        <f t="shared" si="366"/>
        <v>#VALUE!</v>
      </c>
      <c r="K773" s="101" t="str">
        <f>IFERROR(INDEX('Data Sheet'!$C$198:$C$275,MATCH(I773,'Data Sheet'!$F$198:$F$275,0)),"")</f>
        <v/>
      </c>
      <c r="L773" s="250" t="str">
        <f>IFERROR(INDEX('Data Sheet'!$G$198:$G$275,MATCH(I773,'Data Sheet'!$F$198:$F$275,0)),"")</f>
        <v/>
      </c>
      <c r="M773" s="194"/>
      <c r="N773" s="248"/>
      <c r="O773" s="248"/>
      <c r="P773" s="108" t="str">
        <f>IFERROR(INDEX(Setup!$D$44:$D$70,MATCH(M773,Setup!$K$44:$K$70,0))&amp;"","")</f>
        <v/>
      </c>
      <c r="Q773" s="108" t="str">
        <f>IFERROR(INDEX(Setup!$E$44:$E$70,MATCH(M773,Setup!$K$44:$K$70,0))&amp;"","")</f>
        <v/>
      </c>
      <c r="R773" s="108" t="str">
        <f>IFERROR(INDEX(Setup!$L$44:$L$70,MATCH(M773,Setup!$K$44:$K$70,0))&amp;"","")</f>
        <v/>
      </c>
      <c r="S773" s="108" t="str">
        <f>Setup!$C$30</f>
        <v>USD</v>
      </c>
      <c r="T773" s="109" t="str">
        <f>IFERROR(INDEX('Data Sheet'!$B$198:$B$275,MATCH(I773,'Data Sheet'!$F$198:$F$275,0)),"")</f>
        <v/>
      </c>
      <c r="U773" s="110" t="str">
        <f>IFERROR(INDEX('Data Sheet'!$D$198:$D$275,MATCH(I773,'Data Sheet'!$F$198:$F$275,0)),"")</f>
        <v/>
      </c>
      <c r="V773" s="99"/>
      <c r="W773" s="195" t="str">
        <f>IF(V773=Setup!$C$30,"Grant",IF(V773=Setup!$C$31,"Local",IF(V773=Setup!$C$32,"Other",IF(ISBLANK(V773),"","Other"))))</f>
        <v/>
      </c>
      <c r="X773" s="255"/>
      <c r="Y773" s="259" t="str">
        <f>IF(X773&lt;&gt;"",X773/VLOOKUP($V773,Setup!$C$30:$D$41,2,0),"")</f>
        <v/>
      </c>
      <c r="Z773" s="262"/>
      <c r="AA773" s="256" t="str">
        <f t="shared" ref="AA773:AA836" si="368">IFERROR(IF(AND(NOT(Z773=""),NOT(Y773="")),Z773*Y773,""),"")</f>
        <v/>
      </c>
      <c r="AB773" s="262"/>
      <c r="AC773" s="258" t="str">
        <f t="shared" ref="AC773:AC836" si="369">IFERROR(IF(AND(NOT(AB773=""),NOT(Y773="")),AB773*Y773,""),"")</f>
        <v/>
      </c>
      <c r="AD773" s="262"/>
      <c r="AE773" s="258" t="str">
        <f t="shared" ref="AE773:AE836" si="370">IFERROR(IF(AND(NOT(AD773=""),NOT(Y773="")),AD773*Y773,""),"")</f>
        <v/>
      </c>
      <c r="AF773" s="262"/>
      <c r="AG773" s="256" t="str">
        <f t="shared" ref="AG773:AG836" si="371">IFERROR(IF(AND(NOT(AF773=""),NOT(Y773="")),AF773*Y773,""),"")</f>
        <v/>
      </c>
      <c r="AH773" s="256" t="str">
        <f t="shared" ref="AH773:AH836" si="372">IFERROR(IF(OR(NOT(Z773=""),NOT(AF773=""),NOT(AB773=""),NOT(AD773="")),Z773+AF773+AB773+AD773,""),"")</f>
        <v/>
      </c>
      <c r="AI773" s="256" t="str">
        <f t="shared" ref="AI773:AI836" si="373">IF(SUM(AA773,AC773,AE773,AG773)&gt;0,SUM(AA773,AC773,AE773,AG773),"")</f>
        <v/>
      </c>
      <c r="AJ773" s="111"/>
      <c r="AK773" s="255"/>
      <c r="AL773" s="259" t="str">
        <f>IF(AK773&lt;&gt;"",AK773/VLOOKUP($V773,Setup!$C$30:$D$41,2,0),"")</f>
        <v/>
      </c>
      <c r="AM773" s="266"/>
      <c r="AN773" s="258" t="str">
        <f t="shared" ref="AN773:AN836" si="374">IFERROR(IF(AND(NOT(AM773=""),NOT(AL773="")),AM773*$AL773,""),"")</f>
        <v/>
      </c>
      <c r="AO773" s="266"/>
      <c r="AP773" s="258" t="str">
        <f t="shared" ref="AP773:AP836" si="375">IFERROR(IF(AND(NOT(AO773=""),NOT(AL773="")),AO773*$AL773,""),"")</f>
        <v/>
      </c>
      <c r="AQ773" s="266"/>
      <c r="AR773" s="258" t="str">
        <f t="shared" ref="AR773:AR836" si="376">IFERROR(IF(AND(NOT(AQ773=""),NOT(AL773="")),AQ773*$AL773,""),"")</f>
        <v/>
      </c>
      <c r="AS773" s="266"/>
      <c r="AT773" s="256" t="str">
        <f t="shared" ref="AT773:AT836" si="377">IFERROR(IF(AND(NOT(AS773=""),NOT(AL773="")),AS773*$AL773,""),"")</f>
        <v/>
      </c>
      <c r="AU773" s="256" t="str">
        <f t="shared" ref="AU773:AU836" si="378">IFERROR(IF(OR(NOT(AM773=""),NOT(AS773=""),NOT(AO773=""),NOT(AQ773="")),AM773+AS773+AO773+AQ773,""),"")</f>
        <v/>
      </c>
      <c r="AV773" s="256" t="str">
        <f t="shared" ref="AV773:AV836" si="379">IF(SUM(AN773,AT773,AP773,AR773)&gt;0,SUM(AN773,AT773,AP773,AR773),"")</f>
        <v/>
      </c>
      <c r="AW773" s="267"/>
      <c r="AX773" s="255"/>
      <c r="AY773" s="259" t="str">
        <f>IF(AX773&lt;&gt;"",AX773/VLOOKUP($V773,Setup!$C$30:$D$41,2,0),"")</f>
        <v/>
      </c>
      <c r="AZ773" s="268"/>
      <c r="BA773" s="258" t="str">
        <f t="shared" ref="BA773:BA836" si="380">IFERROR(IF(AND(NOT(AZ773=""),NOT(AY773="")),AZ773*$AY773,""),"")</f>
        <v/>
      </c>
      <c r="BB773" s="268"/>
      <c r="BC773" s="258" t="str">
        <f t="shared" ref="BC773:BC836" si="381">IFERROR(IF(AND(NOT(BB773=""),NOT(AY773="")),BB773*$AY773,""),"")</f>
        <v/>
      </c>
      <c r="BD773" s="268"/>
      <c r="BE773" s="258" t="str">
        <f t="shared" ref="BE773:BE836" si="382">IFERROR(IF(AND(NOT(BD773=""),NOT(AY773="")),BD773*$AY773,""),"")</f>
        <v/>
      </c>
      <c r="BF773" s="268"/>
      <c r="BG773" s="256" t="str">
        <f t="shared" ref="BG773:BG836" si="383">IFERROR(IF(AND(NOT(BF773=""),NOT(AY773="")),BF773*$AY773,""),"")</f>
        <v/>
      </c>
      <c r="BH773" s="256" t="str">
        <f t="shared" ref="BH773:BH836" si="384">IFERROR(IF(OR(NOT(AZ773=""),NOT(BF773=""),NOT(BB773=""),NOT(BD773="")),AZ773+BF773+BB773+BD773,""),"")</f>
        <v/>
      </c>
      <c r="BI773" s="256" t="str">
        <f t="shared" ref="BI773:BI836" si="385">IF(SUM(BA773,BG773,BC773,BE773)&gt;0,SUM(BA773,BG773,BC773,BE773),"")</f>
        <v/>
      </c>
      <c r="BJ773" s="267"/>
      <c r="BK773" s="255"/>
      <c r="BL773" s="259" t="str">
        <f>IF(BK773&lt;&gt;"",BK773/VLOOKUP($V773,Setup!$C$30:$D$41,2,0),"")</f>
        <v/>
      </c>
      <c r="BM773" s="268"/>
      <c r="BN773" s="258" t="str">
        <f t="shared" ref="BN773:BN836" si="386">IFERROR(IF(AND(NOT(BM773=""),NOT(BL773="")),BM773*$BL773,""),"")</f>
        <v/>
      </c>
      <c r="BO773" s="268"/>
      <c r="BP773" s="258" t="str">
        <f t="shared" ref="BP773:BP836" si="387">IFERROR(IF(AND(NOT(BO773=""),NOT(BL773="")),BO773*$BL773,""),"")</f>
        <v/>
      </c>
      <c r="BQ773" s="268"/>
      <c r="BR773" s="258" t="str">
        <f t="shared" ref="BR773:BR836" si="388">IFERROR(IF(AND(NOT(BQ773=""),NOT(BL773="")),BQ773*$BL773,""),"")</f>
        <v/>
      </c>
      <c r="BS773" s="268"/>
      <c r="BT773" s="256" t="str">
        <f t="shared" ref="BT773:BT836" si="389">IFERROR(IF(AND(NOT(BS773=""),NOT(BL773="")),BS773*$BL773,""),"")</f>
        <v/>
      </c>
      <c r="BU773" s="256" t="str">
        <f t="shared" ref="BU773:BU836" si="390">IFERROR(IF(OR(NOT(BM773=""),NOT(BS773=""),NOT(BO773=""),NOT(BQ773="")),BM773+BS773+BO773+BQ773,""),"")</f>
        <v/>
      </c>
      <c r="BV773" s="256" t="str">
        <f t="shared" ref="BV773:BV836" si="391">IF(SUM(BN773,BT773,BP773,BR773)&gt;0,SUM(BN773,BT773,BP773,BR773),"")</f>
        <v/>
      </c>
      <c r="BW773" s="267"/>
      <c r="BX773" s="256" t="str">
        <f t="shared" ref="BX773:BX836" si="392">IF(SUM(AH773,AU773,BH773,BU773)&gt;0,SUM(AH773,AU773,BH773,BU773),"")</f>
        <v/>
      </c>
      <c r="BY773" s="256" t="str">
        <f t="shared" ref="BY773:BY836" si="393">IF(SUM(AI773,AV773,BI773,BV773)&gt;0,SUM(AI773,AV773,BI773,BV773),"")</f>
        <v/>
      </c>
      <c r="BZ773" s="281"/>
      <c r="CA773" s="282"/>
      <c r="CF773" s="284"/>
      <c r="CG773" s="284"/>
      <c r="CH773" s="284"/>
      <c r="CI773" s="284"/>
      <c r="CL773" s="356" t="str">
        <f>IFERROR(VLOOKUP(C773,'Data Sheet'!$A$3:$B$26,2,FALSE),"")</f>
        <v/>
      </c>
    </row>
    <row r="774" spans="1:90" ht="15.75" x14ac:dyDescent="0.2">
      <c r="A774" s="97"/>
      <c r="B774" s="105" t="str">
        <f t="shared" si="367"/>
        <v>--</v>
      </c>
      <c r="C774" s="276"/>
      <c r="D774" s="101" t="str">
        <f>IFERROR(IF(VLOOKUP(C774,'Data Sheet'!$A$3:$D$26,4,FALSE)=0,"",VLOOKUP(C774,'Data Sheet'!$A$3:$D$26,4,FALSE)),"")</f>
        <v/>
      </c>
      <c r="E774" s="279"/>
      <c r="F774" s="103" t="str">
        <f>IFERROR(IF(VLOOKUP(E774,'Data Sheet'!$C$29:$E$174,3,FALSE)=0,"",VLOOKUP(E774,'Data Sheet'!$C$29:$E$174,3,FALSE)),"")</f>
        <v/>
      </c>
      <c r="G774" s="106" t="str">
        <f t="shared" ref="G774:G837" si="394">CONCATENATE(D774,"-",F774)</f>
        <v>-</v>
      </c>
      <c r="H774" s="273"/>
      <c r="I774" s="107"/>
      <c r="J774" s="249" t="e">
        <f t="shared" ref="J774:J837" si="395">LEFT(I774,SEARCH(".",I774,1)+1)</f>
        <v>#VALUE!</v>
      </c>
      <c r="K774" s="101" t="str">
        <f>IFERROR(INDEX('Data Sheet'!$C$198:$C$275,MATCH(I774,'Data Sheet'!$F$198:$F$275,0)),"")</f>
        <v/>
      </c>
      <c r="L774" s="250" t="str">
        <f>IFERROR(INDEX('Data Sheet'!$G$198:$G$275,MATCH(I774,'Data Sheet'!$F$198:$F$275,0)),"")</f>
        <v/>
      </c>
      <c r="M774" s="194"/>
      <c r="N774" s="248"/>
      <c r="O774" s="248"/>
      <c r="P774" s="108" t="str">
        <f>IFERROR(INDEX(Setup!$D$44:$D$70,MATCH(M774,Setup!$K$44:$K$70,0))&amp;"","")</f>
        <v/>
      </c>
      <c r="Q774" s="108" t="str">
        <f>IFERROR(INDEX(Setup!$E$44:$E$70,MATCH(M774,Setup!$K$44:$K$70,0))&amp;"","")</f>
        <v/>
      </c>
      <c r="R774" s="108" t="str">
        <f>IFERROR(INDEX(Setup!$L$44:$L$70,MATCH(M774,Setup!$K$44:$K$70,0))&amp;"","")</f>
        <v/>
      </c>
      <c r="S774" s="108" t="str">
        <f>Setup!$C$30</f>
        <v>USD</v>
      </c>
      <c r="T774" s="109" t="str">
        <f>IFERROR(INDEX('Data Sheet'!$B$198:$B$275,MATCH(I774,'Data Sheet'!$F$198:$F$275,0)),"")</f>
        <v/>
      </c>
      <c r="U774" s="110" t="str">
        <f>IFERROR(INDEX('Data Sheet'!$D$198:$D$275,MATCH(I774,'Data Sheet'!$F$198:$F$275,0)),"")</f>
        <v/>
      </c>
      <c r="V774" s="99"/>
      <c r="W774" s="195" t="str">
        <f>IF(V774=Setup!$C$30,"Grant",IF(V774=Setup!$C$31,"Local",IF(V774=Setup!$C$32,"Other",IF(ISBLANK(V774),"","Other"))))</f>
        <v/>
      </c>
      <c r="X774" s="255"/>
      <c r="Y774" s="259" t="str">
        <f>IF(X774&lt;&gt;"",X774/VLOOKUP($V774,Setup!$C$30:$D$41,2,0),"")</f>
        <v/>
      </c>
      <c r="Z774" s="262"/>
      <c r="AA774" s="256" t="str">
        <f t="shared" si="368"/>
        <v/>
      </c>
      <c r="AB774" s="262"/>
      <c r="AC774" s="258" t="str">
        <f t="shared" si="369"/>
        <v/>
      </c>
      <c r="AD774" s="262"/>
      <c r="AE774" s="258" t="str">
        <f t="shared" si="370"/>
        <v/>
      </c>
      <c r="AF774" s="262"/>
      <c r="AG774" s="256" t="str">
        <f t="shared" si="371"/>
        <v/>
      </c>
      <c r="AH774" s="256" t="str">
        <f t="shared" si="372"/>
        <v/>
      </c>
      <c r="AI774" s="256" t="str">
        <f t="shared" si="373"/>
        <v/>
      </c>
      <c r="AJ774" s="111"/>
      <c r="AK774" s="255"/>
      <c r="AL774" s="259" t="str">
        <f>IF(AK774&lt;&gt;"",AK774/VLOOKUP($V774,Setup!$C$30:$D$41,2,0),"")</f>
        <v/>
      </c>
      <c r="AM774" s="266"/>
      <c r="AN774" s="258" t="str">
        <f t="shared" si="374"/>
        <v/>
      </c>
      <c r="AO774" s="266"/>
      <c r="AP774" s="258" t="str">
        <f t="shared" si="375"/>
        <v/>
      </c>
      <c r="AQ774" s="266"/>
      <c r="AR774" s="258" t="str">
        <f t="shared" si="376"/>
        <v/>
      </c>
      <c r="AS774" s="266"/>
      <c r="AT774" s="256" t="str">
        <f t="shared" si="377"/>
        <v/>
      </c>
      <c r="AU774" s="256" t="str">
        <f t="shared" si="378"/>
        <v/>
      </c>
      <c r="AV774" s="256" t="str">
        <f t="shared" si="379"/>
        <v/>
      </c>
      <c r="AW774" s="267"/>
      <c r="AX774" s="255"/>
      <c r="AY774" s="259" t="str">
        <f>IF(AX774&lt;&gt;"",AX774/VLOOKUP($V774,Setup!$C$30:$D$41,2,0),"")</f>
        <v/>
      </c>
      <c r="AZ774" s="268"/>
      <c r="BA774" s="258" t="str">
        <f t="shared" si="380"/>
        <v/>
      </c>
      <c r="BB774" s="268"/>
      <c r="BC774" s="258" t="str">
        <f t="shared" si="381"/>
        <v/>
      </c>
      <c r="BD774" s="268"/>
      <c r="BE774" s="258" t="str">
        <f t="shared" si="382"/>
        <v/>
      </c>
      <c r="BF774" s="268"/>
      <c r="BG774" s="256" t="str">
        <f t="shared" si="383"/>
        <v/>
      </c>
      <c r="BH774" s="256" t="str">
        <f t="shared" si="384"/>
        <v/>
      </c>
      <c r="BI774" s="256" t="str">
        <f t="shared" si="385"/>
        <v/>
      </c>
      <c r="BJ774" s="267"/>
      <c r="BK774" s="255"/>
      <c r="BL774" s="259" t="str">
        <f>IF(BK774&lt;&gt;"",BK774/VLOOKUP($V774,Setup!$C$30:$D$41,2,0),"")</f>
        <v/>
      </c>
      <c r="BM774" s="268"/>
      <c r="BN774" s="258" t="str">
        <f t="shared" si="386"/>
        <v/>
      </c>
      <c r="BO774" s="268"/>
      <c r="BP774" s="258" t="str">
        <f t="shared" si="387"/>
        <v/>
      </c>
      <c r="BQ774" s="268"/>
      <c r="BR774" s="258" t="str">
        <f t="shared" si="388"/>
        <v/>
      </c>
      <c r="BS774" s="268"/>
      <c r="BT774" s="256" t="str">
        <f t="shared" si="389"/>
        <v/>
      </c>
      <c r="BU774" s="256" t="str">
        <f t="shared" si="390"/>
        <v/>
      </c>
      <c r="BV774" s="256" t="str">
        <f t="shared" si="391"/>
        <v/>
      </c>
      <c r="BW774" s="267"/>
      <c r="BX774" s="256" t="str">
        <f t="shared" si="392"/>
        <v/>
      </c>
      <c r="BY774" s="256" t="str">
        <f t="shared" si="393"/>
        <v/>
      </c>
      <c r="BZ774" s="281"/>
      <c r="CA774" s="282"/>
      <c r="CF774" s="284"/>
      <c r="CG774" s="284"/>
      <c r="CH774" s="284"/>
      <c r="CI774" s="284"/>
      <c r="CL774" s="356" t="str">
        <f>IFERROR(VLOOKUP(C774,'Data Sheet'!$A$3:$B$26,2,FALSE),"")</f>
        <v/>
      </c>
    </row>
    <row r="775" spans="1:90" ht="15.75" x14ac:dyDescent="0.2">
      <c r="A775" s="97"/>
      <c r="B775" s="105" t="str">
        <f t="shared" si="367"/>
        <v>--</v>
      </c>
      <c r="C775" s="276"/>
      <c r="D775" s="101" t="str">
        <f>IFERROR(IF(VLOOKUP(C775,'Data Sheet'!$A$3:$D$26,4,FALSE)=0,"",VLOOKUP(C775,'Data Sheet'!$A$3:$D$26,4,FALSE)),"")</f>
        <v/>
      </c>
      <c r="E775" s="279"/>
      <c r="F775" s="103" t="str">
        <f>IFERROR(IF(VLOOKUP(E775,'Data Sheet'!$C$29:$E$174,3,FALSE)=0,"",VLOOKUP(E775,'Data Sheet'!$C$29:$E$174,3,FALSE)),"")</f>
        <v/>
      </c>
      <c r="G775" s="106" t="str">
        <f t="shared" si="394"/>
        <v>-</v>
      </c>
      <c r="H775" s="273"/>
      <c r="I775" s="107"/>
      <c r="J775" s="249" t="e">
        <f t="shared" si="395"/>
        <v>#VALUE!</v>
      </c>
      <c r="K775" s="101" t="str">
        <f>IFERROR(INDEX('Data Sheet'!$C$198:$C$275,MATCH(I775,'Data Sheet'!$F$198:$F$275,0)),"")</f>
        <v/>
      </c>
      <c r="L775" s="250" t="str">
        <f>IFERROR(INDEX('Data Sheet'!$G$198:$G$275,MATCH(I775,'Data Sheet'!$F$198:$F$275,0)),"")</f>
        <v/>
      </c>
      <c r="M775" s="194"/>
      <c r="N775" s="248"/>
      <c r="O775" s="248"/>
      <c r="P775" s="108" t="str">
        <f>IFERROR(INDEX(Setup!$D$44:$D$70,MATCH(M775,Setup!$K$44:$K$70,0))&amp;"","")</f>
        <v/>
      </c>
      <c r="Q775" s="108" t="str">
        <f>IFERROR(INDEX(Setup!$E$44:$E$70,MATCH(M775,Setup!$K$44:$K$70,0))&amp;"","")</f>
        <v/>
      </c>
      <c r="R775" s="108" t="str">
        <f>IFERROR(INDEX(Setup!$L$44:$L$70,MATCH(M775,Setup!$K$44:$K$70,0))&amp;"","")</f>
        <v/>
      </c>
      <c r="S775" s="108" t="str">
        <f>Setup!$C$30</f>
        <v>USD</v>
      </c>
      <c r="T775" s="109" t="str">
        <f>IFERROR(INDEX('Data Sheet'!$B$198:$B$275,MATCH(I775,'Data Sheet'!$F$198:$F$275,0)),"")</f>
        <v/>
      </c>
      <c r="U775" s="110" t="str">
        <f>IFERROR(INDEX('Data Sheet'!$D$198:$D$275,MATCH(I775,'Data Sheet'!$F$198:$F$275,0)),"")</f>
        <v/>
      </c>
      <c r="V775" s="99"/>
      <c r="W775" s="195" t="str">
        <f>IF(V775=Setup!$C$30,"Grant",IF(V775=Setup!$C$31,"Local",IF(V775=Setup!$C$32,"Other",IF(ISBLANK(V775),"","Other"))))</f>
        <v/>
      </c>
      <c r="X775" s="255"/>
      <c r="Y775" s="259" t="str">
        <f>IF(X775&lt;&gt;"",X775/VLOOKUP($V775,Setup!$C$30:$D$41,2,0),"")</f>
        <v/>
      </c>
      <c r="Z775" s="262"/>
      <c r="AA775" s="256" t="str">
        <f t="shared" si="368"/>
        <v/>
      </c>
      <c r="AB775" s="262"/>
      <c r="AC775" s="258" t="str">
        <f t="shared" si="369"/>
        <v/>
      </c>
      <c r="AD775" s="262"/>
      <c r="AE775" s="258" t="str">
        <f t="shared" si="370"/>
        <v/>
      </c>
      <c r="AF775" s="262"/>
      <c r="AG775" s="256" t="str">
        <f t="shared" si="371"/>
        <v/>
      </c>
      <c r="AH775" s="256" t="str">
        <f t="shared" si="372"/>
        <v/>
      </c>
      <c r="AI775" s="256" t="str">
        <f t="shared" si="373"/>
        <v/>
      </c>
      <c r="AJ775" s="111"/>
      <c r="AK775" s="255"/>
      <c r="AL775" s="259" t="str">
        <f>IF(AK775&lt;&gt;"",AK775/VLOOKUP($V775,Setup!$C$30:$D$41,2,0),"")</f>
        <v/>
      </c>
      <c r="AM775" s="266"/>
      <c r="AN775" s="258" t="str">
        <f t="shared" si="374"/>
        <v/>
      </c>
      <c r="AO775" s="266"/>
      <c r="AP775" s="258" t="str">
        <f t="shared" si="375"/>
        <v/>
      </c>
      <c r="AQ775" s="266"/>
      <c r="AR775" s="258" t="str">
        <f t="shared" si="376"/>
        <v/>
      </c>
      <c r="AS775" s="266"/>
      <c r="AT775" s="256" t="str">
        <f t="shared" si="377"/>
        <v/>
      </c>
      <c r="AU775" s="256" t="str">
        <f t="shared" si="378"/>
        <v/>
      </c>
      <c r="AV775" s="256" t="str">
        <f t="shared" si="379"/>
        <v/>
      </c>
      <c r="AW775" s="267"/>
      <c r="AX775" s="255"/>
      <c r="AY775" s="259" t="str">
        <f>IF(AX775&lt;&gt;"",AX775/VLOOKUP($V775,Setup!$C$30:$D$41,2,0),"")</f>
        <v/>
      </c>
      <c r="AZ775" s="268"/>
      <c r="BA775" s="258" t="str">
        <f t="shared" si="380"/>
        <v/>
      </c>
      <c r="BB775" s="268"/>
      <c r="BC775" s="258" t="str">
        <f t="shared" si="381"/>
        <v/>
      </c>
      <c r="BD775" s="268"/>
      <c r="BE775" s="258" t="str">
        <f t="shared" si="382"/>
        <v/>
      </c>
      <c r="BF775" s="268"/>
      <c r="BG775" s="256" t="str">
        <f t="shared" si="383"/>
        <v/>
      </c>
      <c r="BH775" s="256" t="str">
        <f t="shared" si="384"/>
        <v/>
      </c>
      <c r="BI775" s="256" t="str">
        <f t="shared" si="385"/>
        <v/>
      </c>
      <c r="BJ775" s="267"/>
      <c r="BK775" s="255"/>
      <c r="BL775" s="259" t="str">
        <f>IF(BK775&lt;&gt;"",BK775/VLOOKUP($V775,Setup!$C$30:$D$41,2,0),"")</f>
        <v/>
      </c>
      <c r="BM775" s="268"/>
      <c r="BN775" s="258" t="str">
        <f t="shared" si="386"/>
        <v/>
      </c>
      <c r="BO775" s="268"/>
      <c r="BP775" s="258" t="str">
        <f t="shared" si="387"/>
        <v/>
      </c>
      <c r="BQ775" s="268"/>
      <c r="BR775" s="258" t="str">
        <f t="shared" si="388"/>
        <v/>
      </c>
      <c r="BS775" s="268"/>
      <c r="BT775" s="256" t="str">
        <f t="shared" si="389"/>
        <v/>
      </c>
      <c r="BU775" s="256" t="str">
        <f t="shared" si="390"/>
        <v/>
      </c>
      <c r="BV775" s="256" t="str">
        <f t="shared" si="391"/>
        <v/>
      </c>
      <c r="BW775" s="267"/>
      <c r="BX775" s="256" t="str">
        <f t="shared" si="392"/>
        <v/>
      </c>
      <c r="BY775" s="256" t="str">
        <f t="shared" si="393"/>
        <v/>
      </c>
      <c r="BZ775" s="281"/>
      <c r="CA775" s="282"/>
      <c r="CF775" s="284"/>
      <c r="CG775" s="284"/>
      <c r="CH775" s="284"/>
      <c r="CI775" s="284"/>
      <c r="CL775" s="356" t="str">
        <f>IFERROR(VLOOKUP(C775,'Data Sheet'!$A$3:$B$26,2,FALSE),"")</f>
        <v/>
      </c>
    </row>
    <row r="776" spans="1:90" ht="15.75" x14ac:dyDescent="0.2">
      <c r="A776" s="97"/>
      <c r="B776" s="105" t="str">
        <f t="shared" si="367"/>
        <v>--</v>
      </c>
      <c r="C776" s="276"/>
      <c r="D776" s="101" t="str">
        <f>IFERROR(IF(VLOOKUP(C776,'Data Sheet'!$A$3:$D$26,4,FALSE)=0,"",VLOOKUP(C776,'Data Sheet'!$A$3:$D$26,4,FALSE)),"")</f>
        <v/>
      </c>
      <c r="E776" s="279"/>
      <c r="F776" s="103" t="str">
        <f>IFERROR(IF(VLOOKUP(E776,'Data Sheet'!$C$29:$E$174,3,FALSE)=0,"",VLOOKUP(E776,'Data Sheet'!$C$29:$E$174,3,FALSE)),"")</f>
        <v/>
      </c>
      <c r="G776" s="106" t="str">
        <f t="shared" si="394"/>
        <v>-</v>
      </c>
      <c r="H776" s="273"/>
      <c r="I776" s="107"/>
      <c r="J776" s="249" t="e">
        <f t="shared" si="395"/>
        <v>#VALUE!</v>
      </c>
      <c r="K776" s="101" t="str">
        <f>IFERROR(INDEX('Data Sheet'!$C$198:$C$275,MATCH(I776,'Data Sheet'!$F$198:$F$275,0)),"")</f>
        <v/>
      </c>
      <c r="L776" s="250" t="str">
        <f>IFERROR(INDEX('Data Sheet'!$G$198:$G$275,MATCH(I776,'Data Sheet'!$F$198:$F$275,0)),"")</f>
        <v/>
      </c>
      <c r="M776" s="194"/>
      <c r="N776" s="248"/>
      <c r="O776" s="248"/>
      <c r="P776" s="108" t="str">
        <f>IFERROR(INDEX(Setup!$D$44:$D$70,MATCH(M776,Setup!$K$44:$K$70,0))&amp;"","")</f>
        <v/>
      </c>
      <c r="Q776" s="108" t="str">
        <f>IFERROR(INDEX(Setup!$E$44:$E$70,MATCH(M776,Setup!$K$44:$K$70,0))&amp;"","")</f>
        <v/>
      </c>
      <c r="R776" s="108" t="str">
        <f>IFERROR(INDEX(Setup!$L$44:$L$70,MATCH(M776,Setup!$K$44:$K$70,0))&amp;"","")</f>
        <v/>
      </c>
      <c r="S776" s="108" t="str">
        <f>Setup!$C$30</f>
        <v>USD</v>
      </c>
      <c r="T776" s="109" t="str">
        <f>IFERROR(INDEX('Data Sheet'!$B$198:$B$275,MATCH(I776,'Data Sheet'!$F$198:$F$275,0)),"")</f>
        <v/>
      </c>
      <c r="U776" s="110" t="str">
        <f>IFERROR(INDEX('Data Sheet'!$D$198:$D$275,MATCH(I776,'Data Sheet'!$F$198:$F$275,0)),"")</f>
        <v/>
      </c>
      <c r="V776" s="99"/>
      <c r="W776" s="195" t="str">
        <f>IF(V776=Setup!$C$30,"Grant",IF(V776=Setup!$C$31,"Local",IF(V776=Setup!$C$32,"Other",IF(ISBLANK(V776),"","Other"))))</f>
        <v/>
      </c>
      <c r="X776" s="255"/>
      <c r="Y776" s="259" t="str">
        <f>IF(X776&lt;&gt;"",X776/VLOOKUP($V776,Setup!$C$30:$D$41,2,0),"")</f>
        <v/>
      </c>
      <c r="Z776" s="262"/>
      <c r="AA776" s="256" t="str">
        <f t="shared" si="368"/>
        <v/>
      </c>
      <c r="AB776" s="262"/>
      <c r="AC776" s="258" t="str">
        <f t="shared" si="369"/>
        <v/>
      </c>
      <c r="AD776" s="262"/>
      <c r="AE776" s="258" t="str">
        <f t="shared" si="370"/>
        <v/>
      </c>
      <c r="AF776" s="262"/>
      <c r="AG776" s="256" t="str">
        <f t="shared" si="371"/>
        <v/>
      </c>
      <c r="AH776" s="256" t="str">
        <f t="shared" si="372"/>
        <v/>
      </c>
      <c r="AI776" s="256" t="str">
        <f t="shared" si="373"/>
        <v/>
      </c>
      <c r="AJ776" s="111"/>
      <c r="AK776" s="255"/>
      <c r="AL776" s="259" t="str">
        <f>IF(AK776&lt;&gt;"",AK776/VLOOKUP($V776,Setup!$C$30:$D$41,2,0),"")</f>
        <v/>
      </c>
      <c r="AM776" s="266"/>
      <c r="AN776" s="258" t="str">
        <f t="shared" si="374"/>
        <v/>
      </c>
      <c r="AO776" s="266"/>
      <c r="AP776" s="258" t="str">
        <f t="shared" si="375"/>
        <v/>
      </c>
      <c r="AQ776" s="266"/>
      <c r="AR776" s="258" t="str">
        <f t="shared" si="376"/>
        <v/>
      </c>
      <c r="AS776" s="266"/>
      <c r="AT776" s="256" t="str">
        <f t="shared" si="377"/>
        <v/>
      </c>
      <c r="AU776" s="256" t="str">
        <f t="shared" si="378"/>
        <v/>
      </c>
      <c r="AV776" s="256" t="str">
        <f t="shared" si="379"/>
        <v/>
      </c>
      <c r="AW776" s="267"/>
      <c r="AX776" s="255"/>
      <c r="AY776" s="259" t="str">
        <f>IF(AX776&lt;&gt;"",AX776/VLOOKUP($V776,Setup!$C$30:$D$41,2,0),"")</f>
        <v/>
      </c>
      <c r="AZ776" s="268"/>
      <c r="BA776" s="258" t="str">
        <f t="shared" si="380"/>
        <v/>
      </c>
      <c r="BB776" s="268"/>
      <c r="BC776" s="258" t="str">
        <f t="shared" si="381"/>
        <v/>
      </c>
      <c r="BD776" s="268"/>
      <c r="BE776" s="258" t="str">
        <f t="shared" si="382"/>
        <v/>
      </c>
      <c r="BF776" s="268"/>
      <c r="BG776" s="256" t="str">
        <f t="shared" si="383"/>
        <v/>
      </c>
      <c r="BH776" s="256" t="str">
        <f t="shared" si="384"/>
        <v/>
      </c>
      <c r="BI776" s="256" t="str">
        <f t="shared" si="385"/>
        <v/>
      </c>
      <c r="BJ776" s="267"/>
      <c r="BK776" s="255"/>
      <c r="BL776" s="259" t="str">
        <f>IF(BK776&lt;&gt;"",BK776/VLOOKUP($V776,Setup!$C$30:$D$41,2,0),"")</f>
        <v/>
      </c>
      <c r="BM776" s="268"/>
      <c r="BN776" s="258" t="str">
        <f t="shared" si="386"/>
        <v/>
      </c>
      <c r="BO776" s="268"/>
      <c r="BP776" s="258" t="str">
        <f t="shared" si="387"/>
        <v/>
      </c>
      <c r="BQ776" s="268"/>
      <c r="BR776" s="258" t="str">
        <f t="shared" si="388"/>
        <v/>
      </c>
      <c r="BS776" s="268"/>
      <c r="BT776" s="256" t="str">
        <f t="shared" si="389"/>
        <v/>
      </c>
      <c r="BU776" s="256" t="str">
        <f t="shared" si="390"/>
        <v/>
      </c>
      <c r="BV776" s="256" t="str">
        <f t="shared" si="391"/>
        <v/>
      </c>
      <c r="BW776" s="267"/>
      <c r="BX776" s="256" t="str">
        <f t="shared" si="392"/>
        <v/>
      </c>
      <c r="BY776" s="256" t="str">
        <f t="shared" si="393"/>
        <v/>
      </c>
      <c r="BZ776" s="281"/>
      <c r="CA776" s="282"/>
      <c r="CF776" s="284"/>
      <c r="CG776" s="284"/>
      <c r="CH776" s="284"/>
      <c r="CI776" s="284"/>
      <c r="CL776" s="356" t="str">
        <f>IFERROR(VLOOKUP(C776,'Data Sheet'!$A$3:$B$26,2,FALSE),"")</f>
        <v/>
      </c>
    </row>
    <row r="777" spans="1:90" ht="15.75" x14ac:dyDescent="0.2">
      <c r="A777" s="97"/>
      <c r="B777" s="105" t="str">
        <f t="shared" si="367"/>
        <v>--</v>
      </c>
      <c r="C777" s="276"/>
      <c r="D777" s="101" t="str">
        <f>IFERROR(IF(VLOOKUP(C777,'Data Sheet'!$A$3:$D$26,4,FALSE)=0,"",VLOOKUP(C777,'Data Sheet'!$A$3:$D$26,4,FALSE)),"")</f>
        <v/>
      </c>
      <c r="E777" s="279"/>
      <c r="F777" s="103" t="str">
        <f>IFERROR(IF(VLOOKUP(E777,'Data Sheet'!$C$29:$E$174,3,FALSE)=0,"",VLOOKUP(E777,'Data Sheet'!$C$29:$E$174,3,FALSE)),"")</f>
        <v/>
      </c>
      <c r="G777" s="106" t="str">
        <f t="shared" si="394"/>
        <v>-</v>
      </c>
      <c r="H777" s="273"/>
      <c r="I777" s="107"/>
      <c r="J777" s="249" t="e">
        <f t="shared" si="395"/>
        <v>#VALUE!</v>
      </c>
      <c r="K777" s="101" t="str">
        <f>IFERROR(INDEX('Data Sheet'!$C$198:$C$275,MATCH(I777,'Data Sheet'!$F$198:$F$275,0)),"")</f>
        <v/>
      </c>
      <c r="L777" s="250" t="str">
        <f>IFERROR(INDEX('Data Sheet'!$G$198:$G$275,MATCH(I777,'Data Sheet'!$F$198:$F$275,0)),"")</f>
        <v/>
      </c>
      <c r="M777" s="194"/>
      <c r="N777" s="248"/>
      <c r="O777" s="248"/>
      <c r="P777" s="108" t="str">
        <f>IFERROR(INDEX(Setup!$D$44:$D$70,MATCH(M777,Setup!$K$44:$K$70,0))&amp;"","")</f>
        <v/>
      </c>
      <c r="Q777" s="108" t="str">
        <f>IFERROR(INDEX(Setup!$E$44:$E$70,MATCH(M777,Setup!$K$44:$K$70,0))&amp;"","")</f>
        <v/>
      </c>
      <c r="R777" s="108" t="str">
        <f>IFERROR(INDEX(Setup!$L$44:$L$70,MATCH(M777,Setup!$K$44:$K$70,0))&amp;"","")</f>
        <v/>
      </c>
      <c r="S777" s="108" t="str">
        <f>Setup!$C$30</f>
        <v>USD</v>
      </c>
      <c r="T777" s="109" t="str">
        <f>IFERROR(INDEX('Data Sheet'!$B$198:$B$275,MATCH(I777,'Data Sheet'!$F$198:$F$275,0)),"")</f>
        <v/>
      </c>
      <c r="U777" s="110" t="str">
        <f>IFERROR(INDEX('Data Sheet'!$D$198:$D$275,MATCH(I777,'Data Sheet'!$F$198:$F$275,0)),"")</f>
        <v/>
      </c>
      <c r="V777" s="99"/>
      <c r="W777" s="195" t="str">
        <f>IF(V777=Setup!$C$30,"Grant",IF(V777=Setup!$C$31,"Local",IF(V777=Setup!$C$32,"Other",IF(ISBLANK(V777),"","Other"))))</f>
        <v/>
      </c>
      <c r="X777" s="255"/>
      <c r="Y777" s="259" t="str">
        <f>IF(X777&lt;&gt;"",X777/VLOOKUP($V777,Setup!$C$30:$D$41,2,0),"")</f>
        <v/>
      </c>
      <c r="Z777" s="262"/>
      <c r="AA777" s="256" t="str">
        <f t="shared" si="368"/>
        <v/>
      </c>
      <c r="AB777" s="262"/>
      <c r="AC777" s="258" t="str">
        <f t="shared" si="369"/>
        <v/>
      </c>
      <c r="AD777" s="262"/>
      <c r="AE777" s="258" t="str">
        <f t="shared" si="370"/>
        <v/>
      </c>
      <c r="AF777" s="262"/>
      <c r="AG777" s="256" t="str">
        <f t="shared" si="371"/>
        <v/>
      </c>
      <c r="AH777" s="256" t="str">
        <f t="shared" si="372"/>
        <v/>
      </c>
      <c r="AI777" s="256" t="str">
        <f t="shared" si="373"/>
        <v/>
      </c>
      <c r="AJ777" s="111"/>
      <c r="AK777" s="255"/>
      <c r="AL777" s="259" t="str">
        <f>IF(AK777&lt;&gt;"",AK777/VLOOKUP($V777,Setup!$C$30:$D$41,2,0),"")</f>
        <v/>
      </c>
      <c r="AM777" s="266"/>
      <c r="AN777" s="258" t="str">
        <f t="shared" si="374"/>
        <v/>
      </c>
      <c r="AO777" s="266"/>
      <c r="AP777" s="258" t="str">
        <f t="shared" si="375"/>
        <v/>
      </c>
      <c r="AQ777" s="266"/>
      <c r="AR777" s="258" t="str">
        <f t="shared" si="376"/>
        <v/>
      </c>
      <c r="AS777" s="266"/>
      <c r="AT777" s="256" t="str">
        <f t="shared" si="377"/>
        <v/>
      </c>
      <c r="AU777" s="256" t="str">
        <f t="shared" si="378"/>
        <v/>
      </c>
      <c r="AV777" s="256" t="str">
        <f t="shared" si="379"/>
        <v/>
      </c>
      <c r="AW777" s="267"/>
      <c r="AX777" s="255"/>
      <c r="AY777" s="259" t="str">
        <f>IF(AX777&lt;&gt;"",AX777/VLOOKUP($V777,Setup!$C$30:$D$41,2,0),"")</f>
        <v/>
      </c>
      <c r="AZ777" s="268"/>
      <c r="BA777" s="258" t="str">
        <f t="shared" si="380"/>
        <v/>
      </c>
      <c r="BB777" s="268"/>
      <c r="BC777" s="258" t="str">
        <f t="shared" si="381"/>
        <v/>
      </c>
      <c r="BD777" s="268"/>
      <c r="BE777" s="258" t="str">
        <f t="shared" si="382"/>
        <v/>
      </c>
      <c r="BF777" s="268"/>
      <c r="BG777" s="256" t="str">
        <f t="shared" si="383"/>
        <v/>
      </c>
      <c r="BH777" s="256" t="str">
        <f t="shared" si="384"/>
        <v/>
      </c>
      <c r="BI777" s="256" t="str">
        <f t="shared" si="385"/>
        <v/>
      </c>
      <c r="BJ777" s="267"/>
      <c r="BK777" s="255"/>
      <c r="BL777" s="259" t="str">
        <f>IF(BK777&lt;&gt;"",BK777/VLOOKUP($V777,Setup!$C$30:$D$41,2,0),"")</f>
        <v/>
      </c>
      <c r="BM777" s="268"/>
      <c r="BN777" s="258" t="str">
        <f t="shared" si="386"/>
        <v/>
      </c>
      <c r="BO777" s="268"/>
      <c r="BP777" s="258" t="str">
        <f t="shared" si="387"/>
        <v/>
      </c>
      <c r="BQ777" s="268"/>
      <c r="BR777" s="258" t="str">
        <f t="shared" si="388"/>
        <v/>
      </c>
      <c r="BS777" s="268"/>
      <c r="BT777" s="256" t="str">
        <f t="shared" si="389"/>
        <v/>
      </c>
      <c r="BU777" s="256" t="str">
        <f t="shared" si="390"/>
        <v/>
      </c>
      <c r="BV777" s="256" t="str">
        <f t="shared" si="391"/>
        <v/>
      </c>
      <c r="BW777" s="267"/>
      <c r="BX777" s="256" t="str">
        <f t="shared" si="392"/>
        <v/>
      </c>
      <c r="BY777" s="256" t="str">
        <f t="shared" si="393"/>
        <v/>
      </c>
      <c r="BZ777" s="281"/>
      <c r="CA777" s="282"/>
      <c r="CF777" s="284"/>
      <c r="CG777" s="284"/>
      <c r="CH777" s="284"/>
      <c r="CI777" s="284"/>
      <c r="CL777" s="356" t="str">
        <f>IFERROR(VLOOKUP(C777,'Data Sheet'!$A$3:$B$26,2,FALSE),"")</f>
        <v/>
      </c>
    </row>
    <row r="778" spans="1:90" ht="15.75" x14ac:dyDescent="0.2">
      <c r="A778" s="97"/>
      <c r="B778" s="105" t="str">
        <f t="shared" si="367"/>
        <v>--</v>
      </c>
      <c r="C778" s="276"/>
      <c r="D778" s="101" t="str">
        <f>IFERROR(IF(VLOOKUP(C778,'Data Sheet'!$A$3:$D$26,4,FALSE)=0,"",VLOOKUP(C778,'Data Sheet'!$A$3:$D$26,4,FALSE)),"")</f>
        <v/>
      </c>
      <c r="E778" s="279"/>
      <c r="F778" s="103" t="str">
        <f>IFERROR(IF(VLOOKUP(E778,'Data Sheet'!$C$29:$E$174,3,FALSE)=0,"",VLOOKUP(E778,'Data Sheet'!$C$29:$E$174,3,FALSE)),"")</f>
        <v/>
      </c>
      <c r="G778" s="106" t="str">
        <f t="shared" si="394"/>
        <v>-</v>
      </c>
      <c r="H778" s="273"/>
      <c r="I778" s="107"/>
      <c r="J778" s="249" t="e">
        <f t="shared" si="395"/>
        <v>#VALUE!</v>
      </c>
      <c r="K778" s="101" t="str">
        <f>IFERROR(INDEX('Data Sheet'!$C$198:$C$275,MATCH(I778,'Data Sheet'!$F$198:$F$275,0)),"")</f>
        <v/>
      </c>
      <c r="L778" s="250" t="str">
        <f>IFERROR(INDEX('Data Sheet'!$G$198:$G$275,MATCH(I778,'Data Sheet'!$F$198:$F$275,0)),"")</f>
        <v/>
      </c>
      <c r="M778" s="194"/>
      <c r="N778" s="248"/>
      <c r="O778" s="248"/>
      <c r="P778" s="108" t="str">
        <f>IFERROR(INDEX(Setup!$D$44:$D$70,MATCH(M778,Setup!$K$44:$K$70,0))&amp;"","")</f>
        <v/>
      </c>
      <c r="Q778" s="108" t="str">
        <f>IFERROR(INDEX(Setup!$E$44:$E$70,MATCH(M778,Setup!$K$44:$K$70,0))&amp;"","")</f>
        <v/>
      </c>
      <c r="R778" s="108" t="str">
        <f>IFERROR(INDEX(Setup!$L$44:$L$70,MATCH(M778,Setup!$K$44:$K$70,0))&amp;"","")</f>
        <v/>
      </c>
      <c r="S778" s="108" t="str">
        <f>Setup!$C$30</f>
        <v>USD</v>
      </c>
      <c r="T778" s="109" t="str">
        <f>IFERROR(INDEX('Data Sheet'!$B$198:$B$275,MATCH(I778,'Data Sheet'!$F$198:$F$275,0)),"")</f>
        <v/>
      </c>
      <c r="U778" s="110" t="str">
        <f>IFERROR(INDEX('Data Sheet'!$D$198:$D$275,MATCH(I778,'Data Sheet'!$F$198:$F$275,0)),"")</f>
        <v/>
      </c>
      <c r="V778" s="99"/>
      <c r="W778" s="195" t="str">
        <f>IF(V778=Setup!$C$30,"Grant",IF(V778=Setup!$C$31,"Local",IF(V778=Setup!$C$32,"Other",IF(ISBLANK(V778),"","Other"))))</f>
        <v/>
      </c>
      <c r="X778" s="255"/>
      <c r="Y778" s="259" t="str">
        <f>IF(X778&lt;&gt;"",X778/VLOOKUP($V778,Setup!$C$30:$D$41,2,0),"")</f>
        <v/>
      </c>
      <c r="Z778" s="262"/>
      <c r="AA778" s="256" t="str">
        <f t="shared" si="368"/>
        <v/>
      </c>
      <c r="AB778" s="262"/>
      <c r="AC778" s="258" t="str">
        <f t="shared" si="369"/>
        <v/>
      </c>
      <c r="AD778" s="262"/>
      <c r="AE778" s="258" t="str">
        <f t="shared" si="370"/>
        <v/>
      </c>
      <c r="AF778" s="262"/>
      <c r="AG778" s="256" t="str">
        <f t="shared" si="371"/>
        <v/>
      </c>
      <c r="AH778" s="256" t="str">
        <f t="shared" si="372"/>
        <v/>
      </c>
      <c r="AI778" s="256" t="str">
        <f t="shared" si="373"/>
        <v/>
      </c>
      <c r="AJ778" s="111"/>
      <c r="AK778" s="255"/>
      <c r="AL778" s="259" t="str">
        <f>IF(AK778&lt;&gt;"",AK778/VLOOKUP($V778,Setup!$C$30:$D$41,2,0),"")</f>
        <v/>
      </c>
      <c r="AM778" s="266"/>
      <c r="AN778" s="258" t="str">
        <f t="shared" si="374"/>
        <v/>
      </c>
      <c r="AO778" s="266"/>
      <c r="AP778" s="258" t="str">
        <f t="shared" si="375"/>
        <v/>
      </c>
      <c r="AQ778" s="266"/>
      <c r="AR778" s="258" t="str">
        <f t="shared" si="376"/>
        <v/>
      </c>
      <c r="AS778" s="266"/>
      <c r="AT778" s="256" t="str">
        <f t="shared" si="377"/>
        <v/>
      </c>
      <c r="AU778" s="256" t="str">
        <f t="shared" si="378"/>
        <v/>
      </c>
      <c r="AV778" s="256" t="str">
        <f t="shared" si="379"/>
        <v/>
      </c>
      <c r="AW778" s="267"/>
      <c r="AX778" s="255"/>
      <c r="AY778" s="259" t="str">
        <f>IF(AX778&lt;&gt;"",AX778/VLOOKUP($V778,Setup!$C$30:$D$41,2,0),"")</f>
        <v/>
      </c>
      <c r="AZ778" s="268"/>
      <c r="BA778" s="258" t="str">
        <f t="shared" si="380"/>
        <v/>
      </c>
      <c r="BB778" s="268"/>
      <c r="BC778" s="258" t="str">
        <f t="shared" si="381"/>
        <v/>
      </c>
      <c r="BD778" s="268"/>
      <c r="BE778" s="258" t="str">
        <f t="shared" si="382"/>
        <v/>
      </c>
      <c r="BF778" s="268"/>
      <c r="BG778" s="256" t="str">
        <f t="shared" si="383"/>
        <v/>
      </c>
      <c r="BH778" s="256" t="str">
        <f t="shared" si="384"/>
        <v/>
      </c>
      <c r="BI778" s="256" t="str">
        <f t="shared" si="385"/>
        <v/>
      </c>
      <c r="BJ778" s="267"/>
      <c r="BK778" s="255"/>
      <c r="BL778" s="259" t="str">
        <f>IF(BK778&lt;&gt;"",BK778/VLOOKUP($V778,Setup!$C$30:$D$41,2,0),"")</f>
        <v/>
      </c>
      <c r="BM778" s="268"/>
      <c r="BN778" s="258" t="str">
        <f t="shared" si="386"/>
        <v/>
      </c>
      <c r="BO778" s="268"/>
      <c r="BP778" s="258" t="str">
        <f t="shared" si="387"/>
        <v/>
      </c>
      <c r="BQ778" s="268"/>
      <c r="BR778" s="258" t="str">
        <f t="shared" si="388"/>
        <v/>
      </c>
      <c r="BS778" s="268"/>
      <c r="BT778" s="256" t="str">
        <f t="shared" si="389"/>
        <v/>
      </c>
      <c r="BU778" s="256" t="str">
        <f t="shared" si="390"/>
        <v/>
      </c>
      <c r="BV778" s="256" t="str">
        <f t="shared" si="391"/>
        <v/>
      </c>
      <c r="BW778" s="267"/>
      <c r="BX778" s="256" t="str">
        <f t="shared" si="392"/>
        <v/>
      </c>
      <c r="BY778" s="256" t="str">
        <f t="shared" si="393"/>
        <v/>
      </c>
      <c r="BZ778" s="281"/>
      <c r="CA778" s="282"/>
      <c r="CF778" s="284"/>
      <c r="CG778" s="284"/>
      <c r="CH778" s="284"/>
      <c r="CI778" s="284"/>
      <c r="CL778" s="356" t="str">
        <f>IFERROR(VLOOKUP(C778,'Data Sheet'!$A$3:$B$26,2,FALSE),"")</f>
        <v/>
      </c>
    </row>
    <row r="779" spans="1:90" ht="15.75" x14ac:dyDescent="0.2">
      <c r="A779" s="97"/>
      <c r="B779" s="105" t="str">
        <f t="shared" si="367"/>
        <v>--</v>
      </c>
      <c r="C779" s="276"/>
      <c r="D779" s="101" t="str">
        <f>IFERROR(IF(VLOOKUP(C779,'Data Sheet'!$A$3:$D$26,4,FALSE)=0,"",VLOOKUP(C779,'Data Sheet'!$A$3:$D$26,4,FALSE)),"")</f>
        <v/>
      </c>
      <c r="E779" s="279"/>
      <c r="F779" s="103" t="str">
        <f>IFERROR(IF(VLOOKUP(E779,'Data Sheet'!$C$29:$E$174,3,FALSE)=0,"",VLOOKUP(E779,'Data Sheet'!$C$29:$E$174,3,FALSE)),"")</f>
        <v/>
      </c>
      <c r="G779" s="106" t="str">
        <f t="shared" si="394"/>
        <v>-</v>
      </c>
      <c r="H779" s="273"/>
      <c r="I779" s="107"/>
      <c r="J779" s="249" t="e">
        <f t="shared" si="395"/>
        <v>#VALUE!</v>
      </c>
      <c r="K779" s="101" t="str">
        <f>IFERROR(INDEX('Data Sheet'!$C$198:$C$275,MATCH(I779,'Data Sheet'!$F$198:$F$275,0)),"")</f>
        <v/>
      </c>
      <c r="L779" s="250" t="str">
        <f>IFERROR(INDEX('Data Sheet'!$G$198:$G$275,MATCH(I779,'Data Sheet'!$F$198:$F$275,0)),"")</f>
        <v/>
      </c>
      <c r="M779" s="194"/>
      <c r="N779" s="248"/>
      <c r="O779" s="248"/>
      <c r="P779" s="108" t="str">
        <f>IFERROR(INDEX(Setup!$D$44:$D$70,MATCH(M779,Setup!$K$44:$K$70,0))&amp;"","")</f>
        <v/>
      </c>
      <c r="Q779" s="108" t="str">
        <f>IFERROR(INDEX(Setup!$E$44:$E$70,MATCH(M779,Setup!$K$44:$K$70,0))&amp;"","")</f>
        <v/>
      </c>
      <c r="R779" s="108" t="str">
        <f>IFERROR(INDEX(Setup!$L$44:$L$70,MATCH(M779,Setup!$K$44:$K$70,0))&amp;"","")</f>
        <v/>
      </c>
      <c r="S779" s="108" t="str">
        <f>Setup!$C$30</f>
        <v>USD</v>
      </c>
      <c r="T779" s="109" t="str">
        <f>IFERROR(INDEX('Data Sheet'!$B$198:$B$275,MATCH(I779,'Data Sheet'!$F$198:$F$275,0)),"")</f>
        <v/>
      </c>
      <c r="U779" s="110" t="str">
        <f>IFERROR(INDEX('Data Sheet'!$D$198:$D$275,MATCH(I779,'Data Sheet'!$F$198:$F$275,0)),"")</f>
        <v/>
      </c>
      <c r="V779" s="99"/>
      <c r="W779" s="195" t="str">
        <f>IF(V779=Setup!$C$30,"Grant",IF(V779=Setup!$C$31,"Local",IF(V779=Setup!$C$32,"Other",IF(ISBLANK(V779),"","Other"))))</f>
        <v/>
      </c>
      <c r="X779" s="255"/>
      <c r="Y779" s="259" t="str">
        <f>IF(X779&lt;&gt;"",X779/VLOOKUP($V779,Setup!$C$30:$D$41,2,0),"")</f>
        <v/>
      </c>
      <c r="Z779" s="262"/>
      <c r="AA779" s="256" t="str">
        <f t="shared" si="368"/>
        <v/>
      </c>
      <c r="AB779" s="262"/>
      <c r="AC779" s="258" t="str">
        <f t="shared" si="369"/>
        <v/>
      </c>
      <c r="AD779" s="262"/>
      <c r="AE779" s="258" t="str">
        <f t="shared" si="370"/>
        <v/>
      </c>
      <c r="AF779" s="262"/>
      <c r="AG779" s="256" t="str">
        <f t="shared" si="371"/>
        <v/>
      </c>
      <c r="AH779" s="256" t="str">
        <f t="shared" si="372"/>
        <v/>
      </c>
      <c r="AI779" s="256" t="str">
        <f t="shared" si="373"/>
        <v/>
      </c>
      <c r="AJ779" s="111"/>
      <c r="AK779" s="255"/>
      <c r="AL779" s="259" t="str">
        <f>IF(AK779&lt;&gt;"",AK779/VLOOKUP($V779,Setup!$C$30:$D$41,2,0),"")</f>
        <v/>
      </c>
      <c r="AM779" s="266"/>
      <c r="AN779" s="258" t="str">
        <f t="shared" si="374"/>
        <v/>
      </c>
      <c r="AO779" s="266"/>
      <c r="AP779" s="258" t="str">
        <f t="shared" si="375"/>
        <v/>
      </c>
      <c r="AQ779" s="266"/>
      <c r="AR779" s="258" t="str">
        <f t="shared" si="376"/>
        <v/>
      </c>
      <c r="AS779" s="266"/>
      <c r="AT779" s="256" t="str">
        <f t="shared" si="377"/>
        <v/>
      </c>
      <c r="AU779" s="256" t="str">
        <f t="shared" si="378"/>
        <v/>
      </c>
      <c r="AV779" s="256" t="str">
        <f t="shared" si="379"/>
        <v/>
      </c>
      <c r="AW779" s="267"/>
      <c r="AX779" s="255"/>
      <c r="AY779" s="259" t="str">
        <f>IF(AX779&lt;&gt;"",AX779/VLOOKUP($V779,Setup!$C$30:$D$41,2,0),"")</f>
        <v/>
      </c>
      <c r="AZ779" s="268"/>
      <c r="BA779" s="258" t="str">
        <f t="shared" si="380"/>
        <v/>
      </c>
      <c r="BB779" s="268"/>
      <c r="BC779" s="258" t="str">
        <f t="shared" si="381"/>
        <v/>
      </c>
      <c r="BD779" s="268"/>
      <c r="BE779" s="258" t="str">
        <f t="shared" si="382"/>
        <v/>
      </c>
      <c r="BF779" s="268"/>
      <c r="BG779" s="256" t="str">
        <f t="shared" si="383"/>
        <v/>
      </c>
      <c r="BH779" s="256" t="str">
        <f t="shared" si="384"/>
        <v/>
      </c>
      <c r="BI779" s="256" t="str">
        <f t="shared" si="385"/>
        <v/>
      </c>
      <c r="BJ779" s="267"/>
      <c r="BK779" s="255"/>
      <c r="BL779" s="259" t="str">
        <f>IF(BK779&lt;&gt;"",BK779/VLOOKUP($V779,Setup!$C$30:$D$41,2,0),"")</f>
        <v/>
      </c>
      <c r="BM779" s="268"/>
      <c r="BN779" s="258" t="str">
        <f t="shared" si="386"/>
        <v/>
      </c>
      <c r="BO779" s="268"/>
      <c r="BP779" s="258" t="str">
        <f t="shared" si="387"/>
        <v/>
      </c>
      <c r="BQ779" s="268"/>
      <c r="BR779" s="258" t="str">
        <f t="shared" si="388"/>
        <v/>
      </c>
      <c r="BS779" s="268"/>
      <c r="BT779" s="256" t="str">
        <f t="shared" si="389"/>
        <v/>
      </c>
      <c r="BU779" s="256" t="str">
        <f t="shared" si="390"/>
        <v/>
      </c>
      <c r="BV779" s="256" t="str">
        <f t="shared" si="391"/>
        <v/>
      </c>
      <c r="BW779" s="267"/>
      <c r="BX779" s="256" t="str">
        <f t="shared" si="392"/>
        <v/>
      </c>
      <c r="BY779" s="256" t="str">
        <f t="shared" si="393"/>
        <v/>
      </c>
      <c r="BZ779" s="281"/>
      <c r="CA779" s="282"/>
      <c r="CF779" s="284"/>
      <c r="CG779" s="284"/>
      <c r="CH779" s="284"/>
      <c r="CI779" s="284"/>
      <c r="CL779" s="356" t="str">
        <f>IFERROR(VLOOKUP(C779,'Data Sheet'!$A$3:$B$26,2,FALSE),"")</f>
        <v/>
      </c>
    </row>
    <row r="780" spans="1:90" ht="15.75" x14ac:dyDescent="0.2">
      <c r="A780" s="97"/>
      <c r="B780" s="105" t="str">
        <f t="shared" si="367"/>
        <v>--</v>
      </c>
      <c r="C780" s="276"/>
      <c r="D780" s="101" t="str">
        <f>IFERROR(IF(VLOOKUP(C780,'Data Sheet'!$A$3:$D$26,4,FALSE)=0,"",VLOOKUP(C780,'Data Sheet'!$A$3:$D$26,4,FALSE)),"")</f>
        <v/>
      </c>
      <c r="E780" s="279"/>
      <c r="F780" s="103" t="str">
        <f>IFERROR(IF(VLOOKUP(E780,'Data Sheet'!$C$29:$E$174,3,FALSE)=0,"",VLOOKUP(E780,'Data Sheet'!$C$29:$E$174,3,FALSE)),"")</f>
        <v/>
      </c>
      <c r="G780" s="106" t="str">
        <f t="shared" si="394"/>
        <v>-</v>
      </c>
      <c r="H780" s="273"/>
      <c r="I780" s="107"/>
      <c r="J780" s="249" t="e">
        <f t="shared" si="395"/>
        <v>#VALUE!</v>
      </c>
      <c r="K780" s="101" t="str">
        <f>IFERROR(INDEX('Data Sheet'!$C$198:$C$275,MATCH(I780,'Data Sheet'!$F$198:$F$275,0)),"")</f>
        <v/>
      </c>
      <c r="L780" s="250" t="str">
        <f>IFERROR(INDEX('Data Sheet'!$G$198:$G$275,MATCH(I780,'Data Sheet'!$F$198:$F$275,0)),"")</f>
        <v/>
      </c>
      <c r="M780" s="194"/>
      <c r="N780" s="248"/>
      <c r="O780" s="248"/>
      <c r="P780" s="108" t="str">
        <f>IFERROR(INDEX(Setup!$D$44:$D$70,MATCH(M780,Setup!$K$44:$K$70,0))&amp;"","")</f>
        <v/>
      </c>
      <c r="Q780" s="108" t="str">
        <f>IFERROR(INDEX(Setup!$E$44:$E$70,MATCH(M780,Setup!$K$44:$K$70,0))&amp;"","")</f>
        <v/>
      </c>
      <c r="R780" s="108" t="str">
        <f>IFERROR(INDEX(Setup!$L$44:$L$70,MATCH(M780,Setup!$K$44:$K$70,0))&amp;"","")</f>
        <v/>
      </c>
      <c r="S780" s="108" t="str">
        <f>Setup!$C$30</f>
        <v>USD</v>
      </c>
      <c r="T780" s="109" t="str">
        <f>IFERROR(INDEX('Data Sheet'!$B$198:$B$275,MATCH(I780,'Data Sheet'!$F$198:$F$275,0)),"")</f>
        <v/>
      </c>
      <c r="U780" s="110" t="str">
        <f>IFERROR(INDEX('Data Sheet'!$D$198:$D$275,MATCH(I780,'Data Sheet'!$F$198:$F$275,0)),"")</f>
        <v/>
      </c>
      <c r="V780" s="99"/>
      <c r="W780" s="195" t="str">
        <f>IF(V780=Setup!$C$30,"Grant",IF(V780=Setup!$C$31,"Local",IF(V780=Setup!$C$32,"Other",IF(ISBLANK(V780),"","Other"))))</f>
        <v/>
      </c>
      <c r="X780" s="255"/>
      <c r="Y780" s="259" t="str">
        <f>IF(X780&lt;&gt;"",X780/VLOOKUP($V780,Setup!$C$30:$D$41,2,0),"")</f>
        <v/>
      </c>
      <c r="Z780" s="262"/>
      <c r="AA780" s="256" t="str">
        <f t="shared" si="368"/>
        <v/>
      </c>
      <c r="AB780" s="262"/>
      <c r="AC780" s="258" t="str">
        <f t="shared" si="369"/>
        <v/>
      </c>
      <c r="AD780" s="262"/>
      <c r="AE780" s="258" t="str">
        <f t="shared" si="370"/>
        <v/>
      </c>
      <c r="AF780" s="262"/>
      <c r="AG780" s="256" t="str">
        <f t="shared" si="371"/>
        <v/>
      </c>
      <c r="AH780" s="256" t="str">
        <f t="shared" si="372"/>
        <v/>
      </c>
      <c r="AI780" s="256" t="str">
        <f t="shared" si="373"/>
        <v/>
      </c>
      <c r="AJ780" s="111"/>
      <c r="AK780" s="255"/>
      <c r="AL780" s="259" t="str">
        <f>IF(AK780&lt;&gt;"",AK780/VLOOKUP($V780,Setup!$C$30:$D$41,2,0),"")</f>
        <v/>
      </c>
      <c r="AM780" s="266"/>
      <c r="AN780" s="258" t="str">
        <f t="shared" si="374"/>
        <v/>
      </c>
      <c r="AO780" s="266"/>
      <c r="AP780" s="258" t="str">
        <f t="shared" si="375"/>
        <v/>
      </c>
      <c r="AQ780" s="266"/>
      <c r="AR780" s="258" t="str">
        <f t="shared" si="376"/>
        <v/>
      </c>
      <c r="AS780" s="266"/>
      <c r="AT780" s="256" t="str">
        <f t="shared" si="377"/>
        <v/>
      </c>
      <c r="AU780" s="256" t="str">
        <f t="shared" si="378"/>
        <v/>
      </c>
      <c r="AV780" s="256" t="str">
        <f t="shared" si="379"/>
        <v/>
      </c>
      <c r="AW780" s="267"/>
      <c r="AX780" s="255"/>
      <c r="AY780" s="259" t="str">
        <f>IF(AX780&lt;&gt;"",AX780/VLOOKUP($V780,Setup!$C$30:$D$41,2,0),"")</f>
        <v/>
      </c>
      <c r="AZ780" s="268"/>
      <c r="BA780" s="258" t="str">
        <f t="shared" si="380"/>
        <v/>
      </c>
      <c r="BB780" s="268"/>
      <c r="BC780" s="258" t="str">
        <f t="shared" si="381"/>
        <v/>
      </c>
      <c r="BD780" s="268"/>
      <c r="BE780" s="258" t="str">
        <f t="shared" si="382"/>
        <v/>
      </c>
      <c r="BF780" s="268"/>
      <c r="BG780" s="256" t="str">
        <f t="shared" si="383"/>
        <v/>
      </c>
      <c r="BH780" s="256" t="str">
        <f t="shared" si="384"/>
        <v/>
      </c>
      <c r="BI780" s="256" t="str">
        <f t="shared" si="385"/>
        <v/>
      </c>
      <c r="BJ780" s="267"/>
      <c r="BK780" s="255"/>
      <c r="BL780" s="259" t="str">
        <f>IF(BK780&lt;&gt;"",BK780/VLOOKUP($V780,Setup!$C$30:$D$41,2,0),"")</f>
        <v/>
      </c>
      <c r="BM780" s="268"/>
      <c r="BN780" s="258" t="str">
        <f t="shared" si="386"/>
        <v/>
      </c>
      <c r="BO780" s="268"/>
      <c r="BP780" s="258" t="str">
        <f t="shared" si="387"/>
        <v/>
      </c>
      <c r="BQ780" s="268"/>
      <c r="BR780" s="258" t="str">
        <f t="shared" si="388"/>
        <v/>
      </c>
      <c r="BS780" s="268"/>
      <c r="BT780" s="256" t="str">
        <f t="shared" si="389"/>
        <v/>
      </c>
      <c r="BU780" s="256" t="str">
        <f t="shared" si="390"/>
        <v/>
      </c>
      <c r="BV780" s="256" t="str">
        <f t="shared" si="391"/>
        <v/>
      </c>
      <c r="BW780" s="267"/>
      <c r="BX780" s="256" t="str">
        <f t="shared" si="392"/>
        <v/>
      </c>
      <c r="BY780" s="256" t="str">
        <f t="shared" si="393"/>
        <v/>
      </c>
      <c r="BZ780" s="281"/>
      <c r="CA780" s="282"/>
      <c r="CF780" s="284"/>
      <c r="CG780" s="284"/>
      <c r="CH780" s="284"/>
      <c r="CI780" s="284"/>
      <c r="CL780" s="356" t="str">
        <f>IFERROR(VLOOKUP(C780,'Data Sheet'!$A$3:$B$26,2,FALSE),"")</f>
        <v/>
      </c>
    </row>
    <row r="781" spans="1:90" ht="15.75" x14ac:dyDescent="0.2">
      <c r="A781" s="97"/>
      <c r="B781" s="105" t="str">
        <f t="shared" si="367"/>
        <v>--</v>
      </c>
      <c r="C781" s="276"/>
      <c r="D781" s="101" t="str">
        <f>IFERROR(IF(VLOOKUP(C781,'Data Sheet'!$A$3:$D$26,4,FALSE)=0,"",VLOOKUP(C781,'Data Sheet'!$A$3:$D$26,4,FALSE)),"")</f>
        <v/>
      </c>
      <c r="E781" s="279"/>
      <c r="F781" s="103" t="str">
        <f>IFERROR(IF(VLOOKUP(E781,'Data Sheet'!$C$29:$E$174,3,FALSE)=0,"",VLOOKUP(E781,'Data Sheet'!$C$29:$E$174,3,FALSE)),"")</f>
        <v/>
      </c>
      <c r="G781" s="106" t="str">
        <f t="shared" si="394"/>
        <v>-</v>
      </c>
      <c r="H781" s="273"/>
      <c r="I781" s="107"/>
      <c r="J781" s="249" t="e">
        <f t="shared" si="395"/>
        <v>#VALUE!</v>
      </c>
      <c r="K781" s="101" t="str">
        <f>IFERROR(INDEX('Data Sheet'!$C$198:$C$275,MATCH(I781,'Data Sheet'!$F$198:$F$275,0)),"")</f>
        <v/>
      </c>
      <c r="L781" s="250" t="str">
        <f>IFERROR(INDEX('Data Sheet'!$G$198:$G$275,MATCH(I781,'Data Sheet'!$F$198:$F$275,0)),"")</f>
        <v/>
      </c>
      <c r="M781" s="194"/>
      <c r="N781" s="248"/>
      <c r="O781" s="248"/>
      <c r="P781" s="108" t="str">
        <f>IFERROR(INDEX(Setup!$D$44:$D$70,MATCH(M781,Setup!$K$44:$K$70,0))&amp;"","")</f>
        <v/>
      </c>
      <c r="Q781" s="108" t="str">
        <f>IFERROR(INDEX(Setup!$E$44:$E$70,MATCH(M781,Setup!$K$44:$K$70,0))&amp;"","")</f>
        <v/>
      </c>
      <c r="R781" s="108" t="str">
        <f>IFERROR(INDEX(Setup!$L$44:$L$70,MATCH(M781,Setup!$K$44:$K$70,0))&amp;"","")</f>
        <v/>
      </c>
      <c r="S781" s="108" t="str">
        <f>Setup!$C$30</f>
        <v>USD</v>
      </c>
      <c r="T781" s="109" t="str">
        <f>IFERROR(INDEX('Data Sheet'!$B$198:$B$275,MATCH(I781,'Data Sheet'!$F$198:$F$275,0)),"")</f>
        <v/>
      </c>
      <c r="U781" s="110" t="str">
        <f>IFERROR(INDEX('Data Sheet'!$D$198:$D$275,MATCH(I781,'Data Sheet'!$F$198:$F$275,0)),"")</f>
        <v/>
      </c>
      <c r="V781" s="99"/>
      <c r="W781" s="195" t="str">
        <f>IF(V781=Setup!$C$30,"Grant",IF(V781=Setup!$C$31,"Local",IF(V781=Setup!$C$32,"Other",IF(ISBLANK(V781),"","Other"))))</f>
        <v/>
      </c>
      <c r="X781" s="255"/>
      <c r="Y781" s="259" t="str">
        <f>IF(X781&lt;&gt;"",X781/VLOOKUP($V781,Setup!$C$30:$D$41,2,0),"")</f>
        <v/>
      </c>
      <c r="Z781" s="262"/>
      <c r="AA781" s="256" t="str">
        <f t="shared" si="368"/>
        <v/>
      </c>
      <c r="AB781" s="262"/>
      <c r="AC781" s="258" t="str">
        <f t="shared" si="369"/>
        <v/>
      </c>
      <c r="AD781" s="262"/>
      <c r="AE781" s="258" t="str">
        <f t="shared" si="370"/>
        <v/>
      </c>
      <c r="AF781" s="262"/>
      <c r="AG781" s="256" t="str">
        <f t="shared" si="371"/>
        <v/>
      </c>
      <c r="AH781" s="256" t="str">
        <f t="shared" si="372"/>
        <v/>
      </c>
      <c r="AI781" s="256" t="str">
        <f t="shared" si="373"/>
        <v/>
      </c>
      <c r="AJ781" s="111"/>
      <c r="AK781" s="255"/>
      <c r="AL781" s="259" t="str">
        <f>IF(AK781&lt;&gt;"",AK781/VLOOKUP($V781,Setup!$C$30:$D$41,2,0),"")</f>
        <v/>
      </c>
      <c r="AM781" s="266"/>
      <c r="AN781" s="258" t="str">
        <f t="shared" si="374"/>
        <v/>
      </c>
      <c r="AO781" s="266"/>
      <c r="AP781" s="258" t="str">
        <f t="shared" si="375"/>
        <v/>
      </c>
      <c r="AQ781" s="266"/>
      <c r="AR781" s="258" t="str">
        <f t="shared" si="376"/>
        <v/>
      </c>
      <c r="AS781" s="266"/>
      <c r="AT781" s="256" t="str">
        <f t="shared" si="377"/>
        <v/>
      </c>
      <c r="AU781" s="256" t="str">
        <f t="shared" si="378"/>
        <v/>
      </c>
      <c r="AV781" s="256" t="str">
        <f t="shared" si="379"/>
        <v/>
      </c>
      <c r="AW781" s="267"/>
      <c r="AX781" s="255"/>
      <c r="AY781" s="259" t="str">
        <f>IF(AX781&lt;&gt;"",AX781/VLOOKUP($V781,Setup!$C$30:$D$41,2,0),"")</f>
        <v/>
      </c>
      <c r="AZ781" s="268"/>
      <c r="BA781" s="258" t="str">
        <f t="shared" si="380"/>
        <v/>
      </c>
      <c r="BB781" s="268"/>
      <c r="BC781" s="258" t="str">
        <f t="shared" si="381"/>
        <v/>
      </c>
      <c r="BD781" s="268"/>
      <c r="BE781" s="258" t="str">
        <f t="shared" si="382"/>
        <v/>
      </c>
      <c r="BF781" s="268"/>
      <c r="BG781" s="256" t="str">
        <f t="shared" si="383"/>
        <v/>
      </c>
      <c r="BH781" s="256" t="str">
        <f t="shared" si="384"/>
        <v/>
      </c>
      <c r="BI781" s="256" t="str">
        <f t="shared" si="385"/>
        <v/>
      </c>
      <c r="BJ781" s="267"/>
      <c r="BK781" s="255"/>
      <c r="BL781" s="259" t="str">
        <f>IF(BK781&lt;&gt;"",BK781/VLOOKUP($V781,Setup!$C$30:$D$41,2,0),"")</f>
        <v/>
      </c>
      <c r="BM781" s="268"/>
      <c r="BN781" s="258" t="str">
        <f t="shared" si="386"/>
        <v/>
      </c>
      <c r="BO781" s="268"/>
      <c r="BP781" s="258" t="str">
        <f t="shared" si="387"/>
        <v/>
      </c>
      <c r="BQ781" s="268"/>
      <c r="BR781" s="258" t="str">
        <f t="shared" si="388"/>
        <v/>
      </c>
      <c r="BS781" s="268"/>
      <c r="BT781" s="256" t="str">
        <f t="shared" si="389"/>
        <v/>
      </c>
      <c r="BU781" s="256" t="str">
        <f t="shared" si="390"/>
        <v/>
      </c>
      <c r="BV781" s="256" t="str">
        <f t="shared" si="391"/>
        <v/>
      </c>
      <c r="BW781" s="267"/>
      <c r="BX781" s="256" t="str">
        <f t="shared" si="392"/>
        <v/>
      </c>
      <c r="BY781" s="256" t="str">
        <f t="shared" si="393"/>
        <v/>
      </c>
      <c r="BZ781" s="281"/>
      <c r="CA781" s="282"/>
      <c r="CF781" s="284"/>
      <c r="CG781" s="284"/>
      <c r="CH781" s="284"/>
      <c r="CI781" s="284"/>
      <c r="CL781" s="356" t="str">
        <f>IFERROR(VLOOKUP(C781,'Data Sheet'!$A$3:$B$26,2,FALSE),"")</f>
        <v/>
      </c>
    </row>
    <row r="782" spans="1:90" ht="15.75" x14ac:dyDescent="0.2">
      <c r="A782" s="97"/>
      <c r="B782" s="105" t="str">
        <f t="shared" ref="B782:B845" si="396">CONCATENATE(D782,"-",F782,"-",N782)</f>
        <v>--</v>
      </c>
      <c r="C782" s="276"/>
      <c r="D782" s="101" t="str">
        <f>IFERROR(IF(VLOOKUP(C782,'Data Sheet'!$A$3:$D$26,4,FALSE)=0,"",VLOOKUP(C782,'Data Sheet'!$A$3:$D$26,4,FALSE)),"")</f>
        <v/>
      </c>
      <c r="E782" s="279"/>
      <c r="F782" s="103" t="str">
        <f>IFERROR(IF(VLOOKUP(E782,'Data Sheet'!$C$29:$E$174,3,FALSE)=0,"",VLOOKUP(E782,'Data Sheet'!$C$29:$E$174,3,FALSE)),"")</f>
        <v/>
      </c>
      <c r="G782" s="106" t="str">
        <f t="shared" si="394"/>
        <v>-</v>
      </c>
      <c r="H782" s="273"/>
      <c r="I782" s="107"/>
      <c r="J782" s="249" t="e">
        <f t="shared" si="395"/>
        <v>#VALUE!</v>
      </c>
      <c r="K782" s="101" t="str">
        <f>IFERROR(INDEX('Data Sheet'!$C$198:$C$275,MATCH(I782,'Data Sheet'!$F$198:$F$275,0)),"")</f>
        <v/>
      </c>
      <c r="L782" s="250" t="str">
        <f>IFERROR(INDEX('Data Sheet'!$G$198:$G$275,MATCH(I782,'Data Sheet'!$F$198:$F$275,0)),"")</f>
        <v/>
      </c>
      <c r="M782" s="194"/>
      <c r="N782" s="248"/>
      <c r="O782" s="248"/>
      <c r="P782" s="108" t="str">
        <f>IFERROR(INDEX(Setup!$D$44:$D$70,MATCH(M782,Setup!$K$44:$K$70,0))&amp;"","")</f>
        <v/>
      </c>
      <c r="Q782" s="108" t="str">
        <f>IFERROR(INDEX(Setup!$E$44:$E$70,MATCH(M782,Setup!$K$44:$K$70,0))&amp;"","")</f>
        <v/>
      </c>
      <c r="R782" s="108" t="str">
        <f>IFERROR(INDEX(Setup!$L$44:$L$70,MATCH(M782,Setup!$K$44:$K$70,0))&amp;"","")</f>
        <v/>
      </c>
      <c r="S782" s="108" t="str">
        <f>Setup!$C$30</f>
        <v>USD</v>
      </c>
      <c r="T782" s="109" t="str">
        <f>IFERROR(INDEX('Data Sheet'!$B$198:$B$275,MATCH(I782,'Data Sheet'!$F$198:$F$275,0)),"")</f>
        <v/>
      </c>
      <c r="U782" s="110" t="str">
        <f>IFERROR(INDEX('Data Sheet'!$D$198:$D$275,MATCH(I782,'Data Sheet'!$F$198:$F$275,0)),"")</f>
        <v/>
      </c>
      <c r="V782" s="99"/>
      <c r="W782" s="195" t="str">
        <f>IF(V782=Setup!$C$30,"Grant",IF(V782=Setup!$C$31,"Local",IF(V782=Setup!$C$32,"Other",IF(ISBLANK(V782),"","Other"))))</f>
        <v/>
      </c>
      <c r="X782" s="255"/>
      <c r="Y782" s="259" t="str">
        <f>IF(X782&lt;&gt;"",X782/VLOOKUP($V782,Setup!$C$30:$D$41,2,0),"")</f>
        <v/>
      </c>
      <c r="Z782" s="262"/>
      <c r="AA782" s="256" t="str">
        <f t="shared" si="368"/>
        <v/>
      </c>
      <c r="AB782" s="262"/>
      <c r="AC782" s="258" t="str">
        <f t="shared" si="369"/>
        <v/>
      </c>
      <c r="AD782" s="262"/>
      <c r="AE782" s="258" t="str">
        <f t="shared" si="370"/>
        <v/>
      </c>
      <c r="AF782" s="262"/>
      <c r="AG782" s="256" t="str">
        <f t="shared" si="371"/>
        <v/>
      </c>
      <c r="AH782" s="256" t="str">
        <f t="shared" si="372"/>
        <v/>
      </c>
      <c r="AI782" s="256" t="str">
        <f t="shared" si="373"/>
        <v/>
      </c>
      <c r="AJ782" s="111"/>
      <c r="AK782" s="255"/>
      <c r="AL782" s="259" t="str">
        <f>IF(AK782&lt;&gt;"",AK782/VLOOKUP($V782,Setup!$C$30:$D$41,2,0),"")</f>
        <v/>
      </c>
      <c r="AM782" s="266"/>
      <c r="AN782" s="258" t="str">
        <f t="shared" si="374"/>
        <v/>
      </c>
      <c r="AO782" s="266"/>
      <c r="AP782" s="258" t="str">
        <f t="shared" si="375"/>
        <v/>
      </c>
      <c r="AQ782" s="266"/>
      <c r="AR782" s="258" t="str">
        <f t="shared" si="376"/>
        <v/>
      </c>
      <c r="AS782" s="266"/>
      <c r="AT782" s="256" t="str">
        <f t="shared" si="377"/>
        <v/>
      </c>
      <c r="AU782" s="256" t="str">
        <f t="shared" si="378"/>
        <v/>
      </c>
      <c r="AV782" s="256" t="str">
        <f t="shared" si="379"/>
        <v/>
      </c>
      <c r="AW782" s="267"/>
      <c r="AX782" s="255"/>
      <c r="AY782" s="259" t="str">
        <f>IF(AX782&lt;&gt;"",AX782/VLOOKUP($V782,Setup!$C$30:$D$41,2,0),"")</f>
        <v/>
      </c>
      <c r="AZ782" s="268"/>
      <c r="BA782" s="258" t="str">
        <f t="shared" si="380"/>
        <v/>
      </c>
      <c r="BB782" s="268"/>
      <c r="BC782" s="258" t="str">
        <f t="shared" si="381"/>
        <v/>
      </c>
      <c r="BD782" s="268"/>
      <c r="BE782" s="258" t="str">
        <f t="shared" si="382"/>
        <v/>
      </c>
      <c r="BF782" s="268"/>
      <c r="BG782" s="256" t="str">
        <f t="shared" si="383"/>
        <v/>
      </c>
      <c r="BH782" s="256" t="str">
        <f t="shared" si="384"/>
        <v/>
      </c>
      <c r="BI782" s="256" t="str">
        <f t="shared" si="385"/>
        <v/>
      </c>
      <c r="BJ782" s="267"/>
      <c r="BK782" s="255"/>
      <c r="BL782" s="259" t="str">
        <f>IF(BK782&lt;&gt;"",BK782/VLOOKUP($V782,Setup!$C$30:$D$41,2,0),"")</f>
        <v/>
      </c>
      <c r="BM782" s="268"/>
      <c r="BN782" s="258" t="str">
        <f t="shared" si="386"/>
        <v/>
      </c>
      <c r="BO782" s="268"/>
      <c r="BP782" s="258" t="str">
        <f t="shared" si="387"/>
        <v/>
      </c>
      <c r="BQ782" s="268"/>
      <c r="BR782" s="258" t="str">
        <f t="shared" si="388"/>
        <v/>
      </c>
      <c r="BS782" s="268"/>
      <c r="BT782" s="256" t="str">
        <f t="shared" si="389"/>
        <v/>
      </c>
      <c r="BU782" s="256" t="str">
        <f t="shared" si="390"/>
        <v/>
      </c>
      <c r="BV782" s="256" t="str">
        <f t="shared" si="391"/>
        <v/>
      </c>
      <c r="BW782" s="267"/>
      <c r="BX782" s="256" t="str">
        <f t="shared" si="392"/>
        <v/>
      </c>
      <c r="BY782" s="256" t="str">
        <f t="shared" si="393"/>
        <v/>
      </c>
      <c r="BZ782" s="281"/>
      <c r="CA782" s="282"/>
      <c r="CF782" s="284"/>
      <c r="CG782" s="284"/>
      <c r="CH782" s="284"/>
      <c r="CI782" s="284"/>
      <c r="CL782" s="356" t="str">
        <f>IFERROR(VLOOKUP(C782,'Data Sheet'!$A$3:$B$26,2,FALSE),"")</f>
        <v/>
      </c>
    </row>
    <row r="783" spans="1:90" ht="15.75" x14ac:dyDescent="0.2">
      <c r="A783" s="97"/>
      <c r="B783" s="105" t="str">
        <f t="shared" si="396"/>
        <v>--</v>
      </c>
      <c r="C783" s="276"/>
      <c r="D783" s="101" t="str">
        <f>IFERROR(IF(VLOOKUP(C783,'Data Sheet'!$A$3:$D$26,4,FALSE)=0,"",VLOOKUP(C783,'Data Sheet'!$A$3:$D$26,4,FALSE)),"")</f>
        <v/>
      </c>
      <c r="E783" s="279"/>
      <c r="F783" s="103" t="str">
        <f>IFERROR(IF(VLOOKUP(E783,'Data Sheet'!$C$29:$E$174,3,FALSE)=0,"",VLOOKUP(E783,'Data Sheet'!$C$29:$E$174,3,FALSE)),"")</f>
        <v/>
      </c>
      <c r="G783" s="106" t="str">
        <f t="shared" si="394"/>
        <v>-</v>
      </c>
      <c r="H783" s="273"/>
      <c r="I783" s="107"/>
      <c r="J783" s="249" t="e">
        <f t="shared" si="395"/>
        <v>#VALUE!</v>
      </c>
      <c r="K783" s="101" t="str">
        <f>IFERROR(INDEX('Data Sheet'!$C$198:$C$275,MATCH(I783,'Data Sheet'!$F$198:$F$275,0)),"")</f>
        <v/>
      </c>
      <c r="L783" s="250" t="str">
        <f>IFERROR(INDEX('Data Sheet'!$G$198:$G$275,MATCH(I783,'Data Sheet'!$F$198:$F$275,0)),"")</f>
        <v/>
      </c>
      <c r="M783" s="194"/>
      <c r="N783" s="248"/>
      <c r="O783" s="248"/>
      <c r="P783" s="108" t="str">
        <f>IFERROR(INDEX(Setup!$D$44:$D$70,MATCH(M783,Setup!$K$44:$K$70,0))&amp;"","")</f>
        <v/>
      </c>
      <c r="Q783" s="108" t="str">
        <f>IFERROR(INDEX(Setup!$E$44:$E$70,MATCH(M783,Setup!$K$44:$K$70,0))&amp;"","")</f>
        <v/>
      </c>
      <c r="R783" s="108" t="str">
        <f>IFERROR(INDEX(Setup!$L$44:$L$70,MATCH(M783,Setup!$K$44:$K$70,0))&amp;"","")</f>
        <v/>
      </c>
      <c r="S783" s="108" t="str">
        <f>Setup!$C$30</f>
        <v>USD</v>
      </c>
      <c r="T783" s="109" t="str">
        <f>IFERROR(INDEX('Data Sheet'!$B$198:$B$275,MATCH(I783,'Data Sheet'!$F$198:$F$275,0)),"")</f>
        <v/>
      </c>
      <c r="U783" s="110" t="str">
        <f>IFERROR(INDEX('Data Sheet'!$D$198:$D$275,MATCH(I783,'Data Sheet'!$F$198:$F$275,0)),"")</f>
        <v/>
      </c>
      <c r="V783" s="99"/>
      <c r="W783" s="195" t="str">
        <f>IF(V783=Setup!$C$30,"Grant",IF(V783=Setup!$C$31,"Local",IF(V783=Setup!$C$32,"Other",IF(ISBLANK(V783),"","Other"))))</f>
        <v/>
      </c>
      <c r="X783" s="255"/>
      <c r="Y783" s="259" t="str">
        <f>IF(X783&lt;&gt;"",X783/VLOOKUP($V783,Setup!$C$30:$D$41,2,0),"")</f>
        <v/>
      </c>
      <c r="Z783" s="262"/>
      <c r="AA783" s="256" t="str">
        <f t="shared" si="368"/>
        <v/>
      </c>
      <c r="AB783" s="262"/>
      <c r="AC783" s="258" t="str">
        <f t="shared" si="369"/>
        <v/>
      </c>
      <c r="AD783" s="262"/>
      <c r="AE783" s="258" t="str">
        <f t="shared" si="370"/>
        <v/>
      </c>
      <c r="AF783" s="262"/>
      <c r="AG783" s="256" t="str">
        <f t="shared" si="371"/>
        <v/>
      </c>
      <c r="AH783" s="256" t="str">
        <f t="shared" si="372"/>
        <v/>
      </c>
      <c r="AI783" s="256" t="str">
        <f t="shared" si="373"/>
        <v/>
      </c>
      <c r="AJ783" s="111"/>
      <c r="AK783" s="255"/>
      <c r="AL783" s="259" t="str">
        <f>IF(AK783&lt;&gt;"",AK783/VLOOKUP($V783,Setup!$C$30:$D$41,2,0),"")</f>
        <v/>
      </c>
      <c r="AM783" s="266"/>
      <c r="AN783" s="258" t="str">
        <f t="shared" si="374"/>
        <v/>
      </c>
      <c r="AO783" s="266"/>
      <c r="AP783" s="258" t="str">
        <f t="shared" si="375"/>
        <v/>
      </c>
      <c r="AQ783" s="266"/>
      <c r="AR783" s="258" t="str">
        <f t="shared" si="376"/>
        <v/>
      </c>
      <c r="AS783" s="266"/>
      <c r="AT783" s="256" t="str">
        <f t="shared" si="377"/>
        <v/>
      </c>
      <c r="AU783" s="256" t="str">
        <f t="shared" si="378"/>
        <v/>
      </c>
      <c r="AV783" s="256" t="str">
        <f t="shared" si="379"/>
        <v/>
      </c>
      <c r="AW783" s="267"/>
      <c r="AX783" s="255"/>
      <c r="AY783" s="259" t="str">
        <f>IF(AX783&lt;&gt;"",AX783/VLOOKUP($V783,Setup!$C$30:$D$41,2,0),"")</f>
        <v/>
      </c>
      <c r="AZ783" s="268"/>
      <c r="BA783" s="258" t="str">
        <f t="shared" si="380"/>
        <v/>
      </c>
      <c r="BB783" s="268"/>
      <c r="BC783" s="258" t="str">
        <f t="shared" si="381"/>
        <v/>
      </c>
      <c r="BD783" s="268"/>
      <c r="BE783" s="258" t="str">
        <f t="shared" si="382"/>
        <v/>
      </c>
      <c r="BF783" s="268"/>
      <c r="BG783" s="256" t="str">
        <f t="shared" si="383"/>
        <v/>
      </c>
      <c r="BH783" s="256" t="str">
        <f t="shared" si="384"/>
        <v/>
      </c>
      <c r="BI783" s="256" t="str">
        <f t="shared" si="385"/>
        <v/>
      </c>
      <c r="BJ783" s="267"/>
      <c r="BK783" s="255"/>
      <c r="BL783" s="259" t="str">
        <f>IF(BK783&lt;&gt;"",BK783/VLOOKUP($V783,Setup!$C$30:$D$41,2,0),"")</f>
        <v/>
      </c>
      <c r="BM783" s="268"/>
      <c r="BN783" s="258" t="str">
        <f t="shared" si="386"/>
        <v/>
      </c>
      <c r="BO783" s="268"/>
      <c r="BP783" s="258" t="str">
        <f t="shared" si="387"/>
        <v/>
      </c>
      <c r="BQ783" s="268"/>
      <c r="BR783" s="258" t="str">
        <f t="shared" si="388"/>
        <v/>
      </c>
      <c r="BS783" s="268"/>
      <c r="BT783" s="256" t="str">
        <f t="shared" si="389"/>
        <v/>
      </c>
      <c r="BU783" s="256" t="str">
        <f t="shared" si="390"/>
        <v/>
      </c>
      <c r="BV783" s="256" t="str">
        <f t="shared" si="391"/>
        <v/>
      </c>
      <c r="BW783" s="267"/>
      <c r="BX783" s="256" t="str">
        <f t="shared" si="392"/>
        <v/>
      </c>
      <c r="BY783" s="256" t="str">
        <f t="shared" si="393"/>
        <v/>
      </c>
      <c r="BZ783" s="281"/>
      <c r="CA783" s="282"/>
      <c r="CF783" s="284"/>
      <c r="CG783" s="284"/>
      <c r="CH783" s="284"/>
      <c r="CI783" s="284"/>
      <c r="CL783" s="356" t="str">
        <f>IFERROR(VLOOKUP(C783,'Data Sheet'!$A$3:$B$26,2,FALSE),"")</f>
        <v/>
      </c>
    </row>
    <row r="784" spans="1:90" ht="15.75" x14ac:dyDescent="0.2">
      <c r="A784" s="97"/>
      <c r="B784" s="105" t="str">
        <f t="shared" si="396"/>
        <v>--</v>
      </c>
      <c r="C784" s="276"/>
      <c r="D784" s="101" t="str">
        <f>IFERROR(IF(VLOOKUP(C784,'Data Sheet'!$A$3:$D$26,4,FALSE)=0,"",VLOOKUP(C784,'Data Sheet'!$A$3:$D$26,4,FALSE)),"")</f>
        <v/>
      </c>
      <c r="E784" s="279"/>
      <c r="F784" s="103" t="str">
        <f>IFERROR(IF(VLOOKUP(E784,'Data Sheet'!$C$29:$E$174,3,FALSE)=0,"",VLOOKUP(E784,'Data Sheet'!$C$29:$E$174,3,FALSE)),"")</f>
        <v/>
      </c>
      <c r="G784" s="106" t="str">
        <f t="shared" si="394"/>
        <v>-</v>
      </c>
      <c r="H784" s="273"/>
      <c r="I784" s="107"/>
      <c r="J784" s="249" t="e">
        <f t="shared" si="395"/>
        <v>#VALUE!</v>
      </c>
      <c r="K784" s="101" t="str">
        <f>IFERROR(INDEX('Data Sheet'!$C$198:$C$275,MATCH(I784,'Data Sheet'!$F$198:$F$275,0)),"")</f>
        <v/>
      </c>
      <c r="L784" s="250" t="str">
        <f>IFERROR(INDEX('Data Sheet'!$G$198:$G$275,MATCH(I784,'Data Sheet'!$F$198:$F$275,0)),"")</f>
        <v/>
      </c>
      <c r="M784" s="194"/>
      <c r="N784" s="248"/>
      <c r="O784" s="248"/>
      <c r="P784" s="108" t="str">
        <f>IFERROR(INDEX(Setup!$D$44:$D$70,MATCH(M784,Setup!$K$44:$K$70,0))&amp;"","")</f>
        <v/>
      </c>
      <c r="Q784" s="108" t="str">
        <f>IFERROR(INDEX(Setup!$E$44:$E$70,MATCH(M784,Setup!$K$44:$K$70,0))&amp;"","")</f>
        <v/>
      </c>
      <c r="R784" s="108" t="str">
        <f>IFERROR(INDEX(Setup!$L$44:$L$70,MATCH(M784,Setup!$K$44:$K$70,0))&amp;"","")</f>
        <v/>
      </c>
      <c r="S784" s="108" t="str">
        <f>Setup!$C$30</f>
        <v>USD</v>
      </c>
      <c r="T784" s="109" t="str">
        <f>IFERROR(INDEX('Data Sheet'!$B$198:$B$275,MATCH(I784,'Data Sheet'!$F$198:$F$275,0)),"")</f>
        <v/>
      </c>
      <c r="U784" s="110" t="str">
        <f>IFERROR(INDEX('Data Sheet'!$D$198:$D$275,MATCH(I784,'Data Sheet'!$F$198:$F$275,0)),"")</f>
        <v/>
      </c>
      <c r="V784" s="99"/>
      <c r="W784" s="195" t="str">
        <f>IF(V784=Setup!$C$30,"Grant",IF(V784=Setup!$C$31,"Local",IF(V784=Setup!$C$32,"Other",IF(ISBLANK(V784),"","Other"))))</f>
        <v/>
      </c>
      <c r="X784" s="255"/>
      <c r="Y784" s="259" t="str">
        <f>IF(X784&lt;&gt;"",X784/VLOOKUP($V784,Setup!$C$30:$D$41,2,0),"")</f>
        <v/>
      </c>
      <c r="Z784" s="262"/>
      <c r="AA784" s="256" t="str">
        <f t="shared" si="368"/>
        <v/>
      </c>
      <c r="AB784" s="262"/>
      <c r="AC784" s="258" t="str">
        <f t="shared" si="369"/>
        <v/>
      </c>
      <c r="AD784" s="262"/>
      <c r="AE784" s="258" t="str">
        <f t="shared" si="370"/>
        <v/>
      </c>
      <c r="AF784" s="262"/>
      <c r="AG784" s="256" t="str">
        <f t="shared" si="371"/>
        <v/>
      </c>
      <c r="AH784" s="256" t="str">
        <f t="shared" si="372"/>
        <v/>
      </c>
      <c r="AI784" s="256" t="str">
        <f t="shared" si="373"/>
        <v/>
      </c>
      <c r="AJ784" s="111"/>
      <c r="AK784" s="255"/>
      <c r="AL784" s="259" t="str">
        <f>IF(AK784&lt;&gt;"",AK784/VLOOKUP($V784,Setup!$C$30:$D$41,2,0),"")</f>
        <v/>
      </c>
      <c r="AM784" s="266"/>
      <c r="AN784" s="258" t="str">
        <f t="shared" si="374"/>
        <v/>
      </c>
      <c r="AO784" s="266"/>
      <c r="AP784" s="258" t="str">
        <f t="shared" si="375"/>
        <v/>
      </c>
      <c r="AQ784" s="266"/>
      <c r="AR784" s="258" t="str">
        <f t="shared" si="376"/>
        <v/>
      </c>
      <c r="AS784" s="266"/>
      <c r="AT784" s="256" t="str">
        <f t="shared" si="377"/>
        <v/>
      </c>
      <c r="AU784" s="256" t="str">
        <f t="shared" si="378"/>
        <v/>
      </c>
      <c r="AV784" s="256" t="str">
        <f t="shared" si="379"/>
        <v/>
      </c>
      <c r="AW784" s="267"/>
      <c r="AX784" s="255"/>
      <c r="AY784" s="259" t="str">
        <f>IF(AX784&lt;&gt;"",AX784/VLOOKUP($V784,Setup!$C$30:$D$41,2,0),"")</f>
        <v/>
      </c>
      <c r="AZ784" s="268"/>
      <c r="BA784" s="258" t="str">
        <f t="shared" si="380"/>
        <v/>
      </c>
      <c r="BB784" s="268"/>
      <c r="BC784" s="258" t="str">
        <f t="shared" si="381"/>
        <v/>
      </c>
      <c r="BD784" s="268"/>
      <c r="BE784" s="258" t="str">
        <f t="shared" si="382"/>
        <v/>
      </c>
      <c r="BF784" s="268"/>
      <c r="BG784" s="256" t="str">
        <f t="shared" si="383"/>
        <v/>
      </c>
      <c r="BH784" s="256" t="str">
        <f t="shared" si="384"/>
        <v/>
      </c>
      <c r="BI784" s="256" t="str">
        <f t="shared" si="385"/>
        <v/>
      </c>
      <c r="BJ784" s="267"/>
      <c r="BK784" s="255"/>
      <c r="BL784" s="259" t="str">
        <f>IF(BK784&lt;&gt;"",BK784/VLOOKUP($V784,Setup!$C$30:$D$41,2,0),"")</f>
        <v/>
      </c>
      <c r="BM784" s="268"/>
      <c r="BN784" s="258" t="str">
        <f t="shared" si="386"/>
        <v/>
      </c>
      <c r="BO784" s="268"/>
      <c r="BP784" s="258" t="str">
        <f t="shared" si="387"/>
        <v/>
      </c>
      <c r="BQ784" s="268"/>
      <c r="BR784" s="258" t="str">
        <f t="shared" si="388"/>
        <v/>
      </c>
      <c r="BS784" s="268"/>
      <c r="BT784" s="256" t="str">
        <f t="shared" si="389"/>
        <v/>
      </c>
      <c r="BU784" s="256" t="str">
        <f t="shared" si="390"/>
        <v/>
      </c>
      <c r="BV784" s="256" t="str">
        <f t="shared" si="391"/>
        <v/>
      </c>
      <c r="BW784" s="267"/>
      <c r="BX784" s="256" t="str">
        <f t="shared" si="392"/>
        <v/>
      </c>
      <c r="BY784" s="256" t="str">
        <f t="shared" si="393"/>
        <v/>
      </c>
      <c r="BZ784" s="281"/>
      <c r="CA784" s="282"/>
      <c r="CF784" s="284"/>
      <c r="CG784" s="284"/>
      <c r="CH784" s="284"/>
      <c r="CI784" s="284"/>
      <c r="CL784" s="356" t="str">
        <f>IFERROR(VLOOKUP(C784,'Data Sheet'!$A$3:$B$26,2,FALSE),"")</f>
        <v/>
      </c>
    </row>
    <row r="785" spans="1:90" ht="15.75" x14ac:dyDescent="0.2">
      <c r="A785" s="97"/>
      <c r="B785" s="105" t="str">
        <f t="shared" si="396"/>
        <v>--</v>
      </c>
      <c r="C785" s="276"/>
      <c r="D785" s="101" t="str">
        <f>IFERROR(IF(VLOOKUP(C785,'Data Sheet'!$A$3:$D$26,4,FALSE)=0,"",VLOOKUP(C785,'Data Sheet'!$A$3:$D$26,4,FALSE)),"")</f>
        <v/>
      </c>
      <c r="E785" s="279"/>
      <c r="F785" s="103" t="str">
        <f>IFERROR(IF(VLOOKUP(E785,'Data Sheet'!$C$29:$E$174,3,FALSE)=0,"",VLOOKUP(E785,'Data Sheet'!$C$29:$E$174,3,FALSE)),"")</f>
        <v/>
      </c>
      <c r="G785" s="106" t="str">
        <f t="shared" si="394"/>
        <v>-</v>
      </c>
      <c r="H785" s="273"/>
      <c r="I785" s="107"/>
      <c r="J785" s="249" t="e">
        <f t="shared" si="395"/>
        <v>#VALUE!</v>
      </c>
      <c r="K785" s="101" t="str">
        <f>IFERROR(INDEX('Data Sheet'!$C$198:$C$275,MATCH(I785,'Data Sheet'!$F$198:$F$275,0)),"")</f>
        <v/>
      </c>
      <c r="L785" s="250" t="str">
        <f>IFERROR(INDEX('Data Sheet'!$G$198:$G$275,MATCH(I785,'Data Sheet'!$F$198:$F$275,0)),"")</f>
        <v/>
      </c>
      <c r="M785" s="194"/>
      <c r="N785" s="248"/>
      <c r="O785" s="248"/>
      <c r="P785" s="108" t="str">
        <f>IFERROR(INDEX(Setup!$D$44:$D$70,MATCH(M785,Setup!$K$44:$K$70,0))&amp;"","")</f>
        <v/>
      </c>
      <c r="Q785" s="108" t="str">
        <f>IFERROR(INDEX(Setup!$E$44:$E$70,MATCH(M785,Setup!$K$44:$K$70,0))&amp;"","")</f>
        <v/>
      </c>
      <c r="R785" s="108" t="str">
        <f>IFERROR(INDEX(Setup!$L$44:$L$70,MATCH(M785,Setup!$K$44:$K$70,0))&amp;"","")</f>
        <v/>
      </c>
      <c r="S785" s="108" t="str">
        <f>Setup!$C$30</f>
        <v>USD</v>
      </c>
      <c r="T785" s="109" t="str">
        <f>IFERROR(INDEX('Data Sheet'!$B$198:$B$275,MATCH(I785,'Data Sheet'!$F$198:$F$275,0)),"")</f>
        <v/>
      </c>
      <c r="U785" s="110" t="str">
        <f>IFERROR(INDEX('Data Sheet'!$D$198:$D$275,MATCH(I785,'Data Sheet'!$F$198:$F$275,0)),"")</f>
        <v/>
      </c>
      <c r="V785" s="99"/>
      <c r="W785" s="195" t="str">
        <f>IF(V785=Setup!$C$30,"Grant",IF(V785=Setup!$C$31,"Local",IF(V785=Setup!$C$32,"Other",IF(ISBLANK(V785),"","Other"))))</f>
        <v/>
      </c>
      <c r="X785" s="255"/>
      <c r="Y785" s="259" t="str">
        <f>IF(X785&lt;&gt;"",X785/VLOOKUP($V785,Setup!$C$30:$D$41,2,0),"")</f>
        <v/>
      </c>
      <c r="Z785" s="262"/>
      <c r="AA785" s="256" t="str">
        <f t="shared" si="368"/>
        <v/>
      </c>
      <c r="AB785" s="262"/>
      <c r="AC785" s="258" t="str">
        <f t="shared" si="369"/>
        <v/>
      </c>
      <c r="AD785" s="262"/>
      <c r="AE785" s="258" t="str">
        <f t="shared" si="370"/>
        <v/>
      </c>
      <c r="AF785" s="262"/>
      <c r="AG785" s="256" t="str">
        <f t="shared" si="371"/>
        <v/>
      </c>
      <c r="AH785" s="256" t="str">
        <f t="shared" si="372"/>
        <v/>
      </c>
      <c r="AI785" s="256" t="str">
        <f t="shared" si="373"/>
        <v/>
      </c>
      <c r="AJ785" s="111"/>
      <c r="AK785" s="255"/>
      <c r="AL785" s="259" t="str">
        <f>IF(AK785&lt;&gt;"",AK785/VLOOKUP($V785,Setup!$C$30:$D$41,2,0),"")</f>
        <v/>
      </c>
      <c r="AM785" s="266"/>
      <c r="AN785" s="258" t="str">
        <f t="shared" si="374"/>
        <v/>
      </c>
      <c r="AO785" s="266"/>
      <c r="AP785" s="258" t="str">
        <f t="shared" si="375"/>
        <v/>
      </c>
      <c r="AQ785" s="266"/>
      <c r="AR785" s="258" t="str">
        <f t="shared" si="376"/>
        <v/>
      </c>
      <c r="AS785" s="266"/>
      <c r="AT785" s="256" t="str">
        <f t="shared" si="377"/>
        <v/>
      </c>
      <c r="AU785" s="256" t="str">
        <f t="shared" si="378"/>
        <v/>
      </c>
      <c r="AV785" s="256" t="str">
        <f t="shared" si="379"/>
        <v/>
      </c>
      <c r="AW785" s="267"/>
      <c r="AX785" s="255"/>
      <c r="AY785" s="259" t="str">
        <f>IF(AX785&lt;&gt;"",AX785/VLOOKUP($V785,Setup!$C$30:$D$41,2,0),"")</f>
        <v/>
      </c>
      <c r="AZ785" s="268"/>
      <c r="BA785" s="258" t="str">
        <f t="shared" si="380"/>
        <v/>
      </c>
      <c r="BB785" s="268"/>
      <c r="BC785" s="258" t="str">
        <f t="shared" si="381"/>
        <v/>
      </c>
      <c r="BD785" s="268"/>
      <c r="BE785" s="258" t="str">
        <f t="shared" si="382"/>
        <v/>
      </c>
      <c r="BF785" s="268"/>
      <c r="BG785" s="256" t="str">
        <f t="shared" si="383"/>
        <v/>
      </c>
      <c r="BH785" s="256" t="str">
        <f t="shared" si="384"/>
        <v/>
      </c>
      <c r="BI785" s="256" t="str">
        <f t="shared" si="385"/>
        <v/>
      </c>
      <c r="BJ785" s="267"/>
      <c r="BK785" s="255"/>
      <c r="BL785" s="259" t="str">
        <f>IF(BK785&lt;&gt;"",BK785/VLOOKUP($V785,Setup!$C$30:$D$41,2,0),"")</f>
        <v/>
      </c>
      <c r="BM785" s="268"/>
      <c r="BN785" s="258" t="str">
        <f t="shared" si="386"/>
        <v/>
      </c>
      <c r="BO785" s="268"/>
      <c r="BP785" s="258" t="str">
        <f t="shared" si="387"/>
        <v/>
      </c>
      <c r="BQ785" s="268"/>
      <c r="BR785" s="258" t="str">
        <f t="shared" si="388"/>
        <v/>
      </c>
      <c r="BS785" s="268"/>
      <c r="BT785" s="256" t="str">
        <f t="shared" si="389"/>
        <v/>
      </c>
      <c r="BU785" s="256" t="str">
        <f t="shared" si="390"/>
        <v/>
      </c>
      <c r="BV785" s="256" t="str">
        <f t="shared" si="391"/>
        <v/>
      </c>
      <c r="BW785" s="267"/>
      <c r="BX785" s="256" t="str">
        <f t="shared" si="392"/>
        <v/>
      </c>
      <c r="BY785" s="256" t="str">
        <f t="shared" si="393"/>
        <v/>
      </c>
      <c r="BZ785" s="281"/>
      <c r="CA785" s="282"/>
      <c r="CF785" s="284"/>
      <c r="CG785" s="284"/>
      <c r="CH785" s="284"/>
      <c r="CI785" s="284"/>
      <c r="CL785" s="356" t="str">
        <f>IFERROR(VLOOKUP(C785,'Data Sheet'!$A$3:$B$26,2,FALSE),"")</f>
        <v/>
      </c>
    </row>
    <row r="786" spans="1:90" ht="15.75" x14ac:dyDescent="0.2">
      <c r="A786" s="97"/>
      <c r="B786" s="105" t="str">
        <f t="shared" si="396"/>
        <v>--</v>
      </c>
      <c r="C786" s="276"/>
      <c r="D786" s="101" t="str">
        <f>IFERROR(IF(VLOOKUP(C786,'Data Sheet'!$A$3:$D$26,4,FALSE)=0,"",VLOOKUP(C786,'Data Sheet'!$A$3:$D$26,4,FALSE)),"")</f>
        <v/>
      </c>
      <c r="E786" s="279"/>
      <c r="F786" s="103" t="str">
        <f>IFERROR(IF(VLOOKUP(E786,'Data Sheet'!$C$29:$E$174,3,FALSE)=0,"",VLOOKUP(E786,'Data Sheet'!$C$29:$E$174,3,FALSE)),"")</f>
        <v/>
      </c>
      <c r="G786" s="106" t="str">
        <f t="shared" si="394"/>
        <v>-</v>
      </c>
      <c r="H786" s="273"/>
      <c r="I786" s="107"/>
      <c r="J786" s="249" t="e">
        <f t="shared" si="395"/>
        <v>#VALUE!</v>
      </c>
      <c r="K786" s="101" t="str">
        <f>IFERROR(INDEX('Data Sheet'!$C$198:$C$275,MATCH(I786,'Data Sheet'!$F$198:$F$275,0)),"")</f>
        <v/>
      </c>
      <c r="L786" s="250" t="str">
        <f>IFERROR(INDEX('Data Sheet'!$G$198:$G$275,MATCH(I786,'Data Sheet'!$F$198:$F$275,0)),"")</f>
        <v/>
      </c>
      <c r="M786" s="194"/>
      <c r="N786" s="248"/>
      <c r="O786" s="248"/>
      <c r="P786" s="108" t="str">
        <f>IFERROR(INDEX(Setup!$D$44:$D$70,MATCH(M786,Setup!$K$44:$K$70,0))&amp;"","")</f>
        <v/>
      </c>
      <c r="Q786" s="108" t="str">
        <f>IFERROR(INDEX(Setup!$E$44:$E$70,MATCH(M786,Setup!$K$44:$K$70,0))&amp;"","")</f>
        <v/>
      </c>
      <c r="R786" s="108" t="str">
        <f>IFERROR(INDEX(Setup!$L$44:$L$70,MATCH(M786,Setup!$K$44:$K$70,0))&amp;"","")</f>
        <v/>
      </c>
      <c r="S786" s="108" t="str">
        <f>Setup!$C$30</f>
        <v>USD</v>
      </c>
      <c r="T786" s="109" t="str">
        <f>IFERROR(INDEX('Data Sheet'!$B$198:$B$275,MATCH(I786,'Data Sheet'!$F$198:$F$275,0)),"")</f>
        <v/>
      </c>
      <c r="U786" s="110" t="str">
        <f>IFERROR(INDEX('Data Sheet'!$D$198:$D$275,MATCH(I786,'Data Sheet'!$F$198:$F$275,0)),"")</f>
        <v/>
      </c>
      <c r="V786" s="99"/>
      <c r="W786" s="195" t="str">
        <f>IF(V786=Setup!$C$30,"Grant",IF(V786=Setup!$C$31,"Local",IF(V786=Setup!$C$32,"Other",IF(ISBLANK(V786),"","Other"))))</f>
        <v/>
      </c>
      <c r="X786" s="255"/>
      <c r="Y786" s="259" t="str">
        <f>IF(X786&lt;&gt;"",X786/VLOOKUP($V786,Setup!$C$30:$D$41,2,0),"")</f>
        <v/>
      </c>
      <c r="Z786" s="262"/>
      <c r="AA786" s="256" t="str">
        <f t="shared" si="368"/>
        <v/>
      </c>
      <c r="AB786" s="262"/>
      <c r="AC786" s="258" t="str">
        <f t="shared" si="369"/>
        <v/>
      </c>
      <c r="AD786" s="262"/>
      <c r="AE786" s="258" t="str">
        <f t="shared" si="370"/>
        <v/>
      </c>
      <c r="AF786" s="262"/>
      <c r="AG786" s="256" t="str">
        <f t="shared" si="371"/>
        <v/>
      </c>
      <c r="AH786" s="256" t="str">
        <f t="shared" si="372"/>
        <v/>
      </c>
      <c r="AI786" s="256" t="str">
        <f t="shared" si="373"/>
        <v/>
      </c>
      <c r="AJ786" s="111"/>
      <c r="AK786" s="255"/>
      <c r="AL786" s="259" t="str">
        <f>IF(AK786&lt;&gt;"",AK786/VLOOKUP($V786,Setup!$C$30:$D$41,2,0),"")</f>
        <v/>
      </c>
      <c r="AM786" s="266"/>
      <c r="AN786" s="258" t="str">
        <f t="shared" si="374"/>
        <v/>
      </c>
      <c r="AO786" s="266"/>
      <c r="AP786" s="258" t="str">
        <f t="shared" si="375"/>
        <v/>
      </c>
      <c r="AQ786" s="266"/>
      <c r="AR786" s="258" t="str">
        <f t="shared" si="376"/>
        <v/>
      </c>
      <c r="AS786" s="266"/>
      <c r="AT786" s="256" t="str">
        <f t="shared" si="377"/>
        <v/>
      </c>
      <c r="AU786" s="256" t="str">
        <f t="shared" si="378"/>
        <v/>
      </c>
      <c r="AV786" s="256" t="str">
        <f t="shared" si="379"/>
        <v/>
      </c>
      <c r="AW786" s="267"/>
      <c r="AX786" s="255"/>
      <c r="AY786" s="259" t="str">
        <f>IF(AX786&lt;&gt;"",AX786/VLOOKUP($V786,Setup!$C$30:$D$41,2,0),"")</f>
        <v/>
      </c>
      <c r="AZ786" s="268"/>
      <c r="BA786" s="258" t="str">
        <f t="shared" si="380"/>
        <v/>
      </c>
      <c r="BB786" s="268"/>
      <c r="BC786" s="258" t="str">
        <f t="shared" si="381"/>
        <v/>
      </c>
      <c r="BD786" s="268"/>
      <c r="BE786" s="258" t="str">
        <f t="shared" si="382"/>
        <v/>
      </c>
      <c r="BF786" s="268"/>
      <c r="BG786" s="256" t="str">
        <f t="shared" si="383"/>
        <v/>
      </c>
      <c r="BH786" s="256" t="str">
        <f t="shared" si="384"/>
        <v/>
      </c>
      <c r="BI786" s="256" t="str">
        <f t="shared" si="385"/>
        <v/>
      </c>
      <c r="BJ786" s="267"/>
      <c r="BK786" s="255"/>
      <c r="BL786" s="259" t="str">
        <f>IF(BK786&lt;&gt;"",BK786/VLOOKUP($V786,Setup!$C$30:$D$41,2,0),"")</f>
        <v/>
      </c>
      <c r="BM786" s="268"/>
      <c r="BN786" s="258" t="str">
        <f t="shared" si="386"/>
        <v/>
      </c>
      <c r="BO786" s="268"/>
      <c r="BP786" s="258" t="str">
        <f t="shared" si="387"/>
        <v/>
      </c>
      <c r="BQ786" s="268"/>
      <c r="BR786" s="258" t="str">
        <f t="shared" si="388"/>
        <v/>
      </c>
      <c r="BS786" s="268"/>
      <c r="BT786" s="256" t="str">
        <f t="shared" si="389"/>
        <v/>
      </c>
      <c r="BU786" s="256" t="str">
        <f t="shared" si="390"/>
        <v/>
      </c>
      <c r="BV786" s="256" t="str">
        <f t="shared" si="391"/>
        <v/>
      </c>
      <c r="BW786" s="267"/>
      <c r="BX786" s="256" t="str">
        <f t="shared" si="392"/>
        <v/>
      </c>
      <c r="BY786" s="256" t="str">
        <f t="shared" si="393"/>
        <v/>
      </c>
      <c r="BZ786" s="281"/>
      <c r="CA786" s="282"/>
      <c r="CF786" s="284"/>
      <c r="CG786" s="284"/>
      <c r="CH786" s="284"/>
      <c r="CI786" s="284"/>
      <c r="CL786" s="356" t="str">
        <f>IFERROR(VLOOKUP(C786,'Data Sheet'!$A$3:$B$26,2,FALSE),"")</f>
        <v/>
      </c>
    </row>
    <row r="787" spans="1:90" ht="15.75" x14ac:dyDescent="0.2">
      <c r="A787" s="97"/>
      <c r="B787" s="105" t="str">
        <f t="shared" si="396"/>
        <v>--</v>
      </c>
      <c r="C787" s="276"/>
      <c r="D787" s="101" t="str">
        <f>IFERROR(IF(VLOOKUP(C787,'Data Sheet'!$A$3:$D$26,4,FALSE)=0,"",VLOOKUP(C787,'Data Sheet'!$A$3:$D$26,4,FALSE)),"")</f>
        <v/>
      </c>
      <c r="E787" s="279"/>
      <c r="F787" s="103" t="str">
        <f>IFERROR(IF(VLOOKUP(E787,'Data Sheet'!$C$29:$E$174,3,FALSE)=0,"",VLOOKUP(E787,'Data Sheet'!$C$29:$E$174,3,FALSE)),"")</f>
        <v/>
      </c>
      <c r="G787" s="106" t="str">
        <f t="shared" si="394"/>
        <v>-</v>
      </c>
      <c r="H787" s="273"/>
      <c r="I787" s="107"/>
      <c r="J787" s="249" t="e">
        <f t="shared" si="395"/>
        <v>#VALUE!</v>
      </c>
      <c r="K787" s="101" t="str">
        <f>IFERROR(INDEX('Data Sheet'!$C$198:$C$275,MATCH(I787,'Data Sheet'!$F$198:$F$275,0)),"")</f>
        <v/>
      </c>
      <c r="L787" s="250" t="str">
        <f>IFERROR(INDEX('Data Sheet'!$G$198:$G$275,MATCH(I787,'Data Sheet'!$F$198:$F$275,0)),"")</f>
        <v/>
      </c>
      <c r="M787" s="194"/>
      <c r="N787" s="248"/>
      <c r="O787" s="248"/>
      <c r="P787" s="108" t="str">
        <f>IFERROR(INDEX(Setup!$D$44:$D$70,MATCH(M787,Setup!$K$44:$K$70,0))&amp;"","")</f>
        <v/>
      </c>
      <c r="Q787" s="108" t="str">
        <f>IFERROR(INDEX(Setup!$E$44:$E$70,MATCH(M787,Setup!$K$44:$K$70,0))&amp;"","")</f>
        <v/>
      </c>
      <c r="R787" s="108" t="str">
        <f>IFERROR(INDEX(Setup!$L$44:$L$70,MATCH(M787,Setup!$K$44:$K$70,0))&amp;"","")</f>
        <v/>
      </c>
      <c r="S787" s="108" t="str">
        <f>Setup!$C$30</f>
        <v>USD</v>
      </c>
      <c r="T787" s="109" t="str">
        <f>IFERROR(INDEX('Data Sheet'!$B$198:$B$275,MATCH(I787,'Data Sheet'!$F$198:$F$275,0)),"")</f>
        <v/>
      </c>
      <c r="U787" s="110" t="str">
        <f>IFERROR(INDEX('Data Sheet'!$D$198:$D$275,MATCH(I787,'Data Sheet'!$F$198:$F$275,0)),"")</f>
        <v/>
      </c>
      <c r="V787" s="99"/>
      <c r="W787" s="195" t="str">
        <f>IF(V787=Setup!$C$30,"Grant",IF(V787=Setup!$C$31,"Local",IF(V787=Setup!$C$32,"Other",IF(ISBLANK(V787),"","Other"))))</f>
        <v/>
      </c>
      <c r="X787" s="255"/>
      <c r="Y787" s="259" t="str">
        <f>IF(X787&lt;&gt;"",X787/VLOOKUP($V787,Setup!$C$30:$D$41,2,0),"")</f>
        <v/>
      </c>
      <c r="Z787" s="262"/>
      <c r="AA787" s="256" t="str">
        <f t="shared" si="368"/>
        <v/>
      </c>
      <c r="AB787" s="262"/>
      <c r="AC787" s="258" t="str">
        <f t="shared" si="369"/>
        <v/>
      </c>
      <c r="AD787" s="262"/>
      <c r="AE787" s="258" t="str">
        <f t="shared" si="370"/>
        <v/>
      </c>
      <c r="AF787" s="262"/>
      <c r="AG787" s="256" t="str">
        <f t="shared" si="371"/>
        <v/>
      </c>
      <c r="AH787" s="256" t="str">
        <f t="shared" si="372"/>
        <v/>
      </c>
      <c r="AI787" s="256" t="str">
        <f t="shared" si="373"/>
        <v/>
      </c>
      <c r="AJ787" s="111"/>
      <c r="AK787" s="255"/>
      <c r="AL787" s="259" t="str">
        <f>IF(AK787&lt;&gt;"",AK787/VLOOKUP($V787,Setup!$C$30:$D$41,2,0),"")</f>
        <v/>
      </c>
      <c r="AM787" s="266"/>
      <c r="AN787" s="258" t="str">
        <f t="shared" si="374"/>
        <v/>
      </c>
      <c r="AO787" s="266"/>
      <c r="AP787" s="258" t="str">
        <f t="shared" si="375"/>
        <v/>
      </c>
      <c r="AQ787" s="266"/>
      <c r="AR787" s="258" t="str">
        <f t="shared" si="376"/>
        <v/>
      </c>
      <c r="AS787" s="266"/>
      <c r="AT787" s="256" t="str">
        <f t="shared" si="377"/>
        <v/>
      </c>
      <c r="AU787" s="256" t="str">
        <f t="shared" si="378"/>
        <v/>
      </c>
      <c r="AV787" s="256" t="str">
        <f t="shared" si="379"/>
        <v/>
      </c>
      <c r="AW787" s="267"/>
      <c r="AX787" s="255"/>
      <c r="AY787" s="259" t="str">
        <f>IF(AX787&lt;&gt;"",AX787/VLOOKUP($V787,Setup!$C$30:$D$41,2,0),"")</f>
        <v/>
      </c>
      <c r="AZ787" s="268"/>
      <c r="BA787" s="258" t="str">
        <f t="shared" si="380"/>
        <v/>
      </c>
      <c r="BB787" s="268"/>
      <c r="BC787" s="258" t="str">
        <f t="shared" si="381"/>
        <v/>
      </c>
      <c r="BD787" s="268"/>
      <c r="BE787" s="258" t="str">
        <f t="shared" si="382"/>
        <v/>
      </c>
      <c r="BF787" s="268"/>
      <c r="BG787" s="256" t="str">
        <f t="shared" si="383"/>
        <v/>
      </c>
      <c r="BH787" s="256" t="str">
        <f t="shared" si="384"/>
        <v/>
      </c>
      <c r="BI787" s="256" t="str">
        <f t="shared" si="385"/>
        <v/>
      </c>
      <c r="BJ787" s="267"/>
      <c r="BK787" s="255"/>
      <c r="BL787" s="259" t="str">
        <f>IF(BK787&lt;&gt;"",BK787/VLOOKUP($V787,Setup!$C$30:$D$41,2,0),"")</f>
        <v/>
      </c>
      <c r="BM787" s="268"/>
      <c r="BN787" s="258" t="str">
        <f t="shared" si="386"/>
        <v/>
      </c>
      <c r="BO787" s="268"/>
      <c r="BP787" s="258" t="str">
        <f t="shared" si="387"/>
        <v/>
      </c>
      <c r="BQ787" s="268"/>
      <c r="BR787" s="258" t="str">
        <f t="shared" si="388"/>
        <v/>
      </c>
      <c r="BS787" s="268"/>
      <c r="BT787" s="256" t="str">
        <f t="shared" si="389"/>
        <v/>
      </c>
      <c r="BU787" s="256" t="str">
        <f t="shared" si="390"/>
        <v/>
      </c>
      <c r="BV787" s="256" t="str">
        <f t="shared" si="391"/>
        <v/>
      </c>
      <c r="BW787" s="267"/>
      <c r="BX787" s="256" t="str">
        <f t="shared" si="392"/>
        <v/>
      </c>
      <c r="BY787" s="256" t="str">
        <f t="shared" si="393"/>
        <v/>
      </c>
      <c r="BZ787" s="281"/>
      <c r="CA787" s="282"/>
      <c r="CF787" s="284"/>
      <c r="CG787" s="284"/>
      <c r="CH787" s="284"/>
      <c r="CI787" s="284"/>
      <c r="CL787" s="356" t="str">
        <f>IFERROR(VLOOKUP(C787,'Data Sheet'!$A$3:$B$26,2,FALSE),"")</f>
        <v/>
      </c>
    </row>
    <row r="788" spans="1:90" ht="15.75" x14ac:dyDescent="0.2">
      <c r="A788" s="97"/>
      <c r="B788" s="105" t="str">
        <f t="shared" si="396"/>
        <v>--</v>
      </c>
      <c r="C788" s="276"/>
      <c r="D788" s="101" t="str">
        <f>IFERROR(IF(VLOOKUP(C788,'Data Sheet'!$A$3:$D$26,4,FALSE)=0,"",VLOOKUP(C788,'Data Sheet'!$A$3:$D$26,4,FALSE)),"")</f>
        <v/>
      </c>
      <c r="E788" s="279"/>
      <c r="F788" s="103" t="str">
        <f>IFERROR(IF(VLOOKUP(E788,'Data Sheet'!$C$29:$E$174,3,FALSE)=0,"",VLOOKUP(E788,'Data Sheet'!$C$29:$E$174,3,FALSE)),"")</f>
        <v/>
      </c>
      <c r="G788" s="106" t="str">
        <f t="shared" si="394"/>
        <v>-</v>
      </c>
      <c r="H788" s="273"/>
      <c r="I788" s="107"/>
      <c r="J788" s="249" t="e">
        <f t="shared" si="395"/>
        <v>#VALUE!</v>
      </c>
      <c r="K788" s="101" t="str">
        <f>IFERROR(INDEX('Data Sheet'!$C$198:$C$275,MATCH(I788,'Data Sheet'!$F$198:$F$275,0)),"")</f>
        <v/>
      </c>
      <c r="L788" s="250" t="str">
        <f>IFERROR(INDEX('Data Sheet'!$G$198:$G$275,MATCH(I788,'Data Sheet'!$F$198:$F$275,0)),"")</f>
        <v/>
      </c>
      <c r="M788" s="194"/>
      <c r="N788" s="248"/>
      <c r="O788" s="248"/>
      <c r="P788" s="108" t="str">
        <f>IFERROR(INDEX(Setup!$D$44:$D$70,MATCH(M788,Setup!$K$44:$K$70,0))&amp;"","")</f>
        <v/>
      </c>
      <c r="Q788" s="108" t="str">
        <f>IFERROR(INDEX(Setup!$E$44:$E$70,MATCH(M788,Setup!$K$44:$K$70,0))&amp;"","")</f>
        <v/>
      </c>
      <c r="R788" s="108" t="str">
        <f>IFERROR(INDEX(Setup!$L$44:$L$70,MATCH(M788,Setup!$K$44:$K$70,0))&amp;"","")</f>
        <v/>
      </c>
      <c r="S788" s="108" t="str">
        <f>Setup!$C$30</f>
        <v>USD</v>
      </c>
      <c r="T788" s="109" t="str">
        <f>IFERROR(INDEX('Data Sheet'!$B$198:$B$275,MATCH(I788,'Data Sheet'!$F$198:$F$275,0)),"")</f>
        <v/>
      </c>
      <c r="U788" s="110" t="str">
        <f>IFERROR(INDEX('Data Sheet'!$D$198:$D$275,MATCH(I788,'Data Sheet'!$F$198:$F$275,0)),"")</f>
        <v/>
      </c>
      <c r="V788" s="99"/>
      <c r="W788" s="195" t="str">
        <f>IF(V788=Setup!$C$30,"Grant",IF(V788=Setup!$C$31,"Local",IF(V788=Setup!$C$32,"Other",IF(ISBLANK(V788),"","Other"))))</f>
        <v/>
      </c>
      <c r="X788" s="255"/>
      <c r="Y788" s="259" t="str">
        <f>IF(X788&lt;&gt;"",X788/VLOOKUP($V788,Setup!$C$30:$D$41,2,0),"")</f>
        <v/>
      </c>
      <c r="Z788" s="262"/>
      <c r="AA788" s="256" t="str">
        <f t="shared" si="368"/>
        <v/>
      </c>
      <c r="AB788" s="262"/>
      <c r="AC788" s="258" t="str">
        <f t="shared" si="369"/>
        <v/>
      </c>
      <c r="AD788" s="262"/>
      <c r="AE788" s="258" t="str">
        <f t="shared" si="370"/>
        <v/>
      </c>
      <c r="AF788" s="262"/>
      <c r="AG788" s="256" t="str">
        <f t="shared" si="371"/>
        <v/>
      </c>
      <c r="AH788" s="256" t="str">
        <f t="shared" si="372"/>
        <v/>
      </c>
      <c r="AI788" s="256" t="str">
        <f t="shared" si="373"/>
        <v/>
      </c>
      <c r="AJ788" s="111"/>
      <c r="AK788" s="255"/>
      <c r="AL788" s="259" t="str">
        <f>IF(AK788&lt;&gt;"",AK788/VLOOKUP($V788,Setup!$C$30:$D$41,2,0),"")</f>
        <v/>
      </c>
      <c r="AM788" s="266"/>
      <c r="AN788" s="258" t="str">
        <f t="shared" si="374"/>
        <v/>
      </c>
      <c r="AO788" s="266"/>
      <c r="AP788" s="258" t="str">
        <f t="shared" si="375"/>
        <v/>
      </c>
      <c r="AQ788" s="266"/>
      <c r="AR788" s="258" t="str">
        <f t="shared" si="376"/>
        <v/>
      </c>
      <c r="AS788" s="266"/>
      <c r="AT788" s="256" t="str">
        <f t="shared" si="377"/>
        <v/>
      </c>
      <c r="AU788" s="256" t="str">
        <f t="shared" si="378"/>
        <v/>
      </c>
      <c r="AV788" s="256" t="str">
        <f t="shared" si="379"/>
        <v/>
      </c>
      <c r="AW788" s="267"/>
      <c r="AX788" s="255"/>
      <c r="AY788" s="259" t="str">
        <f>IF(AX788&lt;&gt;"",AX788/VLOOKUP($V788,Setup!$C$30:$D$41,2,0),"")</f>
        <v/>
      </c>
      <c r="AZ788" s="268"/>
      <c r="BA788" s="258" t="str">
        <f t="shared" si="380"/>
        <v/>
      </c>
      <c r="BB788" s="268"/>
      <c r="BC788" s="258" t="str">
        <f t="shared" si="381"/>
        <v/>
      </c>
      <c r="BD788" s="268"/>
      <c r="BE788" s="258" t="str">
        <f t="shared" si="382"/>
        <v/>
      </c>
      <c r="BF788" s="268"/>
      <c r="BG788" s="256" t="str">
        <f t="shared" si="383"/>
        <v/>
      </c>
      <c r="BH788" s="256" t="str">
        <f t="shared" si="384"/>
        <v/>
      </c>
      <c r="BI788" s="256" t="str">
        <f t="shared" si="385"/>
        <v/>
      </c>
      <c r="BJ788" s="267"/>
      <c r="BK788" s="255"/>
      <c r="BL788" s="259" t="str">
        <f>IF(BK788&lt;&gt;"",BK788/VLOOKUP($V788,Setup!$C$30:$D$41,2,0),"")</f>
        <v/>
      </c>
      <c r="BM788" s="268"/>
      <c r="BN788" s="258" t="str">
        <f t="shared" si="386"/>
        <v/>
      </c>
      <c r="BO788" s="268"/>
      <c r="BP788" s="258" t="str">
        <f t="shared" si="387"/>
        <v/>
      </c>
      <c r="BQ788" s="268"/>
      <c r="BR788" s="258" t="str">
        <f t="shared" si="388"/>
        <v/>
      </c>
      <c r="BS788" s="268"/>
      <c r="BT788" s="256" t="str">
        <f t="shared" si="389"/>
        <v/>
      </c>
      <c r="BU788" s="256" t="str">
        <f t="shared" si="390"/>
        <v/>
      </c>
      <c r="BV788" s="256" t="str">
        <f t="shared" si="391"/>
        <v/>
      </c>
      <c r="BW788" s="267"/>
      <c r="BX788" s="256" t="str">
        <f t="shared" si="392"/>
        <v/>
      </c>
      <c r="BY788" s="256" t="str">
        <f t="shared" si="393"/>
        <v/>
      </c>
      <c r="BZ788" s="281"/>
      <c r="CA788" s="282"/>
      <c r="CF788" s="284"/>
      <c r="CG788" s="284"/>
      <c r="CH788" s="284"/>
      <c r="CI788" s="284"/>
      <c r="CL788" s="356" t="str">
        <f>IFERROR(VLOOKUP(C788,'Data Sheet'!$A$3:$B$26,2,FALSE),"")</f>
        <v/>
      </c>
    </row>
    <row r="789" spans="1:90" ht="15.75" x14ac:dyDescent="0.2">
      <c r="A789" s="97"/>
      <c r="B789" s="105" t="str">
        <f t="shared" si="396"/>
        <v>--</v>
      </c>
      <c r="C789" s="276"/>
      <c r="D789" s="101" t="str">
        <f>IFERROR(IF(VLOOKUP(C789,'Data Sheet'!$A$3:$D$26,4,FALSE)=0,"",VLOOKUP(C789,'Data Sheet'!$A$3:$D$26,4,FALSE)),"")</f>
        <v/>
      </c>
      <c r="E789" s="279"/>
      <c r="F789" s="103" t="str">
        <f>IFERROR(IF(VLOOKUP(E789,'Data Sheet'!$C$29:$E$174,3,FALSE)=0,"",VLOOKUP(E789,'Data Sheet'!$C$29:$E$174,3,FALSE)),"")</f>
        <v/>
      </c>
      <c r="G789" s="106" t="str">
        <f t="shared" si="394"/>
        <v>-</v>
      </c>
      <c r="H789" s="273"/>
      <c r="I789" s="107"/>
      <c r="J789" s="249" t="e">
        <f t="shared" si="395"/>
        <v>#VALUE!</v>
      </c>
      <c r="K789" s="101" t="str">
        <f>IFERROR(INDEX('Data Sheet'!$C$198:$C$275,MATCH(I789,'Data Sheet'!$F$198:$F$275,0)),"")</f>
        <v/>
      </c>
      <c r="L789" s="250" t="str">
        <f>IFERROR(INDEX('Data Sheet'!$G$198:$G$275,MATCH(I789,'Data Sheet'!$F$198:$F$275,0)),"")</f>
        <v/>
      </c>
      <c r="M789" s="194"/>
      <c r="N789" s="248"/>
      <c r="O789" s="248"/>
      <c r="P789" s="108" t="str">
        <f>IFERROR(INDEX(Setup!$D$44:$D$70,MATCH(M789,Setup!$K$44:$K$70,0))&amp;"","")</f>
        <v/>
      </c>
      <c r="Q789" s="108" t="str">
        <f>IFERROR(INDEX(Setup!$E$44:$E$70,MATCH(M789,Setup!$K$44:$K$70,0))&amp;"","")</f>
        <v/>
      </c>
      <c r="R789" s="108" t="str">
        <f>IFERROR(INDEX(Setup!$L$44:$L$70,MATCH(M789,Setup!$K$44:$K$70,0))&amp;"","")</f>
        <v/>
      </c>
      <c r="S789" s="108" t="str">
        <f>Setup!$C$30</f>
        <v>USD</v>
      </c>
      <c r="T789" s="109" t="str">
        <f>IFERROR(INDEX('Data Sheet'!$B$198:$B$275,MATCH(I789,'Data Sheet'!$F$198:$F$275,0)),"")</f>
        <v/>
      </c>
      <c r="U789" s="110" t="str">
        <f>IFERROR(INDEX('Data Sheet'!$D$198:$D$275,MATCH(I789,'Data Sheet'!$F$198:$F$275,0)),"")</f>
        <v/>
      </c>
      <c r="V789" s="99"/>
      <c r="W789" s="195" t="str">
        <f>IF(V789=Setup!$C$30,"Grant",IF(V789=Setup!$C$31,"Local",IF(V789=Setup!$C$32,"Other",IF(ISBLANK(V789),"","Other"))))</f>
        <v/>
      </c>
      <c r="X789" s="255"/>
      <c r="Y789" s="259" t="str">
        <f>IF(X789&lt;&gt;"",X789/VLOOKUP($V789,Setup!$C$30:$D$41,2,0),"")</f>
        <v/>
      </c>
      <c r="Z789" s="262"/>
      <c r="AA789" s="256" t="str">
        <f t="shared" si="368"/>
        <v/>
      </c>
      <c r="AB789" s="262"/>
      <c r="AC789" s="258" t="str">
        <f t="shared" si="369"/>
        <v/>
      </c>
      <c r="AD789" s="262"/>
      <c r="AE789" s="258" t="str">
        <f t="shared" si="370"/>
        <v/>
      </c>
      <c r="AF789" s="262"/>
      <c r="AG789" s="256" t="str">
        <f t="shared" si="371"/>
        <v/>
      </c>
      <c r="AH789" s="256" t="str">
        <f t="shared" si="372"/>
        <v/>
      </c>
      <c r="AI789" s="256" t="str">
        <f t="shared" si="373"/>
        <v/>
      </c>
      <c r="AJ789" s="111"/>
      <c r="AK789" s="255"/>
      <c r="AL789" s="259" t="str">
        <f>IF(AK789&lt;&gt;"",AK789/VLOOKUP($V789,Setup!$C$30:$D$41,2,0),"")</f>
        <v/>
      </c>
      <c r="AM789" s="266"/>
      <c r="AN789" s="258" t="str">
        <f t="shared" si="374"/>
        <v/>
      </c>
      <c r="AO789" s="266"/>
      <c r="AP789" s="258" t="str">
        <f t="shared" si="375"/>
        <v/>
      </c>
      <c r="AQ789" s="266"/>
      <c r="AR789" s="258" t="str">
        <f t="shared" si="376"/>
        <v/>
      </c>
      <c r="AS789" s="266"/>
      <c r="AT789" s="256" t="str">
        <f t="shared" si="377"/>
        <v/>
      </c>
      <c r="AU789" s="256" t="str">
        <f t="shared" si="378"/>
        <v/>
      </c>
      <c r="AV789" s="256" t="str">
        <f t="shared" si="379"/>
        <v/>
      </c>
      <c r="AW789" s="267"/>
      <c r="AX789" s="255"/>
      <c r="AY789" s="259" t="str">
        <f>IF(AX789&lt;&gt;"",AX789/VLOOKUP($V789,Setup!$C$30:$D$41,2,0),"")</f>
        <v/>
      </c>
      <c r="AZ789" s="268"/>
      <c r="BA789" s="258" t="str">
        <f t="shared" si="380"/>
        <v/>
      </c>
      <c r="BB789" s="268"/>
      <c r="BC789" s="258" t="str">
        <f t="shared" si="381"/>
        <v/>
      </c>
      <c r="BD789" s="268"/>
      <c r="BE789" s="258" t="str">
        <f t="shared" si="382"/>
        <v/>
      </c>
      <c r="BF789" s="268"/>
      <c r="BG789" s="256" t="str">
        <f t="shared" si="383"/>
        <v/>
      </c>
      <c r="BH789" s="256" t="str">
        <f t="shared" si="384"/>
        <v/>
      </c>
      <c r="BI789" s="256" t="str">
        <f t="shared" si="385"/>
        <v/>
      </c>
      <c r="BJ789" s="267"/>
      <c r="BK789" s="255"/>
      <c r="BL789" s="259" t="str">
        <f>IF(BK789&lt;&gt;"",BK789/VLOOKUP($V789,Setup!$C$30:$D$41,2,0),"")</f>
        <v/>
      </c>
      <c r="BM789" s="268"/>
      <c r="BN789" s="258" t="str">
        <f t="shared" si="386"/>
        <v/>
      </c>
      <c r="BO789" s="268"/>
      <c r="BP789" s="258" t="str">
        <f t="shared" si="387"/>
        <v/>
      </c>
      <c r="BQ789" s="268"/>
      <c r="BR789" s="258" t="str">
        <f t="shared" si="388"/>
        <v/>
      </c>
      <c r="BS789" s="268"/>
      <c r="BT789" s="256" t="str">
        <f t="shared" si="389"/>
        <v/>
      </c>
      <c r="BU789" s="256" t="str">
        <f t="shared" si="390"/>
        <v/>
      </c>
      <c r="BV789" s="256" t="str">
        <f t="shared" si="391"/>
        <v/>
      </c>
      <c r="BW789" s="267"/>
      <c r="BX789" s="256" t="str">
        <f t="shared" si="392"/>
        <v/>
      </c>
      <c r="BY789" s="256" t="str">
        <f t="shared" si="393"/>
        <v/>
      </c>
      <c r="BZ789" s="281"/>
      <c r="CA789" s="282"/>
      <c r="CF789" s="284"/>
      <c r="CG789" s="284"/>
      <c r="CH789" s="284"/>
      <c r="CI789" s="284"/>
      <c r="CL789" s="356" t="str">
        <f>IFERROR(VLOOKUP(C789,'Data Sheet'!$A$3:$B$26,2,FALSE),"")</f>
        <v/>
      </c>
    </row>
    <row r="790" spans="1:90" ht="15.75" x14ac:dyDescent="0.2">
      <c r="A790" s="97"/>
      <c r="B790" s="105" t="str">
        <f t="shared" si="396"/>
        <v>--</v>
      </c>
      <c r="C790" s="276"/>
      <c r="D790" s="101" t="str">
        <f>IFERROR(IF(VLOOKUP(C790,'Data Sheet'!$A$3:$D$26,4,FALSE)=0,"",VLOOKUP(C790,'Data Sheet'!$A$3:$D$26,4,FALSE)),"")</f>
        <v/>
      </c>
      <c r="E790" s="279"/>
      <c r="F790" s="103" t="str">
        <f>IFERROR(IF(VLOOKUP(E790,'Data Sheet'!$C$29:$E$174,3,FALSE)=0,"",VLOOKUP(E790,'Data Sheet'!$C$29:$E$174,3,FALSE)),"")</f>
        <v/>
      </c>
      <c r="G790" s="106" t="str">
        <f t="shared" si="394"/>
        <v>-</v>
      </c>
      <c r="H790" s="273"/>
      <c r="I790" s="107"/>
      <c r="J790" s="249" t="e">
        <f t="shared" si="395"/>
        <v>#VALUE!</v>
      </c>
      <c r="K790" s="101" t="str">
        <f>IFERROR(INDEX('Data Sheet'!$C$198:$C$275,MATCH(I790,'Data Sheet'!$F$198:$F$275,0)),"")</f>
        <v/>
      </c>
      <c r="L790" s="250" t="str">
        <f>IFERROR(INDEX('Data Sheet'!$G$198:$G$275,MATCH(I790,'Data Sheet'!$F$198:$F$275,0)),"")</f>
        <v/>
      </c>
      <c r="M790" s="194"/>
      <c r="N790" s="248"/>
      <c r="O790" s="248"/>
      <c r="P790" s="108" t="str">
        <f>IFERROR(INDEX(Setup!$D$44:$D$70,MATCH(M790,Setup!$K$44:$K$70,0))&amp;"","")</f>
        <v/>
      </c>
      <c r="Q790" s="108" t="str">
        <f>IFERROR(INDEX(Setup!$E$44:$E$70,MATCH(M790,Setup!$K$44:$K$70,0))&amp;"","")</f>
        <v/>
      </c>
      <c r="R790" s="108" t="str">
        <f>IFERROR(INDEX(Setup!$L$44:$L$70,MATCH(M790,Setup!$K$44:$K$70,0))&amp;"","")</f>
        <v/>
      </c>
      <c r="S790" s="108" t="str">
        <f>Setup!$C$30</f>
        <v>USD</v>
      </c>
      <c r="T790" s="109" t="str">
        <f>IFERROR(INDEX('Data Sheet'!$B$198:$B$275,MATCH(I790,'Data Sheet'!$F$198:$F$275,0)),"")</f>
        <v/>
      </c>
      <c r="U790" s="110" t="str">
        <f>IFERROR(INDEX('Data Sheet'!$D$198:$D$275,MATCH(I790,'Data Sheet'!$F$198:$F$275,0)),"")</f>
        <v/>
      </c>
      <c r="V790" s="99"/>
      <c r="W790" s="195" t="str">
        <f>IF(V790=Setup!$C$30,"Grant",IF(V790=Setup!$C$31,"Local",IF(V790=Setup!$C$32,"Other",IF(ISBLANK(V790),"","Other"))))</f>
        <v/>
      </c>
      <c r="X790" s="255"/>
      <c r="Y790" s="259" t="str">
        <f>IF(X790&lt;&gt;"",X790/VLOOKUP($V790,Setup!$C$30:$D$41,2,0),"")</f>
        <v/>
      </c>
      <c r="Z790" s="262"/>
      <c r="AA790" s="256" t="str">
        <f t="shared" si="368"/>
        <v/>
      </c>
      <c r="AB790" s="262"/>
      <c r="AC790" s="258" t="str">
        <f t="shared" si="369"/>
        <v/>
      </c>
      <c r="AD790" s="262"/>
      <c r="AE790" s="258" t="str">
        <f t="shared" si="370"/>
        <v/>
      </c>
      <c r="AF790" s="262"/>
      <c r="AG790" s="256" t="str">
        <f t="shared" si="371"/>
        <v/>
      </c>
      <c r="AH790" s="256" t="str">
        <f t="shared" si="372"/>
        <v/>
      </c>
      <c r="AI790" s="256" t="str">
        <f t="shared" si="373"/>
        <v/>
      </c>
      <c r="AJ790" s="111"/>
      <c r="AK790" s="255"/>
      <c r="AL790" s="259" t="str">
        <f>IF(AK790&lt;&gt;"",AK790/VLOOKUP($V790,Setup!$C$30:$D$41,2,0),"")</f>
        <v/>
      </c>
      <c r="AM790" s="266"/>
      <c r="AN790" s="258" t="str">
        <f t="shared" si="374"/>
        <v/>
      </c>
      <c r="AO790" s="266"/>
      <c r="AP790" s="258" t="str">
        <f t="shared" si="375"/>
        <v/>
      </c>
      <c r="AQ790" s="266"/>
      <c r="AR790" s="258" t="str">
        <f t="shared" si="376"/>
        <v/>
      </c>
      <c r="AS790" s="266"/>
      <c r="AT790" s="256" t="str">
        <f t="shared" si="377"/>
        <v/>
      </c>
      <c r="AU790" s="256" t="str">
        <f t="shared" si="378"/>
        <v/>
      </c>
      <c r="AV790" s="256" t="str">
        <f t="shared" si="379"/>
        <v/>
      </c>
      <c r="AW790" s="267"/>
      <c r="AX790" s="255"/>
      <c r="AY790" s="259" t="str">
        <f>IF(AX790&lt;&gt;"",AX790/VLOOKUP($V790,Setup!$C$30:$D$41,2,0),"")</f>
        <v/>
      </c>
      <c r="AZ790" s="268"/>
      <c r="BA790" s="258" t="str">
        <f t="shared" si="380"/>
        <v/>
      </c>
      <c r="BB790" s="268"/>
      <c r="BC790" s="258" t="str">
        <f t="shared" si="381"/>
        <v/>
      </c>
      <c r="BD790" s="268"/>
      <c r="BE790" s="258" t="str">
        <f t="shared" si="382"/>
        <v/>
      </c>
      <c r="BF790" s="268"/>
      <c r="BG790" s="256" t="str">
        <f t="shared" si="383"/>
        <v/>
      </c>
      <c r="BH790" s="256" t="str">
        <f t="shared" si="384"/>
        <v/>
      </c>
      <c r="BI790" s="256" t="str">
        <f t="shared" si="385"/>
        <v/>
      </c>
      <c r="BJ790" s="267"/>
      <c r="BK790" s="255"/>
      <c r="BL790" s="259" t="str">
        <f>IF(BK790&lt;&gt;"",BK790/VLOOKUP($V790,Setup!$C$30:$D$41,2,0),"")</f>
        <v/>
      </c>
      <c r="BM790" s="268"/>
      <c r="BN790" s="258" t="str">
        <f t="shared" si="386"/>
        <v/>
      </c>
      <c r="BO790" s="268"/>
      <c r="BP790" s="258" t="str">
        <f t="shared" si="387"/>
        <v/>
      </c>
      <c r="BQ790" s="268"/>
      <c r="BR790" s="258" t="str">
        <f t="shared" si="388"/>
        <v/>
      </c>
      <c r="BS790" s="268"/>
      <c r="BT790" s="256" t="str">
        <f t="shared" si="389"/>
        <v/>
      </c>
      <c r="BU790" s="256" t="str">
        <f t="shared" si="390"/>
        <v/>
      </c>
      <c r="BV790" s="256" t="str">
        <f t="shared" si="391"/>
        <v/>
      </c>
      <c r="BW790" s="267"/>
      <c r="BX790" s="256" t="str">
        <f t="shared" si="392"/>
        <v/>
      </c>
      <c r="BY790" s="256" t="str">
        <f t="shared" si="393"/>
        <v/>
      </c>
      <c r="BZ790" s="281"/>
      <c r="CA790" s="282"/>
      <c r="CF790" s="284"/>
      <c r="CG790" s="284"/>
      <c r="CH790" s="284"/>
      <c r="CI790" s="284"/>
      <c r="CL790" s="356" t="str">
        <f>IFERROR(VLOOKUP(C790,'Data Sheet'!$A$3:$B$26,2,FALSE),"")</f>
        <v/>
      </c>
    </row>
    <row r="791" spans="1:90" ht="15.75" x14ac:dyDescent="0.2">
      <c r="A791" s="97"/>
      <c r="B791" s="105" t="str">
        <f t="shared" si="396"/>
        <v>--</v>
      </c>
      <c r="C791" s="276"/>
      <c r="D791" s="101" t="str">
        <f>IFERROR(IF(VLOOKUP(C791,'Data Sheet'!$A$3:$D$26,4,FALSE)=0,"",VLOOKUP(C791,'Data Sheet'!$A$3:$D$26,4,FALSE)),"")</f>
        <v/>
      </c>
      <c r="E791" s="279"/>
      <c r="F791" s="103" t="str">
        <f>IFERROR(IF(VLOOKUP(E791,'Data Sheet'!$C$29:$E$174,3,FALSE)=0,"",VLOOKUP(E791,'Data Sheet'!$C$29:$E$174,3,FALSE)),"")</f>
        <v/>
      </c>
      <c r="G791" s="106" t="str">
        <f t="shared" si="394"/>
        <v>-</v>
      </c>
      <c r="H791" s="273"/>
      <c r="I791" s="107"/>
      <c r="J791" s="249" t="e">
        <f t="shared" si="395"/>
        <v>#VALUE!</v>
      </c>
      <c r="K791" s="101" t="str">
        <f>IFERROR(INDEX('Data Sheet'!$C$198:$C$275,MATCH(I791,'Data Sheet'!$F$198:$F$275,0)),"")</f>
        <v/>
      </c>
      <c r="L791" s="250" t="str">
        <f>IFERROR(INDEX('Data Sheet'!$G$198:$G$275,MATCH(I791,'Data Sheet'!$F$198:$F$275,0)),"")</f>
        <v/>
      </c>
      <c r="M791" s="194"/>
      <c r="N791" s="248"/>
      <c r="O791" s="248"/>
      <c r="P791" s="108" t="str">
        <f>IFERROR(INDEX(Setup!$D$44:$D$70,MATCH(M791,Setup!$K$44:$K$70,0))&amp;"","")</f>
        <v/>
      </c>
      <c r="Q791" s="108" t="str">
        <f>IFERROR(INDEX(Setup!$E$44:$E$70,MATCH(M791,Setup!$K$44:$K$70,0))&amp;"","")</f>
        <v/>
      </c>
      <c r="R791" s="108" t="str">
        <f>IFERROR(INDEX(Setup!$L$44:$L$70,MATCH(M791,Setup!$K$44:$K$70,0))&amp;"","")</f>
        <v/>
      </c>
      <c r="S791" s="108" t="str">
        <f>Setup!$C$30</f>
        <v>USD</v>
      </c>
      <c r="T791" s="109" t="str">
        <f>IFERROR(INDEX('Data Sheet'!$B$198:$B$275,MATCH(I791,'Data Sheet'!$F$198:$F$275,0)),"")</f>
        <v/>
      </c>
      <c r="U791" s="110" t="str">
        <f>IFERROR(INDEX('Data Sheet'!$D$198:$D$275,MATCH(I791,'Data Sheet'!$F$198:$F$275,0)),"")</f>
        <v/>
      </c>
      <c r="V791" s="99"/>
      <c r="W791" s="195" t="str">
        <f>IF(V791=Setup!$C$30,"Grant",IF(V791=Setup!$C$31,"Local",IF(V791=Setup!$C$32,"Other",IF(ISBLANK(V791),"","Other"))))</f>
        <v/>
      </c>
      <c r="X791" s="255"/>
      <c r="Y791" s="259" t="str">
        <f>IF(X791&lt;&gt;"",X791/VLOOKUP($V791,Setup!$C$30:$D$41,2,0),"")</f>
        <v/>
      </c>
      <c r="Z791" s="262"/>
      <c r="AA791" s="256" t="str">
        <f t="shared" si="368"/>
        <v/>
      </c>
      <c r="AB791" s="262"/>
      <c r="AC791" s="258" t="str">
        <f t="shared" si="369"/>
        <v/>
      </c>
      <c r="AD791" s="262"/>
      <c r="AE791" s="258" t="str">
        <f t="shared" si="370"/>
        <v/>
      </c>
      <c r="AF791" s="262"/>
      <c r="AG791" s="256" t="str">
        <f t="shared" si="371"/>
        <v/>
      </c>
      <c r="AH791" s="256" t="str">
        <f t="shared" si="372"/>
        <v/>
      </c>
      <c r="AI791" s="256" t="str">
        <f t="shared" si="373"/>
        <v/>
      </c>
      <c r="AJ791" s="111"/>
      <c r="AK791" s="255"/>
      <c r="AL791" s="259" t="str">
        <f>IF(AK791&lt;&gt;"",AK791/VLOOKUP($V791,Setup!$C$30:$D$41,2,0),"")</f>
        <v/>
      </c>
      <c r="AM791" s="266"/>
      <c r="AN791" s="258" t="str">
        <f t="shared" si="374"/>
        <v/>
      </c>
      <c r="AO791" s="266"/>
      <c r="AP791" s="258" t="str">
        <f t="shared" si="375"/>
        <v/>
      </c>
      <c r="AQ791" s="266"/>
      <c r="AR791" s="258" t="str">
        <f t="shared" si="376"/>
        <v/>
      </c>
      <c r="AS791" s="266"/>
      <c r="AT791" s="256" t="str">
        <f t="shared" si="377"/>
        <v/>
      </c>
      <c r="AU791" s="256" t="str">
        <f t="shared" si="378"/>
        <v/>
      </c>
      <c r="AV791" s="256" t="str">
        <f t="shared" si="379"/>
        <v/>
      </c>
      <c r="AW791" s="267"/>
      <c r="AX791" s="255"/>
      <c r="AY791" s="259" t="str">
        <f>IF(AX791&lt;&gt;"",AX791/VLOOKUP($V791,Setup!$C$30:$D$41,2,0),"")</f>
        <v/>
      </c>
      <c r="AZ791" s="268"/>
      <c r="BA791" s="258" t="str">
        <f t="shared" si="380"/>
        <v/>
      </c>
      <c r="BB791" s="268"/>
      <c r="BC791" s="258" t="str">
        <f t="shared" si="381"/>
        <v/>
      </c>
      <c r="BD791" s="268"/>
      <c r="BE791" s="258" t="str">
        <f t="shared" si="382"/>
        <v/>
      </c>
      <c r="BF791" s="268"/>
      <c r="BG791" s="256" t="str">
        <f t="shared" si="383"/>
        <v/>
      </c>
      <c r="BH791" s="256" t="str">
        <f t="shared" si="384"/>
        <v/>
      </c>
      <c r="BI791" s="256" t="str">
        <f t="shared" si="385"/>
        <v/>
      </c>
      <c r="BJ791" s="267"/>
      <c r="BK791" s="255"/>
      <c r="BL791" s="259" t="str">
        <f>IF(BK791&lt;&gt;"",BK791/VLOOKUP($V791,Setup!$C$30:$D$41,2,0),"")</f>
        <v/>
      </c>
      <c r="BM791" s="268"/>
      <c r="BN791" s="258" t="str">
        <f t="shared" si="386"/>
        <v/>
      </c>
      <c r="BO791" s="268"/>
      <c r="BP791" s="258" t="str">
        <f t="shared" si="387"/>
        <v/>
      </c>
      <c r="BQ791" s="268"/>
      <c r="BR791" s="258" t="str">
        <f t="shared" si="388"/>
        <v/>
      </c>
      <c r="BS791" s="268"/>
      <c r="BT791" s="256" t="str">
        <f t="shared" si="389"/>
        <v/>
      </c>
      <c r="BU791" s="256" t="str">
        <f t="shared" si="390"/>
        <v/>
      </c>
      <c r="BV791" s="256" t="str">
        <f t="shared" si="391"/>
        <v/>
      </c>
      <c r="BW791" s="267"/>
      <c r="BX791" s="256" t="str">
        <f t="shared" si="392"/>
        <v/>
      </c>
      <c r="BY791" s="256" t="str">
        <f t="shared" si="393"/>
        <v/>
      </c>
      <c r="BZ791" s="281"/>
      <c r="CA791" s="282"/>
      <c r="CF791" s="284"/>
      <c r="CG791" s="284"/>
      <c r="CH791" s="284"/>
      <c r="CI791" s="284"/>
      <c r="CL791" s="356" t="str">
        <f>IFERROR(VLOOKUP(C791,'Data Sheet'!$A$3:$B$26,2,FALSE),"")</f>
        <v/>
      </c>
    </row>
    <row r="792" spans="1:90" ht="15.75" x14ac:dyDescent="0.2">
      <c r="A792" s="97"/>
      <c r="B792" s="105" t="str">
        <f t="shared" si="396"/>
        <v>--</v>
      </c>
      <c r="C792" s="276"/>
      <c r="D792" s="101" t="str">
        <f>IFERROR(IF(VLOOKUP(C792,'Data Sheet'!$A$3:$D$26,4,FALSE)=0,"",VLOOKUP(C792,'Data Sheet'!$A$3:$D$26,4,FALSE)),"")</f>
        <v/>
      </c>
      <c r="E792" s="279"/>
      <c r="F792" s="103" t="str">
        <f>IFERROR(IF(VLOOKUP(E792,'Data Sheet'!$C$29:$E$174,3,FALSE)=0,"",VLOOKUP(E792,'Data Sheet'!$C$29:$E$174,3,FALSE)),"")</f>
        <v/>
      </c>
      <c r="G792" s="106" t="str">
        <f t="shared" si="394"/>
        <v>-</v>
      </c>
      <c r="H792" s="273"/>
      <c r="I792" s="107"/>
      <c r="J792" s="249" t="e">
        <f t="shared" si="395"/>
        <v>#VALUE!</v>
      </c>
      <c r="K792" s="101" t="str">
        <f>IFERROR(INDEX('Data Sheet'!$C$198:$C$275,MATCH(I792,'Data Sheet'!$F$198:$F$275,0)),"")</f>
        <v/>
      </c>
      <c r="L792" s="250" t="str">
        <f>IFERROR(INDEX('Data Sheet'!$G$198:$G$275,MATCH(I792,'Data Sheet'!$F$198:$F$275,0)),"")</f>
        <v/>
      </c>
      <c r="M792" s="194"/>
      <c r="N792" s="248"/>
      <c r="O792" s="248"/>
      <c r="P792" s="108" t="str">
        <f>IFERROR(INDEX(Setup!$D$44:$D$70,MATCH(M792,Setup!$K$44:$K$70,0))&amp;"","")</f>
        <v/>
      </c>
      <c r="Q792" s="108" t="str">
        <f>IFERROR(INDEX(Setup!$E$44:$E$70,MATCH(M792,Setup!$K$44:$K$70,0))&amp;"","")</f>
        <v/>
      </c>
      <c r="R792" s="108" t="str">
        <f>IFERROR(INDEX(Setup!$L$44:$L$70,MATCH(M792,Setup!$K$44:$K$70,0))&amp;"","")</f>
        <v/>
      </c>
      <c r="S792" s="108" t="str">
        <f>Setup!$C$30</f>
        <v>USD</v>
      </c>
      <c r="T792" s="109" t="str">
        <f>IFERROR(INDEX('Data Sheet'!$B$198:$B$275,MATCH(I792,'Data Sheet'!$F$198:$F$275,0)),"")</f>
        <v/>
      </c>
      <c r="U792" s="110" t="str">
        <f>IFERROR(INDEX('Data Sheet'!$D$198:$D$275,MATCH(I792,'Data Sheet'!$F$198:$F$275,0)),"")</f>
        <v/>
      </c>
      <c r="V792" s="99"/>
      <c r="W792" s="195" t="str">
        <f>IF(V792=Setup!$C$30,"Grant",IF(V792=Setup!$C$31,"Local",IF(V792=Setup!$C$32,"Other",IF(ISBLANK(V792),"","Other"))))</f>
        <v/>
      </c>
      <c r="X792" s="255"/>
      <c r="Y792" s="259" t="str">
        <f>IF(X792&lt;&gt;"",X792/VLOOKUP($V792,Setup!$C$30:$D$41,2,0),"")</f>
        <v/>
      </c>
      <c r="Z792" s="262"/>
      <c r="AA792" s="256" t="str">
        <f t="shared" si="368"/>
        <v/>
      </c>
      <c r="AB792" s="262"/>
      <c r="AC792" s="258" t="str">
        <f t="shared" si="369"/>
        <v/>
      </c>
      <c r="AD792" s="262"/>
      <c r="AE792" s="258" t="str">
        <f t="shared" si="370"/>
        <v/>
      </c>
      <c r="AF792" s="262"/>
      <c r="AG792" s="256" t="str">
        <f t="shared" si="371"/>
        <v/>
      </c>
      <c r="AH792" s="256" t="str">
        <f t="shared" si="372"/>
        <v/>
      </c>
      <c r="AI792" s="256" t="str">
        <f t="shared" si="373"/>
        <v/>
      </c>
      <c r="AJ792" s="111"/>
      <c r="AK792" s="255"/>
      <c r="AL792" s="259" t="str">
        <f>IF(AK792&lt;&gt;"",AK792/VLOOKUP($V792,Setup!$C$30:$D$41,2,0),"")</f>
        <v/>
      </c>
      <c r="AM792" s="266"/>
      <c r="AN792" s="258" t="str">
        <f t="shared" si="374"/>
        <v/>
      </c>
      <c r="AO792" s="266"/>
      <c r="AP792" s="258" t="str">
        <f t="shared" si="375"/>
        <v/>
      </c>
      <c r="AQ792" s="266"/>
      <c r="AR792" s="258" t="str">
        <f t="shared" si="376"/>
        <v/>
      </c>
      <c r="AS792" s="266"/>
      <c r="AT792" s="256" t="str">
        <f t="shared" si="377"/>
        <v/>
      </c>
      <c r="AU792" s="256" t="str">
        <f t="shared" si="378"/>
        <v/>
      </c>
      <c r="AV792" s="256" t="str">
        <f t="shared" si="379"/>
        <v/>
      </c>
      <c r="AW792" s="267"/>
      <c r="AX792" s="255"/>
      <c r="AY792" s="259" t="str">
        <f>IF(AX792&lt;&gt;"",AX792/VLOOKUP($V792,Setup!$C$30:$D$41,2,0),"")</f>
        <v/>
      </c>
      <c r="AZ792" s="268"/>
      <c r="BA792" s="258" t="str">
        <f t="shared" si="380"/>
        <v/>
      </c>
      <c r="BB792" s="268"/>
      <c r="BC792" s="258" t="str">
        <f t="shared" si="381"/>
        <v/>
      </c>
      <c r="BD792" s="268"/>
      <c r="BE792" s="258" t="str">
        <f t="shared" si="382"/>
        <v/>
      </c>
      <c r="BF792" s="268"/>
      <c r="BG792" s="256" t="str">
        <f t="shared" si="383"/>
        <v/>
      </c>
      <c r="BH792" s="256" t="str">
        <f t="shared" si="384"/>
        <v/>
      </c>
      <c r="BI792" s="256" t="str">
        <f t="shared" si="385"/>
        <v/>
      </c>
      <c r="BJ792" s="267"/>
      <c r="BK792" s="255"/>
      <c r="BL792" s="259" t="str">
        <f>IF(BK792&lt;&gt;"",BK792/VLOOKUP($V792,Setup!$C$30:$D$41,2,0),"")</f>
        <v/>
      </c>
      <c r="BM792" s="268"/>
      <c r="BN792" s="258" t="str">
        <f t="shared" si="386"/>
        <v/>
      </c>
      <c r="BO792" s="268"/>
      <c r="BP792" s="258" t="str">
        <f t="shared" si="387"/>
        <v/>
      </c>
      <c r="BQ792" s="268"/>
      <c r="BR792" s="258" t="str">
        <f t="shared" si="388"/>
        <v/>
      </c>
      <c r="BS792" s="268"/>
      <c r="BT792" s="256" t="str">
        <f t="shared" si="389"/>
        <v/>
      </c>
      <c r="BU792" s="256" t="str">
        <f t="shared" si="390"/>
        <v/>
      </c>
      <c r="BV792" s="256" t="str">
        <f t="shared" si="391"/>
        <v/>
      </c>
      <c r="BW792" s="267"/>
      <c r="BX792" s="256" t="str">
        <f t="shared" si="392"/>
        <v/>
      </c>
      <c r="BY792" s="256" t="str">
        <f t="shared" si="393"/>
        <v/>
      </c>
      <c r="BZ792" s="281"/>
      <c r="CA792" s="282"/>
      <c r="CF792" s="284"/>
      <c r="CG792" s="284"/>
      <c r="CH792" s="284"/>
      <c r="CI792" s="284"/>
      <c r="CL792" s="356" t="str">
        <f>IFERROR(VLOOKUP(C792,'Data Sheet'!$A$3:$B$26,2,FALSE),"")</f>
        <v/>
      </c>
    </row>
    <row r="793" spans="1:90" ht="15.75" x14ac:dyDescent="0.2">
      <c r="A793" s="97"/>
      <c r="B793" s="105" t="str">
        <f t="shared" si="396"/>
        <v>--</v>
      </c>
      <c r="C793" s="276"/>
      <c r="D793" s="101" t="str">
        <f>IFERROR(IF(VLOOKUP(C793,'Data Sheet'!$A$3:$D$26,4,FALSE)=0,"",VLOOKUP(C793,'Data Sheet'!$A$3:$D$26,4,FALSE)),"")</f>
        <v/>
      </c>
      <c r="E793" s="279"/>
      <c r="F793" s="103" t="str">
        <f>IFERROR(IF(VLOOKUP(E793,'Data Sheet'!$C$29:$E$174,3,FALSE)=0,"",VLOOKUP(E793,'Data Sheet'!$C$29:$E$174,3,FALSE)),"")</f>
        <v/>
      </c>
      <c r="G793" s="106" t="str">
        <f t="shared" si="394"/>
        <v>-</v>
      </c>
      <c r="H793" s="273"/>
      <c r="I793" s="107"/>
      <c r="J793" s="249" t="e">
        <f t="shared" si="395"/>
        <v>#VALUE!</v>
      </c>
      <c r="K793" s="101" t="str">
        <f>IFERROR(INDEX('Data Sheet'!$C$198:$C$275,MATCH(I793,'Data Sheet'!$F$198:$F$275,0)),"")</f>
        <v/>
      </c>
      <c r="L793" s="250" t="str">
        <f>IFERROR(INDEX('Data Sheet'!$G$198:$G$275,MATCH(I793,'Data Sheet'!$F$198:$F$275,0)),"")</f>
        <v/>
      </c>
      <c r="M793" s="194"/>
      <c r="N793" s="248"/>
      <c r="O793" s="248"/>
      <c r="P793" s="108" t="str">
        <f>IFERROR(INDEX(Setup!$D$44:$D$70,MATCH(M793,Setup!$K$44:$K$70,0))&amp;"","")</f>
        <v/>
      </c>
      <c r="Q793" s="108" t="str">
        <f>IFERROR(INDEX(Setup!$E$44:$E$70,MATCH(M793,Setup!$K$44:$K$70,0))&amp;"","")</f>
        <v/>
      </c>
      <c r="R793" s="108" t="str">
        <f>IFERROR(INDEX(Setup!$L$44:$L$70,MATCH(M793,Setup!$K$44:$K$70,0))&amp;"","")</f>
        <v/>
      </c>
      <c r="S793" s="108" t="str">
        <f>Setup!$C$30</f>
        <v>USD</v>
      </c>
      <c r="T793" s="109" t="str">
        <f>IFERROR(INDEX('Data Sheet'!$B$198:$B$275,MATCH(I793,'Data Sheet'!$F$198:$F$275,0)),"")</f>
        <v/>
      </c>
      <c r="U793" s="110" t="str">
        <f>IFERROR(INDEX('Data Sheet'!$D$198:$D$275,MATCH(I793,'Data Sheet'!$F$198:$F$275,0)),"")</f>
        <v/>
      </c>
      <c r="V793" s="99"/>
      <c r="W793" s="195" t="str">
        <f>IF(V793=Setup!$C$30,"Grant",IF(V793=Setup!$C$31,"Local",IF(V793=Setup!$C$32,"Other",IF(ISBLANK(V793),"","Other"))))</f>
        <v/>
      </c>
      <c r="X793" s="255"/>
      <c r="Y793" s="259" t="str">
        <f>IF(X793&lt;&gt;"",X793/VLOOKUP($V793,Setup!$C$30:$D$41,2,0),"")</f>
        <v/>
      </c>
      <c r="Z793" s="262"/>
      <c r="AA793" s="256" t="str">
        <f t="shared" si="368"/>
        <v/>
      </c>
      <c r="AB793" s="262"/>
      <c r="AC793" s="258" t="str">
        <f t="shared" si="369"/>
        <v/>
      </c>
      <c r="AD793" s="262"/>
      <c r="AE793" s="258" t="str">
        <f t="shared" si="370"/>
        <v/>
      </c>
      <c r="AF793" s="262"/>
      <c r="AG793" s="256" t="str">
        <f t="shared" si="371"/>
        <v/>
      </c>
      <c r="AH793" s="256" t="str">
        <f t="shared" si="372"/>
        <v/>
      </c>
      <c r="AI793" s="256" t="str">
        <f t="shared" si="373"/>
        <v/>
      </c>
      <c r="AJ793" s="111"/>
      <c r="AK793" s="255"/>
      <c r="AL793" s="259" t="str">
        <f>IF(AK793&lt;&gt;"",AK793/VLOOKUP($V793,Setup!$C$30:$D$41,2,0),"")</f>
        <v/>
      </c>
      <c r="AM793" s="266"/>
      <c r="AN793" s="258" t="str">
        <f t="shared" si="374"/>
        <v/>
      </c>
      <c r="AO793" s="266"/>
      <c r="AP793" s="258" t="str">
        <f t="shared" si="375"/>
        <v/>
      </c>
      <c r="AQ793" s="266"/>
      <c r="AR793" s="258" t="str">
        <f t="shared" si="376"/>
        <v/>
      </c>
      <c r="AS793" s="266"/>
      <c r="AT793" s="256" t="str">
        <f t="shared" si="377"/>
        <v/>
      </c>
      <c r="AU793" s="256" t="str">
        <f t="shared" si="378"/>
        <v/>
      </c>
      <c r="AV793" s="256" t="str">
        <f t="shared" si="379"/>
        <v/>
      </c>
      <c r="AW793" s="267"/>
      <c r="AX793" s="255"/>
      <c r="AY793" s="259" t="str">
        <f>IF(AX793&lt;&gt;"",AX793/VLOOKUP($V793,Setup!$C$30:$D$41,2,0),"")</f>
        <v/>
      </c>
      <c r="AZ793" s="268"/>
      <c r="BA793" s="258" t="str">
        <f t="shared" si="380"/>
        <v/>
      </c>
      <c r="BB793" s="268"/>
      <c r="BC793" s="258" t="str">
        <f t="shared" si="381"/>
        <v/>
      </c>
      <c r="BD793" s="268"/>
      <c r="BE793" s="258" t="str">
        <f t="shared" si="382"/>
        <v/>
      </c>
      <c r="BF793" s="268"/>
      <c r="BG793" s="256" t="str">
        <f t="shared" si="383"/>
        <v/>
      </c>
      <c r="BH793" s="256" t="str">
        <f t="shared" si="384"/>
        <v/>
      </c>
      <c r="BI793" s="256" t="str">
        <f t="shared" si="385"/>
        <v/>
      </c>
      <c r="BJ793" s="267"/>
      <c r="BK793" s="255"/>
      <c r="BL793" s="259" t="str">
        <f>IF(BK793&lt;&gt;"",BK793/VLOOKUP($V793,Setup!$C$30:$D$41,2,0),"")</f>
        <v/>
      </c>
      <c r="BM793" s="268"/>
      <c r="BN793" s="258" t="str">
        <f t="shared" si="386"/>
        <v/>
      </c>
      <c r="BO793" s="268"/>
      <c r="BP793" s="258" t="str">
        <f t="shared" si="387"/>
        <v/>
      </c>
      <c r="BQ793" s="268"/>
      <c r="BR793" s="258" t="str">
        <f t="shared" si="388"/>
        <v/>
      </c>
      <c r="BS793" s="268"/>
      <c r="BT793" s="256" t="str">
        <f t="shared" si="389"/>
        <v/>
      </c>
      <c r="BU793" s="256" t="str">
        <f t="shared" si="390"/>
        <v/>
      </c>
      <c r="BV793" s="256" t="str">
        <f t="shared" si="391"/>
        <v/>
      </c>
      <c r="BW793" s="267"/>
      <c r="BX793" s="256" t="str">
        <f t="shared" si="392"/>
        <v/>
      </c>
      <c r="BY793" s="256" t="str">
        <f t="shared" si="393"/>
        <v/>
      </c>
      <c r="BZ793" s="281"/>
      <c r="CA793" s="282"/>
      <c r="CF793" s="284"/>
      <c r="CG793" s="284"/>
      <c r="CH793" s="284"/>
      <c r="CI793" s="284"/>
      <c r="CL793" s="356" t="str">
        <f>IFERROR(VLOOKUP(C793,'Data Sheet'!$A$3:$B$26,2,FALSE),"")</f>
        <v/>
      </c>
    </row>
    <row r="794" spans="1:90" ht="15.75" x14ac:dyDescent="0.2">
      <c r="A794" s="97"/>
      <c r="B794" s="105" t="str">
        <f t="shared" si="396"/>
        <v>--</v>
      </c>
      <c r="C794" s="276"/>
      <c r="D794" s="101" t="str">
        <f>IFERROR(IF(VLOOKUP(C794,'Data Sheet'!$A$3:$D$26,4,FALSE)=0,"",VLOOKUP(C794,'Data Sheet'!$A$3:$D$26,4,FALSE)),"")</f>
        <v/>
      </c>
      <c r="E794" s="279"/>
      <c r="F794" s="103" t="str">
        <f>IFERROR(IF(VLOOKUP(E794,'Data Sheet'!$C$29:$E$174,3,FALSE)=0,"",VLOOKUP(E794,'Data Sheet'!$C$29:$E$174,3,FALSE)),"")</f>
        <v/>
      </c>
      <c r="G794" s="106" t="str">
        <f t="shared" si="394"/>
        <v>-</v>
      </c>
      <c r="H794" s="273"/>
      <c r="I794" s="107"/>
      <c r="J794" s="249" t="e">
        <f t="shared" si="395"/>
        <v>#VALUE!</v>
      </c>
      <c r="K794" s="101" t="str">
        <f>IFERROR(INDEX('Data Sheet'!$C$198:$C$275,MATCH(I794,'Data Sheet'!$F$198:$F$275,0)),"")</f>
        <v/>
      </c>
      <c r="L794" s="250" t="str">
        <f>IFERROR(INDEX('Data Sheet'!$G$198:$G$275,MATCH(I794,'Data Sheet'!$F$198:$F$275,0)),"")</f>
        <v/>
      </c>
      <c r="M794" s="194"/>
      <c r="N794" s="248"/>
      <c r="O794" s="248"/>
      <c r="P794" s="108" t="str">
        <f>IFERROR(INDEX(Setup!$D$44:$D$70,MATCH(M794,Setup!$K$44:$K$70,0))&amp;"","")</f>
        <v/>
      </c>
      <c r="Q794" s="108" t="str">
        <f>IFERROR(INDEX(Setup!$E$44:$E$70,MATCH(M794,Setup!$K$44:$K$70,0))&amp;"","")</f>
        <v/>
      </c>
      <c r="R794" s="108" t="str">
        <f>IFERROR(INDEX(Setup!$L$44:$L$70,MATCH(M794,Setup!$K$44:$K$70,0))&amp;"","")</f>
        <v/>
      </c>
      <c r="S794" s="108" t="str">
        <f>Setup!$C$30</f>
        <v>USD</v>
      </c>
      <c r="T794" s="109" t="str">
        <f>IFERROR(INDEX('Data Sheet'!$B$198:$B$275,MATCH(I794,'Data Sheet'!$F$198:$F$275,0)),"")</f>
        <v/>
      </c>
      <c r="U794" s="110" t="str">
        <f>IFERROR(INDEX('Data Sheet'!$D$198:$D$275,MATCH(I794,'Data Sheet'!$F$198:$F$275,0)),"")</f>
        <v/>
      </c>
      <c r="V794" s="99"/>
      <c r="W794" s="195" t="str">
        <f>IF(V794=Setup!$C$30,"Grant",IF(V794=Setup!$C$31,"Local",IF(V794=Setup!$C$32,"Other",IF(ISBLANK(V794),"","Other"))))</f>
        <v/>
      </c>
      <c r="X794" s="255"/>
      <c r="Y794" s="259" t="str">
        <f>IF(X794&lt;&gt;"",X794/VLOOKUP($V794,Setup!$C$30:$D$41,2,0),"")</f>
        <v/>
      </c>
      <c r="Z794" s="262"/>
      <c r="AA794" s="256" t="str">
        <f t="shared" si="368"/>
        <v/>
      </c>
      <c r="AB794" s="262"/>
      <c r="AC794" s="258" t="str">
        <f t="shared" si="369"/>
        <v/>
      </c>
      <c r="AD794" s="262"/>
      <c r="AE794" s="258" t="str">
        <f t="shared" si="370"/>
        <v/>
      </c>
      <c r="AF794" s="262"/>
      <c r="AG794" s="256" t="str">
        <f t="shared" si="371"/>
        <v/>
      </c>
      <c r="AH794" s="256" t="str">
        <f t="shared" si="372"/>
        <v/>
      </c>
      <c r="AI794" s="256" t="str">
        <f t="shared" si="373"/>
        <v/>
      </c>
      <c r="AJ794" s="111"/>
      <c r="AK794" s="255"/>
      <c r="AL794" s="259" t="str">
        <f>IF(AK794&lt;&gt;"",AK794/VLOOKUP($V794,Setup!$C$30:$D$41,2,0),"")</f>
        <v/>
      </c>
      <c r="AM794" s="266"/>
      <c r="AN794" s="258" t="str">
        <f t="shared" si="374"/>
        <v/>
      </c>
      <c r="AO794" s="266"/>
      <c r="AP794" s="258" t="str">
        <f t="shared" si="375"/>
        <v/>
      </c>
      <c r="AQ794" s="266"/>
      <c r="AR794" s="258" t="str">
        <f t="shared" si="376"/>
        <v/>
      </c>
      <c r="AS794" s="266"/>
      <c r="AT794" s="256" t="str">
        <f t="shared" si="377"/>
        <v/>
      </c>
      <c r="AU794" s="256" t="str">
        <f t="shared" si="378"/>
        <v/>
      </c>
      <c r="AV794" s="256" t="str">
        <f t="shared" si="379"/>
        <v/>
      </c>
      <c r="AW794" s="267"/>
      <c r="AX794" s="255"/>
      <c r="AY794" s="259" t="str">
        <f>IF(AX794&lt;&gt;"",AX794/VLOOKUP($V794,Setup!$C$30:$D$41,2,0),"")</f>
        <v/>
      </c>
      <c r="AZ794" s="268"/>
      <c r="BA794" s="258" t="str">
        <f t="shared" si="380"/>
        <v/>
      </c>
      <c r="BB794" s="268"/>
      <c r="BC794" s="258" t="str">
        <f t="shared" si="381"/>
        <v/>
      </c>
      <c r="BD794" s="268"/>
      <c r="BE794" s="258" t="str">
        <f t="shared" si="382"/>
        <v/>
      </c>
      <c r="BF794" s="268"/>
      <c r="BG794" s="256" t="str">
        <f t="shared" si="383"/>
        <v/>
      </c>
      <c r="BH794" s="256" t="str">
        <f t="shared" si="384"/>
        <v/>
      </c>
      <c r="BI794" s="256" t="str">
        <f t="shared" si="385"/>
        <v/>
      </c>
      <c r="BJ794" s="267"/>
      <c r="BK794" s="255"/>
      <c r="BL794" s="259" t="str">
        <f>IF(BK794&lt;&gt;"",BK794/VLOOKUP($V794,Setup!$C$30:$D$41,2,0),"")</f>
        <v/>
      </c>
      <c r="BM794" s="268"/>
      <c r="BN794" s="258" t="str">
        <f t="shared" si="386"/>
        <v/>
      </c>
      <c r="BO794" s="268"/>
      <c r="BP794" s="258" t="str">
        <f t="shared" si="387"/>
        <v/>
      </c>
      <c r="BQ794" s="268"/>
      <c r="BR794" s="258" t="str">
        <f t="shared" si="388"/>
        <v/>
      </c>
      <c r="BS794" s="268"/>
      <c r="BT794" s="256" t="str">
        <f t="shared" si="389"/>
        <v/>
      </c>
      <c r="BU794" s="256" t="str">
        <f t="shared" si="390"/>
        <v/>
      </c>
      <c r="BV794" s="256" t="str">
        <f t="shared" si="391"/>
        <v/>
      </c>
      <c r="BW794" s="267"/>
      <c r="BX794" s="256" t="str">
        <f t="shared" si="392"/>
        <v/>
      </c>
      <c r="BY794" s="256" t="str">
        <f t="shared" si="393"/>
        <v/>
      </c>
      <c r="BZ794" s="281"/>
      <c r="CA794" s="282"/>
      <c r="CF794" s="284"/>
      <c r="CG794" s="284"/>
      <c r="CH794" s="284"/>
      <c r="CI794" s="284"/>
      <c r="CL794" s="356" t="str">
        <f>IFERROR(VLOOKUP(C794,'Data Sheet'!$A$3:$B$26,2,FALSE),"")</f>
        <v/>
      </c>
    </row>
    <row r="795" spans="1:90" ht="15.75" x14ac:dyDescent="0.2">
      <c r="A795" s="97"/>
      <c r="B795" s="105" t="str">
        <f t="shared" si="396"/>
        <v>--</v>
      </c>
      <c r="C795" s="276"/>
      <c r="D795" s="101" t="str">
        <f>IFERROR(IF(VLOOKUP(C795,'Data Sheet'!$A$3:$D$26,4,FALSE)=0,"",VLOOKUP(C795,'Data Sheet'!$A$3:$D$26,4,FALSE)),"")</f>
        <v/>
      </c>
      <c r="E795" s="279"/>
      <c r="F795" s="103" t="str">
        <f>IFERROR(IF(VLOOKUP(E795,'Data Sheet'!$C$29:$E$174,3,FALSE)=0,"",VLOOKUP(E795,'Data Sheet'!$C$29:$E$174,3,FALSE)),"")</f>
        <v/>
      </c>
      <c r="G795" s="106" t="str">
        <f t="shared" si="394"/>
        <v>-</v>
      </c>
      <c r="H795" s="273"/>
      <c r="I795" s="107"/>
      <c r="J795" s="249" t="e">
        <f t="shared" si="395"/>
        <v>#VALUE!</v>
      </c>
      <c r="K795" s="101" t="str">
        <f>IFERROR(INDEX('Data Sheet'!$C$198:$C$275,MATCH(I795,'Data Sheet'!$F$198:$F$275,0)),"")</f>
        <v/>
      </c>
      <c r="L795" s="250" t="str">
        <f>IFERROR(INDEX('Data Sheet'!$G$198:$G$275,MATCH(I795,'Data Sheet'!$F$198:$F$275,0)),"")</f>
        <v/>
      </c>
      <c r="M795" s="194"/>
      <c r="N795" s="248"/>
      <c r="O795" s="248"/>
      <c r="P795" s="108" t="str">
        <f>IFERROR(INDEX(Setup!$D$44:$D$70,MATCH(M795,Setup!$K$44:$K$70,0))&amp;"","")</f>
        <v/>
      </c>
      <c r="Q795" s="108" t="str">
        <f>IFERROR(INDEX(Setup!$E$44:$E$70,MATCH(M795,Setup!$K$44:$K$70,0))&amp;"","")</f>
        <v/>
      </c>
      <c r="R795" s="108" t="str">
        <f>IFERROR(INDEX(Setup!$L$44:$L$70,MATCH(M795,Setup!$K$44:$K$70,0))&amp;"","")</f>
        <v/>
      </c>
      <c r="S795" s="108" t="str">
        <f>Setup!$C$30</f>
        <v>USD</v>
      </c>
      <c r="T795" s="109" t="str">
        <f>IFERROR(INDEX('Data Sheet'!$B$198:$B$275,MATCH(I795,'Data Sheet'!$F$198:$F$275,0)),"")</f>
        <v/>
      </c>
      <c r="U795" s="110" t="str">
        <f>IFERROR(INDEX('Data Sheet'!$D$198:$D$275,MATCH(I795,'Data Sheet'!$F$198:$F$275,0)),"")</f>
        <v/>
      </c>
      <c r="V795" s="99"/>
      <c r="W795" s="195" t="str">
        <f>IF(V795=Setup!$C$30,"Grant",IF(V795=Setup!$C$31,"Local",IF(V795=Setup!$C$32,"Other",IF(ISBLANK(V795),"","Other"))))</f>
        <v/>
      </c>
      <c r="X795" s="255"/>
      <c r="Y795" s="259" t="str">
        <f>IF(X795&lt;&gt;"",X795/VLOOKUP($V795,Setup!$C$30:$D$41,2,0),"")</f>
        <v/>
      </c>
      <c r="Z795" s="262"/>
      <c r="AA795" s="256" t="str">
        <f t="shared" si="368"/>
        <v/>
      </c>
      <c r="AB795" s="262"/>
      <c r="AC795" s="258" t="str">
        <f t="shared" si="369"/>
        <v/>
      </c>
      <c r="AD795" s="262"/>
      <c r="AE795" s="258" t="str">
        <f t="shared" si="370"/>
        <v/>
      </c>
      <c r="AF795" s="262"/>
      <c r="AG795" s="256" t="str">
        <f t="shared" si="371"/>
        <v/>
      </c>
      <c r="AH795" s="256" t="str">
        <f t="shared" si="372"/>
        <v/>
      </c>
      <c r="AI795" s="256" t="str">
        <f t="shared" si="373"/>
        <v/>
      </c>
      <c r="AJ795" s="111"/>
      <c r="AK795" s="255"/>
      <c r="AL795" s="259" t="str">
        <f>IF(AK795&lt;&gt;"",AK795/VLOOKUP($V795,Setup!$C$30:$D$41,2,0),"")</f>
        <v/>
      </c>
      <c r="AM795" s="266"/>
      <c r="AN795" s="258" t="str">
        <f t="shared" si="374"/>
        <v/>
      </c>
      <c r="AO795" s="266"/>
      <c r="AP795" s="258" t="str">
        <f t="shared" si="375"/>
        <v/>
      </c>
      <c r="AQ795" s="266"/>
      <c r="AR795" s="258" t="str">
        <f t="shared" si="376"/>
        <v/>
      </c>
      <c r="AS795" s="266"/>
      <c r="AT795" s="256" t="str">
        <f t="shared" si="377"/>
        <v/>
      </c>
      <c r="AU795" s="256" t="str">
        <f t="shared" si="378"/>
        <v/>
      </c>
      <c r="AV795" s="256" t="str">
        <f t="shared" si="379"/>
        <v/>
      </c>
      <c r="AW795" s="267"/>
      <c r="AX795" s="255"/>
      <c r="AY795" s="259" t="str">
        <f>IF(AX795&lt;&gt;"",AX795/VLOOKUP($V795,Setup!$C$30:$D$41,2,0),"")</f>
        <v/>
      </c>
      <c r="AZ795" s="268"/>
      <c r="BA795" s="258" t="str">
        <f t="shared" si="380"/>
        <v/>
      </c>
      <c r="BB795" s="268"/>
      <c r="BC795" s="258" t="str">
        <f t="shared" si="381"/>
        <v/>
      </c>
      <c r="BD795" s="268"/>
      <c r="BE795" s="258" t="str">
        <f t="shared" si="382"/>
        <v/>
      </c>
      <c r="BF795" s="268"/>
      <c r="BG795" s="256" t="str">
        <f t="shared" si="383"/>
        <v/>
      </c>
      <c r="BH795" s="256" t="str">
        <f t="shared" si="384"/>
        <v/>
      </c>
      <c r="BI795" s="256" t="str">
        <f t="shared" si="385"/>
        <v/>
      </c>
      <c r="BJ795" s="267"/>
      <c r="BK795" s="255"/>
      <c r="BL795" s="259" t="str">
        <f>IF(BK795&lt;&gt;"",BK795/VLOOKUP($V795,Setup!$C$30:$D$41,2,0),"")</f>
        <v/>
      </c>
      <c r="BM795" s="268"/>
      <c r="BN795" s="258" t="str">
        <f t="shared" si="386"/>
        <v/>
      </c>
      <c r="BO795" s="268"/>
      <c r="BP795" s="258" t="str">
        <f t="shared" si="387"/>
        <v/>
      </c>
      <c r="BQ795" s="268"/>
      <c r="BR795" s="258" t="str">
        <f t="shared" si="388"/>
        <v/>
      </c>
      <c r="BS795" s="268"/>
      <c r="BT795" s="256" t="str">
        <f t="shared" si="389"/>
        <v/>
      </c>
      <c r="BU795" s="256" t="str">
        <f t="shared" si="390"/>
        <v/>
      </c>
      <c r="BV795" s="256" t="str">
        <f t="shared" si="391"/>
        <v/>
      </c>
      <c r="BW795" s="267"/>
      <c r="BX795" s="256" t="str">
        <f t="shared" si="392"/>
        <v/>
      </c>
      <c r="BY795" s="256" t="str">
        <f t="shared" si="393"/>
        <v/>
      </c>
      <c r="BZ795" s="281"/>
      <c r="CA795" s="282"/>
      <c r="CF795" s="284"/>
      <c r="CG795" s="284"/>
      <c r="CH795" s="284"/>
      <c r="CI795" s="284"/>
      <c r="CL795" s="356" t="str">
        <f>IFERROR(VLOOKUP(C795,'Data Sheet'!$A$3:$B$26,2,FALSE),"")</f>
        <v/>
      </c>
    </row>
    <row r="796" spans="1:90" ht="15.75" x14ac:dyDescent="0.2">
      <c r="A796" s="97"/>
      <c r="B796" s="105" t="str">
        <f t="shared" si="396"/>
        <v>--</v>
      </c>
      <c r="C796" s="276"/>
      <c r="D796" s="101" t="str">
        <f>IFERROR(IF(VLOOKUP(C796,'Data Sheet'!$A$3:$D$26,4,FALSE)=0,"",VLOOKUP(C796,'Data Sheet'!$A$3:$D$26,4,FALSE)),"")</f>
        <v/>
      </c>
      <c r="E796" s="279"/>
      <c r="F796" s="103" t="str">
        <f>IFERROR(IF(VLOOKUP(E796,'Data Sheet'!$C$29:$E$174,3,FALSE)=0,"",VLOOKUP(E796,'Data Sheet'!$C$29:$E$174,3,FALSE)),"")</f>
        <v/>
      </c>
      <c r="G796" s="106" t="str">
        <f t="shared" si="394"/>
        <v>-</v>
      </c>
      <c r="H796" s="273"/>
      <c r="I796" s="107"/>
      <c r="J796" s="249" t="e">
        <f t="shared" si="395"/>
        <v>#VALUE!</v>
      </c>
      <c r="K796" s="101" t="str">
        <f>IFERROR(INDEX('Data Sheet'!$C$198:$C$275,MATCH(I796,'Data Sheet'!$F$198:$F$275,0)),"")</f>
        <v/>
      </c>
      <c r="L796" s="250" t="str">
        <f>IFERROR(INDEX('Data Sheet'!$G$198:$G$275,MATCH(I796,'Data Sheet'!$F$198:$F$275,0)),"")</f>
        <v/>
      </c>
      <c r="M796" s="194"/>
      <c r="N796" s="248"/>
      <c r="O796" s="248"/>
      <c r="P796" s="108" t="str">
        <f>IFERROR(INDEX(Setup!$D$44:$D$70,MATCH(M796,Setup!$K$44:$K$70,0))&amp;"","")</f>
        <v/>
      </c>
      <c r="Q796" s="108" t="str">
        <f>IFERROR(INDEX(Setup!$E$44:$E$70,MATCH(M796,Setup!$K$44:$K$70,0))&amp;"","")</f>
        <v/>
      </c>
      <c r="R796" s="108" t="str">
        <f>IFERROR(INDEX(Setup!$L$44:$L$70,MATCH(M796,Setup!$K$44:$K$70,0))&amp;"","")</f>
        <v/>
      </c>
      <c r="S796" s="108" t="str">
        <f>Setup!$C$30</f>
        <v>USD</v>
      </c>
      <c r="T796" s="109" t="str">
        <f>IFERROR(INDEX('Data Sheet'!$B$198:$B$275,MATCH(I796,'Data Sheet'!$F$198:$F$275,0)),"")</f>
        <v/>
      </c>
      <c r="U796" s="110" t="str">
        <f>IFERROR(INDEX('Data Sheet'!$D$198:$D$275,MATCH(I796,'Data Sheet'!$F$198:$F$275,0)),"")</f>
        <v/>
      </c>
      <c r="V796" s="99"/>
      <c r="W796" s="195" t="str">
        <f>IF(V796=Setup!$C$30,"Grant",IF(V796=Setup!$C$31,"Local",IF(V796=Setup!$C$32,"Other",IF(ISBLANK(V796),"","Other"))))</f>
        <v/>
      </c>
      <c r="X796" s="255"/>
      <c r="Y796" s="259" t="str">
        <f>IF(X796&lt;&gt;"",X796/VLOOKUP($V796,Setup!$C$30:$D$41,2,0),"")</f>
        <v/>
      </c>
      <c r="Z796" s="262"/>
      <c r="AA796" s="256" t="str">
        <f t="shared" si="368"/>
        <v/>
      </c>
      <c r="AB796" s="262"/>
      <c r="AC796" s="258" t="str">
        <f t="shared" si="369"/>
        <v/>
      </c>
      <c r="AD796" s="262"/>
      <c r="AE796" s="258" t="str">
        <f t="shared" si="370"/>
        <v/>
      </c>
      <c r="AF796" s="262"/>
      <c r="AG796" s="256" t="str">
        <f t="shared" si="371"/>
        <v/>
      </c>
      <c r="AH796" s="256" t="str">
        <f t="shared" si="372"/>
        <v/>
      </c>
      <c r="AI796" s="256" t="str">
        <f t="shared" si="373"/>
        <v/>
      </c>
      <c r="AJ796" s="111"/>
      <c r="AK796" s="255"/>
      <c r="AL796" s="259" t="str">
        <f>IF(AK796&lt;&gt;"",AK796/VLOOKUP($V796,Setup!$C$30:$D$41,2,0),"")</f>
        <v/>
      </c>
      <c r="AM796" s="266"/>
      <c r="AN796" s="258" t="str">
        <f t="shared" si="374"/>
        <v/>
      </c>
      <c r="AO796" s="266"/>
      <c r="AP796" s="258" t="str">
        <f t="shared" si="375"/>
        <v/>
      </c>
      <c r="AQ796" s="266"/>
      <c r="AR796" s="258" t="str">
        <f t="shared" si="376"/>
        <v/>
      </c>
      <c r="AS796" s="266"/>
      <c r="AT796" s="256" t="str">
        <f t="shared" si="377"/>
        <v/>
      </c>
      <c r="AU796" s="256" t="str">
        <f t="shared" si="378"/>
        <v/>
      </c>
      <c r="AV796" s="256" t="str">
        <f t="shared" si="379"/>
        <v/>
      </c>
      <c r="AW796" s="267"/>
      <c r="AX796" s="255"/>
      <c r="AY796" s="259" t="str">
        <f>IF(AX796&lt;&gt;"",AX796/VLOOKUP($V796,Setup!$C$30:$D$41,2,0),"")</f>
        <v/>
      </c>
      <c r="AZ796" s="268"/>
      <c r="BA796" s="258" t="str">
        <f t="shared" si="380"/>
        <v/>
      </c>
      <c r="BB796" s="268"/>
      <c r="BC796" s="258" t="str">
        <f t="shared" si="381"/>
        <v/>
      </c>
      <c r="BD796" s="268"/>
      <c r="BE796" s="258" t="str">
        <f t="shared" si="382"/>
        <v/>
      </c>
      <c r="BF796" s="268"/>
      <c r="BG796" s="256" t="str">
        <f t="shared" si="383"/>
        <v/>
      </c>
      <c r="BH796" s="256" t="str">
        <f t="shared" si="384"/>
        <v/>
      </c>
      <c r="BI796" s="256" t="str">
        <f t="shared" si="385"/>
        <v/>
      </c>
      <c r="BJ796" s="267"/>
      <c r="BK796" s="255"/>
      <c r="BL796" s="259" t="str">
        <f>IF(BK796&lt;&gt;"",BK796/VLOOKUP($V796,Setup!$C$30:$D$41,2,0),"")</f>
        <v/>
      </c>
      <c r="BM796" s="268"/>
      <c r="BN796" s="258" t="str">
        <f t="shared" si="386"/>
        <v/>
      </c>
      <c r="BO796" s="268"/>
      <c r="BP796" s="258" t="str">
        <f t="shared" si="387"/>
        <v/>
      </c>
      <c r="BQ796" s="268"/>
      <c r="BR796" s="258" t="str">
        <f t="shared" si="388"/>
        <v/>
      </c>
      <c r="BS796" s="268"/>
      <c r="BT796" s="256" t="str">
        <f t="shared" si="389"/>
        <v/>
      </c>
      <c r="BU796" s="256" t="str">
        <f t="shared" si="390"/>
        <v/>
      </c>
      <c r="BV796" s="256" t="str">
        <f t="shared" si="391"/>
        <v/>
      </c>
      <c r="BW796" s="267"/>
      <c r="BX796" s="256" t="str">
        <f t="shared" si="392"/>
        <v/>
      </c>
      <c r="BY796" s="256" t="str">
        <f t="shared" si="393"/>
        <v/>
      </c>
      <c r="BZ796" s="281"/>
      <c r="CA796" s="282"/>
      <c r="CF796" s="284"/>
      <c r="CG796" s="284"/>
      <c r="CH796" s="284"/>
      <c r="CI796" s="284"/>
      <c r="CL796" s="356" t="str">
        <f>IFERROR(VLOOKUP(C796,'Data Sheet'!$A$3:$B$26,2,FALSE),"")</f>
        <v/>
      </c>
    </row>
    <row r="797" spans="1:90" ht="15.75" x14ac:dyDescent="0.2">
      <c r="A797" s="97"/>
      <c r="B797" s="105" t="str">
        <f t="shared" si="396"/>
        <v>--</v>
      </c>
      <c r="C797" s="276"/>
      <c r="D797" s="101" t="str">
        <f>IFERROR(IF(VLOOKUP(C797,'Data Sheet'!$A$3:$D$26,4,FALSE)=0,"",VLOOKUP(C797,'Data Sheet'!$A$3:$D$26,4,FALSE)),"")</f>
        <v/>
      </c>
      <c r="E797" s="279"/>
      <c r="F797" s="103" t="str">
        <f>IFERROR(IF(VLOOKUP(E797,'Data Sheet'!$C$29:$E$174,3,FALSE)=0,"",VLOOKUP(E797,'Data Sheet'!$C$29:$E$174,3,FALSE)),"")</f>
        <v/>
      </c>
      <c r="G797" s="106" t="str">
        <f t="shared" si="394"/>
        <v>-</v>
      </c>
      <c r="H797" s="273"/>
      <c r="I797" s="107"/>
      <c r="J797" s="249" t="e">
        <f t="shared" si="395"/>
        <v>#VALUE!</v>
      </c>
      <c r="K797" s="101" t="str">
        <f>IFERROR(INDEX('Data Sheet'!$C$198:$C$275,MATCH(I797,'Data Sheet'!$F$198:$F$275,0)),"")</f>
        <v/>
      </c>
      <c r="L797" s="250" t="str">
        <f>IFERROR(INDEX('Data Sheet'!$G$198:$G$275,MATCH(I797,'Data Sheet'!$F$198:$F$275,0)),"")</f>
        <v/>
      </c>
      <c r="M797" s="194"/>
      <c r="N797" s="248"/>
      <c r="O797" s="248"/>
      <c r="P797" s="108" t="str">
        <f>IFERROR(INDEX(Setup!$D$44:$D$70,MATCH(M797,Setup!$K$44:$K$70,0))&amp;"","")</f>
        <v/>
      </c>
      <c r="Q797" s="108" t="str">
        <f>IFERROR(INDEX(Setup!$E$44:$E$70,MATCH(M797,Setup!$K$44:$K$70,0))&amp;"","")</f>
        <v/>
      </c>
      <c r="R797" s="108" t="str">
        <f>IFERROR(INDEX(Setup!$L$44:$L$70,MATCH(M797,Setup!$K$44:$K$70,0))&amp;"","")</f>
        <v/>
      </c>
      <c r="S797" s="108" t="str">
        <f>Setup!$C$30</f>
        <v>USD</v>
      </c>
      <c r="T797" s="109" t="str">
        <f>IFERROR(INDEX('Data Sheet'!$B$198:$B$275,MATCH(I797,'Data Sheet'!$F$198:$F$275,0)),"")</f>
        <v/>
      </c>
      <c r="U797" s="110" t="str">
        <f>IFERROR(INDEX('Data Sheet'!$D$198:$D$275,MATCH(I797,'Data Sheet'!$F$198:$F$275,0)),"")</f>
        <v/>
      </c>
      <c r="V797" s="99"/>
      <c r="W797" s="195" t="str">
        <f>IF(V797=Setup!$C$30,"Grant",IF(V797=Setup!$C$31,"Local",IF(V797=Setup!$C$32,"Other",IF(ISBLANK(V797),"","Other"))))</f>
        <v/>
      </c>
      <c r="X797" s="255"/>
      <c r="Y797" s="259" t="str">
        <f>IF(X797&lt;&gt;"",X797/VLOOKUP($V797,Setup!$C$30:$D$41,2,0),"")</f>
        <v/>
      </c>
      <c r="Z797" s="262"/>
      <c r="AA797" s="256" t="str">
        <f t="shared" si="368"/>
        <v/>
      </c>
      <c r="AB797" s="262"/>
      <c r="AC797" s="258" t="str">
        <f t="shared" si="369"/>
        <v/>
      </c>
      <c r="AD797" s="262"/>
      <c r="AE797" s="258" t="str">
        <f t="shared" si="370"/>
        <v/>
      </c>
      <c r="AF797" s="262"/>
      <c r="AG797" s="256" t="str">
        <f t="shared" si="371"/>
        <v/>
      </c>
      <c r="AH797" s="256" t="str">
        <f t="shared" si="372"/>
        <v/>
      </c>
      <c r="AI797" s="256" t="str">
        <f t="shared" si="373"/>
        <v/>
      </c>
      <c r="AJ797" s="111"/>
      <c r="AK797" s="255"/>
      <c r="AL797" s="259" t="str">
        <f>IF(AK797&lt;&gt;"",AK797/VLOOKUP($V797,Setup!$C$30:$D$41,2,0),"")</f>
        <v/>
      </c>
      <c r="AM797" s="266"/>
      <c r="AN797" s="258" t="str">
        <f t="shared" si="374"/>
        <v/>
      </c>
      <c r="AO797" s="266"/>
      <c r="AP797" s="258" t="str">
        <f t="shared" si="375"/>
        <v/>
      </c>
      <c r="AQ797" s="266"/>
      <c r="AR797" s="258" t="str">
        <f t="shared" si="376"/>
        <v/>
      </c>
      <c r="AS797" s="266"/>
      <c r="AT797" s="256" t="str">
        <f t="shared" si="377"/>
        <v/>
      </c>
      <c r="AU797" s="256" t="str">
        <f t="shared" si="378"/>
        <v/>
      </c>
      <c r="AV797" s="256" t="str">
        <f t="shared" si="379"/>
        <v/>
      </c>
      <c r="AW797" s="267"/>
      <c r="AX797" s="255"/>
      <c r="AY797" s="259" t="str">
        <f>IF(AX797&lt;&gt;"",AX797/VLOOKUP($V797,Setup!$C$30:$D$41,2,0),"")</f>
        <v/>
      </c>
      <c r="AZ797" s="268"/>
      <c r="BA797" s="258" t="str">
        <f t="shared" si="380"/>
        <v/>
      </c>
      <c r="BB797" s="268"/>
      <c r="BC797" s="258" t="str">
        <f t="shared" si="381"/>
        <v/>
      </c>
      <c r="BD797" s="268"/>
      <c r="BE797" s="258" t="str">
        <f t="shared" si="382"/>
        <v/>
      </c>
      <c r="BF797" s="268"/>
      <c r="BG797" s="256" t="str">
        <f t="shared" si="383"/>
        <v/>
      </c>
      <c r="BH797" s="256" t="str">
        <f t="shared" si="384"/>
        <v/>
      </c>
      <c r="BI797" s="256" t="str">
        <f t="shared" si="385"/>
        <v/>
      </c>
      <c r="BJ797" s="267"/>
      <c r="BK797" s="255"/>
      <c r="BL797" s="259" t="str">
        <f>IF(BK797&lt;&gt;"",BK797/VLOOKUP($V797,Setup!$C$30:$D$41,2,0),"")</f>
        <v/>
      </c>
      <c r="BM797" s="268"/>
      <c r="BN797" s="258" t="str">
        <f t="shared" si="386"/>
        <v/>
      </c>
      <c r="BO797" s="268"/>
      <c r="BP797" s="258" t="str">
        <f t="shared" si="387"/>
        <v/>
      </c>
      <c r="BQ797" s="268"/>
      <c r="BR797" s="258" t="str">
        <f t="shared" si="388"/>
        <v/>
      </c>
      <c r="BS797" s="268"/>
      <c r="BT797" s="256" t="str">
        <f t="shared" si="389"/>
        <v/>
      </c>
      <c r="BU797" s="256" t="str">
        <f t="shared" si="390"/>
        <v/>
      </c>
      <c r="BV797" s="256" t="str">
        <f t="shared" si="391"/>
        <v/>
      </c>
      <c r="BW797" s="267"/>
      <c r="BX797" s="256" t="str">
        <f t="shared" si="392"/>
        <v/>
      </c>
      <c r="BY797" s="256" t="str">
        <f t="shared" si="393"/>
        <v/>
      </c>
      <c r="BZ797" s="281"/>
      <c r="CA797" s="282"/>
      <c r="CF797" s="284"/>
      <c r="CG797" s="284"/>
      <c r="CH797" s="284"/>
      <c r="CI797" s="284"/>
      <c r="CL797" s="356" t="str">
        <f>IFERROR(VLOOKUP(C797,'Data Sheet'!$A$3:$B$26,2,FALSE),"")</f>
        <v/>
      </c>
    </row>
    <row r="798" spans="1:90" ht="15.75" x14ac:dyDescent="0.2">
      <c r="A798" s="97"/>
      <c r="B798" s="105" t="str">
        <f t="shared" si="396"/>
        <v>--</v>
      </c>
      <c r="C798" s="276"/>
      <c r="D798" s="101" t="str">
        <f>IFERROR(IF(VLOOKUP(C798,'Data Sheet'!$A$3:$D$26,4,FALSE)=0,"",VLOOKUP(C798,'Data Sheet'!$A$3:$D$26,4,FALSE)),"")</f>
        <v/>
      </c>
      <c r="E798" s="279"/>
      <c r="F798" s="103" t="str">
        <f>IFERROR(IF(VLOOKUP(E798,'Data Sheet'!$C$29:$E$174,3,FALSE)=0,"",VLOOKUP(E798,'Data Sheet'!$C$29:$E$174,3,FALSE)),"")</f>
        <v/>
      </c>
      <c r="G798" s="106" t="str">
        <f t="shared" si="394"/>
        <v>-</v>
      </c>
      <c r="H798" s="273"/>
      <c r="I798" s="107"/>
      <c r="J798" s="249" t="e">
        <f t="shared" si="395"/>
        <v>#VALUE!</v>
      </c>
      <c r="K798" s="101" t="str">
        <f>IFERROR(INDEX('Data Sheet'!$C$198:$C$275,MATCH(I798,'Data Sheet'!$F$198:$F$275,0)),"")</f>
        <v/>
      </c>
      <c r="L798" s="250" t="str">
        <f>IFERROR(INDEX('Data Sheet'!$G$198:$G$275,MATCH(I798,'Data Sheet'!$F$198:$F$275,0)),"")</f>
        <v/>
      </c>
      <c r="M798" s="194"/>
      <c r="N798" s="248"/>
      <c r="O798" s="248"/>
      <c r="P798" s="108" t="str">
        <f>IFERROR(INDEX(Setup!$D$44:$D$70,MATCH(M798,Setup!$K$44:$K$70,0))&amp;"","")</f>
        <v/>
      </c>
      <c r="Q798" s="108" t="str">
        <f>IFERROR(INDEX(Setup!$E$44:$E$70,MATCH(M798,Setup!$K$44:$K$70,0))&amp;"","")</f>
        <v/>
      </c>
      <c r="R798" s="108" t="str">
        <f>IFERROR(INDEX(Setup!$L$44:$L$70,MATCH(M798,Setup!$K$44:$K$70,0))&amp;"","")</f>
        <v/>
      </c>
      <c r="S798" s="108" t="str">
        <f>Setup!$C$30</f>
        <v>USD</v>
      </c>
      <c r="T798" s="109" t="str">
        <f>IFERROR(INDEX('Data Sheet'!$B$198:$B$275,MATCH(I798,'Data Sheet'!$F$198:$F$275,0)),"")</f>
        <v/>
      </c>
      <c r="U798" s="110" t="str">
        <f>IFERROR(INDEX('Data Sheet'!$D$198:$D$275,MATCH(I798,'Data Sheet'!$F$198:$F$275,0)),"")</f>
        <v/>
      </c>
      <c r="V798" s="99"/>
      <c r="W798" s="195" t="str">
        <f>IF(V798=Setup!$C$30,"Grant",IF(V798=Setup!$C$31,"Local",IF(V798=Setup!$C$32,"Other",IF(ISBLANK(V798),"","Other"))))</f>
        <v/>
      </c>
      <c r="X798" s="255"/>
      <c r="Y798" s="259" t="str">
        <f>IF(X798&lt;&gt;"",X798/VLOOKUP($V798,Setup!$C$30:$D$41,2,0),"")</f>
        <v/>
      </c>
      <c r="Z798" s="262"/>
      <c r="AA798" s="256" t="str">
        <f t="shared" si="368"/>
        <v/>
      </c>
      <c r="AB798" s="262"/>
      <c r="AC798" s="258" t="str">
        <f t="shared" si="369"/>
        <v/>
      </c>
      <c r="AD798" s="262"/>
      <c r="AE798" s="258" t="str">
        <f t="shared" si="370"/>
        <v/>
      </c>
      <c r="AF798" s="262"/>
      <c r="AG798" s="256" t="str">
        <f t="shared" si="371"/>
        <v/>
      </c>
      <c r="AH798" s="256" t="str">
        <f t="shared" si="372"/>
        <v/>
      </c>
      <c r="AI798" s="256" t="str">
        <f t="shared" si="373"/>
        <v/>
      </c>
      <c r="AJ798" s="111"/>
      <c r="AK798" s="255"/>
      <c r="AL798" s="259" t="str">
        <f>IF(AK798&lt;&gt;"",AK798/VLOOKUP($V798,Setup!$C$30:$D$41,2,0),"")</f>
        <v/>
      </c>
      <c r="AM798" s="266"/>
      <c r="AN798" s="258" t="str">
        <f t="shared" si="374"/>
        <v/>
      </c>
      <c r="AO798" s="266"/>
      <c r="AP798" s="258" t="str">
        <f t="shared" si="375"/>
        <v/>
      </c>
      <c r="AQ798" s="266"/>
      <c r="AR798" s="258" t="str">
        <f t="shared" si="376"/>
        <v/>
      </c>
      <c r="AS798" s="266"/>
      <c r="AT798" s="256" t="str">
        <f t="shared" si="377"/>
        <v/>
      </c>
      <c r="AU798" s="256" t="str">
        <f t="shared" si="378"/>
        <v/>
      </c>
      <c r="AV798" s="256" t="str">
        <f t="shared" si="379"/>
        <v/>
      </c>
      <c r="AW798" s="267"/>
      <c r="AX798" s="255"/>
      <c r="AY798" s="259" t="str">
        <f>IF(AX798&lt;&gt;"",AX798/VLOOKUP($V798,Setup!$C$30:$D$41,2,0),"")</f>
        <v/>
      </c>
      <c r="AZ798" s="268"/>
      <c r="BA798" s="258" t="str">
        <f t="shared" si="380"/>
        <v/>
      </c>
      <c r="BB798" s="268"/>
      <c r="BC798" s="258" t="str">
        <f t="shared" si="381"/>
        <v/>
      </c>
      <c r="BD798" s="268"/>
      <c r="BE798" s="258" t="str">
        <f t="shared" si="382"/>
        <v/>
      </c>
      <c r="BF798" s="268"/>
      <c r="BG798" s="256" t="str">
        <f t="shared" si="383"/>
        <v/>
      </c>
      <c r="BH798" s="256" t="str">
        <f t="shared" si="384"/>
        <v/>
      </c>
      <c r="BI798" s="256" t="str">
        <f t="shared" si="385"/>
        <v/>
      </c>
      <c r="BJ798" s="267"/>
      <c r="BK798" s="255"/>
      <c r="BL798" s="259" t="str">
        <f>IF(BK798&lt;&gt;"",BK798/VLOOKUP($V798,Setup!$C$30:$D$41,2,0),"")</f>
        <v/>
      </c>
      <c r="BM798" s="268"/>
      <c r="BN798" s="258" t="str">
        <f t="shared" si="386"/>
        <v/>
      </c>
      <c r="BO798" s="268"/>
      <c r="BP798" s="258" t="str">
        <f t="shared" si="387"/>
        <v/>
      </c>
      <c r="BQ798" s="268"/>
      <c r="BR798" s="258" t="str">
        <f t="shared" si="388"/>
        <v/>
      </c>
      <c r="BS798" s="268"/>
      <c r="BT798" s="256" t="str">
        <f t="shared" si="389"/>
        <v/>
      </c>
      <c r="BU798" s="256" t="str">
        <f t="shared" si="390"/>
        <v/>
      </c>
      <c r="BV798" s="256" t="str">
        <f t="shared" si="391"/>
        <v/>
      </c>
      <c r="BW798" s="267"/>
      <c r="BX798" s="256" t="str">
        <f t="shared" si="392"/>
        <v/>
      </c>
      <c r="BY798" s="256" t="str">
        <f t="shared" si="393"/>
        <v/>
      </c>
      <c r="BZ798" s="281"/>
      <c r="CA798" s="282"/>
      <c r="CF798" s="284"/>
      <c r="CG798" s="284"/>
      <c r="CH798" s="284"/>
      <c r="CI798" s="284"/>
      <c r="CL798" s="356" t="str">
        <f>IFERROR(VLOOKUP(C798,'Data Sheet'!$A$3:$B$26,2,FALSE),"")</f>
        <v/>
      </c>
    </row>
    <row r="799" spans="1:90" ht="15.75" x14ac:dyDescent="0.2">
      <c r="A799" s="97"/>
      <c r="B799" s="105" t="str">
        <f t="shared" si="396"/>
        <v>--</v>
      </c>
      <c r="C799" s="276"/>
      <c r="D799" s="101" t="str">
        <f>IFERROR(IF(VLOOKUP(C799,'Data Sheet'!$A$3:$D$26,4,FALSE)=0,"",VLOOKUP(C799,'Data Sheet'!$A$3:$D$26,4,FALSE)),"")</f>
        <v/>
      </c>
      <c r="E799" s="279"/>
      <c r="F799" s="103" t="str">
        <f>IFERROR(IF(VLOOKUP(E799,'Data Sheet'!$C$29:$E$174,3,FALSE)=0,"",VLOOKUP(E799,'Data Sheet'!$C$29:$E$174,3,FALSE)),"")</f>
        <v/>
      </c>
      <c r="G799" s="106" t="str">
        <f t="shared" si="394"/>
        <v>-</v>
      </c>
      <c r="H799" s="273"/>
      <c r="I799" s="107"/>
      <c r="J799" s="249" t="e">
        <f t="shared" si="395"/>
        <v>#VALUE!</v>
      </c>
      <c r="K799" s="101" t="str">
        <f>IFERROR(INDEX('Data Sheet'!$C$198:$C$275,MATCH(I799,'Data Sheet'!$F$198:$F$275,0)),"")</f>
        <v/>
      </c>
      <c r="L799" s="250" t="str">
        <f>IFERROR(INDEX('Data Sheet'!$G$198:$G$275,MATCH(I799,'Data Sheet'!$F$198:$F$275,0)),"")</f>
        <v/>
      </c>
      <c r="M799" s="194"/>
      <c r="N799" s="248"/>
      <c r="O799" s="248"/>
      <c r="P799" s="108" t="str">
        <f>IFERROR(INDEX(Setup!$D$44:$D$70,MATCH(M799,Setup!$K$44:$K$70,0))&amp;"","")</f>
        <v/>
      </c>
      <c r="Q799" s="108" t="str">
        <f>IFERROR(INDEX(Setup!$E$44:$E$70,MATCH(M799,Setup!$K$44:$K$70,0))&amp;"","")</f>
        <v/>
      </c>
      <c r="R799" s="108" t="str">
        <f>IFERROR(INDEX(Setup!$L$44:$L$70,MATCH(M799,Setup!$K$44:$K$70,0))&amp;"","")</f>
        <v/>
      </c>
      <c r="S799" s="108" t="str">
        <f>Setup!$C$30</f>
        <v>USD</v>
      </c>
      <c r="T799" s="109" t="str">
        <f>IFERROR(INDEX('Data Sheet'!$B$198:$B$275,MATCH(I799,'Data Sheet'!$F$198:$F$275,0)),"")</f>
        <v/>
      </c>
      <c r="U799" s="110" t="str">
        <f>IFERROR(INDEX('Data Sheet'!$D$198:$D$275,MATCH(I799,'Data Sheet'!$F$198:$F$275,0)),"")</f>
        <v/>
      </c>
      <c r="V799" s="99"/>
      <c r="W799" s="195" t="str">
        <f>IF(V799=Setup!$C$30,"Grant",IF(V799=Setup!$C$31,"Local",IF(V799=Setup!$C$32,"Other",IF(ISBLANK(V799),"","Other"))))</f>
        <v/>
      </c>
      <c r="X799" s="255"/>
      <c r="Y799" s="259" t="str">
        <f>IF(X799&lt;&gt;"",X799/VLOOKUP($V799,Setup!$C$30:$D$41,2,0),"")</f>
        <v/>
      </c>
      <c r="Z799" s="262"/>
      <c r="AA799" s="256" t="str">
        <f t="shared" si="368"/>
        <v/>
      </c>
      <c r="AB799" s="262"/>
      <c r="AC799" s="258" t="str">
        <f t="shared" si="369"/>
        <v/>
      </c>
      <c r="AD799" s="262"/>
      <c r="AE799" s="258" t="str">
        <f t="shared" si="370"/>
        <v/>
      </c>
      <c r="AF799" s="262"/>
      <c r="AG799" s="256" t="str">
        <f t="shared" si="371"/>
        <v/>
      </c>
      <c r="AH799" s="256" t="str">
        <f t="shared" si="372"/>
        <v/>
      </c>
      <c r="AI799" s="256" t="str">
        <f t="shared" si="373"/>
        <v/>
      </c>
      <c r="AJ799" s="111"/>
      <c r="AK799" s="255"/>
      <c r="AL799" s="259" t="str">
        <f>IF(AK799&lt;&gt;"",AK799/VLOOKUP($V799,Setup!$C$30:$D$41,2,0),"")</f>
        <v/>
      </c>
      <c r="AM799" s="266"/>
      <c r="AN799" s="258" t="str">
        <f t="shared" si="374"/>
        <v/>
      </c>
      <c r="AO799" s="266"/>
      <c r="AP799" s="258" t="str">
        <f t="shared" si="375"/>
        <v/>
      </c>
      <c r="AQ799" s="266"/>
      <c r="AR799" s="258" t="str">
        <f t="shared" si="376"/>
        <v/>
      </c>
      <c r="AS799" s="266"/>
      <c r="AT799" s="256" t="str">
        <f t="shared" si="377"/>
        <v/>
      </c>
      <c r="AU799" s="256" t="str">
        <f t="shared" si="378"/>
        <v/>
      </c>
      <c r="AV799" s="256" t="str">
        <f t="shared" si="379"/>
        <v/>
      </c>
      <c r="AW799" s="267"/>
      <c r="AX799" s="255"/>
      <c r="AY799" s="259" t="str">
        <f>IF(AX799&lt;&gt;"",AX799/VLOOKUP($V799,Setup!$C$30:$D$41,2,0),"")</f>
        <v/>
      </c>
      <c r="AZ799" s="268"/>
      <c r="BA799" s="258" t="str">
        <f t="shared" si="380"/>
        <v/>
      </c>
      <c r="BB799" s="268"/>
      <c r="BC799" s="258" t="str">
        <f t="shared" si="381"/>
        <v/>
      </c>
      <c r="BD799" s="268"/>
      <c r="BE799" s="258" t="str">
        <f t="shared" si="382"/>
        <v/>
      </c>
      <c r="BF799" s="268"/>
      <c r="BG799" s="256" t="str">
        <f t="shared" si="383"/>
        <v/>
      </c>
      <c r="BH799" s="256" t="str">
        <f t="shared" si="384"/>
        <v/>
      </c>
      <c r="BI799" s="256" t="str">
        <f t="shared" si="385"/>
        <v/>
      </c>
      <c r="BJ799" s="267"/>
      <c r="BK799" s="255"/>
      <c r="BL799" s="259" t="str">
        <f>IF(BK799&lt;&gt;"",BK799/VLOOKUP($V799,Setup!$C$30:$D$41,2,0),"")</f>
        <v/>
      </c>
      <c r="BM799" s="268"/>
      <c r="BN799" s="258" t="str">
        <f t="shared" si="386"/>
        <v/>
      </c>
      <c r="BO799" s="268"/>
      <c r="BP799" s="258" t="str">
        <f t="shared" si="387"/>
        <v/>
      </c>
      <c r="BQ799" s="268"/>
      <c r="BR799" s="258" t="str">
        <f t="shared" si="388"/>
        <v/>
      </c>
      <c r="BS799" s="268"/>
      <c r="BT799" s="256" t="str">
        <f t="shared" si="389"/>
        <v/>
      </c>
      <c r="BU799" s="256" t="str">
        <f t="shared" si="390"/>
        <v/>
      </c>
      <c r="BV799" s="256" t="str">
        <f t="shared" si="391"/>
        <v/>
      </c>
      <c r="BW799" s="267"/>
      <c r="BX799" s="256" t="str">
        <f t="shared" si="392"/>
        <v/>
      </c>
      <c r="BY799" s="256" t="str">
        <f t="shared" si="393"/>
        <v/>
      </c>
      <c r="BZ799" s="281"/>
      <c r="CA799" s="282"/>
      <c r="CF799" s="284"/>
      <c r="CG799" s="284"/>
      <c r="CH799" s="284"/>
      <c r="CI799" s="284"/>
      <c r="CL799" s="356" t="str">
        <f>IFERROR(VLOOKUP(C799,'Data Sheet'!$A$3:$B$26,2,FALSE),"")</f>
        <v/>
      </c>
    </row>
    <row r="800" spans="1:90" ht="15.75" x14ac:dyDescent="0.2">
      <c r="A800" s="97"/>
      <c r="B800" s="105" t="str">
        <f t="shared" si="396"/>
        <v>--</v>
      </c>
      <c r="C800" s="276"/>
      <c r="D800" s="101" t="str">
        <f>IFERROR(IF(VLOOKUP(C800,'Data Sheet'!$A$3:$D$26,4,FALSE)=0,"",VLOOKUP(C800,'Data Sheet'!$A$3:$D$26,4,FALSE)),"")</f>
        <v/>
      </c>
      <c r="E800" s="279"/>
      <c r="F800" s="103" t="str">
        <f>IFERROR(IF(VLOOKUP(E800,'Data Sheet'!$C$29:$E$174,3,FALSE)=0,"",VLOOKUP(E800,'Data Sheet'!$C$29:$E$174,3,FALSE)),"")</f>
        <v/>
      </c>
      <c r="G800" s="106" t="str">
        <f t="shared" si="394"/>
        <v>-</v>
      </c>
      <c r="H800" s="273"/>
      <c r="I800" s="107"/>
      <c r="J800" s="249" t="e">
        <f t="shared" si="395"/>
        <v>#VALUE!</v>
      </c>
      <c r="K800" s="101" t="str">
        <f>IFERROR(INDEX('Data Sheet'!$C$198:$C$275,MATCH(I800,'Data Sheet'!$F$198:$F$275,0)),"")</f>
        <v/>
      </c>
      <c r="L800" s="250" t="str">
        <f>IFERROR(INDEX('Data Sheet'!$G$198:$G$275,MATCH(I800,'Data Sheet'!$F$198:$F$275,0)),"")</f>
        <v/>
      </c>
      <c r="M800" s="194"/>
      <c r="N800" s="248"/>
      <c r="O800" s="248"/>
      <c r="P800" s="108" t="str">
        <f>IFERROR(INDEX(Setup!$D$44:$D$70,MATCH(M800,Setup!$K$44:$K$70,0))&amp;"","")</f>
        <v/>
      </c>
      <c r="Q800" s="108" t="str">
        <f>IFERROR(INDEX(Setup!$E$44:$E$70,MATCH(M800,Setup!$K$44:$K$70,0))&amp;"","")</f>
        <v/>
      </c>
      <c r="R800" s="108" t="str">
        <f>IFERROR(INDEX(Setup!$L$44:$L$70,MATCH(M800,Setup!$K$44:$K$70,0))&amp;"","")</f>
        <v/>
      </c>
      <c r="S800" s="108" t="str">
        <f>Setup!$C$30</f>
        <v>USD</v>
      </c>
      <c r="T800" s="109" t="str">
        <f>IFERROR(INDEX('Data Sheet'!$B$198:$B$275,MATCH(I800,'Data Sheet'!$F$198:$F$275,0)),"")</f>
        <v/>
      </c>
      <c r="U800" s="110" t="str">
        <f>IFERROR(INDEX('Data Sheet'!$D$198:$D$275,MATCH(I800,'Data Sheet'!$F$198:$F$275,0)),"")</f>
        <v/>
      </c>
      <c r="V800" s="99"/>
      <c r="W800" s="195" t="str">
        <f>IF(V800=Setup!$C$30,"Grant",IF(V800=Setup!$C$31,"Local",IF(V800=Setup!$C$32,"Other",IF(ISBLANK(V800),"","Other"))))</f>
        <v/>
      </c>
      <c r="X800" s="255"/>
      <c r="Y800" s="259" t="str">
        <f>IF(X800&lt;&gt;"",X800/VLOOKUP($V800,Setup!$C$30:$D$41,2,0),"")</f>
        <v/>
      </c>
      <c r="Z800" s="262"/>
      <c r="AA800" s="256" t="str">
        <f t="shared" si="368"/>
        <v/>
      </c>
      <c r="AB800" s="262"/>
      <c r="AC800" s="258" t="str">
        <f t="shared" si="369"/>
        <v/>
      </c>
      <c r="AD800" s="262"/>
      <c r="AE800" s="258" t="str">
        <f t="shared" si="370"/>
        <v/>
      </c>
      <c r="AF800" s="262"/>
      <c r="AG800" s="256" t="str">
        <f t="shared" si="371"/>
        <v/>
      </c>
      <c r="AH800" s="256" t="str">
        <f t="shared" si="372"/>
        <v/>
      </c>
      <c r="AI800" s="256" t="str">
        <f t="shared" si="373"/>
        <v/>
      </c>
      <c r="AJ800" s="111"/>
      <c r="AK800" s="255"/>
      <c r="AL800" s="259" t="str">
        <f>IF(AK800&lt;&gt;"",AK800/VLOOKUP($V800,Setup!$C$30:$D$41,2,0),"")</f>
        <v/>
      </c>
      <c r="AM800" s="266"/>
      <c r="AN800" s="258" t="str">
        <f t="shared" si="374"/>
        <v/>
      </c>
      <c r="AO800" s="266"/>
      <c r="AP800" s="258" t="str">
        <f t="shared" si="375"/>
        <v/>
      </c>
      <c r="AQ800" s="266"/>
      <c r="AR800" s="258" t="str">
        <f t="shared" si="376"/>
        <v/>
      </c>
      <c r="AS800" s="266"/>
      <c r="AT800" s="256" t="str">
        <f t="shared" si="377"/>
        <v/>
      </c>
      <c r="AU800" s="256" t="str">
        <f t="shared" si="378"/>
        <v/>
      </c>
      <c r="AV800" s="256" t="str">
        <f t="shared" si="379"/>
        <v/>
      </c>
      <c r="AW800" s="267"/>
      <c r="AX800" s="255"/>
      <c r="AY800" s="259" t="str">
        <f>IF(AX800&lt;&gt;"",AX800/VLOOKUP($V800,Setup!$C$30:$D$41,2,0),"")</f>
        <v/>
      </c>
      <c r="AZ800" s="268"/>
      <c r="BA800" s="258" t="str">
        <f t="shared" si="380"/>
        <v/>
      </c>
      <c r="BB800" s="268"/>
      <c r="BC800" s="258" t="str">
        <f t="shared" si="381"/>
        <v/>
      </c>
      <c r="BD800" s="268"/>
      <c r="BE800" s="258" t="str">
        <f t="shared" si="382"/>
        <v/>
      </c>
      <c r="BF800" s="268"/>
      <c r="BG800" s="256" t="str">
        <f t="shared" si="383"/>
        <v/>
      </c>
      <c r="BH800" s="256" t="str">
        <f t="shared" si="384"/>
        <v/>
      </c>
      <c r="BI800" s="256" t="str">
        <f t="shared" si="385"/>
        <v/>
      </c>
      <c r="BJ800" s="267"/>
      <c r="BK800" s="255"/>
      <c r="BL800" s="259" t="str">
        <f>IF(BK800&lt;&gt;"",BK800/VLOOKUP($V800,Setup!$C$30:$D$41,2,0),"")</f>
        <v/>
      </c>
      <c r="BM800" s="268"/>
      <c r="BN800" s="258" t="str">
        <f t="shared" si="386"/>
        <v/>
      </c>
      <c r="BO800" s="268"/>
      <c r="BP800" s="258" t="str">
        <f t="shared" si="387"/>
        <v/>
      </c>
      <c r="BQ800" s="268"/>
      <c r="BR800" s="258" t="str">
        <f t="shared" si="388"/>
        <v/>
      </c>
      <c r="BS800" s="268"/>
      <c r="BT800" s="256" t="str">
        <f t="shared" si="389"/>
        <v/>
      </c>
      <c r="BU800" s="256" t="str">
        <f t="shared" si="390"/>
        <v/>
      </c>
      <c r="BV800" s="256" t="str">
        <f t="shared" si="391"/>
        <v/>
      </c>
      <c r="BW800" s="267"/>
      <c r="BX800" s="256" t="str">
        <f t="shared" si="392"/>
        <v/>
      </c>
      <c r="BY800" s="256" t="str">
        <f t="shared" si="393"/>
        <v/>
      </c>
      <c r="BZ800" s="281"/>
      <c r="CA800" s="282"/>
      <c r="CF800" s="284"/>
      <c r="CG800" s="284"/>
      <c r="CH800" s="284"/>
      <c r="CI800" s="284"/>
      <c r="CL800" s="356" t="str">
        <f>IFERROR(VLOOKUP(C800,'Data Sheet'!$A$3:$B$26,2,FALSE),"")</f>
        <v/>
      </c>
    </row>
    <row r="801" spans="1:90" ht="15.75" x14ac:dyDescent="0.2">
      <c r="A801" s="97"/>
      <c r="B801" s="105" t="str">
        <f t="shared" si="396"/>
        <v>--</v>
      </c>
      <c r="C801" s="276"/>
      <c r="D801" s="101" t="str">
        <f>IFERROR(IF(VLOOKUP(C801,'Data Sheet'!$A$3:$D$26,4,FALSE)=0,"",VLOOKUP(C801,'Data Sheet'!$A$3:$D$26,4,FALSE)),"")</f>
        <v/>
      </c>
      <c r="E801" s="279"/>
      <c r="F801" s="103" t="str">
        <f>IFERROR(IF(VLOOKUP(E801,'Data Sheet'!$C$29:$E$174,3,FALSE)=0,"",VLOOKUP(E801,'Data Sheet'!$C$29:$E$174,3,FALSE)),"")</f>
        <v/>
      </c>
      <c r="G801" s="106" t="str">
        <f t="shared" si="394"/>
        <v>-</v>
      </c>
      <c r="H801" s="273"/>
      <c r="I801" s="107"/>
      <c r="J801" s="249" t="e">
        <f t="shared" si="395"/>
        <v>#VALUE!</v>
      </c>
      <c r="K801" s="101" t="str">
        <f>IFERROR(INDEX('Data Sheet'!$C$198:$C$275,MATCH(I801,'Data Sheet'!$F$198:$F$275,0)),"")</f>
        <v/>
      </c>
      <c r="L801" s="250" t="str">
        <f>IFERROR(INDEX('Data Sheet'!$G$198:$G$275,MATCH(I801,'Data Sheet'!$F$198:$F$275,0)),"")</f>
        <v/>
      </c>
      <c r="M801" s="194"/>
      <c r="N801" s="248"/>
      <c r="O801" s="248"/>
      <c r="P801" s="108" t="str">
        <f>IFERROR(INDEX(Setup!$D$44:$D$70,MATCH(M801,Setup!$K$44:$K$70,0))&amp;"","")</f>
        <v/>
      </c>
      <c r="Q801" s="108" t="str">
        <f>IFERROR(INDEX(Setup!$E$44:$E$70,MATCH(M801,Setup!$K$44:$K$70,0))&amp;"","")</f>
        <v/>
      </c>
      <c r="R801" s="108" t="str">
        <f>IFERROR(INDEX(Setup!$L$44:$L$70,MATCH(M801,Setup!$K$44:$K$70,0))&amp;"","")</f>
        <v/>
      </c>
      <c r="S801" s="108" t="str">
        <f>Setup!$C$30</f>
        <v>USD</v>
      </c>
      <c r="T801" s="109" t="str">
        <f>IFERROR(INDEX('Data Sheet'!$B$198:$B$275,MATCH(I801,'Data Sheet'!$F$198:$F$275,0)),"")</f>
        <v/>
      </c>
      <c r="U801" s="110" t="str">
        <f>IFERROR(INDEX('Data Sheet'!$D$198:$D$275,MATCH(I801,'Data Sheet'!$F$198:$F$275,0)),"")</f>
        <v/>
      </c>
      <c r="V801" s="99"/>
      <c r="W801" s="195" t="str">
        <f>IF(V801=Setup!$C$30,"Grant",IF(V801=Setup!$C$31,"Local",IF(V801=Setup!$C$32,"Other",IF(ISBLANK(V801),"","Other"))))</f>
        <v/>
      </c>
      <c r="X801" s="255"/>
      <c r="Y801" s="259" t="str">
        <f>IF(X801&lt;&gt;"",X801/VLOOKUP($V801,Setup!$C$30:$D$41,2,0),"")</f>
        <v/>
      </c>
      <c r="Z801" s="262"/>
      <c r="AA801" s="256" t="str">
        <f t="shared" si="368"/>
        <v/>
      </c>
      <c r="AB801" s="262"/>
      <c r="AC801" s="258" t="str">
        <f t="shared" si="369"/>
        <v/>
      </c>
      <c r="AD801" s="262"/>
      <c r="AE801" s="258" t="str">
        <f t="shared" si="370"/>
        <v/>
      </c>
      <c r="AF801" s="262"/>
      <c r="AG801" s="256" t="str">
        <f t="shared" si="371"/>
        <v/>
      </c>
      <c r="AH801" s="256" t="str">
        <f t="shared" si="372"/>
        <v/>
      </c>
      <c r="AI801" s="256" t="str">
        <f t="shared" si="373"/>
        <v/>
      </c>
      <c r="AJ801" s="111"/>
      <c r="AK801" s="255"/>
      <c r="AL801" s="259" t="str">
        <f>IF(AK801&lt;&gt;"",AK801/VLOOKUP($V801,Setup!$C$30:$D$41,2,0),"")</f>
        <v/>
      </c>
      <c r="AM801" s="266"/>
      <c r="AN801" s="258" t="str">
        <f t="shared" si="374"/>
        <v/>
      </c>
      <c r="AO801" s="266"/>
      <c r="AP801" s="258" t="str">
        <f t="shared" si="375"/>
        <v/>
      </c>
      <c r="AQ801" s="266"/>
      <c r="AR801" s="258" t="str">
        <f t="shared" si="376"/>
        <v/>
      </c>
      <c r="AS801" s="266"/>
      <c r="AT801" s="256" t="str">
        <f t="shared" si="377"/>
        <v/>
      </c>
      <c r="AU801" s="256" t="str">
        <f t="shared" si="378"/>
        <v/>
      </c>
      <c r="AV801" s="256" t="str">
        <f t="shared" si="379"/>
        <v/>
      </c>
      <c r="AW801" s="267"/>
      <c r="AX801" s="255"/>
      <c r="AY801" s="259" t="str">
        <f>IF(AX801&lt;&gt;"",AX801/VLOOKUP($V801,Setup!$C$30:$D$41,2,0),"")</f>
        <v/>
      </c>
      <c r="AZ801" s="268"/>
      <c r="BA801" s="258" t="str">
        <f t="shared" si="380"/>
        <v/>
      </c>
      <c r="BB801" s="268"/>
      <c r="BC801" s="258" t="str">
        <f t="shared" si="381"/>
        <v/>
      </c>
      <c r="BD801" s="268"/>
      <c r="BE801" s="258" t="str">
        <f t="shared" si="382"/>
        <v/>
      </c>
      <c r="BF801" s="268"/>
      <c r="BG801" s="256" t="str">
        <f t="shared" si="383"/>
        <v/>
      </c>
      <c r="BH801" s="256" t="str">
        <f t="shared" si="384"/>
        <v/>
      </c>
      <c r="BI801" s="256" t="str">
        <f t="shared" si="385"/>
        <v/>
      </c>
      <c r="BJ801" s="267"/>
      <c r="BK801" s="255"/>
      <c r="BL801" s="259" t="str">
        <f>IF(BK801&lt;&gt;"",BK801/VLOOKUP($V801,Setup!$C$30:$D$41,2,0),"")</f>
        <v/>
      </c>
      <c r="BM801" s="268"/>
      <c r="BN801" s="258" t="str">
        <f t="shared" si="386"/>
        <v/>
      </c>
      <c r="BO801" s="268"/>
      <c r="BP801" s="258" t="str">
        <f t="shared" si="387"/>
        <v/>
      </c>
      <c r="BQ801" s="268"/>
      <c r="BR801" s="258" t="str">
        <f t="shared" si="388"/>
        <v/>
      </c>
      <c r="BS801" s="268"/>
      <c r="BT801" s="256" t="str">
        <f t="shared" si="389"/>
        <v/>
      </c>
      <c r="BU801" s="256" t="str">
        <f t="shared" si="390"/>
        <v/>
      </c>
      <c r="BV801" s="256" t="str">
        <f t="shared" si="391"/>
        <v/>
      </c>
      <c r="BW801" s="267"/>
      <c r="BX801" s="256" t="str">
        <f t="shared" si="392"/>
        <v/>
      </c>
      <c r="BY801" s="256" t="str">
        <f t="shared" si="393"/>
        <v/>
      </c>
      <c r="BZ801" s="281"/>
      <c r="CA801" s="282"/>
      <c r="CF801" s="284"/>
      <c r="CG801" s="284"/>
      <c r="CH801" s="284"/>
      <c r="CI801" s="284"/>
      <c r="CL801" s="356" t="str">
        <f>IFERROR(VLOOKUP(C801,'Data Sheet'!$A$3:$B$26,2,FALSE),"")</f>
        <v/>
      </c>
    </row>
    <row r="802" spans="1:90" ht="15.75" x14ac:dyDescent="0.2">
      <c r="A802" s="97"/>
      <c r="B802" s="105" t="str">
        <f t="shared" si="396"/>
        <v>--</v>
      </c>
      <c r="C802" s="276"/>
      <c r="D802" s="101" t="str">
        <f>IFERROR(IF(VLOOKUP(C802,'Data Sheet'!$A$3:$D$26,4,FALSE)=0,"",VLOOKUP(C802,'Data Sheet'!$A$3:$D$26,4,FALSE)),"")</f>
        <v/>
      </c>
      <c r="E802" s="279"/>
      <c r="F802" s="103" t="str">
        <f>IFERROR(IF(VLOOKUP(E802,'Data Sheet'!$C$29:$E$174,3,FALSE)=0,"",VLOOKUP(E802,'Data Sheet'!$C$29:$E$174,3,FALSE)),"")</f>
        <v/>
      </c>
      <c r="G802" s="106" t="str">
        <f t="shared" si="394"/>
        <v>-</v>
      </c>
      <c r="H802" s="273"/>
      <c r="I802" s="107"/>
      <c r="J802" s="249" t="e">
        <f t="shared" si="395"/>
        <v>#VALUE!</v>
      </c>
      <c r="K802" s="101" t="str">
        <f>IFERROR(INDEX('Data Sheet'!$C$198:$C$275,MATCH(I802,'Data Sheet'!$F$198:$F$275,0)),"")</f>
        <v/>
      </c>
      <c r="L802" s="250" t="str">
        <f>IFERROR(INDEX('Data Sheet'!$G$198:$G$275,MATCH(I802,'Data Sheet'!$F$198:$F$275,0)),"")</f>
        <v/>
      </c>
      <c r="M802" s="194"/>
      <c r="N802" s="248"/>
      <c r="O802" s="248"/>
      <c r="P802" s="108" t="str">
        <f>IFERROR(INDEX(Setup!$D$44:$D$70,MATCH(M802,Setup!$K$44:$K$70,0))&amp;"","")</f>
        <v/>
      </c>
      <c r="Q802" s="108" t="str">
        <f>IFERROR(INDEX(Setup!$E$44:$E$70,MATCH(M802,Setup!$K$44:$K$70,0))&amp;"","")</f>
        <v/>
      </c>
      <c r="R802" s="108" t="str">
        <f>IFERROR(INDEX(Setup!$L$44:$L$70,MATCH(M802,Setup!$K$44:$K$70,0))&amp;"","")</f>
        <v/>
      </c>
      <c r="S802" s="108" t="str">
        <f>Setup!$C$30</f>
        <v>USD</v>
      </c>
      <c r="T802" s="109" t="str">
        <f>IFERROR(INDEX('Data Sheet'!$B$198:$B$275,MATCH(I802,'Data Sheet'!$F$198:$F$275,0)),"")</f>
        <v/>
      </c>
      <c r="U802" s="110" t="str">
        <f>IFERROR(INDEX('Data Sheet'!$D$198:$D$275,MATCH(I802,'Data Sheet'!$F$198:$F$275,0)),"")</f>
        <v/>
      </c>
      <c r="V802" s="99"/>
      <c r="W802" s="195" t="str">
        <f>IF(V802=Setup!$C$30,"Grant",IF(V802=Setup!$C$31,"Local",IF(V802=Setup!$C$32,"Other",IF(ISBLANK(V802),"","Other"))))</f>
        <v/>
      </c>
      <c r="X802" s="255"/>
      <c r="Y802" s="259" t="str">
        <f>IF(X802&lt;&gt;"",X802/VLOOKUP($V802,Setup!$C$30:$D$41,2,0),"")</f>
        <v/>
      </c>
      <c r="Z802" s="262"/>
      <c r="AA802" s="256" t="str">
        <f t="shared" si="368"/>
        <v/>
      </c>
      <c r="AB802" s="262"/>
      <c r="AC802" s="258" t="str">
        <f t="shared" si="369"/>
        <v/>
      </c>
      <c r="AD802" s="262"/>
      <c r="AE802" s="258" t="str">
        <f t="shared" si="370"/>
        <v/>
      </c>
      <c r="AF802" s="262"/>
      <c r="AG802" s="256" t="str">
        <f t="shared" si="371"/>
        <v/>
      </c>
      <c r="AH802" s="256" t="str">
        <f t="shared" si="372"/>
        <v/>
      </c>
      <c r="AI802" s="256" t="str">
        <f t="shared" si="373"/>
        <v/>
      </c>
      <c r="AJ802" s="111"/>
      <c r="AK802" s="255"/>
      <c r="AL802" s="259" t="str">
        <f>IF(AK802&lt;&gt;"",AK802/VLOOKUP($V802,Setup!$C$30:$D$41,2,0),"")</f>
        <v/>
      </c>
      <c r="AM802" s="266"/>
      <c r="AN802" s="258" t="str">
        <f t="shared" si="374"/>
        <v/>
      </c>
      <c r="AO802" s="266"/>
      <c r="AP802" s="258" t="str">
        <f t="shared" si="375"/>
        <v/>
      </c>
      <c r="AQ802" s="266"/>
      <c r="AR802" s="258" t="str">
        <f t="shared" si="376"/>
        <v/>
      </c>
      <c r="AS802" s="266"/>
      <c r="AT802" s="256" t="str">
        <f t="shared" si="377"/>
        <v/>
      </c>
      <c r="AU802" s="256" t="str">
        <f t="shared" si="378"/>
        <v/>
      </c>
      <c r="AV802" s="256" t="str">
        <f t="shared" si="379"/>
        <v/>
      </c>
      <c r="AW802" s="267"/>
      <c r="AX802" s="255"/>
      <c r="AY802" s="259" t="str">
        <f>IF(AX802&lt;&gt;"",AX802/VLOOKUP($V802,Setup!$C$30:$D$41,2,0),"")</f>
        <v/>
      </c>
      <c r="AZ802" s="268"/>
      <c r="BA802" s="258" t="str">
        <f t="shared" si="380"/>
        <v/>
      </c>
      <c r="BB802" s="268"/>
      <c r="BC802" s="258" t="str">
        <f t="shared" si="381"/>
        <v/>
      </c>
      <c r="BD802" s="268"/>
      <c r="BE802" s="258" t="str">
        <f t="shared" si="382"/>
        <v/>
      </c>
      <c r="BF802" s="268"/>
      <c r="BG802" s="256" t="str">
        <f t="shared" si="383"/>
        <v/>
      </c>
      <c r="BH802" s="256" t="str">
        <f t="shared" si="384"/>
        <v/>
      </c>
      <c r="BI802" s="256" t="str">
        <f t="shared" si="385"/>
        <v/>
      </c>
      <c r="BJ802" s="267"/>
      <c r="BK802" s="255"/>
      <c r="BL802" s="259" t="str">
        <f>IF(BK802&lt;&gt;"",BK802/VLOOKUP($V802,Setup!$C$30:$D$41,2,0),"")</f>
        <v/>
      </c>
      <c r="BM802" s="268"/>
      <c r="BN802" s="258" t="str">
        <f t="shared" si="386"/>
        <v/>
      </c>
      <c r="BO802" s="268"/>
      <c r="BP802" s="258" t="str">
        <f t="shared" si="387"/>
        <v/>
      </c>
      <c r="BQ802" s="268"/>
      <c r="BR802" s="258" t="str">
        <f t="shared" si="388"/>
        <v/>
      </c>
      <c r="BS802" s="268"/>
      <c r="BT802" s="256" t="str">
        <f t="shared" si="389"/>
        <v/>
      </c>
      <c r="BU802" s="256" t="str">
        <f t="shared" si="390"/>
        <v/>
      </c>
      <c r="BV802" s="256" t="str">
        <f t="shared" si="391"/>
        <v/>
      </c>
      <c r="BW802" s="267"/>
      <c r="BX802" s="256" t="str">
        <f t="shared" si="392"/>
        <v/>
      </c>
      <c r="BY802" s="256" t="str">
        <f t="shared" si="393"/>
        <v/>
      </c>
      <c r="BZ802" s="281"/>
      <c r="CA802" s="282"/>
      <c r="CF802" s="284"/>
      <c r="CG802" s="284"/>
      <c r="CH802" s="284"/>
      <c r="CI802" s="284"/>
      <c r="CL802" s="356" t="str">
        <f>IFERROR(VLOOKUP(C802,'Data Sheet'!$A$3:$B$26,2,FALSE),"")</f>
        <v/>
      </c>
    </row>
    <row r="803" spans="1:90" ht="15.75" x14ac:dyDescent="0.2">
      <c r="A803" s="97"/>
      <c r="B803" s="105" t="str">
        <f t="shared" si="396"/>
        <v>--</v>
      </c>
      <c r="C803" s="276"/>
      <c r="D803" s="101" t="str">
        <f>IFERROR(IF(VLOOKUP(C803,'Data Sheet'!$A$3:$D$26,4,FALSE)=0,"",VLOOKUP(C803,'Data Sheet'!$A$3:$D$26,4,FALSE)),"")</f>
        <v/>
      </c>
      <c r="E803" s="279"/>
      <c r="F803" s="103" t="str">
        <f>IFERROR(IF(VLOOKUP(E803,'Data Sheet'!$C$29:$E$174,3,FALSE)=0,"",VLOOKUP(E803,'Data Sheet'!$C$29:$E$174,3,FALSE)),"")</f>
        <v/>
      </c>
      <c r="G803" s="106" t="str">
        <f t="shared" si="394"/>
        <v>-</v>
      </c>
      <c r="H803" s="273"/>
      <c r="I803" s="107"/>
      <c r="J803" s="249" t="e">
        <f t="shared" si="395"/>
        <v>#VALUE!</v>
      </c>
      <c r="K803" s="101" t="str">
        <f>IFERROR(INDEX('Data Sheet'!$C$198:$C$275,MATCH(I803,'Data Sheet'!$F$198:$F$275,0)),"")</f>
        <v/>
      </c>
      <c r="L803" s="250" t="str">
        <f>IFERROR(INDEX('Data Sheet'!$G$198:$G$275,MATCH(I803,'Data Sheet'!$F$198:$F$275,0)),"")</f>
        <v/>
      </c>
      <c r="M803" s="194"/>
      <c r="N803" s="248"/>
      <c r="O803" s="248"/>
      <c r="P803" s="108" t="str">
        <f>IFERROR(INDEX(Setup!$D$44:$D$70,MATCH(M803,Setup!$K$44:$K$70,0))&amp;"","")</f>
        <v/>
      </c>
      <c r="Q803" s="108" t="str">
        <f>IFERROR(INDEX(Setup!$E$44:$E$70,MATCH(M803,Setup!$K$44:$K$70,0))&amp;"","")</f>
        <v/>
      </c>
      <c r="R803" s="108" t="str">
        <f>IFERROR(INDEX(Setup!$L$44:$L$70,MATCH(M803,Setup!$K$44:$K$70,0))&amp;"","")</f>
        <v/>
      </c>
      <c r="S803" s="108" t="str">
        <f>Setup!$C$30</f>
        <v>USD</v>
      </c>
      <c r="T803" s="109" t="str">
        <f>IFERROR(INDEX('Data Sheet'!$B$198:$B$275,MATCH(I803,'Data Sheet'!$F$198:$F$275,0)),"")</f>
        <v/>
      </c>
      <c r="U803" s="110" t="str">
        <f>IFERROR(INDEX('Data Sheet'!$D$198:$D$275,MATCH(I803,'Data Sheet'!$F$198:$F$275,0)),"")</f>
        <v/>
      </c>
      <c r="V803" s="99"/>
      <c r="W803" s="195" t="str">
        <f>IF(V803=Setup!$C$30,"Grant",IF(V803=Setup!$C$31,"Local",IF(V803=Setup!$C$32,"Other",IF(ISBLANK(V803),"","Other"))))</f>
        <v/>
      </c>
      <c r="X803" s="255"/>
      <c r="Y803" s="259" t="str">
        <f>IF(X803&lt;&gt;"",X803/VLOOKUP($V803,Setup!$C$30:$D$41,2,0),"")</f>
        <v/>
      </c>
      <c r="Z803" s="262"/>
      <c r="AA803" s="256" t="str">
        <f t="shared" si="368"/>
        <v/>
      </c>
      <c r="AB803" s="262"/>
      <c r="AC803" s="258" t="str">
        <f t="shared" si="369"/>
        <v/>
      </c>
      <c r="AD803" s="262"/>
      <c r="AE803" s="258" t="str">
        <f t="shared" si="370"/>
        <v/>
      </c>
      <c r="AF803" s="262"/>
      <c r="AG803" s="256" t="str">
        <f t="shared" si="371"/>
        <v/>
      </c>
      <c r="AH803" s="256" t="str">
        <f t="shared" si="372"/>
        <v/>
      </c>
      <c r="AI803" s="256" t="str">
        <f t="shared" si="373"/>
        <v/>
      </c>
      <c r="AJ803" s="111"/>
      <c r="AK803" s="255"/>
      <c r="AL803" s="259" t="str">
        <f>IF(AK803&lt;&gt;"",AK803/VLOOKUP($V803,Setup!$C$30:$D$41,2,0),"")</f>
        <v/>
      </c>
      <c r="AM803" s="266"/>
      <c r="AN803" s="258" t="str">
        <f t="shared" si="374"/>
        <v/>
      </c>
      <c r="AO803" s="266"/>
      <c r="AP803" s="258" t="str">
        <f t="shared" si="375"/>
        <v/>
      </c>
      <c r="AQ803" s="266"/>
      <c r="AR803" s="258" t="str">
        <f t="shared" si="376"/>
        <v/>
      </c>
      <c r="AS803" s="266"/>
      <c r="AT803" s="256" t="str">
        <f t="shared" si="377"/>
        <v/>
      </c>
      <c r="AU803" s="256" t="str">
        <f t="shared" si="378"/>
        <v/>
      </c>
      <c r="AV803" s="256" t="str">
        <f t="shared" si="379"/>
        <v/>
      </c>
      <c r="AW803" s="267"/>
      <c r="AX803" s="255"/>
      <c r="AY803" s="259" t="str">
        <f>IF(AX803&lt;&gt;"",AX803/VLOOKUP($V803,Setup!$C$30:$D$41,2,0),"")</f>
        <v/>
      </c>
      <c r="AZ803" s="268"/>
      <c r="BA803" s="258" t="str">
        <f t="shared" si="380"/>
        <v/>
      </c>
      <c r="BB803" s="268"/>
      <c r="BC803" s="258" t="str">
        <f t="shared" si="381"/>
        <v/>
      </c>
      <c r="BD803" s="268"/>
      <c r="BE803" s="258" t="str">
        <f t="shared" si="382"/>
        <v/>
      </c>
      <c r="BF803" s="268"/>
      <c r="BG803" s="256" t="str">
        <f t="shared" si="383"/>
        <v/>
      </c>
      <c r="BH803" s="256" t="str">
        <f t="shared" si="384"/>
        <v/>
      </c>
      <c r="BI803" s="256" t="str">
        <f t="shared" si="385"/>
        <v/>
      </c>
      <c r="BJ803" s="267"/>
      <c r="BK803" s="255"/>
      <c r="BL803" s="259" t="str">
        <f>IF(BK803&lt;&gt;"",BK803/VLOOKUP($V803,Setup!$C$30:$D$41,2,0),"")</f>
        <v/>
      </c>
      <c r="BM803" s="268"/>
      <c r="BN803" s="258" t="str">
        <f t="shared" si="386"/>
        <v/>
      </c>
      <c r="BO803" s="268"/>
      <c r="BP803" s="258" t="str">
        <f t="shared" si="387"/>
        <v/>
      </c>
      <c r="BQ803" s="268"/>
      <c r="BR803" s="258" t="str">
        <f t="shared" si="388"/>
        <v/>
      </c>
      <c r="BS803" s="268"/>
      <c r="BT803" s="256" t="str">
        <f t="shared" si="389"/>
        <v/>
      </c>
      <c r="BU803" s="256" t="str">
        <f t="shared" si="390"/>
        <v/>
      </c>
      <c r="BV803" s="256" t="str">
        <f t="shared" si="391"/>
        <v/>
      </c>
      <c r="BW803" s="267"/>
      <c r="BX803" s="256" t="str">
        <f t="shared" si="392"/>
        <v/>
      </c>
      <c r="BY803" s="256" t="str">
        <f t="shared" si="393"/>
        <v/>
      </c>
      <c r="BZ803" s="281"/>
      <c r="CA803" s="282"/>
      <c r="CF803" s="284"/>
      <c r="CG803" s="284"/>
      <c r="CH803" s="284"/>
      <c r="CI803" s="284"/>
      <c r="CL803" s="356" t="str">
        <f>IFERROR(VLOOKUP(C803,'Data Sheet'!$A$3:$B$26,2,FALSE),"")</f>
        <v/>
      </c>
    </row>
    <row r="804" spans="1:90" ht="15.75" x14ac:dyDescent="0.2">
      <c r="A804" s="97"/>
      <c r="B804" s="105" t="str">
        <f t="shared" si="396"/>
        <v>--</v>
      </c>
      <c r="C804" s="276"/>
      <c r="D804" s="101" t="str">
        <f>IFERROR(IF(VLOOKUP(C804,'Data Sheet'!$A$3:$D$26,4,FALSE)=0,"",VLOOKUP(C804,'Data Sheet'!$A$3:$D$26,4,FALSE)),"")</f>
        <v/>
      </c>
      <c r="E804" s="279"/>
      <c r="F804" s="103" t="str">
        <f>IFERROR(IF(VLOOKUP(E804,'Data Sheet'!$C$29:$E$174,3,FALSE)=0,"",VLOOKUP(E804,'Data Sheet'!$C$29:$E$174,3,FALSE)),"")</f>
        <v/>
      </c>
      <c r="G804" s="106" t="str">
        <f t="shared" si="394"/>
        <v>-</v>
      </c>
      <c r="H804" s="273"/>
      <c r="I804" s="107"/>
      <c r="J804" s="249" t="e">
        <f t="shared" si="395"/>
        <v>#VALUE!</v>
      </c>
      <c r="K804" s="101" t="str">
        <f>IFERROR(INDEX('Data Sheet'!$C$198:$C$275,MATCH(I804,'Data Sheet'!$F$198:$F$275,0)),"")</f>
        <v/>
      </c>
      <c r="L804" s="250" t="str">
        <f>IFERROR(INDEX('Data Sheet'!$G$198:$G$275,MATCH(I804,'Data Sheet'!$F$198:$F$275,0)),"")</f>
        <v/>
      </c>
      <c r="M804" s="194"/>
      <c r="N804" s="248"/>
      <c r="O804" s="248"/>
      <c r="P804" s="108" t="str">
        <f>IFERROR(INDEX(Setup!$D$44:$D$70,MATCH(M804,Setup!$K$44:$K$70,0))&amp;"","")</f>
        <v/>
      </c>
      <c r="Q804" s="108" t="str">
        <f>IFERROR(INDEX(Setup!$E$44:$E$70,MATCH(M804,Setup!$K$44:$K$70,0))&amp;"","")</f>
        <v/>
      </c>
      <c r="R804" s="108" t="str">
        <f>IFERROR(INDEX(Setup!$L$44:$L$70,MATCH(M804,Setup!$K$44:$K$70,0))&amp;"","")</f>
        <v/>
      </c>
      <c r="S804" s="108" t="str">
        <f>Setup!$C$30</f>
        <v>USD</v>
      </c>
      <c r="T804" s="109" t="str">
        <f>IFERROR(INDEX('Data Sheet'!$B$198:$B$275,MATCH(I804,'Data Sheet'!$F$198:$F$275,0)),"")</f>
        <v/>
      </c>
      <c r="U804" s="110" t="str">
        <f>IFERROR(INDEX('Data Sheet'!$D$198:$D$275,MATCH(I804,'Data Sheet'!$F$198:$F$275,0)),"")</f>
        <v/>
      </c>
      <c r="V804" s="99"/>
      <c r="W804" s="195" t="str">
        <f>IF(V804=Setup!$C$30,"Grant",IF(V804=Setup!$C$31,"Local",IF(V804=Setup!$C$32,"Other",IF(ISBLANK(V804),"","Other"))))</f>
        <v/>
      </c>
      <c r="X804" s="255"/>
      <c r="Y804" s="259" t="str">
        <f>IF(X804&lt;&gt;"",X804/VLOOKUP($V804,Setup!$C$30:$D$41,2,0),"")</f>
        <v/>
      </c>
      <c r="Z804" s="262"/>
      <c r="AA804" s="256" t="str">
        <f t="shared" si="368"/>
        <v/>
      </c>
      <c r="AB804" s="262"/>
      <c r="AC804" s="258" t="str">
        <f t="shared" si="369"/>
        <v/>
      </c>
      <c r="AD804" s="262"/>
      <c r="AE804" s="258" t="str">
        <f t="shared" si="370"/>
        <v/>
      </c>
      <c r="AF804" s="262"/>
      <c r="AG804" s="256" t="str">
        <f t="shared" si="371"/>
        <v/>
      </c>
      <c r="AH804" s="256" t="str">
        <f t="shared" si="372"/>
        <v/>
      </c>
      <c r="AI804" s="256" t="str">
        <f t="shared" si="373"/>
        <v/>
      </c>
      <c r="AJ804" s="111"/>
      <c r="AK804" s="255"/>
      <c r="AL804" s="259" t="str">
        <f>IF(AK804&lt;&gt;"",AK804/VLOOKUP($V804,Setup!$C$30:$D$41,2,0),"")</f>
        <v/>
      </c>
      <c r="AM804" s="266"/>
      <c r="AN804" s="258" t="str">
        <f t="shared" si="374"/>
        <v/>
      </c>
      <c r="AO804" s="266"/>
      <c r="AP804" s="258" t="str">
        <f t="shared" si="375"/>
        <v/>
      </c>
      <c r="AQ804" s="266"/>
      <c r="AR804" s="258" t="str">
        <f t="shared" si="376"/>
        <v/>
      </c>
      <c r="AS804" s="266"/>
      <c r="AT804" s="256" t="str">
        <f t="shared" si="377"/>
        <v/>
      </c>
      <c r="AU804" s="256" t="str">
        <f t="shared" si="378"/>
        <v/>
      </c>
      <c r="AV804" s="256" t="str">
        <f t="shared" si="379"/>
        <v/>
      </c>
      <c r="AW804" s="267"/>
      <c r="AX804" s="255"/>
      <c r="AY804" s="259" t="str">
        <f>IF(AX804&lt;&gt;"",AX804/VLOOKUP($V804,Setup!$C$30:$D$41,2,0),"")</f>
        <v/>
      </c>
      <c r="AZ804" s="268"/>
      <c r="BA804" s="258" t="str">
        <f t="shared" si="380"/>
        <v/>
      </c>
      <c r="BB804" s="268"/>
      <c r="BC804" s="258" t="str">
        <f t="shared" si="381"/>
        <v/>
      </c>
      <c r="BD804" s="268"/>
      <c r="BE804" s="258" t="str">
        <f t="shared" si="382"/>
        <v/>
      </c>
      <c r="BF804" s="268"/>
      <c r="BG804" s="256" t="str">
        <f t="shared" si="383"/>
        <v/>
      </c>
      <c r="BH804" s="256" t="str">
        <f t="shared" si="384"/>
        <v/>
      </c>
      <c r="BI804" s="256" t="str">
        <f t="shared" si="385"/>
        <v/>
      </c>
      <c r="BJ804" s="267"/>
      <c r="BK804" s="255"/>
      <c r="BL804" s="259" t="str">
        <f>IF(BK804&lt;&gt;"",BK804/VLOOKUP($V804,Setup!$C$30:$D$41,2,0),"")</f>
        <v/>
      </c>
      <c r="BM804" s="268"/>
      <c r="BN804" s="258" t="str">
        <f t="shared" si="386"/>
        <v/>
      </c>
      <c r="BO804" s="268"/>
      <c r="BP804" s="258" t="str">
        <f t="shared" si="387"/>
        <v/>
      </c>
      <c r="BQ804" s="268"/>
      <c r="BR804" s="258" t="str">
        <f t="shared" si="388"/>
        <v/>
      </c>
      <c r="BS804" s="268"/>
      <c r="BT804" s="256" t="str">
        <f t="shared" si="389"/>
        <v/>
      </c>
      <c r="BU804" s="256" t="str">
        <f t="shared" si="390"/>
        <v/>
      </c>
      <c r="BV804" s="256" t="str">
        <f t="shared" si="391"/>
        <v/>
      </c>
      <c r="BW804" s="267"/>
      <c r="BX804" s="256" t="str">
        <f t="shared" si="392"/>
        <v/>
      </c>
      <c r="BY804" s="256" t="str">
        <f t="shared" si="393"/>
        <v/>
      </c>
      <c r="BZ804" s="281"/>
      <c r="CA804" s="282"/>
      <c r="CF804" s="284"/>
      <c r="CG804" s="284"/>
      <c r="CH804" s="284"/>
      <c r="CI804" s="284"/>
      <c r="CL804" s="356" t="str">
        <f>IFERROR(VLOOKUP(C804,'Data Sheet'!$A$3:$B$26,2,FALSE),"")</f>
        <v/>
      </c>
    </row>
    <row r="805" spans="1:90" ht="15.75" x14ac:dyDescent="0.2">
      <c r="A805" s="97"/>
      <c r="B805" s="105" t="str">
        <f t="shared" si="396"/>
        <v>--</v>
      </c>
      <c r="C805" s="276"/>
      <c r="D805" s="101" t="str">
        <f>IFERROR(IF(VLOOKUP(C805,'Data Sheet'!$A$3:$D$26,4,FALSE)=0,"",VLOOKUP(C805,'Data Sheet'!$A$3:$D$26,4,FALSE)),"")</f>
        <v/>
      </c>
      <c r="E805" s="279"/>
      <c r="F805" s="103" t="str">
        <f>IFERROR(IF(VLOOKUP(E805,'Data Sheet'!$C$29:$E$174,3,FALSE)=0,"",VLOOKUP(E805,'Data Sheet'!$C$29:$E$174,3,FALSE)),"")</f>
        <v/>
      </c>
      <c r="G805" s="106" t="str">
        <f t="shared" si="394"/>
        <v>-</v>
      </c>
      <c r="H805" s="273"/>
      <c r="I805" s="107"/>
      <c r="J805" s="249" t="e">
        <f t="shared" si="395"/>
        <v>#VALUE!</v>
      </c>
      <c r="K805" s="101" t="str">
        <f>IFERROR(INDEX('Data Sheet'!$C$198:$C$275,MATCH(I805,'Data Sheet'!$F$198:$F$275,0)),"")</f>
        <v/>
      </c>
      <c r="L805" s="250" t="str">
        <f>IFERROR(INDEX('Data Sheet'!$G$198:$G$275,MATCH(I805,'Data Sheet'!$F$198:$F$275,0)),"")</f>
        <v/>
      </c>
      <c r="M805" s="194"/>
      <c r="N805" s="248"/>
      <c r="O805" s="248"/>
      <c r="P805" s="108" t="str">
        <f>IFERROR(INDEX(Setup!$D$44:$D$70,MATCH(M805,Setup!$K$44:$K$70,0))&amp;"","")</f>
        <v/>
      </c>
      <c r="Q805" s="108" t="str">
        <f>IFERROR(INDEX(Setup!$E$44:$E$70,MATCH(M805,Setup!$K$44:$K$70,0))&amp;"","")</f>
        <v/>
      </c>
      <c r="R805" s="108" t="str">
        <f>IFERROR(INDEX(Setup!$L$44:$L$70,MATCH(M805,Setup!$K$44:$K$70,0))&amp;"","")</f>
        <v/>
      </c>
      <c r="S805" s="108" t="str">
        <f>Setup!$C$30</f>
        <v>USD</v>
      </c>
      <c r="T805" s="109" t="str">
        <f>IFERROR(INDEX('Data Sheet'!$B$198:$B$275,MATCH(I805,'Data Sheet'!$F$198:$F$275,0)),"")</f>
        <v/>
      </c>
      <c r="U805" s="110" t="str">
        <f>IFERROR(INDEX('Data Sheet'!$D$198:$D$275,MATCH(I805,'Data Sheet'!$F$198:$F$275,0)),"")</f>
        <v/>
      </c>
      <c r="V805" s="99"/>
      <c r="W805" s="195" t="str">
        <f>IF(V805=Setup!$C$30,"Grant",IF(V805=Setup!$C$31,"Local",IF(V805=Setup!$C$32,"Other",IF(ISBLANK(V805),"","Other"))))</f>
        <v/>
      </c>
      <c r="X805" s="255"/>
      <c r="Y805" s="259" t="str">
        <f>IF(X805&lt;&gt;"",X805/VLOOKUP($V805,Setup!$C$30:$D$41,2,0),"")</f>
        <v/>
      </c>
      <c r="Z805" s="262"/>
      <c r="AA805" s="256" t="str">
        <f t="shared" si="368"/>
        <v/>
      </c>
      <c r="AB805" s="262"/>
      <c r="AC805" s="258" t="str">
        <f t="shared" si="369"/>
        <v/>
      </c>
      <c r="AD805" s="262"/>
      <c r="AE805" s="258" t="str">
        <f t="shared" si="370"/>
        <v/>
      </c>
      <c r="AF805" s="262"/>
      <c r="AG805" s="256" t="str">
        <f t="shared" si="371"/>
        <v/>
      </c>
      <c r="AH805" s="256" t="str">
        <f t="shared" si="372"/>
        <v/>
      </c>
      <c r="AI805" s="256" t="str">
        <f t="shared" si="373"/>
        <v/>
      </c>
      <c r="AJ805" s="111"/>
      <c r="AK805" s="255"/>
      <c r="AL805" s="259" t="str">
        <f>IF(AK805&lt;&gt;"",AK805/VLOOKUP($V805,Setup!$C$30:$D$41,2,0),"")</f>
        <v/>
      </c>
      <c r="AM805" s="266"/>
      <c r="AN805" s="258" t="str">
        <f t="shared" si="374"/>
        <v/>
      </c>
      <c r="AO805" s="266"/>
      <c r="AP805" s="258" t="str">
        <f t="shared" si="375"/>
        <v/>
      </c>
      <c r="AQ805" s="266"/>
      <c r="AR805" s="258" t="str">
        <f t="shared" si="376"/>
        <v/>
      </c>
      <c r="AS805" s="266"/>
      <c r="AT805" s="256" t="str">
        <f t="shared" si="377"/>
        <v/>
      </c>
      <c r="AU805" s="256" t="str">
        <f t="shared" si="378"/>
        <v/>
      </c>
      <c r="AV805" s="256" t="str">
        <f t="shared" si="379"/>
        <v/>
      </c>
      <c r="AW805" s="267"/>
      <c r="AX805" s="255"/>
      <c r="AY805" s="259" t="str">
        <f>IF(AX805&lt;&gt;"",AX805/VLOOKUP($V805,Setup!$C$30:$D$41,2,0),"")</f>
        <v/>
      </c>
      <c r="AZ805" s="268"/>
      <c r="BA805" s="258" t="str">
        <f t="shared" si="380"/>
        <v/>
      </c>
      <c r="BB805" s="268"/>
      <c r="BC805" s="258" t="str">
        <f t="shared" si="381"/>
        <v/>
      </c>
      <c r="BD805" s="268"/>
      <c r="BE805" s="258" t="str">
        <f t="shared" si="382"/>
        <v/>
      </c>
      <c r="BF805" s="268"/>
      <c r="BG805" s="256" t="str">
        <f t="shared" si="383"/>
        <v/>
      </c>
      <c r="BH805" s="256" t="str">
        <f t="shared" si="384"/>
        <v/>
      </c>
      <c r="BI805" s="256" t="str">
        <f t="shared" si="385"/>
        <v/>
      </c>
      <c r="BJ805" s="267"/>
      <c r="BK805" s="255"/>
      <c r="BL805" s="259" t="str">
        <f>IF(BK805&lt;&gt;"",BK805/VLOOKUP($V805,Setup!$C$30:$D$41,2,0),"")</f>
        <v/>
      </c>
      <c r="BM805" s="268"/>
      <c r="BN805" s="258" t="str">
        <f t="shared" si="386"/>
        <v/>
      </c>
      <c r="BO805" s="268"/>
      <c r="BP805" s="258" t="str">
        <f t="shared" si="387"/>
        <v/>
      </c>
      <c r="BQ805" s="268"/>
      <c r="BR805" s="258" t="str">
        <f t="shared" si="388"/>
        <v/>
      </c>
      <c r="BS805" s="268"/>
      <c r="BT805" s="256" t="str">
        <f t="shared" si="389"/>
        <v/>
      </c>
      <c r="BU805" s="256" t="str">
        <f t="shared" si="390"/>
        <v/>
      </c>
      <c r="BV805" s="256" t="str">
        <f t="shared" si="391"/>
        <v/>
      </c>
      <c r="BW805" s="267"/>
      <c r="BX805" s="256" t="str">
        <f t="shared" si="392"/>
        <v/>
      </c>
      <c r="BY805" s="256" t="str">
        <f t="shared" si="393"/>
        <v/>
      </c>
      <c r="BZ805" s="281"/>
      <c r="CA805" s="282"/>
      <c r="CF805" s="284"/>
      <c r="CG805" s="284"/>
      <c r="CH805" s="284"/>
      <c r="CI805" s="284"/>
      <c r="CL805" s="356" t="str">
        <f>IFERROR(VLOOKUP(C805,'Data Sheet'!$A$3:$B$26,2,FALSE),"")</f>
        <v/>
      </c>
    </row>
    <row r="806" spans="1:90" ht="15.75" x14ac:dyDescent="0.2">
      <c r="A806" s="97"/>
      <c r="B806" s="105" t="str">
        <f t="shared" si="396"/>
        <v>--</v>
      </c>
      <c r="C806" s="276"/>
      <c r="D806" s="101" t="str">
        <f>IFERROR(IF(VLOOKUP(C806,'Data Sheet'!$A$3:$D$26,4,FALSE)=0,"",VLOOKUP(C806,'Data Sheet'!$A$3:$D$26,4,FALSE)),"")</f>
        <v/>
      </c>
      <c r="E806" s="279"/>
      <c r="F806" s="103" t="str">
        <f>IFERROR(IF(VLOOKUP(E806,'Data Sheet'!$C$29:$E$174,3,FALSE)=0,"",VLOOKUP(E806,'Data Sheet'!$C$29:$E$174,3,FALSE)),"")</f>
        <v/>
      </c>
      <c r="G806" s="106" t="str">
        <f t="shared" si="394"/>
        <v>-</v>
      </c>
      <c r="H806" s="273"/>
      <c r="I806" s="107"/>
      <c r="J806" s="249" t="e">
        <f t="shared" si="395"/>
        <v>#VALUE!</v>
      </c>
      <c r="K806" s="101" t="str">
        <f>IFERROR(INDEX('Data Sheet'!$C$198:$C$275,MATCH(I806,'Data Sheet'!$F$198:$F$275,0)),"")</f>
        <v/>
      </c>
      <c r="L806" s="250" t="str">
        <f>IFERROR(INDEX('Data Sheet'!$G$198:$G$275,MATCH(I806,'Data Sheet'!$F$198:$F$275,0)),"")</f>
        <v/>
      </c>
      <c r="M806" s="194"/>
      <c r="N806" s="248"/>
      <c r="O806" s="248"/>
      <c r="P806" s="108" t="str">
        <f>IFERROR(INDEX(Setup!$D$44:$D$70,MATCH(M806,Setup!$K$44:$K$70,0))&amp;"","")</f>
        <v/>
      </c>
      <c r="Q806" s="108" t="str">
        <f>IFERROR(INDEX(Setup!$E$44:$E$70,MATCH(M806,Setup!$K$44:$K$70,0))&amp;"","")</f>
        <v/>
      </c>
      <c r="R806" s="108" t="str">
        <f>IFERROR(INDEX(Setup!$L$44:$L$70,MATCH(M806,Setup!$K$44:$K$70,0))&amp;"","")</f>
        <v/>
      </c>
      <c r="S806" s="108" t="str">
        <f>Setup!$C$30</f>
        <v>USD</v>
      </c>
      <c r="T806" s="109" t="str">
        <f>IFERROR(INDEX('Data Sheet'!$B$198:$B$275,MATCH(I806,'Data Sheet'!$F$198:$F$275,0)),"")</f>
        <v/>
      </c>
      <c r="U806" s="110" t="str">
        <f>IFERROR(INDEX('Data Sheet'!$D$198:$D$275,MATCH(I806,'Data Sheet'!$F$198:$F$275,0)),"")</f>
        <v/>
      </c>
      <c r="V806" s="99"/>
      <c r="W806" s="195" t="str">
        <f>IF(V806=Setup!$C$30,"Grant",IF(V806=Setup!$C$31,"Local",IF(V806=Setup!$C$32,"Other",IF(ISBLANK(V806),"","Other"))))</f>
        <v/>
      </c>
      <c r="X806" s="255"/>
      <c r="Y806" s="259" t="str">
        <f>IF(X806&lt;&gt;"",X806/VLOOKUP($V806,Setup!$C$30:$D$41,2,0),"")</f>
        <v/>
      </c>
      <c r="Z806" s="262"/>
      <c r="AA806" s="256" t="str">
        <f t="shared" si="368"/>
        <v/>
      </c>
      <c r="AB806" s="262"/>
      <c r="AC806" s="258" t="str">
        <f t="shared" si="369"/>
        <v/>
      </c>
      <c r="AD806" s="262"/>
      <c r="AE806" s="258" t="str">
        <f t="shared" si="370"/>
        <v/>
      </c>
      <c r="AF806" s="262"/>
      <c r="AG806" s="256" t="str">
        <f t="shared" si="371"/>
        <v/>
      </c>
      <c r="AH806" s="256" t="str">
        <f t="shared" si="372"/>
        <v/>
      </c>
      <c r="AI806" s="256" t="str">
        <f t="shared" si="373"/>
        <v/>
      </c>
      <c r="AJ806" s="111"/>
      <c r="AK806" s="255"/>
      <c r="AL806" s="259" t="str">
        <f>IF(AK806&lt;&gt;"",AK806/VLOOKUP($V806,Setup!$C$30:$D$41,2,0),"")</f>
        <v/>
      </c>
      <c r="AM806" s="266"/>
      <c r="AN806" s="258" t="str">
        <f t="shared" si="374"/>
        <v/>
      </c>
      <c r="AO806" s="266"/>
      <c r="AP806" s="258" t="str">
        <f t="shared" si="375"/>
        <v/>
      </c>
      <c r="AQ806" s="266"/>
      <c r="AR806" s="258" t="str">
        <f t="shared" si="376"/>
        <v/>
      </c>
      <c r="AS806" s="266"/>
      <c r="AT806" s="256" t="str">
        <f t="shared" si="377"/>
        <v/>
      </c>
      <c r="AU806" s="256" t="str">
        <f t="shared" si="378"/>
        <v/>
      </c>
      <c r="AV806" s="256" t="str">
        <f t="shared" si="379"/>
        <v/>
      </c>
      <c r="AW806" s="267"/>
      <c r="AX806" s="255"/>
      <c r="AY806" s="259" t="str">
        <f>IF(AX806&lt;&gt;"",AX806/VLOOKUP($V806,Setup!$C$30:$D$41,2,0),"")</f>
        <v/>
      </c>
      <c r="AZ806" s="268"/>
      <c r="BA806" s="258" t="str">
        <f t="shared" si="380"/>
        <v/>
      </c>
      <c r="BB806" s="268"/>
      <c r="BC806" s="258" t="str">
        <f t="shared" si="381"/>
        <v/>
      </c>
      <c r="BD806" s="268"/>
      <c r="BE806" s="258" t="str">
        <f t="shared" si="382"/>
        <v/>
      </c>
      <c r="BF806" s="268"/>
      <c r="BG806" s="256" t="str">
        <f t="shared" si="383"/>
        <v/>
      </c>
      <c r="BH806" s="256" t="str">
        <f t="shared" si="384"/>
        <v/>
      </c>
      <c r="BI806" s="256" t="str">
        <f t="shared" si="385"/>
        <v/>
      </c>
      <c r="BJ806" s="267"/>
      <c r="BK806" s="255"/>
      <c r="BL806" s="259" t="str">
        <f>IF(BK806&lt;&gt;"",BK806/VLOOKUP($V806,Setup!$C$30:$D$41,2,0),"")</f>
        <v/>
      </c>
      <c r="BM806" s="268"/>
      <c r="BN806" s="258" t="str">
        <f t="shared" si="386"/>
        <v/>
      </c>
      <c r="BO806" s="268"/>
      <c r="BP806" s="258" t="str">
        <f t="shared" si="387"/>
        <v/>
      </c>
      <c r="BQ806" s="268"/>
      <c r="BR806" s="258" t="str">
        <f t="shared" si="388"/>
        <v/>
      </c>
      <c r="BS806" s="268"/>
      <c r="BT806" s="256" t="str">
        <f t="shared" si="389"/>
        <v/>
      </c>
      <c r="BU806" s="256" t="str">
        <f t="shared" si="390"/>
        <v/>
      </c>
      <c r="BV806" s="256" t="str">
        <f t="shared" si="391"/>
        <v/>
      </c>
      <c r="BW806" s="267"/>
      <c r="BX806" s="256" t="str">
        <f t="shared" si="392"/>
        <v/>
      </c>
      <c r="BY806" s="256" t="str">
        <f t="shared" si="393"/>
        <v/>
      </c>
      <c r="BZ806" s="281"/>
      <c r="CA806" s="282"/>
      <c r="CF806" s="284"/>
      <c r="CG806" s="284"/>
      <c r="CH806" s="284"/>
      <c r="CI806" s="284"/>
      <c r="CL806" s="356" t="str">
        <f>IFERROR(VLOOKUP(C806,'Data Sheet'!$A$3:$B$26,2,FALSE),"")</f>
        <v/>
      </c>
    </row>
    <row r="807" spans="1:90" ht="15.75" x14ac:dyDescent="0.2">
      <c r="A807" s="97"/>
      <c r="B807" s="105" t="str">
        <f t="shared" si="396"/>
        <v>--</v>
      </c>
      <c r="C807" s="276"/>
      <c r="D807" s="101" t="str">
        <f>IFERROR(IF(VLOOKUP(C807,'Data Sheet'!$A$3:$D$26,4,FALSE)=0,"",VLOOKUP(C807,'Data Sheet'!$A$3:$D$26,4,FALSE)),"")</f>
        <v/>
      </c>
      <c r="E807" s="279"/>
      <c r="F807" s="103" t="str">
        <f>IFERROR(IF(VLOOKUP(E807,'Data Sheet'!$C$29:$E$174,3,FALSE)=0,"",VLOOKUP(E807,'Data Sheet'!$C$29:$E$174,3,FALSE)),"")</f>
        <v/>
      </c>
      <c r="G807" s="106" t="str">
        <f t="shared" si="394"/>
        <v>-</v>
      </c>
      <c r="H807" s="273"/>
      <c r="I807" s="107"/>
      <c r="J807" s="249" t="e">
        <f t="shared" si="395"/>
        <v>#VALUE!</v>
      </c>
      <c r="K807" s="101" t="str">
        <f>IFERROR(INDEX('Data Sheet'!$C$198:$C$275,MATCH(I807,'Data Sheet'!$F$198:$F$275,0)),"")</f>
        <v/>
      </c>
      <c r="L807" s="250" t="str">
        <f>IFERROR(INDEX('Data Sheet'!$G$198:$G$275,MATCH(I807,'Data Sheet'!$F$198:$F$275,0)),"")</f>
        <v/>
      </c>
      <c r="M807" s="194"/>
      <c r="N807" s="248"/>
      <c r="O807" s="248"/>
      <c r="P807" s="108" t="str">
        <f>IFERROR(INDEX(Setup!$D$44:$D$70,MATCH(M807,Setup!$K$44:$K$70,0))&amp;"","")</f>
        <v/>
      </c>
      <c r="Q807" s="108" t="str">
        <f>IFERROR(INDEX(Setup!$E$44:$E$70,MATCH(M807,Setup!$K$44:$K$70,0))&amp;"","")</f>
        <v/>
      </c>
      <c r="R807" s="108" t="str">
        <f>IFERROR(INDEX(Setup!$L$44:$L$70,MATCH(M807,Setup!$K$44:$K$70,0))&amp;"","")</f>
        <v/>
      </c>
      <c r="S807" s="108" t="str">
        <f>Setup!$C$30</f>
        <v>USD</v>
      </c>
      <c r="T807" s="109" t="str">
        <f>IFERROR(INDEX('Data Sheet'!$B$198:$B$275,MATCH(I807,'Data Sheet'!$F$198:$F$275,0)),"")</f>
        <v/>
      </c>
      <c r="U807" s="110" t="str">
        <f>IFERROR(INDEX('Data Sheet'!$D$198:$D$275,MATCH(I807,'Data Sheet'!$F$198:$F$275,0)),"")</f>
        <v/>
      </c>
      <c r="V807" s="99"/>
      <c r="W807" s="195" t="str">
        <f>IF(V807=Setup!$C$30,"Grant",IF(V807=Setup!$C$31,"Local",IF(V807=Setup!$C$32,"Other",IF(ISBLANK(V807),"","Other"))))</f>
        <v/>
      </c>
      <c r="X807" s="255"/>
      <c r="Y807" s="259" t="str">
        <f>IF(X807&lt;&gt;"",X807/VLOOKUP($V807,Setup!$C$30:$D$41,2,0),"")</f>
        <v/>
      </c>
      <c r="Z807" s="262"/>
      <c r="AA807" s="256" t="str">
        <f t="shared" si="368"/>
        <v/>
      </c>
      <c r="AB807" s="262"/>
      <c r="AC807" s="258" t="str">
        <f t="shared" si="369"/>
        <v/>
      </c>
      <c r="AD807" s="262"/>
      <c r="AE807" s="258" t="str">
        <f t="shared" si="370"/>
        <v/>
      </c>
      <c r="AF807" s="262"/>
      <c r="AG807" s="256" t="str">
        <f t="shared" si="371"/>
        <v/>
      </c>
      <c r="AH807" s="256" t="str">
        <f t="shared" si="372"/>
        <v/>
      </c>
      <c r="AI807" s="256" t="str">
        <f t="shared" si="373"/>
        <v/>
      </c>
      <c r="AJ807" s="111"/>
      <c r="AK807" s="255"/>
      <c r="AL807" s="259" t="str">
        <f>IF(AK807&lt;&gt;"",AK807/VLOOKUP($V807,Setup!$C$30:$D$41,2,0),"")</f>
        <v/>
      </c>
      <c r="AM807" s="266"/>
      <c r="AN807" s="258" t="str">
        <f t="shared" si="374"/>
        <v/>
      </c>
      <c r="AO807" s="266"/>
      <c r="AP807" s="258" t="str">
        <f t="shared" si="375"/>
        <v/>
      </c>
      <c r="AQ807" s="266"/>
      <c r="AR807" s="258" t="str">
        <f t="shared" si="376"/>
        <v/>
      </c>
      <c r="AS807" s="266"/>
      <c r="AT807" s="256" t="str">
        <f t="shared" si="377"/>
        <v/>
      </c>
      <c r="AU807" s="256" t="str">
        <f t="shared" si="378"/>
        <v/>
      </c>
      <c r="AV807" s="256" t="str">
        <f t="shared" si="379"/>
        <v/>
      </c>
      <c r="AW807" s="267"/>
      <c r="AX807" s="255"/>
      <c r="AY807" s="259" t="str">
        <f>IF(AX807&lt;&gt;"",AX807/VLOOKUP($V807,Setup!$C$30:$D$41,2,0),"")</f>
        <v/>
      </c>
      <c r="AZ807" s="268"/>
      <c r="BA807" s="258" t="str">
        <f t="shared" si="380"/>
        <v/>
      </c>
      <c r="BB807" s="268"/>
      <c r="BC807" s="258" t="str">
        <f t="shared" si="381"/>
        <v/>
      </c>
      <c r="BD807" s="268"/>
      <c r="BE807" s="258" t="str">
        <f t="shared" si="382"/>
        <v/>
      </c>
      <c r="BF807" s="268"/>
      <c r="BG807" s="256" t="str">
        <f t="shared" si="383"/>
        <v/>
      </c>
      <c r="BH807" s="256" t="str">
        <f t="shared" si="384"/>
        <v/>
      </c>
      <c r="BI807" s="256" t="str">
        <f t="shared" si="385"/>
        <v/>
      </c>
      <c r="BJ807" s="267"/>
      <c r="BK807" s="255"/>
      <c r="BL807" s="259" t="str">
        <f>IF(BK807&lt;&gt;"",BK807/VLOOKUP($V807,Setup!$C$30:$D$41,2,0),"")</f>
        <v/>
      </c>
      <c r="BM807" s="268"/>
      <c r="BN807" s="258" t="str">
        <f t="shared" si="386"/>
        <v/>
      </c>
      <c r="BO807" s="268"/>
      <c r="BP807" s="258" t="str">
        <f t="shared" si="387"/>
        <v/>
      </c>
      <c r="BQ807" s="268"/>
      <c r="BR807" s="258" t="str">
        <f t="shared" si="388"/>
        <v/>
      </c>
      <c r="BS807" s="268"/>
      <c r="BT807" s="256" t="str">
        <f t="shared" si="389"/>
        <v/>
      </c>
      <c r="BU807" s="256" t="str">
        <f t="shared" si="390"/>
        <v/>
      </c>
      <c r="BV807" s="256" t="str">
        <f t="shared" si="391"/>
        <v/>
      </c>
      <c r="BW807" s="267"/>
      <c r="BX807" s="256" t="str">
        <f t="shared" si="392"/>
        <v/>
      </c>
      <c r="BY807" s="256" t="str">
        <f t="shared" si="393"/>
        <v/>
      </c>
      <c r="BZ807" s="281"/>
      <c r="CA807" s="282"/>
      <c r="CF807" s="284"/>
      <c r="CG807" s="284"/>
      <c r="CH807" s="284"/>
      <c r="CI807" s="284"/>
      <c r="CL807" s="356" t="str">
        <f>IFERROR(VLOOKUP(C807,'Data Sheet'!$A$3:$B$26,2,FALSE),"")</f>
        <v/>
      </c>
    </row>
    <row r="808" spans="1:90" ht="15.75" x14ac:dyDescent="0.2">
      <c r="A808" s="97"/>
      <c r="B808" s="105" t="str">
        <f t="shared" si="396"/>
        <v>--</v>
      </c>
      <c r="C808" s="276"/>
      <c r="D808" s="101" t="str">
        <f>IFERROR(IF(VLOOKUP(C808,'Data Sheet'!$A$3:$D$26,4,FALSE)=0,"",VLOOKUP(C808,'Data Sheet'!$A$3:$D$26,4,FALSE)),"")</f>
        <v/>
      </c>
      <c r="E808" s="279"/>
      <c r="F808" s="103" t="str">
        <f>IFERROR(IF(VLOOKUP(E808,'Data Sheet'!$C$29:$E$174,3,FALSE)=0,"",VLOOKUP(E808,'Data Sheet'!$C$29:$E$174,3,FALSE)),"")</f>
        <v/>
      </c>
      <c r="G808" s="106" t="str">
        <f t="shared" si="394"/>
        <v>-</v>
      </c>
      <c r="H808" s="273"/>
      <c r="I808" s="107"/>
      <c r="J808" s="249" t="e">
        <f t="shared" si="395"/>
        <v>#VALUE!</v>
      </c>
      <c r="K808" s="101" t="str">
        <f>IFERROR(INDEX('Data Sheet'!$C$198:$C$275,MATCH(I808,'Data Sheet'!$F$198:$F$275,0)),"")</f>
        <v/>
      </c>
      <c r="L808" s="250" t="str">
        <f>IFERROR(INDEX('Data Sheet'!$G$198:$G$275,MATCH(I808,'Data Sheet'!$F$198:$F$275,0)),"")</f>
        <v/>
      </c>
      <c r="M808" s="194"/>
      <c r="N808" s="248"/>
      <c r="O808" s="248"/>
      <c r="P808" s="108" t="str">
        <f>IFERROR(INDEX(Setup!$D$44:$D$70,MATCH(M808,Setup!$K$44:$K$70,0))&amp;"","")</f>
        <v/>
      </c>
      <c r="Q808" s="108" t="str">
        <f>IFERROR(INDEX(Setup!$E$44:$E$70,MATCH(M808,Setup!$K$44:$K$70,0))&amp;"","")</f>
        <v/>
      </c>
      <c r="R808" s="108" t="str">
        <f>IFERROR(INDEX(Setup!$L$44:$L$70,MATCH(M808,Setup!$K$44:$K$70,0))&amp;"","")</f>
        <v/>
      </c>
      <c r="S808" s="108" t="str">
        <f>Setup!$C$30</f>
        <v>USD</v>
      </c>
      <c r="T808" s="109" t="str">
        <f>IFERROR(INDEX('Data Sheet'!$B$198:$B$275,MATCH(I808,'Data Sheet'!$F$198:$F$275,0)),"")</f>
        <v/>
      </c>
      <c r="U808" s="110" t="str">
        <f>IFERROR(INDEX('Data Sheet'!$D$198:$D$275,MATCH(I808,'Data Sheet'!$F$198:$F$275,0)),"")</f>
        <v/>
      </c>
      <c r="V808" s="99"/>
      <c r="W808" s="195" t="str">
        <f>IF(V808=Setup!$C$30,"Grant",IF(V808=Setup!$C$31,"Local",IF(V808=Setup!$C$32,"Other",IF(ISBLANK(V808),"","Other"))))</f>
        <v/>
      </c>
      <c r="X808" s="255"/>
      <c r="Y808" s="259" t="str">
        <f>IF(X808&lt;&gt;"",X808/VLOOKUP($V808,Setup!$C$30:$D$41,2,0),"")</f>
        <v/>
      </c>
      <c r="Z808" s="262"/>
      <c r="AA808" s="256" t="str">
        <f t="shared" si="368"/>
        <v/>
      </c>
      <c r="AB808" s="262"/>
      <c r="AC808" s="258" t="str">
        <f t="shared" si="369"/>
        <v/>
      </c>
      <c r="AD808" s="262"/>
      <c r="AE808" s="258" t="str">
        <f t="shared" si="370"/>
        <v/>
      </c>
      <c r="AF808" s="262"/>
      <c r="AG808" s="256" t="str">
        <f t="shared" si="371"/>
        <v/>
      </c>
      <c r="AH808" s="256" t="str">
        <f t="shared" si="372"/>
        <v/>
      </c>
      <c r="AI808" s="256" t="str">
        <f t="shared" si="373"/>
        <v/>
      </c>
      <c r="AJ808" s="111"/>
      <c r="AK808" s="255"/>
      <c r="AL808" s="259" t="str">
        <f>IF(AK808&lt;&gt;"",AK808/VLOOKUP($V808,Setup!$C$30:$D$41,2,0),"")</f>
        <v/>
      </c>
      <c r="AM808" s="266"/>
      <c r="AN808" s="258" t="str">
        <f t="shared" si="374"/>
        <v/>
      </c>
      <c r="AO808" s="266"/>
      <c r="AP808" s="258" t="str">
        <f t="shared" si="375"/>
        <v/>
      </c>
      <c r="AQ808" s="266"/>
      <c r="AR808" s="258" t="str">
        <f t="shared" si="376"/>
        <v/>
      </c>
      <c r="AS808" s="266"/>
      <c r="AT808" s="256" t="str">
        <f t="shared" si="377"/>
        <v/>
      </c>
      <c r="AU808" s="256" t="str">
        <f t="shared" si="378"/>
        <v/>
      </c>
      <c r="AV808" s="256" t="str">
        <f t="shared" si="379"/>
        <v/>
      </c>
      <c r="AW808" s="267"/>
      <c r="AX808" s="255"/>
      <c r="AY808" s="259" t="str">
        <f>IF(AX808&lt;&gt;"",AX808/VLOOKUP($V808,Setup!$C$30:$D$41,2,0),"")</f>
        <v/>
      </c>
      <c r="AZ808" s="268"/>
      <c r="BA808" s="258" t="str">
        <f t="shared" si="380"/>
        <v/>
      </c>
      <c r="BB808" s="268"/>
      <c r="BC808" s="258" t="str">
        <f t="shared" si="381"/>
        <v/>
      </c>
      <c r="BD808" s="268"/>
      <c r="BE808" s="258" t="str">
        <f t="shared" si="382"/>
        <v/>
      </c>
      <c r="BF808" s="268"/>
      <c r="BG808" s="256" t="str">
        <f t="shared" si="383"/>
        <v/>
      </c>
      <c r="BH808" s="256" t="str">
        <f t="shared" si="384"/>
        <v/>
      </c>
      <c r="BI808" s="256" t="str">
        <f t="shared" si="385"/>
        <v/>
      </c>
      <c r="BJ808" s="267"/>
      <c r="BK808" s="255"/>
      <c r="BL808" s="259" t="str">
        <f>IF(BK808&lt;&gt;"",BK808/VLOOKUP($V808,Setup!$C$30:$D$41,2,0),"")</f>
        <v/>
      </c>
      <c r="BM808" s="268"/>
      <c r="BN808" s="258" t="str">
        <f t="shared" si="386"/>
        <v/>
      </c>
      <c r="BO808" s="268"/>
      <c r="BP808" s="258" t="str">
        <f t="shared" si="387"/>
        <v/>
      </c>
      <c r="BQ808" s="268"/>
      <c r="BR808" s="258" t="str">
        <f t="shared" si="388"/>
        <v/>
      </c>
      <c r="BS808" s="268"/>
      <c r="BT808" s="256" t="str">
        <f t="shared" si="389"/>
        <v/>
      </c>
      <c r="BU808" s="256" t="str">
        <f t="shared" si="390"/>
        <v/>
      </c>
      <c r="BV808" s="256" t="str">
        <f t="shared" si="391"/>
        <v/>
      </c>
      <c r="BW808" s="267"/>
      <c r="BX808" s="256" t="str">
        <f t="shared" si="392"/>
        <v/>
      </c>
      <c r="BY808" s="256" t="str">
        <f t="shared" si="393"/>
        <v/>
      </c>
      <c r="BZ808" s="281"/>
      <c r="CA808" s="282"/>
      <c r="CF808" s="284"/>
      <c r="CG808" s="284"/>
      <c r="CH808" s="284"/>
      <c r="CI808" s="284"/>
      <c r="CL808" s="356" t="str">
        <f>IFERROR(VLOOKUP(C808,'Data Sheet'!$A$3:$B$26,2,FALSE),"")</f>
        <v/>
      </c>
    </row>
    <row r="809" spans="1:90" ht="15.75" x14ac:dyDescent="0.2">
      <c r="A809" s="97"/>
      <c r="B809" s="105" t="str">
        <f t="shared" si="396"/>
        <v>--</v>
      </c>
      <c r="C809" s="276"/>
      <c r="D809" s="101" t="str">
        <f>IFERROR(IF(VLOOKUP(C809,'Data Sheet'!$A$3:$D$26,4,FALSE)=0,"",VLOOKUP(C809,'Data Sheet'!$A$3:$D$26,4,FALSE)),"")</f>
        <v/>
      </c>
      <c r="E809" s="279"/>
      <c r="F809" s="103" t="str">
        <f>IFERROR(IF(VLOOKUP(E809,'Data Sheet'!$C$29:$E$174,3,FALSE)=0,"",VLOOKUP(E809,'Data Sheet'!$C$29:$E$174,3,FALSE)),"")</f>
        <v/>
      </c>
      <c r="G809" s="106" t="str">
        <f t="shared" si="394"/>
        <v>-</v>
      </c>
      <c r="H809" s="273"/>
      <c r="I809" s="107"/>
      <c r="J809" s="249" t="e">
        <f t="shared" si="395"/>
        <v>#VALUE!</v>
      </c>
      <c r="K809" s="101" t="str">
        <f>IFERROR(INDEX('Data Sheet'!$C$198:$C$275,MATCH(I809,'Data Sheet'!$F$198:$F$275,0)),"")</f>
        <v/>
      </c>
      <c r="L809" s="250" t="str">
        <f>IFERROR(INDEX('Data Sheet'!$G$198:$G$275,MATCH(I809,'Data Sheet'!$F$198:$F$275,0)),"")</f>
        <v/>
      </c>
      <c r="M809" s="194"/>
      <c r="N809" s="248"/>
      <c r="O809" s="248"/>
      <c r="P809" s="108" t="str">
        <f>IFERROR(INDEX(Setup!$D$44:$D$70,MATCH(M809,Setup!$K$44:$K$70,0))&amp;"","")</f>
        <v/>
      </c>
      <c r="Q809" s="108" t="str">
        <f>IFERROR(INDEX(Setup!$E$44:$E$70,MATCH(M809,Setup!$K$44:$K$70,0))&amp;"","")</f>
        <v/>
      </c>
      <c r="R809" s="108" t="str">
        <f>IFERROR(INDEX(Setup!$L$44:$L$70,MATCH(M809,Setup!$K$44:$K$70,0))&amp;"","")</f>
        <v/>
      </c>
      <c r="S809" s="108" t="str">
        <f>Setup!$C$30</f>
        <v>USD</v>
      </c>
      <c r="T809" s="109" t="str">
        <f>IFERROR(INDEX('Data Sheet'!$B$198:$B$275,MATCH(I809,'Data Sheet'!$F$198:$F$275,0)),"")</f>
        <v/>
      </c>
      <c r="U809" s="110" t="str">
        <f>IFERROR(INDEX('Data Sheet'!$D$198:$D$275,MATCH(I809,'Data Sheet'!$F$198:$F$275,0)),"")</f>
        <v/>
      </c>
      <c r="V809" s="99"/>
      <c r="W809" s="195" t="str">
        <f>IF(V809=Setup!$C$30,"Grant",IF(V809=Setup!$C$31,"Local",IF(V809=Setup!$C$32,"Other",IF(ISBLANK(V809),"","Other"))))</f>
        <v/>
      </c>
      <c r="X809" s="255"/>
      <c r="Y809" s="259" t="str">
        <f>IF(X809&lt;&gt;"",X809/VLOOKUP($V809,Setup!$C$30:$D$41,2,0),"")</f>
        <v/>
      </c>
      <c r="Z809" s="262"/>
      <c r="AA809" s="256" t="str">
        <f t="shared" si="368"/>
        <v/>
      </c>
      <c r="AB809" s="262"/>
      <c r="AC809" s="258" t="str">
        <f t="shared" si="369"/>
        <v/>
      </c>
      <c r="AD809" s="262"/>
      <c r="AE809" s="258" t="str">
        <f t="shared" si="370"/>
        <v/>
      </c>
      <c r="AF809" s="262"/>
      <c r="AG809" s="256" t="str">
        <f t="shared" si="371"/>
        <v/>
      </c>
      <c r="AH809" s="256" t="str">
        <f t="shared" si="372"/>
        <v/>
      </c>
      <c r="AI809" s="256" t="str">
        <f t="shared" si="373"/>
        <v/>
      </c>
      <c r="AJ809" s="111"/>
      <c r="AK809" s="255"/>
      <c r="AL809" s="259" t="str">
        <f>IF(AK809&lt;&gt;"",AK809/VLOOKUP($V809,Setup!$C$30:$D$41,2,0),"")</f>
        <v/>
      </c>
      <c r="AM809" s="266"/>
      <c r="AN809" s="258" t="str">
        <f t="shared" si="374"/>
        <v/>
      </c>
      <c r="AO809" s="266"/>
      <c r="AP809" s="258" t="str">
        <f t="shared" si="375"/>
        <v/>
      </c>
      <c r="AQ809" s="266"/>
      <c r="AR809" s="258" t="str">
        <f t="shared" si="376"/>
        <v/>
      </c>
      <c r="AS809" s="266"/>
      <c r="AT809" s="256" t="str">
        <f t="shared" si="377"/>
        <v/>
      </c>
      <c r="AU809" s="256" t="str">
        <f t="shared" si="378"/>
        <v/>
      </c>
      <c r="AV809" s="256" t="str">
        <f t="shared" si="379"/>
        <v/>
      </c>
      <c r="AW809" s="267"/>
      <c r="AX809" s="255"/>
      <c r="AY809" s="259" t="str">
        <f>IF(AX809&lt;&gt;"",AX809/VLOOKUP($V809,Setup!$C$30:$D$41,2,0),"")</f>
        <v/>
      </c>
      <c r="AZ809" s="268"/>
      <c r="BA809" s="258" t="str">
        <f t="shared" si="380"/>
        <v/>
      </c>
      <c r="BB809" s="268"/>
      <c r="BC809" s="258" t="str">
        <f t="shared" si="381"/>
        <v/>
      </c>
      <c r="BD809" s="268"/>
      <c r="BE809" s="258" t="str">
        <f t="shared" si="382"/>
        <v/>
      </c>
      <c r="BF809" s="268"/>
      <c r="BG809" s="256" t="str">
        <f t="shared" si="383"/>
        <v/>
      </c>
      <c r="BH809" s="256" t="str">
        <f t="shared" si="384"/>
        <v/>
      </c>
      <c r="BI809" s="256" t="str">
        <f t="shared" si="385"/>
        <v/>
      </c>
      <c r="BJ809" s="267"/>
      <c r="BK809" s="255"/>
      <c r="BL809" s="259" t="str">
        <f>IF(BK809&lt;&gt;"",BK809/VLOOKUP($V809,Setup!$C$30:$D$41,2,0),"")</f>
        <v/>
      </c>
      <c r="BM809" s="268"/>
      <c r="BN809" s="258" t="str">
        <f t="shared" si="386"/>
        <v/>
      </c>
      <c r="BO809" s="268"/>
      <c r="BP809" s="258" t="str">
        <f t="shared" si="387"/>
        <v/>
      </c>
      <c r="BQ809" s="268"/>
      <c r="BR809" s="258" t="str">
        <f t="shared" si="388"/>
        <v/>
      </c>
      <c r="BS809" s="268"/>
      <c r="BT809" s="256" t="str">
        <f t="shared" si="389"/>
        <v/>
      </c>
      <c r="BU809" s="256" t="str">
        <f t="shared" si="390"/>
        <v/>
      </c>
      <c r="BV809" s="256" t="str">
        <f t="shared" si="391"/>
        <v/>
      </c>
      <c r="BW809" s="267"/>
      <c r="BX809" s="256" t="str">
        <f t="shared" si="392"/>
        <v/>
      </c>
      <c r="BY809" s="256" t="str">
        <f t="shared" si="393"/>
        <v/>
      </c>
      <c r="BZ809" s="281"/>
      <c r="CA809" s="282"/>
      <c r="CF809" s="284"/>
      <c r="CG809" s="284"/>
      <c r="CH809" s="284"/>
      <c r="CI809" s="284"/>
      <c r="CL809" s="356" t="str">
        <f>IFERROR(VLOOKUP(C809,'Data Sheet'!$A$3:$B$26,2,FALSE),"")</f>
        <v/>
      </c>
    </row>
    <row r="810" spans="1:90" ht="15.75" x14ac:dyDescent="0.2">
      <c r="A810" s="97"/>
      <c r="B810" s="105" t="str">
        <f t="shared" si="396"/>
        <v>--</v>
      </c>
      <c r="C810" s="276"/>
      <c r="D810" s="101" t="str">
        <f>IFERROR(IF(VLOOKUP(C810,'Data Sheet'!$A$3:$D$26,4,FALSE)=0,"",VLOOKUP(C810,'Data Sheet'!$A$3:$D$26,4,FALSE)),"")</f>
        <v/>
      </c>
      <c r="E810" s="279"/>
      <c r="F810" s="103" t="str">
        <f>IFERROR(IF(VLOOKUP(E810,'Data Sheet'!$C$29:$E$174,3,FALSE)=0,"",VLOOKUP(E810,'Data Sheet'!$C$29:$E$174,3,FALSE)),"")</f>
        <v/>
      </c>
      <c r="G810" s="106" t="str">
        <f t="shared" si="394"/>
        <v>-</v>
      </c>
      <c r="H810" s="273"/>
      <c r="I810" s="107"/>
      <c r="J810" s="249" t="e">
        <f t="shared" si="395"/>
        <v>#VALUE!</v>
      </c>
      <c r="K810" s="101" t="str">
        <f>IFERROR(INDEX('Data Sheet'!$C$198:$C$275,MATCH(I810,'Data Sheet'!$F$198:$F$275,0)),"")</f>
        <v/>
      </c>
      <c r="L810" s="250" t="str">
        <f>IFERROR(INDEX('Data Sheet'!$G$198:$G$275,MATCH(I810,'Data Sheet'!$F$198:$F$275,0)),"")</f>
        <v/>
      </c>
      <c r="M810" s="194"/>
      <c r="N810" s="248"/>
      <c r="O810" s="248"/>
      <c r="P810" s="108" t="str">
        <f>IFERROR(INDEX(Setup!$D$44:$D$70,MATCH(M810,Setup!$K$44:$K$70,0))&amp;"","")</f>
        <v/>
      </c>
      <c r="Q810" s="108" t="str">
        <f>IFERROR(INDEX(Setup!$E$44:$E$70,MATCH(M810,Setup!$K$44:$K$70,0))&amp;"","")</f>
        <v/>
      </c>
      <c r="R810" s="108" t="str">
        <f>IFERROR(INDEX(Setup!$L$44:$L$70,MATCH(M810,Setup!$K$44:$K$70,0))&amp;"","")</f>
        <v/>
      </c>
      <c r="S810" s="108" t="str">
        <f>Setup!$C$30</f>
        <v>USD</v>
      </c>
      <c r="T810" s="109" t="str">
        <f>IFERROR(INDEX('Data Sheet'!$B$198:$B$275,MATCH(I810,'Data Sheet'!$F$198:$F$275,0)),"")</f>
        <v/>
      </c>
      <c r="U810" s="110" t="str">
        <f>IFERROR(INDEX('Data Sheet'!$D$198:$D$275,MATCH(I810,'Data Sheet'!$F$198:$F$275,0)),"")</f>
        <v/>
      </c>
      <c r="V810" s="99"/>
      <c r="W810" s="195" t="str">
        <f>IF(V810=Setup!$C$30,"Grant",IF(V810=Setup!$C$31,"Local",IF(V810=Setup!$C$32,"Other",IF(ISBLANK(V810),"","Other"))))</f>
        <v/>
      </c>
      <c r="X810" s="255"/>
      <c r="Y810" s="259" t="str">
        <f>IF(X810&lt;&gt;"",X810/VLOOKUP($V810,Setup!$C$30:$D$41,2,0),"")</f>
        <v/>
      </c>
      <c r="Z810" s="262"/>
      <c r="AA810" s="256" t="str">
        <f t="shared" si="368"/>
        <v/>
      </c>
      <c r="AB810" s="262"/>
      <c r="AC810" s="258" t="str">
        <f t="shared" si="369"/>
        <v/>
      </c>
      <c r="AD810" s="262"/>
      <c r="AE810" s="258" t="str">
        <f t="shared" si="370"/>
        <v/>
      </c>
      <c r="AF810" s="262"/>
      <c r="AG810" s="256" t="str">
        <f t="shared" si="371"/>
        <v/>
      </c>
      <c r="AH810" s="256" t="str">
        <f t="shared" si="372"/>
        <v/>
      </c>
      <c r="AI810" s="256" t="str">
        <f t="shared" si="373"/>
        <v/>
      </c>
      <c r="AJ810" s="111"/>
      <c r="AK810" s="255"/>
      <c r="AL810" s="259" t="str">
        <f>IF(AK810&lt;&gt;"",AK810/VLOOKUP($V810,Setup!$C$30:$D$41,2,0),"")</f>
        <v/>
      </c>
      <c r="AM810" s="266"/>
      <c r="AN810" s="258" t="str">
        <f t="shared" si="374"/>
        <v/>
      </c>
      <c r="AO810" s="266"/>
      <c r="AP810" s="258" t="str">
        <f t="shared" si="375"/>
        <v/>
      </c>
      <c r="AQ810" s="266"/>
      <c r="AR810" s="258" t="str">
        <f t="shared" si="376"/>
        <v/>
      </c>
      <c r="AS810" s="266"/>
      <c r="AT810" s="256" t="str">
        <f t="shared" si="377"/>
        <v/>
      </c>
      <c r="AU810" s="256" t="str">
        <f t="shared" si="378"/>
        <v/>
      </c>
      <c r="AV810" s="256" t="str">
        <f t="shared" si="379"/>
        <v/>
      </c>
      <c r="AW810" s="267"/>
      <c r="AX810" s="255"/>
      <c r="AY810" s="259" t="str">
        <f>IF(AX810&lt;&gt;"",AX810/VLOOKUP($V810,Setup!$C$30:$D$41,2,0),"")</f>
        <v/>
      </c>
      <c r="AZ810" s="268"/>
      <c r="BA810" s="258" t="str">
        <f t="shared" si="380"/>
        <v/>
      </c>
      <c r="BB810" s="268"/>
      <c r="BC810" s="258" t="str">
        <f t="shared" si="381"/>
        <v/>
      </c>
      <c r="BD810" s="268"/>
      <c r="BE810" s="258" t="str">
        <f t="shared" si="382"/>
        <v/>
      </c>
      <c r="BF810" s="268"/>
      <c r="BG810" s="256" t="str">
        <f t="shared" si="383"/>
        <v/>
      </c>
      <c r="BH810" s="256" t="str">
        <f t="shared" si="384"/>
        <v/>
      </c>
      <c r="BI810" s="256" t="str">
        <f t="shared" si="385"/>
        <v/>
      </c>
      <c r="BJ810" s="267"/>
      <c r="BK810" s="255"/>
      <c r="BL810" s="259" t="str">
        <f>IF(BK810&lt;&gt;"",BK810/VLOOKUP($V810,Setup!$C$30:$D$41,2,0),"")</f>
        <v/>
      </c>
      <c r="BM810" s="268"/>
      <c r="BN810" s="258" t="str">
        <f t="shared" si="386"/>
        <v/>
      </c>
      <c r="BO810" s="268"/>
      <c r="BP810" s="258" t="str">
        <f t="shared" si="387"/>
        <v/>
      </c>
      <c r="BQ810" s="268"/>
      <c r="BR810" s="258" t="str">
        <f t="shared" si="388"/>
        <v/>
      </c>
      <c r="BS810" s="268"/>
      <c r="BT810" s="256" t="str">
        <f t="shared" si="389"/>
        <v/>
      </c>
      <c r="BU810" s="256" t="str">
        <f t="shared" si="390"/>
        <v/>
      </c>
      <c r="BV810" s="256" t="str">
        <f t="shared" si="391"/>
        <v/>
      </c>
      <c r="BW810" s="267"/>
      <c r="BX810" s="256" t="str">
        <f t="shared" si="392"/>
        <v/>
      </c>
      <c r="BY810" s="256" t="str">
        <f t="shared" si="393"/>
        <v/>
      </c>
      <c r="BZ810" s="281"/>
      <c r="CA810" s="282"/>
      <c r="CF810" s="284"/>
      <c r="CG810" s="284"/>
      <c r="CH810" s="284"/>
      <c r="CI810" s="284"/>
      <c r="CL810" s="356" t="str">
        <f>IFERROR(VLOOKUP(C810,'Data Sheet'!$A$3:$B$26,2,FALSE),"")</f>
        <v/>
      </c>
    </row>
    <row r="811" spans="1:90" ht="15.75" x14ac:dyDescent="0.2">
      <c r="A811" s="97"/>
      <c r="B811" s="105" t="str">
        <f t="shared" si="396"/>
        <v>--</v>
      </c>
      <c r="C811" s="276"/>
      <c r="D811" s="101" t="str">
        <f>IFERROR(IF(VLOOKUP(C811,'Data Sheet'!$A$3:$D$26,4,FALSE)=0,"",VLOOKUP(C811,'Data Sheet'!$A$3:$D$26,4,FALSE)),"")</f>
        <v/>
      </c>
      <c r="E811" s="279"/>
      <c r="F811" s="103" t="str">
        <f>IFERROR(IF(VLOOKUP(E811,'Data Sheet'!$C$29:$E$174,3,FALSE)=0,"",VLOOKUP(E811,'Data Sheet'!$C$29:$E$174,3,FALSE)),"")</f>
        <v/>
      </c>
      <c r="G811" s="106" t="str">
        <f t="shared" si="394"/>
        <v>-</v>
      </c>
      <c r="H811" s="273"/>
      <c r="I811" s="107"/>
      <c r="J811" s="249" t="e">
        <f t="shared" si="395"/>
        <v>#VALUE!</v>
      </c>
      <c r="K811" s="101" t="str">
        <f>IFERROR(INDEX('Data Sheet'!$C$198:$C$275,MATCH(I811,'Data Sheet'!$F$198:$F$275,0)),"")</f>
        <v/>
      </c>
      <c r="L811" s="250" t="str">
        <f>IFERROR(INDEX('Data Sheet'!$G$198:$G$275,MATCH(I811,'Data Sheet'!$F$198:$F$275,0)),"")</f>
        <v/>
      </c>
      <c r="M811" s="194"/>
      <c r="N811" s="248"/>
      <c r="O811" s="248"/>
      <c r="P811" s="108" t="str">
        <f>IFERROR(INDEX(Setup!$D$44:$D$70,MATCH(M811,Setup!$K$44:$K$70,0))&amp;"","")</f>
        <v/>
      </c>
      <c r="Q811" s="108" t="str">
        <f>IFERROR(INDEX(Setup!$E$44:$E$70,MATCH(M811,Setup!$K$44:$K$70,0))&amp;"","")</f>
        <v/>
      </c>
      <c r="R811" s="108" t="str">
        <f>IFERROR(INDEX(Setup!$L$44:$L$70,MATCH(M811,Setup!$K$44:$K$70,0))&amp;"","")</f>
        <v/>
      </c>
      <c r="S811" s="108" t="str">
        <f>Setup!$C$30</f>
        <v>USD</v>
      </c>
      <c r="T811" s="109" t="str">
        <f>IFERROR(INDEX('Data Sheet'!$B$198:$B$275,MATCH(I811,'Data Sheet'!$F$198:$F$275,0)),"")</f>
        <v/>
      </c>
      <c r="U811" s="110" t="str">
        <f>IFERROR(INDEX('Data Sheet'!$D$198:$D$275,MATCH(I811,'Data Sheet'!$F$198:$F$275,0)),"")</f>
        <v/>
      </c>
      <c r="V811" s="99"/>
      <c r="W811" s="195" t="str">
        <f>IF(V811=Setup!$C$30,"Grant",IF(V811=Setup!$C$31,"Local",IF(V811=Setup!$C$32,"Other",IF(ISBLANK(V811),"","Other"))))</f>
        <v/>
      </c>
      <c r="X811" s="255"/>
      <c r="Y811" s="259" t="str">
        <f>IF(X811&lt;&gt;"",X811/VLOOKUP($V811,Setup!$C$30:$D$41,2,0),"")</f>
        <v/>
      </c>
      <c r="Z811" s="262"/>
      <c r="AA811" s="256" t="str">
        <f t="shared" si="368"/>
        <v/>
      </c>
      <c r="AB811" s="262"/>
      <c r="AC811" s="258" t="str">
        <f t="shared" si="369"/>
        <v/>
      </c>
      <c r="AD811" s="262"/>
      <c r="AE811" s="258" t="str">
        <f t="shared" si="370"/>
        <v/>
      </c>
      <c r="AF811" s="262"/>
      <c r="AG811" s="256" t="str">
        <f t="shared" si="371"/>
        <v/>
      </c>
      <c r="AH811" s="256" t="str">
        <f t="shared" si="372"/>
        <v/>
      </c>
      <c r="AI811" s="256" t="str">
        <f t="shared" si="373"/>
        <v/>
      </c>
      <c r="AJ811" s="111"/>
      <c r="AK811" s="255"/>
      <c r="AL811" s="259" t="str">
        <f>IF(AK811&lt;&gt;"",AK811/VLOOKUP($V811,Setup!$C$30:$D$41,2,0),"")</f>
        <v/>
      </c>
      <c r="AM811" s="266"/>
      <c r="AN811" s="258" t="str">
        <f t="shared" si="374"/>
        <v/>
      </c>
      <c r="AO811" s="266"/>
      <c r="AP811" s="258" t="str">
        <f t="shared" si="375"/>
        <v/>
      </c>
      <c r="AQ811" s="266"/>
      <c r="AR811" s="258" t="str">
        <f t="shared" si="376"/>
        <v/>
      </c>
      <c r="AS811" s="266"/>
      <c r="AT811" s="256" t="str">
        <f t="shared" si="377"/>
        <v/>
      </c>
      <c r="AU811" s="256" t="str">
        <f t="shared" si="378"/>
        <v/>
      </c>
      <c r="AV811" s="256" t="str">
        <f t="shared" si="379"/>
        <v/>
      </c>
      <c r="AW811" s="267"/>
      <c r="AX811" s="255"/>
      <c r="AY811" s="259" t="str">
        <f>IF(AX811&lt;&gt;"",AX811/VLOOKUP($V811,Setup!$C$30:$D$41,2,0),"")</f>
        <v/>
      </c>
      <c r="AZ811" s="268"/>
      <c r="BA811" s="258" t="str">
        <f t="shared" si="380"/>
        <v/>
      </c>
      <c r="BB811" s="268"/>
      <c r="BC811" s="258" t="str">
        <f t="shared" si="381"/>
        <v/>
      </c>
      <c r="BD811" s="268"/>
      <c r="BE811" s="258" t="str">
        <f t="shared" si="382"/>
        <v/>
      </c>
      <c r="BF811" s="268"/>
      <c r="BG811" s="256" t="str">
        <f t="shared" si="383"/>
        <v/>
      </c>
      <c r="BH811" s="256" t="str">
        <f t="shared" si="384"/>
        <v/>
      </c>
      <c r="BI811" s="256" t="str">
        <f t="shared" si="385"/>
        <v/>
      </c>
      <c r="BJ811" s="267"/>
      <c r="BK811" s="255"/>
      <c r="BL811" s="259" t="str">
        <f>IF(BK811&lt;&gt;"",BK811/VLOOKUP($V811,Setup!$C$30:$D$41,2,0),"")</f>
        <v/>
      </c>
      <c r="BM811" s="268"/>
      <c r="BN811" s="258" t="str">
        <f t="shared" si="386"/>
        <v/>
      </c>
      <c r="BO811" s="268"/>
      <c r="BP811" s="258" t="str">
        <f t="shared" si="387"/>
        <v/>
      </c>
      <c r="BQ811" s="268"/>
      <c r="BR811" s="258" t="str">
        <f t="shared" si="388"/>
        <v/>
      </c>
      <c r="BS811" s="268"/>
      <c r="BT811" s="256" t="str">
        <f t="shared" si="389"/>
        <v/>
      </c>
      <c r="BU811" s="256" t="str">
        <f t="shared" si="390"/>
        <v/>
      </c>
      <c r="BV811" s="256" t="str">
        <f t="shared" si="391"/>
        <v/>
      </c>
      <c r="BW811" s="267"/>
      <c r="BX811" s="256" t="str">
        <f t="shared" si="392"/>
        <v/>
      </c>
      <c r="BY811" s="256" t="str">
        <f t="shared" si="393"/>
        <v/>
      </c>
      <c r="BZ811" s="281"/>
      <c r="CA811" s="282"/>
      <c r="CF811" s="284"/>
      <c r="CG811" s="284"/>
      <c r="CH811" s="284"/>
      <c r="CI811" s="284"/>
      <c r="CL811" s="356" t="str">
        <f>IFERROR(VLOOKUP(C811,'Data Sheet'!$A$3:$B$26,2,FALSE),"")</f>
        <v/>
      </c>
    </row>
    <row r="812" spans="1:90" ht="15.75" x14ac:dyDescent="0.2">
      <c r="A812" s="97"/>
      <c r="B812" s="105" t="str">
        <f t="shared" si="396"/>
        <v>--</v>
      </c>
      <c r="C812" s="276"/>
      <c r="D812" s="101" t="str">
        <f>IFERROR(IF(VLOOKUP(C812,'Data Sheet'!$A$3:$D$26,4,FALSE)=0,"",VLOOKUP(C812,'Data Sheet'!$A$3:$D$26,4,FALSE)),"")</f>
        <v/>
      </c>
      <c r="E812" s="279"/>
      <c r="F812" s="103" t="str">
        <f>IFERROR(IF(VLOOKUP(E812,'Data Sheet'!$C$29:$E$174,3,FALSE)=0,"",VLOOKUP(E812,'Data Sheet'!$C$29:$E$174,3,FALSE)),"")</f>
        <v/>
      </c>
      <c r="G812" s="106" t="str">
        <f t="shared" si="394"/>
        <v>-</v>
      </c>
      <c r="H812" s="273"/>
      <c r="I812" s="107"/>
      <c r="J812" s="249" t="e">
        <f t="shared" si="395"/>
        <v>#VALUE!</v>
      </c>
      <c r="K812" s="101" t="str">
        <f>IFERROR(INDEX('Data Sheet'!$C$198:$C$275,MATCH(I812,'Data Sheet'!$F$198:$F$275,0)),"")</f>
        <v/>
      </c>
      <c r="L812" s="250" t="str">
        <f>IFERROR(INDEX('Data Sheet'!$G$198:$G$275,MATCH(I812,'Data Sheet'!$F$198:$F$275,0)),"")</f>
        <v/>
      </c>
      <c r="M812" s="194"/>
      <c r="N812" s="248"/>
      <c r="O812" s="248"/>
      <c r="P812" s="108" t="str">
        <f>IFERROR(INDEX(Setup!$D$44:$D$70,MATCH(M812,Setup!$K$44:$K$70,0))&amp;"","")</f>
        <v/>
      </c>
      <c r="Q812" s="108" t="str">
        <f>IFERROR(INDEX(Setup!$E$44:$E$70,MATCH(M812,Setup!$K$44:$K$70,0))&amp;"","")</f>
        <v/>
      </c>
      <c r="R812" s="108" t="str">
        <f>IFERROR(INDEX(Setup!$L$44:$L$70,MATCH(M812,Setup!$K$44:$K$70,0))&amp;"","")</f>
        <v/>
      </c>
      <c r="S812" s="108" t="str">
        <f>Setup!$C$30</f>
        <v>USD</v>
      </c>
      <c r="T812" s="109" t="str">
        <f>IFERROR(INDEX('Data Sheet'!$B$198:$B$275,MATCH(I812,'Data Sheet'!$F$198:$F$275,0)),"")</f>
        <v/>
      </c>
      <c r="U812" s="110" t="str">
        <f>IFERROR(INDEX('Data Sheet'!$D$198:$D$275,MATCH(I812,'Data Sheet'!$F$198:$F$275,0)),"")</f>
        <v/>
      </c>
      <c r="V812" s="99"/>
      <c r="W812" s="195" t="str">
        <f>IF(V812=Setup!$C$30,"Grant",IF(V812=Setup!$C$31,"Local",IF(V812=Setup!$C$32,"Other",IF(ISBLANK(V812),"","Other"))))</f>
        <v/>
      </c>
      <c r="X812" s="255"/>
      <c r="Y812" s="259" t="str">
        <f>IF(X812&lt;&gt;"",X812/VLOOKUP($V812,Setup!$C$30:$D$41,2,0),"")</f>
        <v/>
      </c>
      <c r="Z812" s="262"/>
      <c r="AA812" s="256" t="str">
        <f t="shared" si="368"/>
        <v/>
      </c>
      <c r="AB812" s="262"/>
      <c r="AC812" s="258" t="str">
        <f t="shared" si="369"/>
        <v/>
      </c>
      <c r="AD812" s="262"/>
      <c r="AE812" s="258" t="str">
        <f t="shared" si="370"/>
        <v/>
      </c>
      <c r="AF812" s="262"/>
      <c r="AG812" s="256" t="str">
        <f t="shared" si="371"/>
        <v/>
      </c>
      <c r="AH812" s="256" t="str">
        <f t="shared" si="372"/>
        <v/>
      </c>
      <c r="AI812" s="256" t="str">
        <f t="shared" si="373"/>
        <v/>
      </c>
      <c r="AJ812" s="111"/>
      <c r="AK812" s="255"/>
      <c r="AL812" s="259" t="str">
        <f>IF(AK812&lt;&gt;"",AK812/VLOOKUP($V812,Setup!$C$30:$D$41,2,0),"")</f>
        <v/>
      </c>
      <c r="AM812" s="266"/>
      <c r="AN812" s="258" t="str">
        <f t="shared" si="374"/>
        <v/>
      </c>
      <c r="AO812" s="266"/>
      <c r="AP812" s="258" t="str">
        <f t="shared" si="375"/>
        <v/>
      </c>
      <c r="AQ812" s="266"/>
      <c r="AR812" s="258" t="str">
        <f t="shared" si="376"/>
        <v/>
      </c>
      <c r="AS812" s="266"/>
      <c r="AT812" s="256" t="str">
        <f t="shared" si="377"/>
        <v/>
      </c>
      <c r="AU812" s="256" t="str">
        <f t="shared" si="378"/>
        <v/>
      </c>
      <c r="AV812" s="256" t="str">
        <f t="shared" si="379"/>
        <v/>
      </c>
      <c r="AW812" s="267"/>
      <c r="AX812" s="255"/>
      <c r="AY812" s="259" t="str">
        <f>IF(AX812&lt;&gt;"",AX812/VLOOKUP($V812,Setup!$C$30:$D$41,2,0),"")</f>
        <v/>
      </c>
      <c r="AZ812" s="268"/>
      <c r="BA812" s="258" t="str">
        <f t="shared" si="380"/>
        <v/>
      </c>
      <c r="BB812" s="268"/>
      <c r="BC812" s="258" t="str">
        <f t="shared" si="381"/>
        <v/>
      </c>
      <c r="BD812" s="268"/>
      <c r="BE812" s="258" t="str">
        <f t="shared" si="382"/>
        <v/>
      </c>
      <c r="BF812" s="268"/>
      <c r="BG812" s="256" t="str">
        <f t="shared" si="383"/>
        <v/>
      </c>
      <c r="BH812" s="256" t="str">
        <f t="shared" si="384"/>
        <v/>
      </c>
      <c r="BI812" s="256" t="str">
        <f t="shared" si="385"/>
        <v/>
      </c>
      <c r="BJ812" s="267"/>
      <c r="BK812" s="255"/>
      <c r="BL812" s="259" t="str">
        <f>IF(BK812&lt;&gt;"",BK812/VLOOKUP($V812,Setup!$C$30:$D$41,2,0),"")</f>
        <v/>
      </c>
      <c r="BM812" s="268"/>
      <c r="BN812" s="258" t="str">
        <f t="shared" si="386"/>
        <v/>
      </c>
      <c r="BO812" s="268"/>
      <c r="BP812" s="258" t="str">
        <f t="shared" si="387"/>
        <v/>
      </c>
      <c r="BQ812" s="268"/>
      <c r="BR812" s="258" t="str">
        <f t="shared" si="388"/>
        <v/>
      </c>
      <c r="BS812" s="268"/>
      <c r="BT812" s="256" t="str">
        <f t="shared" si="389"/>
        <v/>
      </c>
      <c r="BU812" s="256" t="str">
        <f t="shared" si="390"/>
        <v/>
      </c>
      <c r="BV812" s="256" t="str">
        <f t="shared" si="391"/>
        <v/>
      </c>
      <c r="BW812" s="267"/>
      <c r="BX812" s="256" t="str">
        <f t="shared" si="392"/>
        <v/>
      </c>
      <c r="BY812" s="256" t="str">
        <f t="shared" si="393"/>
        <v/>
      </c>
      <c r="BZ812" s="281"/>
      <c r="CA812" s="282"/>
      <c r="CF812" s="284"/>
      <c r="CG812" s="284"/>
      <c r="CH812" s="284"/>
      <c r="CI812" s="284"/>
      <c r="CL812" s="356" t="str">
        <f>IFERROR(VLOOKUP(C812,'Data Sheet'!$A$3:$B$26,2,FALSE),"")</f>
        <v/>
      </c>
    </row>
    <row r="813" spans="1:90" ht="15.75" x14ac:dyDescent="0.2">
      <c r="A813" s="97"/>
      <c r="B813" s="105" t="str">
        <f t="shared" si="396"/>
        <v>--</v>
      </c>
      <c r="C813" s="276"/>
      <c r="D813" s="101" t="str">
        <f>IFERROR(IF(VLOOKUP(C813,'Data Sheet'!$A$3:$D$26,4,FALSE)=0,"",VLOOKUP(C813,'Data Sheet'!$A$3:$D$26,4,FALSE)),"")</f>
        <v/>
      </c>
      <c r="E813" s="279"/>
      <c r="F813" s="103" t="str">
        <f>IFERROR(IF(VLOOKUP(E813,'Data Sheet'!$C$29:$E$174,3,FALSE)=0,"",VLOOKUP(E813,'Data Sheet'!$C$29:$E$174,3,FALSE)),"")</f>
        <v/>
      </c>
      <c r="G813" s="106" t="str">
        <f t="shared" si="394"/>
        <v>-</v>
      </c>
      <c r="H813" s="273"/>
      <c r="I813" s="107"/>
      <c r="J813" s="249" t="e">
        <f t="shared" si="395"/>
        <v>#VALUE!</v>
      </c>
      <c r="K813" s="101" t="str">
        <f>IFERROR(INDEX('Data Sheet'!$C$198:$C$275,MATCH(I813,'Data Sheet'!$F$198:$F$275,0)),"")</f>
        <v/>
      </c>
      <c r="L813" s="250" t="str">
        <f>IFERROR(INDEX('Data Sheet'!$G$198:$G$275,MATCH(I813,'Data Sheet'!$F$198:$F$275,0)),"")</f>
        <v/>
      </c>
      <c r="M813" s="194"/>
      <c r="N813" s="248"/>
      <c r="O813" s="248"/>
      <c r="P813" s="108" t="str">
        <f>IFERROR(INDEX(Setup!$D$44:$D$70,MATCH(M813,Setup!$K$44:$K$70,0))&amp;"","")</f>
        <v/>
      </c>
      <c r="Q813" s="108" t="str">
        <f>IFERROR(INDEX(Setup!$E$44:$E$70,MATCH(M813,Setup!$K$44:$K$70,0))&amp;"","")</f>
        <v/>
      </c>
      <c r="R813" s="108" t="str">
        <f>IFERROR(INDEX(Setup!$L$44:$L$70,MATCH(M813,Setup!$K$44:$K$70,0))&amp;"","")</f>
        <v/>
      </c>
      <c r="S813" s="108" t="str">
        <f>Setup!$C$30</f>
        <v>USD</v>
      </c>
      <c r="T813" s="109" t="str">
        <f>IFERROR(INDEX('Data Sheet'!$B$198:$B$275,MATCH(I813,'Data Sheet'!$F$198:$F$275,0)),"")</f>
        <v/>
      </c>
      <c r="U813" s="110" t="str">
        <f>IFERROR(INDEX('Data Sheet'!$D$198:$D$275,MATCH(I813,'Data Sheet'!$F$198:$F$275,0)),"")</f>
        <v/>
      </c>
      <c r="V813" s="99"/>
      <c r="W813" s="195" t="str">
        <f>IF(V813=Setup!$C$30,"Grant",IF(V813=Setup!$C$31,"Local",IF(V813=Setup!$C$32,"Other",IF(ISBLANK(V813),"","Other"))))</f>
        <v/>
      </c>
      <c r="X813" s="255"/>
      <c r="Y813" s="259" t="str">
        <f>IF(X813&lt;&gt;"",X813/VLOOKUP($V813,Setup!$C$30:$D$41,2,0),"")</f>
        <v/>
      </c>
      <c r="Z813" s="262"/>
      <c r="AA813" s="256" t="str">
        <f t="shared" si="368"/>
        <v/>
      </c>
      <c r="AB813" s="262"/>
      <c r="AC813" s="258" t="str">
        <f t="shared" si="369"/>
        <v/>
      </c>
      <c r="AD813" s="262"/>
      <c r="AE813" s="258" t="str">
        <f t="shared" si="370"/>
        <v/>
      </c>
      <c r="AF813" s="262"/>
      <c r="AG813" s="256" t="str">
        <f t="shared" si="371"/>
        <v/>
      </c>
      <c r="AH813" s="256" t="str">
        <f t="shared" si="372"/>
        <v/>
      </c>
      <c r="AI813" s="256" t="str">
        <f t="shared" si="373"/>
        <v/>
      </c>
      <c r="AJ813" s="111"/>
      <c r="AK813" s="255"/>
      <c r="AL813" s="259" t="str">
        <f>IF(AK813&lt;&gt;"",AK813/VLOOKUP($V813,Setup!$C$30:$D$41,2,0),"")</f>
        <v/>
      </c>
      <c r="AM813" s="266"/>
      <c r="AN813" s="258" t="str">
        <f t="shared" si="374"/>
        <v/>
      </c>
      <c r="AO813" s="266"/>
      <c r="AP813" s="258" t="str">
        <f t="shared" si="375"/>
        <v/>
      </c>
      <c r="AQ813" s="266"/>
      <c r="AR813" s="258" t="str">
        <f t="shared" si="376"/>
        <v/>
      </c>
      <c r="AS813" s="266"/>
      <c r="AT813" s="256" t="str">
        <f t="shared" si="377"/>
        <v/>
      </c>
      <c r="AU813" s="256" t="str">
        <f t="shared" si="378"/>
        <v/>
      </c>
      <c r="AV813" s="256" t="str">
        <f t="shared" si="379"/>
        <v/>
      </c>
      <c r="AW813" s="267"/>
      <c r="AX813" s="255"/>
      <c r="AY813" s="259" t="str">
        <f>IF(AX813&lt;&gt;"",AX813/VLOOKUP($V813,Setup!$C$30:$D$41,2,0),"")</f>
        <v/>
      </c>
      <c r="AZ813" s="268"/>
      <c r="BA813" s="258" t="str">
        <f t="shared" si="380"/>
        <v/>
      </c>
      <c r="BB813" s="268"/>
      <c r="BC813" s="258" t="str">
        <f t="shared" si="381"/>
        <v/>
      </c>
      <c r="BD813" s="268"/>
      <c r="BE813" s="258" t="str">
        <f t="shared" si="382"/>
        <v/>
      </c>
      <c r="BF813" s="268"/>
      <c r="BG813" s="256" t="str">
        <f t="shared" si="383"/>
        <v/>
      </c>
      <c r="BH813" s="256" t="str">
        <f t="shared" si="384"/>
        <v/>
      </c>
      <c r="BI813" s="256" t="str">
        <f t="shared" si="385"/>
        <v/>
      </c>
      <c r="BJ813" s="267"/>
      <c r="BK813" s="255"/>
      <c r="BL813" s="259" t="str">
        <f>IF(BK813&lt;&gt;"",BK813/VLOOKUP($V813,Setup!$C$30:$D$41,2,0),"")</f>
        <v/>
      </c>
      <c r="BM813" s="268"/>
      <c r="BN813" s="258" t="str">
        <f t="shared" si="386"/>
        <v/>
      </c>
      <c r="BO813" s="268"/>
      <c r="BP813" s="258" t="str">
        <f t="shared" si="387"/>
        <v/>
      </c>
      <c r="BQ813" s="268"/>
      <c r="BR813" s="258" t="str">
        <f t="shared" si="388"/>
        <v/>
      </c>
      <c r="BS813" s="268"/>
      <c r="BT813" s="256" t="str">
        <f t="shared" si="389"/>
        <v/>
      </c>
      <c r="BU813" s="256" t="str">
        <f t="shared" si="390"/>
        <v/>
      </c>
      <c r="BV813" s="256" t="str">
        <f t="shared" si="391"/>
        <v/>
      </c>
      <c r="BW813" s="267"/>
      <c r="BX813" s="256" t="str">
        <f t="shared" si="392"/>
        <v/>
      </c>
      <c r="BY813" s="256" t="str">
        <f t="shared" si="393"/>
        <v/>
      </c>
      <c r="BZ813" s="281"/>
      <c r="CA813" s="282"/>
      <c r="CF813" s="284"/>
      <c r="CG813" s="284"/>
      <c r="CH813" s="284"/>
      <c r="CI813" s="284"/>
      <c r="CL813" s="356" t="str">
        <f>IFERROR(VLOOKUP(C813,'Data Sheet'!$A$3:$B$26,2,FALSE),"")</f>
        <v/>
      </c>
    </row>
    <row r="814" spans="1:90" ht="15.75" x14ac:dyDescent="0.2">
      <c r="A814" s="97"/>
      <c r="B814" s="105" t="str">
        <f t="shared" si="396"/>
        <v>--</v>
      </c>
      <c r="C814" s="276"/>
      <c r="D814" s="101" t="str">
        <f>IFERROR(IF(VLOOKUP(C814,'Data Sheet'!$A$3:$D$26,4,FALSE)=0,"",VLOOKUP(C814,'Data Sheet'!$A$3:$D$26,4,FALSE)),"")</f>
        <v/>
      </c>
      <c r="E814" s="279"/>
      <c r="F814" s="103" t="str">
        <f>IFERROR(IF(VLOOKUP(E814,'Data Sheet'!$C$29:$E$174,3,FALSE)=0,"",VLOOKUP(E814,'Data Sheet'!$C$29:$E$174,3,FALSE)),"")</f>
        <v/>
      </c>
      <c r="G814" s="106" t="str">
        <f t="shared" si="394"/>
        <v>-</v>
      </c>
      <c r="H814" s="273"/>
      <c r="I814" s="107"/>
      <c r="J814" s="249" t="e">
        <f t="shared" si="395"/>
        <v>#VALUE!</v>
      </c>
      <c r="K814" s="101" t="str">
        <f>IFERROR(INDEX('Data Sheet'!$C$198:$C$275,MATCH(I814,'Data Sheet'!$F$198:$F$275,0)),"")</f>
        <v/>
      </c>
      <c r="L814" s="250" t="str">
        <f>IFERROR(INDEX('Data Sheet'!$G$198:$G$275,MATCH(I814,'Data Sheet'!$F$198:$F$275,0)),"")</f>
        <v/>
      </c>
      <c r="M814" s="194"/>
      <c r="N814" s="248"/>
      <c r="O814" s="248"/>
      <c r="P814" s="108" t="str">
        <f>IFERROR(INDEX(Setup!$D$44:$D$70,MATCH(M814,Setup!$K$44:$K$70,0))&amp;"","")</f>
        <v/>
      </c>
      <c r="Q814" s="108" t="str">
        <f>IFERROR(INDEX(Setup!$E$44:$E$70,MATCH(M814,Setup!$K$44:$K$70,0))&amp;"","")</f>
        <v/>
      </c>
      <c r="R814" s="108" t="str">
        <f>IFERROR(INDEX(Setup!$L$44:$L$70,MATCH(M814,Setup!$K$44:$K$70,0))&amp;"","")</f>
        <v/>
      </c>
      <c r="S814" s="108" t="str">
        <f>Setup!$C$30</f>
        <v>USD</v>
      </c>
      <c r="T814" s="109" t="str">
        <f>IFERROR(INDEX('Data Sheet'!$B$198:$B$275,MATCH(I814,'Data Sheet'!$F$198:$F$275,0)),"")</f>
        <v/>
      </c>
      <c r="U814" s="110" t="str">
        <f>IFERROR(INDEX('Data Sheet'!$D$198:$D$275,MATCH(I814,'Data Sheet'!$F$198:$F$275,0)),"")</f>
        <v/>
      </c>
      <c r="V814" s="99"/>
      <c r="W814" s="195" t="str">
        <f>IF(V814=Setup!$C$30,"Grant",IF(V814=Setup!$C$31,"Local",IF(V814=Setup!$C$32,"Other",IF(ISBLANK(V814),"","Other"))))</f>
        <v/>
      </c>
      <c r="X814" s="255"/>
      <c r="Y814" s="259" t="str">
        <f>IF(X814&lt;&gt;"",X814/VLOOKUP($V814,Setup!$C$30:$D$41,2,0),"")</f>
        <v/>
      </c>
      <c r="Z814" s="262"/>
      <c r="AA814" s="256" t="str">
        <f t="shared" si="368"/>
        <v/>
      </c>
      <c r="AB814" s="262"/>
      <c r="AC814" s="258" t="str">
        <f t="shared" si="369"/>
        <v/>
      </c>
      <c r="AD814" s="262"/>
      <c r="AE814" s="258" t="str">
        <f t="shared" si="370"/>
        <v/>
      </c>
      <c r="AF814" s="262"/>
      <c r="AG814" s="256" t="str">
        <f t="shared" si="371"/>
        <v/>
      </c>
      <c r="AH814" s="256" t="str">
        <f t="shared" si="372"/>
        <v/>
      </c>
      <c r="AI814" s="256" t="str">
        <f t="shared" si="373"/>
        <v/>
      </c>
      <c r="AJ814" s="111"/>
      <c r="AK814" s="255"/>
      <c r="AL814" s="259" t="str">
        <f>IF(AK814&lt;&gt;"",AK814/VLOOKUP($V814,Setup!$C$30:$D$41,2,0),"")</f>
        <v/>
      </c>
      <c r="AM814" s="266"/>
      <c r="AN814" s="258" t="str">
        <f t="shared" si="374"/>
        <v/>
      </c>
      <c r="AO814" s="266"/>
      <c r="AP814" s="258" t="str">
        <f t="shared" si="375"/>
        <v/>
      </c>
      <c r="AQ814" s="266"/>
      <c r="AR814" s="258" t="str">
        <f t="shared" si="376"/>
        <v/>
      </c>
      <c r="AS814" s="266"/>
      <c r="AT814" s="256" t="str">
        <f t="shared" si="377"/>
        <v/>
      </c>
      <c r="AU814" s="256" t="str">
        <f t="shared" si="378"/>
        <v/>
      </c>
      <c r="AV814" s="256" t="str">
        <f t="shared" si="379"/>
        <v/>
      </c>
      <c r="AW814" s="267"/>
      <c r="AX814" s="255"/>
      <c r="AY814" s="259" t="str">
        <f>IF(AX814&lt;&gt;"",AX814/VLOOKUP($V814,Setup!$C$30:$D$41,2,0),"")</f>
        <v/>
      </c>
      <c r="AZ814" s="268"/>
      <c r="BA814" s="258" t="str">
        <f t="shared" si="380"/>
        <v/>
      </c>
      <c r="BB814" s="268"/>
      <c r="BC814" s="258" t="str">
        <f t="shared" si="381"/>
        <v/>
      </c>
      <c r="BD814" s="268"/>
      <c r="BE814" s="258" t="str">
        <f t="shared" si="382"/>
        <v/>
      </c>
      <c r="BF814" s="268"/>
      <c r="BG814" s="256" t="str">
        <f t="shared" si="383"/>
        <v/>
      </c>
      <c r="BH814" s="256" t="str">
        <f t="shared" si="384"/>
        <v/>
      </c>
      <c r="BI814" s="256" t="str">
        <f t="shared" si="385"/>
        <v/>
      </c>
      <c r="BJ814" s="267"/>
      <c r="BK814" s="255"/>
      <c r="BL814" s="259" t="str">
        <f>IF(BK814&lt;&gt;"",BK814/VLOOKUP($V814,Setup!$C$30:$D$41,2,0),"")</f>
        <v/>
      </c>
      <c r="BM814" s="268"/>
      <c r="BN814" s="258" t="str">
        <f t="shared" si="386"/>
        <v/>
      </c>
      <c r="BO814" s="268"/>
      <c r="BP814" s="258" t="str">
        <f t="shared" si="387"/>
        <v/>
      </c>
      <c r="BQ814" s="268"/>
      <c r="BR814" s="258" t="str">
        <f t="shared" si="388"/>
        <v/>
      </c>
      <c r="BS814" s="268"/>
      <c r="BT814" s="256" t="str">
        <f t="shared" si="389"/>
        <v/>
      </c>
      <c r="BU814" s="256" t="str">
        <f t="shared" si="390"/>
        <v/>
      </c>
      <c r="BV814" s="256" t="str">
        <f t="shared" si="391"/>
        <v/>
      </c>
      <c r="BW814" s="267"/>
      <c r="BX814" s="256" t="str">
        <f t="shared" si="392"/>
        <v/>
      </c>
      <c r="BY814" s="256" t="str">
        <f t="shared" si="393"/>
        <v/>
      </c>
      <c r="BZ814" s="281"/>
      <c r="CA814" s="282"/>
      <c r="CF814" s="284"/>
      <c r="CG814" s="284"/>
      <c r="CH814" s="284"/>
      <c r="CI814" s="284"/>
      <c r="CL814" s="356" t="str">
        <f>IFERROR(VLOOKUP(C814,'Data Sheet'!$A$3:$B$26,2,FALSE),"")</f>
        <v/>
      </c>
    </row>
    <row r="815" spans="1:90" ht="15.75" x14ac:dyDescent="0.2">
      <c r="A815" s="97"/>
      <c r="B815" s="105" t="str">
        <f t="shared" si="396"/>
        <v>--</v>
      </c>
      <c r="C815" s="276"/>
      <c r="D815" s="101" t="str">
        <f>IFERROR(IF(VLOOKUP(C815,'Data Sheet'!$A$3:$D$26,4,FALSE)=0,"",VLOOKUP(C815,'Data Sheet'!$A$3:$D$26,4,FALSE)),"")</f>
        <v/>
      </c>
      <c r="E815" s="279"/>
      <c r="F815" s="103" t="str">
        <f>IFERROR(IF(VLOOKUP(E815,'Data Sheet'!$C$29:$E$174,3,FALSE)=0,"",VLOOKUP(E815,'Data Sheet'!$C$29:$E$174,3,FALSE)),"")</f>
        <v/>
      </c>
      <c r="G815" s="106" t="str">
        <f t="shared" si="394"/>
        <v>-</v>
      </c>
      <c r="H815" s="273"/>
      <c r="I815" s="107"/>
      <c r="J815" s="249" t="e">
        <f t="shared" si="395"/>
        <v>#VALUE!</v>
      </c>
      <c r="K815" s="101" t="str">
        <f>IFERROR(INDEX('Data Sheet'!$C$198:$C$275,MATCH(I815,'Data Sheet'!$F$198:$F$275,0)),"")</f>
        <v/>
      </c>
      <c r="L815" s="250" t="str">
        <f>IFERROR(INDEX('Data Sheet'!$G$198:$G$275,MATCH(I815,'Data Sheet'!$F$198:$F$275,0)),"")</f>
        <v/>
      </c>
      <c r="M815" s="194"/>
      <c r="N815" s="248"/>
      <c r="O815" s="248"/>
      <c r="P815" s="108" t="str">
        <f>IFERROR(INDEX(Setup!$D$44:$D$70,MATCH(M815,Setup!$K$44:$K$70,0))&amp;"","")</f>
        <v/>
      </c>
      <c r="Q815" s="108" t="str">
        <f>IFERROR(INDEX(Setup!$E$44:$E$70,MATCH(M815,Setup!$K$44:$K$70,0))&amp;"","")</f>
        <v/>
      </c>
      <c r="R815" s="108" t="str">
        <f>IFERROR(INDEX(Setup!$L$44:$L$70,MATCH(M815,Setup!$K$44:$K$70,0))&amp;"","")</f>
        <v/>
      </c>
      <c r="S815" s="108" t="str">
        <f>Setup!$C$30</f>
        <v>USD</v>
      </c>
      <c r="T815" s="109" t="str">
        <f>IFERROR(INDEX('Data Sheet'!$B$198:$B$275,MATCH(I815,'Data Sheet'!$F$198:$F$275,0)),"")</f>
        <v/>
      </c>
      <c r="U815" s="110" t="str">
        <f>IFERROR(INDEX('Data Sheet'!$D$198:$D$275,MATCH(I815,'Data Sheet'!$F$198:$F$275,0)),"")</f>
        <v/>
      </c>
      <c r="V815" s="99"/>
      <c r="W815" s="195" t="str">
        <f>IF(V815=Setup!$C$30,"Grant",IF(V815=Setup!$C$31,"Local",IF(V815=Setup!$C$32,"Other",IF(ISBLANK(V815),"","Other"))))</f>
        <v/>
      </c>
      <c r="X815" s="255"/>
      <c r="Y815" s="259" t="str">
        <f>IF(X815&lt;&gt;"",X815/VLOOKUP($V815,Setup!$C$30:$D$41,2,0),"")</f>
        <v/>
      </c>
      <c r="Z815" s="262"/>
      <c r="AA815" s="256" t="str">
        <f t="shared" si="368"/>
        <v/>
      </c>
      <c r="AB815" s="262"/>
      <c r="AC815" s="258" t="str">
        <f t="shared" si="369"/>
        <v/>
      </c>
      <c r="AD815" s="262"/>
      <c r="AE815" s="258" t="str">
        <f t="shared" si="370"/>
        <v/>
      </c>
      <c r="AF815" s="262"/>
      <c r="AG815" s="256" t="str">
        <f t="shared" si="371"/>
        <v/>
      </c>
      <c r="AH815" s="256" t="str">
        <f t="shared" si="372"/>
        <v/>
      </c>
      <c r="AI815" s="256" t="str">
        <f t="shared" si="373"/>
        <v/>
      </c>
      <c r="AJ815" s="111"/>
      <c r="AK815" s="255"/>
      <c r="AL815" s="259" t="str">
        <f>IF(AK815&lt;&gt;"",AK815/VLOOKUP($V815,Setup!$C$30:$D$41,2,0),"")</f>
        <v/>
      </c>
      <c r="AM815" s="266"/>
      <c r="AN815" s="258" t="str">
        <f t="shared" si="374"/>
        <v/>
      </c>
      <c r="AO815" s="266"/>
      <c r="AP815" s="258" t="str">
        <f t="shared" si="375"/>
        <v/>
      </c>
      <c r="AQ815" s="266"/>
      <c r="AR815" s="258" t="str">
        <f t="shared" si="376"/>
        <v/>
      </c>
      <c r="AS815" s="266"/>
      <c r="AT815" s="256" t="str">
        <f t="shared" si="377"/>
        <v/>
      </c>
      <c r="AU815" s="256" t="str">
        <f t="shared" si="378"/>
        <v/>
      </c>
      <c r="AV815" s="256" t="str">
        <f t="shared" si="379"/>
        <v/>
      </c>
      <c r="AW815" s="267"/>
      <c r="AX815" s="255"/>
      <c r="AY815" s="259" t="str">
        <f>IF(AX815&lt;&gt;"",AX815/VLOOKUP($V815,Setup!$C$30:$D$41,2,0),"")</f>
        <v/>
      </c>
      <c r="AZ815" s="268"/>
      <c r="BA815" s="258" t="str">
        <f t="shared" si="380"/>
        <v/>
      </c>
      <c r="BB815" s="268"/>
      <c r="BC815" s="258" t="str">
        <f t="shared" si="381"/>
        <v/>
      </c>
      <c r="BD815" s="268"/>
      <c r="BE815" s="258" t="str">
        <f t="shared" si="382"/>
        <v/>
      </c>
      <c r="BF815" s="268"/>
      <c r="BG815" s="256" t="str">
        <f t="shared" si="383"/>
        <v/>
      </c>
      <c r="BH815" s="256" t="str">
        <f t="shared" si="384"/>
        <v/>
      </c>
      <c r="BI815" s="256" t="str">
        <f t="shared" si="385"/>
        <v/>
      </c>
      <c r="BJ815" s="267"/>
      <c r="BK815" s="255"/>
      <c r="BL815" s="259" t="str">
        <f>IF(BK815&lt;&gt;"",BK815/VLOOKUP($V815,Setup!$C$30:$D$41,2,0),"")</f>
        <v/>
      </c>
      <c r="BM815" s="268"/>
      <c r="BN815" s="258" t="str">
        <f t="shared" si="386"/>
        <v/>
      </c>
      <c r="BO815" s="268"/>
      <c r="BP815" s="258" t="str">
        <f t="shared" si="387"/>
        <v/>
      </c>
      <c r="BQ815" s="268"/>
      <c r="BR815" s="258" t="str">
        <f t="shared" si="388"/>
        <v/>
      </c>
      <c r="BS815" s="268"/>
      <c r="BT815" s="256" t="str">
        <f t="shared" si="389"/>
        <v/>
      </c>
      <c r="BU815" s="256" t="str">
        <f t="shared" si="390"/>
        <v/>
      </c>
      <c r="BV815" s="256" t="str">
        <f t="shared" si="391"/>
        <v/>
      </c>
      <c r="BW815" s="267"/>
      <c r="BX815" s="256" t="str">
        <f t="shared" si="392"/>
        <v/>
      </c>
      <c r="BY815" s="256" t="str">
        <f t="shared" si="393"/>
        <v/>
      </c>
      <c r="BZ815" s="281"/>
      <c r="CA815" s="282"/>
      <c r="CF815" s="284"/>
      <c r="CG815" s="284"/>
      <c r="CH815" s="284"/>
      <c r="CI815" s="284"/>
      <c r="CL815" s="356" t="str">
        <f>IFERROR(VLOOKUP(C815,'Data Sheet'!$A$3:$B$26,2,FALSE),"")</f>
        <v/>
      </c>
    </row>
    <row r="816" spans="1:90" ht="15.75" x14ac:dyDescent="0.2">
      <c r="A816" s="97"/>
      <c r="B816" s="105" t="str">
        <f t="shared" si="396"/>
        <v>--</v>
      </c>
      <c r="C816" s="276"/>
      <c r="D816" s="101" t="str">
        <f>IFERROR(IF(VLOOKUP(C816,'Data Sheet'!$A$3:$D$26,4,FALSE)=0,"",VLOOKUP(C816,'Data Sheet'!$A$3:$D$26,4,FALSE)),"")</f>
        <v/>
      </c>
      <c r="E816" s="279"/>
      <c r="F816" s="103" t="str">
        <f>IFERROR(IF(VLOOKUP(E816,'Data Sheet'!$C$29:$E$174,3,FALSE)=0,"",VLOOKUP(E816,'Data Sheet'!$C$29:$E$174,3,FALSE)),"")</f>
        <v/>
      </c>
      <c r="G816" s="106" t="str">
        <f t="shared" si="394"/>
        <v>-</v>
      </c>
      <c r="H816" s="273"/>
      <c r="I816" s="107"/>
      <c r="J816" s="249" t="e">
        <f t="shared" si="395"/>
        <v>#VALUE!</v>
      </c>
      <c r="K816" s="101" t="str">
        <f>IFERROR(INDEX('Data Sheet'!$C$198:$C$275,MATCH(I816,'Data Sheet'!$F$198:$F$275,0)),"")</f>
        <v/>
      </c>
      <c r="L816" s="250" t="str">
        <f>IFERROR(INDEX('Data Sheet'!$G$198:$G$275,MATCH(I816,'Data Sheet'!$F$198:$F$275,0)),"")</f>
        <v/>
      </c>
      <c r="M816" s="194"/>
      <c r="N816" s="248"/>
      <c r="O816" s="248"/>
      <c r="P816" s="108" t="str">
        <f>IFERROR(INDEX(Setup!$D$44:$D$70,MATCH(M816,Setup!$K$44:$K$70,0))&amp;"","")</f>
        <v/>
      </c>
      <c r="Q816" s="108" t="str">
        <f>IFERROR(INDEX(Setup!$E$44:$E$70,MATCH(M816,Setup!$K$44:$K$70,0))&amp;"","")</f>
        <v/>
      </c>
      <c r="R816" s="108" t="str">
        <f>IFERROR(INDEX(Setup!$L$44:$L$70,MATCH(M816,Setup!$K$44:$K$70,0))&amp;"","")</f>
        <v/>
      </c>
      <c r="S816" s="108" t="str">
        <f>Setup!$C$30</f>
        <v>USD</v>
      </c>
      <c r="T816" s="109" t="str">
        <f>IFERROR(INDEX('Data Sheet'!$B$198:$B$275,MATCH(I816,'Data Sheet'!$F$198:$F$275,0)),"")</f>
        <v/>
      </c>
      <c r="U816" s="110" t="str">
        <f>IFERROR(INDEX('Data Sheet'!$D$198:$D$275,MATCH(I816,'Data Sheet'!$F$198:$F$275,0)),"")</f>
        <v/>
      </c>
      <c r="V816" s="99"/>
      <c r="W816" s="195" t="str">
        <f>IF(V816=Setup!$C$30,"Grant",IF(V816=Setup!$C$31,"Local",IF(V816=Setup!$C$32,"Other",IF(ISBLANK(V816),"","Other"))))</f>
        <v/>
      </c>
      <c r="X816" s="255"/>
      <c r="Y816" s="259" t="str">
        <f>IF(X816&lt;&gt;"",X816/VLOOKUP($V816,Setup!$C$30:$D$41,2,0),"")</f>
        <v/>
      </c>
      <c r="Z816" s="262"/>
      <c r="AA816" s="256" t="str">
        <f t="shared" si="368"/>
        <v/>
      </c>
      <c r="AB816" s="262"/>
      <c r="AC816" s="258" t="str">
        <f t="shared" si="369"/>
        <v/>
      </c>
      <c r="AD816" s="262"/>
      <c r="AE816" s="258" t="str">
        <f t="shared" si="370"/>
        <v/>
      </c>
      <c r="AF816" s="262"/>
      <c r="AG816" s="256" t="str">
        <f t="shared" si="371"/>
        <v/>
      </c>
      <c r="AH816" s="256" t="str">
        <f t="shared" si="372"/>
        <v/>
      </c>
      <c r="AI816" s="256" t="str">
        <f t="shared" si="373"/>
        <v/>
      </c>
      <c r="AJ816" s="111"/>
      <c r="AK816" s="255"/>
      <c r="AL816" s="259" t="str">
        <f>IF(AK816&lt;&gt;"",AK816/VLOOKUP($V816,Setup!$C$30:$D$41,2,0),"")</f>
        <v/>
      </c>
      <c r="AM816" s="266"/>
      <c r="AN816" s="258" t="str">
        <f t="shared" si="374"/>
        <v/>
      </c>
      <c r="AO816" s="266"/>
      <c r="AP816" s="258" t="str">
        <f t="shared" si="375"/>
        <v/>
      </c>
      <c r="AQ816" s="266"/>
      <c r="AR816" s="258" t="str">
        <f t="shared" si="376"/>
        <v/>
      </c>
      <c r="AS816" s="266"/>
      <c r="AT816" s="256" t="str">
        <f t="shared" si="377"/>
        <v/>
      </c>
      <c r="AU816" s="256" t="str">
        <f t="shared" si="378"/>
        <v/>
      </c>
      <c r="AV816" s="256" t="str">
        <f t="shared" si="379"/>
        <v/>
      </c>
      <c r="AW816" s="267"/>
      <c r="AX816" s="255"/>
      <c r="AY816" s="259" t="str">
        <f>IF(AX816&lt;&gt;"",AX816/VLOOKUP($V816,Setup!$C$30:$D$41,2,0),"")</f>
        <v/>
      </c>
      <c r="AZ816" s="268"/>
      <c r="BA816" s="258" t="str">
        <f t="shared" si="380"/>
        <v/>
      </c>
      <c r="BB816" s="268"/>
      <c r="BC816" s="258" t="str">
        <f t="shared" si="381"/>
        <v/>
      </c>
      <c r="BD816" s="268"/>
      <c r="BE816" s="258" t="str">
        <f t="shared" si="382"/>
        <v/>
      </c>
      <c r="BF816" s="268"/>
      <c r="BG816" s="256" t="str">
        <f t="shared" si="383"/>
        <v/>
      </c>
      <c r="BH816" s="256" t="str">
        <f t="shared" si="384"/>
        <v/>
      </c>
      <c r="BI816" s="256" t="str">
        <f t="shared" si="385"/>
        <v/>
      </c>
      <c r="BJ816" s="267"/>
      <c r="BK816" s="255"/>
      <c r="BL816" s="259" t="str">
        <f>IF(BK816&lt;&gt;"",BK816/VLOOKUP($V816,Setup!$C$30:$D$41,2,0),"")</f>
        <v/>
      </c>
      <c r="BM816" s="268"/>
      <c r="BN816" s="258" t="str">
        <f t="shared" si="386"/>
        <v/>
      </c>
      <c r="BO816" s="268"/>
      <c r="BP816" s="258" t="str">
        <f t="shared" si="387"/>
        <v/>
      </c>
      <c r="BQ816" s="268"/>
      <c r="BR816" s="258" t="str">
        <f t="shared" si="388"/>
        <v/>
      </c>
      <c r="BS816" s="268"/>
      <c r="BT816" s="256" t="str">
        <f t="shared" si="389"/>
        <v/>
      </c>
      <c r="BU816" s="256" t="str">
        <f t="shared" si="390"/>
        <v/>
      </c>
      <c r="BV816" s="256" t="str">
        <f t="shared" si="391"/>
        <v/>
      </c>
      <c r="BW816" s="267"/>
      <c r="BX816" s="256" t="str">
        <f t="shared" si="392"/>
        <v/>
      </c>
      <c r="BY816" s="256" t="str">
        <f t="shared" si="393"/>
        <v/>
      </c>
      <c r="BZ816" s="281"/>
      <c r="CA816" s="282"/>
      <c r="CF816" s="284"/>
      <c r="CG816" s="284"/>
      <c r="CH816" s="284"/>
      <c r="CI816" s="284"/>
      <c r="CL816" s="356" t="str">
        <f>IFERROR(VLOOKUP(C816,'Data Sheet'!$A$3:$B$26,2,FALSE),"")</f>
        <v/>
      </c>
    </row>
    <row r="817" spans="1:90" ht="15.75" x14ac:dyDescent="0.2">
      <c r="A817" s="97"/>
      <c r="B817" s="105" t="str">
        <f t="shared" si="396"/>
        <v>--</v>
      </c>
      <c r="C817" s="276"/>
      <c r="D817" s="101" t="str">
        <f>IFERROR(IF(VLOOKUP(C817,'Data Sheet'!$A$3:$D$26,4,FALSE)=0,"",VLOOKUP(C817,'Data Sheet'!$A$3:$D$26,4,FALSE)),"")</f>
        <v/>
      </c>
      <c r="E817" s="279"/>
      <c r="F817" s="103" t="str">
        <f>IFERROR(IF(VLOOKUP(E817,'Data Sheet'!$C$29:$E$174,3,FALSE)=0,"",VLOOKUP(E817,'Data Sheet'!$C$29:$E$174,3,FALSE)),"")</f>
        <v/>
      </c>
      <c r="G817" s="106" t="str">
        <f t="shared" si="394"/>
        <v>-</v>
      </c>
      <c r="H817" s="273"/>
      <c r="I817" s="107"/>
      <c r="J817" s="249" t="e">
        <f t="shared" si="395"/>
        <v>#VALUE!</v>
      </c>
      <c r="K817" s="101" t="str">
        <f>IFERROR(INDEX('Data Sheet'!$C$198:$C$275,MATCH(I817,'Data Sheet'!$F$198:$F$275,0)),"")</f>
        <v/>
      </c>
      <c r="L817" s="250" t="str">
        <f>IFERROR(INDEX('Data Sheet'!$G$198:$G$275,MATCH(I817,'Data Sheet'!$F$198:$F$275,0)),"")</f>
        <v/>
      </c>
      <c r="M817" s="194"/>
      <c r="N817" s="248"/>
      <c r="O817" s="248"/>
      <c r="P817" s="108" t="str">
        <f>IFERROR(INDEX(Setup!$D$44:$D$70,MATCH(M817,Setup!$K$44:$K$70,0))&amp;"","")</f>
        <v/>
      </c>
      <c r="Q817" s="108" t="str">
        <f>IFERROR(INDEX(Setup!$E$44:$E$70,MATCH(M817,Setup!$K$44:$K$70,0))&amp;"","")</f>
        <v/>
      </c>
      <c r="R817" s="108" t="str">
        <f>IFERROR(INDEX(Setup!$L$44:$L$70,MATCH(M817,Setup!$K$44:$K$70,0))&amp;"","")</f>
        <v/>
      </c>
      <c r="S817" s="108" t="str">
        <f>Setup!$C$30</f>
        <v>USD</v>
      </c>
      <c r="T817" s="109" t="str">
        <f>IFERROR(INDEX('Data Sheet'!$B$198:$B$275,MATCH(I817,'Data Sheet'!$F$198:$F$275,0)),"")</f>
        <v/>
      </c>
      <c r="U817" s="110" t="str">
        <f>IFERROR(INDEX('Data Sheet'!$D$198:$D$275,MATCH(I817,'Data Sheet'!$F$198:$F$275,0)),"")</f>
        <v/>
      </c>
      <c r="V817" s="99"/>
      <c r="W817" s="195" t="str">
        <f>IF(V817=Setup!$C$30,"Grant",IF(V817=Setup!$C$31,"Local",IF(V817=Setup!$C$32,"Other",IF(ISBLANK(V817),"","Other"))))</f>
        <v/>
      </c>
      <c r="X817" s="255"/>
      <c r="Y817" s="259" t="str">
        <f>IF(X817&lt;&gt;"",X817/VLOOKUP($V817,Setup!$C$30:$D$41,2,0),"")</f>
        <v/>
      </c>
      <c r="Z817" s="262"/>
      <c r="AA817" s="256" t="str">
        <f t="shared" si="368"/>
        <v/>
      </c>
      <c r="AB817" s="262"/>
      <c r="AC817" s="258" t="str">
        <f t="shared" si="369"/>
        <v/>
      </c>
      <c r="AD817" s="262"/>
      <c r="AE817" s="258" t="str">
        <f t="shared" si="370"/>
        <v/>
      </c>
      <c r="AF817" s="262"/>
      <c r="AG817" s="256" t="str">
        <f t="shared" si="371"/>
        <v/>
      </c>
      <c r="AH817" s="256" t="str">
        <f t="shared" si="372"/>
        <v/>
      </c>
      <c r="AI817" s="256" t="str">
        <f t="shared" si="373"/>
        <v/>
      </c>
      <c r="AJ817" s="111"/>
      <c r="AK817" s="255"/>
      <c r="AL817" s="259" t="str">
        <f>IF(AK817&lt;&gt;"",AK817/VLOOKUP($V817,Setup!$C$30:$D$41,2,0),"")</f>
        <v/>
      </c>
      <c r="AM817" s="266"/>
      <c r="AN817" s="258" t="str">
        <f t="shared" si="374"/>
        <v/>
      </c>
      <c r="AO817" s="266"/>
      <c r="AP817" s="258" t="str">
        <f t="shared" si="375"/>
        <v/>
      </c>
      <c r="AQ817" s="266"/>
      <c r="AR817" s="258" t="str">
        <f t="shared" si="376"/>
        <v/>
      </c>
      <c r="AS817" s="266"/>
      <c r="AT817" s="256" t="str">
        <f t="shared" si="377"/>
        <v/>
      </c>
      <c r="AU817" s="256" t="str">
        <f t="shared" si="378"/>
        <v/>
      </c>
      <c r="AV817" s="256" t="str">
        <f t="shared" si="379"/>
        <v/>
      </c>
      <c r="AW817" s="267"/>
      <c r="AX817" s="255"/>
      <c r="AY817" s="259" t="str">
        <f>IF(AX817&lt;&gt;"",AX817/VLOOKUP($V817,Setup!$C$30:$D$41,2,0),"")</f>
        <v/>
      </c>
      <c r="AZ817" s="268"/>
      <c r="BA817" s="258" t="str">
        <f t="shared" si="380"/>
        <v/>
      </c>
      <c r="BB817" s="268"/>
      <c r="BC817" s="258" t="str">
        <f t="shared" si="381"/>
        <v/>
      </c>
      <c r="BD817" s="268"/>
      <c r="BE817" s="258" t="str">
        <f t="shared" si="382"/>
        <v/>
      </c>
      <c r="BF817" s="268"/>
      <c r="BG817" s="256" t="str">
        <f t="shared" si="383"/>
        <v/>
      </c>
      <c r="BH817" s="256" t="str">
        <f t="shared" si="384"/>
        <v/>
      </c>
      <c r="BI817" s="256" t="str">
        <f t="shared" si="385"/>
        <v/>
      </c>
      <c r="BJ817" s="267"/>
      <c r="BK817" s="255"/>
      <c r="BL817" s="259" t="str">
        <f>IF(BK817&lt;&gt;"",BK817/VLOOKUP($V817,Setup!$C$30:$D$41,2,0),"")</f>
        <v/>
      </c>
      <c r="BM817" s="268"/>
      <c r="BN817" s="258" t="str">
        <f t="shared" si="386"/>
        <v/>
      </c>
      <c r="BO817" s="268"/>
      <c r="BP817" s="258" t="str">
        <f t="shared" si="387"/>
        <v/>
      </c>
      <c r="BQ817" s="268"/>
      <c r="BR817" s="258" t="str">
        <f t="shared" si="388"/>
        <v/>
      </c>
      <c r="BS817" s="268"/>
      <c r="BT817" s="256" t="str">
        <f t="shared" si="389"/>
        <v/>
      </c>
      <c r="BU817" s="256" t="str">
        <f t="shared" si="390"/>
        <v/>
      </c>
      <c r="BV817" s="256" t="str">
        <f t="shared" si="391"/>
        <v/>
      </c>
      <c r="BW817" s="267"/>
      <c r="BX817" s="256" t="str">
        <f t="shared" si="392"/>
        <v/>
      </c>
      <c r="BY817" s="256" t="str">
        <f t="shared" si="393"/>
        <v/>
      </c>
      <c r="BZ817" s="281"/>
      <c r="CA817" s="282"/>
      <c r="CF817" s="284"/>
      <c r="CG817" s="284"/>
      <c r="CH817" s="284"/>
      <c r="CI817" s="284"/>
      <c r="CL817" s="356" t="str">
        <f>IFERROR(VLOOKUP(C817,'Data Sheet'!$A$3:$B$26,2,FALSE),"")</f>
        <v/>
      </c>
    </row>
    <row r="818" spans="1:90" ht="15.75" x14ac:dyDescent="0.2">
      <c r="A818" s="97"/>
      <c r="B818" s="105" t="str">
        <f t="shared" si="396"/>
        <v>--</v>
      </c>
      <c r="C818" s="276"/>
      <c r="D818" s="101" t="str">
        <f>IFERROR(IF(VLOOKUP(C818,'Data Sheet'!$A$3:$D$26,4,FALSE)=0,"",VLOOKUP(C818,'Data Sheet'!$A$3:$D$26,4,FALSE)),"")</f>
        <v/>
      </c>
      <c r="E818" s="279"/>
      <c r="F818" s="103" t="str">
        <f>IFERROR(IF(VLOOKUP(E818,'Data Sheet'!$C$29:$E$174,3,FALSE)=0,"",VLOOKUP(E818,'Data Sheet'!$C$29:$E$174,3,FALSE)),"")</f>
        <v/>
      </c>
      <c r="G818" s="106" t="str">
        <f t="shared" si="394"/>
        <v>-</v>
      </c>
      <c r="H818" s="273"/>
      <c r="I818" s="107"/>
      <c r="J818" s="249" t="e">
        <f t="shared" si="395"/>
        <v>#VALUE!</v>
      </c>
      <c r="K818" s="101" t="str">
        <f>IFERROR(INDEX('Data Sheet'!$C$198:$C$275,MATCH(I818,'Data Sheet'!$F$198:$F$275,0)),"")</f>
        <v/>
      </c>
      <c r="L818" s="250" t="str">
        <f>IFERROR(INDEX('Data Sheet'!$G$198:$G$275,MATCH(I818,'Data Sheet'!$F$198:$F$275,0)),"")</f>
        <v/>
      </c>
      <c r="M818" s="194"/>
      <c r="N818" s="248"/>
      <c r="O818" s="248"/>
      <c r="P818" s="108" t="str">
        <f>IFERROR(INDEX(Setup!$D$44:$D$70,MATCH(M818,Setup!$K$44:$K$70,0))&amp;"","")</f>
        <v/>
      </c>
      <c r="Q818" s="108" t="str">
        <f>IFERROR(INDEX(Setup!$E$44:$E$70,MATCH(M818,Setup!$K$44:$K$70,0))&amp;"","")</f>
        <v/>
      </c>
      <c r="R818" s="108" t="str">
        <f>IFERROR(INDEX(Setup!$L$44:$L$70,MATCH(M818,Setup!$K$44:$K$70,0))&amp;"","")</f>
        <v/>
      </c>
      <c r="S818" s="108" t="str">
        <f>Setup!$C$30</f>
        <v>USD</v>
      </c>
      <c r="T818" s="109" t="str">
        <f>IFERROR(INDEX('Data Sheet'!$B$198:$B$275,MATCH(I818,'Data Sheet'!$F$198:$F$275,0)),"")</f>
        <v/>
      </c>
      <c r="U818" s="110" t="str">
        <f>IFERROR(INDEX('Data Sheet'!$D$198:$D$275,MATCH(I818,'Data Sheet'!$F$198:$F$275,0)),"")</f>
        <v/>
      </c>
      <c r="V818" s="99"/>
      <c r="W818" s="195" t="str">
        <f>IF(V818=Setup!$C$30,"Grant",IF(V818=Setup!$C$31,"Local",IF(V818=Setup!$C$32,"Other",IF(ISBLANK(V818),"","Other"))))</f>
        <v/>
      </c>
      <c r="X818" s="255"/>
      <c r="Y818" s="259" t="str">
        <f>IF(X818&lt;&gt;"",X818/VLOOKUP($V818,Setup!$C$30:$D$41,2,0),"")</f>
        <v/>
      </c>
      <c r="Z818" s="262"/>
      <c r="AA818" s="256" t="str">
        <f t="shared" si="368"/>
        <v/>
      </c>
      <c r="AB818" s="262"/>
      <c r="AC818" s="258" t="str">
        <f t="shared" si="369"/>
        <v/>
      </c>
      <c r="AD818" s="262"/>
      <c r="AE818" s="258" t="str">
        <f t="shared" si="370"/>
        <v/>
      </c>
      <c r="AF818" s="262"/>
      <c r="AG818" s="256" t="str">
        <f t="shared" si="371"/>
        <v/>
      </c>
      <c r="AH818" s="256" t="str">
        <f t="shared" si="372"/>
        <v/>
      </c>
      <c r="AI818" s="256" t="str">
        <f t="shared" si="373"/>
        <v/>
      </c>
      <c r="AJ818" s="111"/>
      <c r="AK818" s="255"/>
      <c r="AL818" s="259" t="str">
        <f>IF(AK818&lt;&gt;"",AK818/VLOOKUP($V818,Setup!$C$30:$D$41,2,0),"")</f>
        <v/>
      </c>
      <c r="AM818" s="266"/>
      <c r="AN818" s="258" t="str">
        <f t="shared" si="374"/>
        <v/>
      </c>
      <c r="AO818" s="266"/>
      <c r="AP818" s="258" t="str">
        <f t="shared" si="375"/>
        <v/>
      </c>
      <c r="AQ818" s="266"/>
      <c r="AR818" s="258" t="str">
        <f t="shared" si="376"/>
        <v/>
      </c>
      <c r="AS818" s="266"/>
      <c r="AT818" s="256" t="str">
        <f t="shared" si="377"/>
        <v/>
      </c>
      <c r="AU818" s="256" t="str">
        <f t="shared" si="378"/>
        <v/>
      </c>
      <c r="AV818" s="256" t="str">
        <f t="shared" si="379"/>
        <v/>
      </c>
      <c r="AW818" s="267"/>
      <c r="AX818" s="255"/>
      <c r="AY818" s="259" t="str">
        <f>IF(AX818&lt;&gt;"",AX818/VLOOKUP($V818,Setup!$C$30:$D$41,2,0),"")</f>
        <v/>
      </c>
      <c r="AZ818" s="268"/>
      <c r="BA818" s="258" t="str">
        <f t="shared" si="380"/>
        <v/>
      </c>
      <c r="BB818" s="268"/>
      <c r="BC818" s="258" t="str">
        <f t="shared" si="381"/>
        <v/>
      </c>
      <c r="BD818" s="268"/>
      <c r="BE818" s="258" t="str">
        <f t="shared" si="382"/>
        <v/>
      </c>
      <c r="BF818" s="268"/>
      <c r="BG818" s="256" t="str">
        <f t="shared" si="383"/>
        <v/>
      </c>
      <c r="BH818" s="256" t="str">
        <f t="shared" si="384"/>
        <v/>
      </c>
      <c r="BI818" s="256" t="str">
        <f t="shared" si="385"/>
        <v/>
      </c>
      <c r="BJ818" s="267"/>
      <c r="BK818" s="255"/>
      <c r="BL818" s="259" t="str">
        <f>IF(BK818&lt;&gt;"",BK818/VLOOKUP($V818,Setup!$C$30:$D$41,2,0),"")</f>
        <v/>
      </c>
      <c r="BM818" s="268"/>
      <c r="BN818" s="258" t="str">
        <f t="shared" si="386"/>
        <v/>
      </c>
      <c r="BO818" s="268"/>
      <c r="BP818" s="258" t="str">
        <f t="shared" si="387"/>
        <v/>
      </c>
      <c r="BQ818" s="268"/>
      <c r="BR818" s="258" t="str">
        <f t="shared" si="388"/>
        <v/>
      </c>
      <c r="BS818" s="268"/>
      <c r="BT818" s="256" t="str">
        <f t="shared" si="389"/>
        <v/>
      </c>
      <c r="BU818" s="256" t="str">
        <f t="shared" si="390"/>
        <v/>
      </c>
      <c r="BV818" s="256" t="str">
        <f t="shared" si="391"/>
        <v/>
      </c>
      <c r="BW818" s="267"/>
      <c r="BX818" s="256" t="str">
        <f t="shared" si="392"/>
        <v/>
      </c>
      <c r="BY818" s="256" t="str">
        <f t="shared" si="393"/>
        <v/>
      </c>
      <c r="BZ818" s="281"/>
      <c r="CA818" s="282"/>
      <c r="CF818" s="284"/>
      <c r="CG818" s="284"/>
      <c r="CH818" s="284"/>
      <c r="CI818" s="284"/>
      <c r="CL818" s="356" t="str">
        <f>IFERROR(VLOOKUP(C818,'Data Sheet'!$A$3:$B$26,2,FALSE),"")</f>
        <v/>
      </c>
    </row>
    <row r="819" spans="1:90" ht="15.75" x14ac:dyDescent="0.2">
      <c r="A819" s="97"/>
      <c r="B819" s="105" t="str">
        <f t="shared" si="396"/>
        <v>--</v>
      </c>
      <c r="C819" s="276"/>
      <c r="D819" s="101" t="str">
        <f>IFERROR(IF(VLOOKUP(C819,'Data Sheet'!$A$3:$D$26,4,FALSE)=0,"",VLOOKUP(C819,'Data Sheet'!$A$3:$D$26,4,FALSE)),"")</f>
        <v/>
      </c>
      <c r="E819" s="279"/>
      <c r="F819" s="103" t="str">
        <f>IFERROR(IF(VLOOKUP(E819,'Data Sheet'!$C$29:$E$174,3,FALSE)=0,"",VLOOKUP(E819,'Data Sheet'!$C$29:$E$174,3,FALSE)),"")</f>
        <v/>
      </c>
      <c r="G819" s="106" t="str">
        <f t="shared" si="394"/>
        <v>-</v>
      </c>
      <c r="H819" s="273"/>
      <c r="I819" s="107"/>
      <c r="J819" s="249" t="e">
        <f t="shared" si="395"/>
        <v>#VALUE!</v>
      </c>
      <c r="K819" s="101" t="str">
        <f>IFERROR(INDEX('Data Sheet'!$C$198:$C$275,MATCH(I819,'Data Sheet'!$F$198:$F$275,0)),"")</f>
        <v/>
      </c>
      <c r="L819" s="250" t="str">
        <f>IFERROR(INDEX('Data Sheet'!$G$198:$G$275,MATCH(I819,'Data Sheet'!$F$198:$F$275,0)),"")</f>
        <v/>
      </c>
      <c r="M819" s="194"/>
      <c r="N819" s="248"/>
      <c r="O819" s="248"/>
      <c r="P819" s="108" t="str">
        <f>IFERROR(INDEX(Setup!$D$44:$D$70,MATCH(M819,Setup!$K$44:$K$70,0))&amp;"","")</f>
        <v/>
      </c>
      <c r="Q819" s="108" t="str">
        <f>IFERROR(INDEX(Setup!$E$44:$E$70,MATCH(M819,Setup!$K$44:$K$70,0))&amp;"","")</f>
        <v/>
      </c>
      <c r="R819" s="108" t="str">
        <f>IFERROR(INDEX(Setup!$L$44:$L$70,MATCH(M819,Setup!$K$44:$K$70,0))&amp;"","")</f>
        <v/>
      </c>
      <c r="S819" s="108" t="str">
        <f>Setup!$C$30</f>
        <v>USD</v>
      </c>
      <c r="T819" s="109" t="str">
        <f>IFERROR(INDEX('Data Sheet'!$B$198:$B$275,MATCH(I819,'Data Sheet'!$F$198:$F$275,0)),"")</f>
        <v/>
      </c>
      <c r="U819" s="110" t="str">
        <f>IFERROR(INDEX('Data Sheet'!$D$198:$D$275,MATCH(I819,'Data Sheet'!$F$198:$F$275,0)),"")</f>
        <v/>
      </c>
      <c r="V819" s="99"/>
      <c r="W819" s="195" t="str">
        <f>IF(V819=Setup!$C$30,"Grant",IF(V819=Setup!$C$31,"Local",IF(V819=Setup!$C$32,"Other",IF(ISBLANK(V819),"","Other"))))</f>
        <v/>
      </c>
      <c r="X819" s="255"/>
      <c r="Y819" s="259" t="str">
        <f>IF(X819&lt;&gt;"",X819/VLOOKUP($V819,Setup!$C$30:$D$41,2,0),"")</f>
        <v/>
      </c>
      <c r="Z819" s="262"/>
      <c r="AA819" s="256" t="str">
        <f t="shared" si="368"/>
        <v/>
      </c>
      <c r="AB819" s="262"/>
      <c r="AC819" s="258" t="str">
        <f t="shared" si="369"/>
        <v/>
      </c>
      <c r="AD819" s="262"/>
      <c r="AE819" s="258" t="str">
        <f t="shared" si="370"/>
        <v/>
      </c>
      <c r="AF819" s="262"/>
      <c r="AG819" s="256" t="str">
        <f t="shared" si="371"/>
        <v/>
      </c>
      <c r="AH819" s="256" t="str">
        <f t="shared" si="372"/>
        <v/>
      </c>
      <c r="AI819" s="256" t="str">
        <f t="shared" si="373"/>
        <v/>
      </c>
      <c r="AJ819" s="111"/>
      <c r="AK819" s="255"/>
      <c r="AL819" s="259" t="str">
        <f>IF(AK819&lt;&gt;"",AK819/VLOOKUP($V819,Setup!$C$30:$D$41,2,0),"")</f>
        <v/>
      </c>
      <c r="AM819" s="266"/>
      <c r="AN819" s="258" t="str">
        <f t="shared" si="374"/>
        <v/>
      </c>
      <c r="AO819" s="266"/>
      <c r="AP819" s="258" t="str">
        <f t="shared" si="375"/>
        <v/>
      </c>
      <c r="AQ819" s="266"/>
      <c r="AR819" s="258" t="str">
        <f t="shared" si="376"/>
        <v/>
      </c>
      <c r="AS819" s="266"/>
      <c r="AT819" s="256" t="str">
        <f t="shared" si="377"/>
        <v/>
      </c>
      <c r="AU819" s="256" t="str">
        <f t="shared" si="378"/>
        <v/>
      </c>
      <c r="AV819" s="256" t="str">
        <f t="shared" si="379"/>
        <v/>
      </c>
      <c r="AW819" s="267"/>
      <c r="AX819" s="255"/>
      <c r="AY819" s="259" t="str">
        <f>IF(AX819&lt;&gt;"",AX819/VLOOKUP($V819,Setup!$C$30:$D$41,2,0),"")</f>
        <v/>
      </c>
      <c r="AZ819" s="268"/>
      <c r="BA819" s="258" t="str">
        <f t="shared" si="380"/>
        <v/>
      </c>
      <c r="BB819" s="268"/>
      <c r="BC819" s="258" t="str">
        <f t="shared" si="381"/>
        <v/>
      </c>
      <c r="BD819" s="268"/>
      <c r="BE819" s="258" t="str">
        <f t="shared" si="382"/>
        <v/>
      </c>
      <c r="BF819" s="268"/>
      <c r="BG819" s="256" t="str">
        <f t="shared" si="383"/>
        <v/>
      </c>
      <c r="BH819" s="256" t="str">
        <f t="shared" si="384"/>
        <v/>
      </c>
      <c r="BI819" s="256" t="str">
        <f t="shared" si="385"/>
        <v/>
      </c>
      <c r="BJ819" s="267"/>
      <c r="BK819" s="255"/>
      <c r="BL819" s="259" t="str">
        <f>IF(BK819&lt;&gt;"",BK819/VLOOKUP($V819,Setup!$C$30:$D$41,2,0),"")</f>
        <v/>
      </c>
      <c r="BM819" s="268"/>
      <c r="BN819" s="258" t="str">
        <f t="shared" si="386"/>
        <v/>
      </c>
      <c r="BO819" s="268"/>
      <c r="BP819" s="258" t="str">
        <f t="shared" si="387"/>
        <v/>
      </c>
      <c r="BQ819" s="268"/>
      <c r="BR819" s="258" t="str">
        <f t="shared" si="388"/>
        <v/>
      </c>
      <c r="BS819" s="268"/>
      <c r="BT819" s="256" t="str">
        <f t="shared" si="389"/>
        <v/>
      </c>
      <c r="BU819" s="256" t="str">
        <f t="shared" si="390"/>
        <v/>
      </c>
      <c r="BV819" s="256" t="str">
        <f t="shared" si="391"/>
        <v/>
      </c>
      <c r="BW819" s="267"/>
      <c r="BX819" s="256" t="str">
        <f t="shared" si="392"/>
        <v/>
      </c>
      <c r="BY819" s="256" t="str">
        <f t="shared" si="393"/>
        <v/>
      </c>
      <c r="BZ819" s="281"/>
      <c r="CA819" s="282"/>
      <c r="CF819" s="284"/>
      <c r="CG819" s="284"/>
      <c r="CH819" s="284"/>
      <c r="CI819" s="284"/>
      <c r="CL819" s="356" t="str">
        <f>IFERROR(VLOOKUP(C819,'Data Sheet'!$A$3:$B$26,2,FALSE),"")</f>
        <v/>
      </c>
    </row>
    <row r="820" spans="1:90" ht="15.75" x14ac:dyDescent="0.2">
      <c r="A820" s="97"/>
      <c r="B820" s="105" t="str">
        <f t="shared" si="396"/>
        <v>--</v>
      </c>
      <c r="C820" s="276"/>
      <c r="D820" s="101" t="str">
        <f>IFERROR(IF(VLOOKUP(C820,'Data Sheet'!$A$3:$D$26,4,FALSE)=0,"",VLOOKUP(C820,'Data Sheet'!$A$3:$D$26,4,FALSE)),"")</f>
        <v/>
      </c>
      <c r="E820" s="279"/>
      <c r="F820" s="103" t="str">
        <f>IFERROR(IF(VLOOKUP(E820,'Data Sheet'!$C$29:$E$174,3,FALSE)=0,"",VLOOKUP(E820,'Data Sheet'!$C$29:$E$174,3,FALSE)),"")</f>
        <v/>
      </c>
      <c r="G820" s="106" t="str">
        <f t="shared" si="394"/>
        <v>-</v>
      </c>
      <c r="H820" s="273"/>
      <c r="I820" s="107"/>
      <c r="J820" s="249" t="e">
        <f t="shared" si="395"/>
        <v>#VALUE!</v>
      </c>
      <c r="K820" s="101" t="str">
        <f>IFERROR(INDEX('Data Sheet'!$C$198:$C$275,MATCH(I820,'Data Sheet'!$F$198:$F$275,0)),"")</f>
        <v/>
      </c>
      <c r="L820" s="250" t="str">
        <f>IFERROR(INDEX('Data Sheet'!$G$198:$G$275,MATCH(I820,'Data Sheet'!$F$198:$F$275,0)),"")</f>
        <v/>
      </c>
      <c r="M820" s="194"/>
      <c r="N820" s="248"/>
      <c r="O820" s="248"/>
      <c r="P820" s="108" t="str">
        <f>IFERROR(INDEX(Setup!$D$44:$D$70,MATCH(M820,Setup!$K$44:$K$70,0))&amp;"","")</f>
        <v/>
      </c>
      <c r="Q820" s="108" t="str">
        <f>IFERROR(INDEX(Setup!$E$44:$E$70,MATCH(M820,Setup!$K$44:$K$70,0))&amp;"","")</f>
        <v/>
      </c>
      <c r="R820" s="108" t="str">
        <f>IFERROR(INDEX(Setup!$L$44:$L$70,MATCH(M820,Setup!$K$44:$K$70,0))&amp;"","")</f>
        <v/>
      </c>
      <c r="S820" s="108" t="str">
        <f>Setup!$C$30</f>
        <v>USD</v>
      </c>
      <c r="T820" s="109" t="str">
        <f>IFERROR(INDEX('Data Sheet'!$B$198:$B$275,MATCH(I820,'Data Sheet'!$F$198:$F$275,0)),"")</f>
        <v/>
      </c>
      <c r="U820" s="110" t="str">
        <f>IFERROR(INDEX('Data Sheet'!$D$198:$D$275,MATCH(I820,'Data Sheet'!$F$198:$F$275,0)),"")</f>
        <v/>
      </c>
      <c r="V820" s="99"/>
      <c r="W820" s="195" t="str">
        <f>IF(V820=Setup!$C$30,"Grant",IF(V820=Setup!$C$31,"Local",IF(V820=Setup!$C$32,"Other",IF(ISBLANK(V820),"","Other"))))</f>
        <v/>
      </c>
      <c r="X820" s="255"/>
      <c r="Y820" s="259" t="str">
        <f>IF(X820&lt;&gt;"",X820/VLOOKUP($V820,Setup!$C$30:$D$41,2,0),"")</f>
        <v/>
      </c>
      <c r="Z820" s="262"/>
      <c r="AA820" s="256" t="str">
        <f t="shared" si="368"/>
        <v/>
      </c>
      <c r="AB820" s="262"/>
      <c r="AC820" s="258" t="str">
        <f t="shared" si="369"/>
        <v/>
      </c>
      <c r="AD820" s="262"/>
      <c r="AE820" s="258" t="str">
        <f t="shared" si="370"/>
        <v/>
      </c>
      <c r="AF820" s="262"/>
      <c r="AG820" s="256" t="str">
        <f t="shared" si="371"/>
        <v/>
      </c>
      <c r="AH820" s="256" t="str">
        <f t="shared" si="372"/>
        <v/>
      </c>
      <c r="AI820" s="256" t="str">
        <f t="shared" si="373"/>
        <v/>
      </c>
      <c r="AJ820" s="111"/>
      <c r="AK820" s="255"/>
      <c r="AL820" s="259" t="str">
        <f>IF(AK820&lt;&gt;"",AK820/VLOOKUP($V820,Setup!$C$30:$D$41,2,0),"")</f>
        <v/>
      </c>
      <c r="AM820" s="266"/>
      <c r="AN820" s="258" t="str">
        <f t="shared" si="374"/>
        <v/>
      </c>
      <c r="AO820" s="266"/>
      <c r="AP820" s="258" t="str">
        <f t="shared" si="375"/>
        <v/>
      </c>
      <c r="AQ820" s="266"/>
      <c r="AR820" s="258" t="str">
        <f t="shared" si="376"/>
        <v/>
      </c>
      <c r="AS820" s="266"/>
      <c r="AT820" s="256" t="str">
        <f t="shared" si="377"/>
        <v/>
      </c>
      <c r="AU820" s="256" t="str">
        <f t="shared" si="378"/>
        <v/>
      </c>
      <c r="AV820" s="256" t="str">
        <f t="shared" si="379"/>
        <v/>
      </c>
      <c r="AW820" s="267"/>
      <c r="AX820" s="255"/>
      <c r="AY820" s="259" t="str">
        <f>IF(AX820&lt;&gt;"",AX820/VLOOKUP($V820,Setup!$C$30:$D$41,2,0),"")</f>
        <v/>
      </c>
      <c r="AZ820" s="268"/>
      <c r="BA820" s="258" t="str">
        <f t="shared" si="380"/>
        <v/>
      </c>
      <c r="BB820" s="268"/>
      <c r="BC820" s="258" t="str">
        <f t="shared" si="381"/>
        <v/>
      </c>
      <c r="BD820" s="268"/>
      <c r="BE820" s="258" t="str">
        <f t="shared" si="382"/>
        <v/>
      </c>
      <c r="BF820" s="268"/>
      <c r="BG820" s="256" t="str">
        <f t="shared" si="383"/>
        <v/>
      </c>
      <c r="BH820" s="256" t="str">
        <f t="shared" si="384"/>
        <v/>
      </c>
      <c r="BI820" s="256" t="str">
        <f t="shared" si="385"/>
        <v/>
      </c>
      <c r="BJ820" s="267"/>
      <c r="BK820" s="255"/>
      <c r="BL820" s="259" t="str">
        <f>IF(BK820&lt;&gt;"",BK820/VLOOKUP($V820,Setup!$C$30:$D$41,2,0),"")</f>
        <v/>
      </c>
      <c r="BM820" s="268"/>
      <c r="BN820" s="258" t="str">
        <f t="shared" si="386"/>
        <v/>
      </c>
      <c r="BO820" s="268"/>
      <c r="BP820" s="258" t="str">
        <f t="shared" si="387"/>
        <v/>
      </c>
      <c r="BQ820" s="268"/>
      <c r="BR820" s="258" t="str">
        <f t="shared" si="388"/>
        <v/>
      </c>
      <c r="BS820" s="268"/>
      <c r="BT820" s="256" t="str">
        <f t="shared" si="389"/>
        <v/>
      </c>
      <c r="BU820" s="256" t="str">
        <f t="shared" si="390"/>
        <v/>
      </c>
      <c r="BV820" s="256" t="str">
        <f t="shared" si="391"/>
        <v/>
      </c>
      <c r="BW820" s="267"/>
      <c r="BX820" s="256" t="str">
        <f t="shared" si="392"/>
        <v/>
      </c>
      <c r="BY820" s="256" t="str">
        <f t="shared" si="393"/>
        <v/>
      </c>
      <c r="BZ820" s="281"/>
      <c r="CA820" s="282"/>
      <c r="CF820" s="284"/>
      <c r="CG820" s="284"/>
      <c r="CH820" s="284"/>
      <c r="CI820" s="284"/>
      <c r="CL820" s="356" t="str">
        <f>IFERROR(VLOOKUP(C820,'Data Sheet'!$A$3:$B$26,2,FALSE),"")</f>
        <v/>
      </c>
    </row>
    <row r="821" spans="1:90" ht="15.75" x14ac:dyDescent="0.2">
      <c r="A821" s="97"/>
      <c r="B821" s="105" t="str">
        <f t="shared" si="396"/>
        <v>--</v>
      </c>
      <c r="C821" s="276"/>
      <c r="D821" s="101" t="str">
        <f>IFERROR(IF(VLOOKUP(C821,'Data Sheet'!$A$3:$D$26,4,FALSE)=0,"",VLOOKUP(C821,'Data Sheet'!$A$3:$D$26,4,FALSE)),"")</f>
        <v/>
      </c>
      <c r="E821" s="279"/>
      <c r="F821" s="103" t="str">
        <f>IFERROR(IF(VLOOKUP(E821,'Data Sheet'!$C$29:$E$174,3,FALSE)=0,"",VLOOKUP(E821,'Data Sheet'!$C$29:$E$174,3,FALSE)),"")</f>
        <v/>
      </c>
      <c r="G821" s="106" t="str">
        <f t="shared" si="394"/>
        <v>-</v>
      </c>
      <c r="H821" s="273"/>
      <c r="I821" s="107"/>
      <c r="J821" s="249" t="e">
        <f t="shared" si="395"/>
        <v>#VALUE!</v>
      </c>
      <c r="K821" s="101" t="str">
        <f>IFERROR(INDEX('Data Sheet'!$C$198:$C$275,MATCH(I821,'Data Sheet'!$F$198:$F$275,0)),"")</f>
        <v/>
      </c>
      <c r="L821" s="250" t="str">
        <f>IFERROR(INDEX('Data Sheet'!$G$198:$G$275,MATCH(I821,'Data Sheet'!$F$198:$F$275,0)),"")</f>
        <v/>
      </c>
      <c r="M821" s="194"/>
      <c r="N821" s="248"/>
      <c r="O821" s="248"/>
      <c r="P821" s="108" t="str">
        <f>IFERROR(INDEX(Setup!$D$44:$D$70,MATCH(M821,Setup!$K$44:$K$70,0))&amp;"","")</f>
        <v/>
      </c>
      <c r="Q821" s="108" t="str">
        <f>IFERROR(INDEX(Setup!$E$44:$E$70,MATCH(M821,Setup!$K$44:$K$70,0))&amp;"","")</f>
        <v/>
      </c>
      <c r="R821" s="108" t="str">
        <f>IFERROR(INDEX(Setup!$L$44:$L$70,MATCH(M821,Setup!$K$44:$K$70,0))&amp;"","")</f>
        <v/>
      </c>
      <c r="S821" s="108" t="str">
        <f>Setup!$C$30</f>
        <v>USD</v>
      </c>
      <c r="T821" s="109" t="str">
        <f>IFERROR(INDEX('Data Sheet'!$B$198:$B$275,MATCH(I821,'Data Sheet'!$F$198:$F$275,0)),"")</f>
        <v/>
      </c>
      <c r="U821" s="110" t="str">
        <f>IFERROR(INDEX('Data Sheet'!$D$198:$D$275,MATCH(I821,'Data Sheet'!$F$198:$F$275,0)),"")</f>
        <v/>
      </c>
      <c r="V821" s="99"/>
      <c r="W821" s="195" t="str">
        <f>IF(V821=Setup!$C$30,"Grant",IF(V821=Setup!$C$31,"Local",IF(V821=Setup!$C$32,"Other",IF(ISBLANK(V821),"","Other"))))</f>
        <v/>
      </c>
      <c r="X821" s="255"/>
      <c r="Y821" s="259" t="str">
        <f>IF(X821&lt;&gt;"",X821/VLOOKUP($V821,Setup!$C$30:$D$41,2,0),"")</f>
        <v/>
      </c>
      <c r="Z821" s="262"/>
      <c r="AA821" s="256" t="str">
        <f t="shared" si="368"/>
        <v/>
      </c>
      <c r="AB821" s="262"/>
      <c r="AC821" s="258" t="str">
        <f t="shared" si="369"/>
        <v/>
      </c>
      <c r="AD821" s="262"/>
      <c r="AE821" s="258" t="str">
        <f t="shared" si="370"/>
        <v/>
      </c>
      <c r="AF821" s="262"/>
      <c r="AG821" s="256" t="str">
        <f t="shared" si="371"/>
        <v/>
      </c>
      <c r="AH821" s="256" t="str">
        <f t="shared" si="372"/>
        <v/>
      </c>
      <c r="AI821" s="256" t="str">
        <f t="shared" si="373"/>
        <v/>
      </c>
      <c r="AJ821" s="111"/>
      <c r="AK821" s="255"/>
      <c r="AL821" s="259" t="str">
        <f>IF(AK821&lt;&gt;"",AK821/VLOOKUP($V821,Setup!$C$30:$D$41,2,0),"")</f>
        <v/>
      </c>
      <c r="AM821" s="266"/>
      <c r="AN821" s="258" t="str">
        <f t="shared" si="374"/>
        <v/>
      </c>
      <c r="AO821" s="266"/>
      <c r="AP821" s="258" t="str">
        <f t="shared" si="375"/>
        <v/>
      </c>
      <c r="AQ821" s="266"/>
      <c r="AR821" s="258" t="str">
        <f t="shared" si="376"/>
        <v/>
      </c>
      <c r="AS821" s="266"/>
      <c r="AT821" s="256" t="str">
        <f t="shared" si="377"/>
        <v/>
      </c>
      <c r="AU821" s="256" t="str">
        <f t="shared" si="378"/>
        <v/>
      </c>
      <c r="AV821" s="256" t="str">
        <f t="shared" si="379"/>
        <v/>
      </c>
      <c r="AW821" s="267"/>
      <c r="AX821" s="255"/>
      <c r="AY821" s="259" t="str">
        <f>IF(AX821&lt;&gt;"",AX821/VLOOKUP($V821,Setup!$C$30:$D$41,2,0),"")</f>
        <v/>
      </c>
      <c r="AZ821" s="268"/>
      <c r="BA821" s="258" t="str">
        <f t="shared" si="380"/>
        <v/>
      </c>
      <c r="BB821" s="268"/>
      <c r="BC821" s="258" t="str">
        <f t="shared" si="381"/>
        <v/>
      </c>
      <c r="BD821" s="268"/>
      <c r="BE821" s="258" t="str">
        <f t="shared" si="382"/>
        <v/>
      </c>
      <c r="BF821" s="268"/>
      <c r="BG821" s="256" t="str">
        <f t="shared" si="383"/>
        <v/>
      </c>
      <c r="BH821" s="256" t="str">
        <f t="shared" si="384"/>
        <v/>
      </c>
      <c r="BI821" s="256" t="str">
        <f t="shared" si="385"/>
        <v/>
      </c>
      <c r="BJ821" s="267"/>
      <c r="BK821" s="255"/>
      <c r="BL821" s="259" t="str">
        <f>IF(BK821&lt;&gt;"",BK821/VLOOKUP($V821,Setup!$C$30:$D$41,2,0),"")</f>
        <v/>
      </c>
      <c r="BM821" s="268"/>
      <c r="BN821" s="258" t="str">
        <f t="shared" si="386"/>
        <v/>
      </c>
      <c r="BO821" s="268"/>
      <c r="BP821" s="258" t="str">
        <f t="shared" si="387"/>
        <v/>
      </c>
      <c r="BQ821" s="268"/>
      <c r="BR821" s="258" t="str">
        <f t="shared" si="388"/>
        <v/>
      </c>
      <c r="BS821" s="268"/>
      <c r="BT821" s="256" t="str">
        <f t="shared" si="389"/>
        <v/>
      </c>
      <c r="BU821" s="256" t="str">
        <f t="shared" si="390"/>
        <v/>
      </c>
      <c r="BV821" s="256" t="str">
        <f t="shared" si="391"/>
        <v/>
      </c>
      <c r="BW821" s="267"/>
      <c r="BX821" s="256" t="str">
        <f t="shared" si="392"/>
        <v/>
      </c>
      <c r="BY821" s="256" t="str">
        <f t="shared" si="393"/>
        <v/>
      </c>
      <c r="BZ821" s="281"/>
      <c r="CA821" s="282"/>
      <c r="CF821" s="284"/>
      <c r="CG821" s="284"/>
      <c r="CH821" s="284"/>
      <c r="CI821" s="284"/>
      <c r="CL821" s="356" t="str">
        <f>IFERROR(VLOOKUP(C821,'Data Sheet'!$A$3:$B$26,2,FALSE),"")</f>
        <v/>
      </c>
    </row>
    <row r="822" spans="1:90" ht="15.75" x14ac:dyDescent="0.2">
      <c r="A822" s="97"/>
      <c r="B822" s="105" t="str">
        <f t="shared" si="396"/>
        <v>--</v>
      </c>
      <c r="C822" s="276"/>
      <c r="D822" s="101" t="str">
        <f>IFERROR(IF(VLOOKUP(C822,'Data Sheet'!$A$3:$D$26,4,FALSE)=0,"",VLOOKUP(C822,'Data Sheet'!$A$3:$D$26,4,FALSE)),"")</f>
        <v/>
      </c>
      <c r="E822" s="279"/>
      <c r="F822" s="103" t="str">
        <f>IFERROR(IF(VLOOKUP(E822,'Data Sheet'!$C$29:$E$174,3,FALSE)=0,"",VLOOKUP(E822,'Data Sheet'!$C$29:$E$174,3,FALSE)),"")</f>
        <v/>
      </c>
      <c r="G822" s="106" t="str">
        <f t="shared" si="394"/>
        <v>-</v>
      </c>
      <c r="H822" s="273"/>
      <c r="I822" s="107"/>
      <c r="J822" s="249" t="e">
        <f t="shared" si="395"/>
        <v>#VALUE!</v>
      </c>
      <c r="K822" s="101" t="str">
        <f>IFERROR(INDEX('Data Sheet'!$C$198:$C$275,MATCH(I822,'Data Sheet'!$F$198:$F$275,0)),"")</f>
        <v/>
      </c>
      <c r="L822" s="250" t="str">
        <f>IFERROR(INDEX('Data Sheet'!$G$198:$G$275,MATCH(I822,'Data Sheet'!$F$198:$F$275,0)),"")</f>
        <v/>
      </c>
      <c r="M822" s="194"/>
      <c r="N822" s="248"/>
      <c r="O822" s="248"/>
      <c r="P822" s="108" t="str">
        <f>IFERROR(INDEX(Setup!$D$44:$D$70,MATCH(M822,Setup!$K$44:$K$70,0))&amp;"","")</f>
        <v/>
      </c>
      <c r="Q822" s="108" t="str">
        <f>IFERROR(INDEX(Setup!$E$44:$E$70,MATCH(M822,Setup!$K$44:$K$70,0))&amp;"","")</f>
        <v/>
      </c>
      <c r="R822" s="108" t="str">
        <f>IFERROR(INDEX(Setup!$L$44:$L$70,MATCH(M822,Setup!$K$44:$K$70,0))&amp;"","")</f>
        <v/>
      </c>
      <c r="S822" s="108" t="str">
        <f>Setup!$C$30</f>
        <v>USD</v>
      </c>
      <c r="T822" s="109" t="str">
        <f>IFERROR(INDEX('Data Sheet'!$B$198:$B$275,MATCH(I822,'Data Sheet'!$F$198:$F$275,0)),"")</f>
        <v/>
      </c>
      <c r="U822" s="110" t="str">
        <f>IFERROR(INDEX('Data Sheet'!$D$198:$D$275,MATCH(I822,'Data Sheet'!$F$198:$F$275,0)),"")</f>
        <v/>
      </c>
      <c r="V822" s="99"/>
      <c r="W822" s="195" t="str">
        <f>IF(V822=Setup!$C$30,"Grant",IF(V822=Setup!$C$31,"Local",IF(V822=Setup!$C$32,"Other",IF(ISBLANK(V822),"","Other"))))</f>
        <v/>
      </c>
      <c r="X822" s="255"/>
      <c r="Y822" s="259" t="str">
        <f>IF(X822&lt;&gt;"",X822/VLOOKUP($V822,Setup!$C$30:$D$41,2,0),"")</f>
        <v/>
      </c>
      <c r="Z822" s="262"/>
      <c r="AA822" s="256" t="str">
        <f t="shared" si="368"/>
        <v/>
      </c>
      <c r="AB822" s="262"/>
      <c r="AC822" s="258" t="str">
        <f t="shared" si="369"/>
        <v/>
      </c>
      <c r="AD822" s="262"/>
      <c r="AE822" s="258" t="str">
        <f t="shared" si="370"/>
        <v/>
      </c>
      <c r="AF822" s="262"/>
      <c r="AG822" s="256" t="str">
        <f t="shared" si="371"/>
        <v/>
      </c>
      <c r="AH822" s="256" t="str">
        <f t="shared" si="372"/>
        <v/>
      </c>
      <c r="AI822" s="256" t="str">
        <f t="shared" si="373"/>
        <v/>
      </c>
      <c r="AJ822" s="111"/>
      <c r="AK822" s="255"/>
      <c r="AL822" s="259" t="str">
        <f>IF(AK822&lt;&gt;"",AK822/VLOOKUP($V822,Setup!$C$30:$D$41,2,0),"")</f>
        <v/>
      </c>
      <c r="AM822" s="266"/>
      <c r="AN822" s="258" t="str">
        <f t="shared" si="374"/>
        <v/>
      </c>
      <c r="AO822" s="266"/>
      <c r="AP822" s="258" t="str">
        <f t="shared" si="375"/>
        <v/>
      </c>
      <c r="AQ822" s="266"/>
      <c r="AR822" s="258" t="str">
        <f t="shared" si="376"/>
        <v/>
      </c>
      <c r="AS822" s="266"/>
      <c r="AT822" s="256" t="str">
        <f t="shared" si="377"/>
        <v/>
      </c>
      <c r="AU822" s="256" t="str">
        <f t="shared" si="378"/>
        <v/>
      </c>
      <c r="AV822" s="256" t="str">
        <f t="shared" si="379"/>
        <v/>
      </c>
      <c r="AW822" s="267"/>
      <c r="AX822" s="255"/>
      <c r="AY822" s="259" t="str">
        <f>IF(AX822&lt;&gt;"",AX822/VLOOKUP($V822,Setup!$C$30:$D$41,2,0),"")</f>
        <v/>
      </c>
      <c r="AZ822" s="268"/>
      <c r="BA822" s="258" t="str">
        <f t="shared" si="380"/>
        <v/>
      </c>
      <c r="BB822" s="268"/>
      <c r="BC822" s="258" t="str">
        <f t="shared" si="381"/>
        <v/>
      </c>
      <c r="BD822" s="268"/>
      <c r="BE822" s="258" t="str">
        <f t="shared" si="382"/>
        <v/>
      </c>
      <c r="BF822" s="268"/>
      <c r="BG822" s="256" t="str">
        <f t="shared" si="383"/>
        <v/>
      </c>
      <c r="BH822" s="256" t="str">
        <f t="shared" si="384"/>
        <v/>
      </c>
      <c r="BI822" s="256" t="str">
        <f t="shared" si="385"/>
        <v/>
      </c>
      <c r="BJ822" s="267"/>
      <c r="BK822" s="255"/>
      <c r="BL822" s="259" t="str">
        <f>IF(BK822&lt;&gt;"",BK822/VLOOKUP($V822,Setup!$C$30:$D$41,2,0),"")</f>
        <v/>
      </c>
      <c r="BM822" s="268"/>
      <c r="BN822" s="258" t="str">
        <f t="shared" si="386"/>
        <v/>
      </c>
      <c r="BO822" s="268"/>
      <c r="BP822" s="258" t="str">
        <f t="shared" si="387"/>
        <v/>
      </c>
      <c r="BQ822" s="268"/>
      <c r="BR822" s="258" t="str">
        <f t="shared" si="388"/>
        <v/>
      </c>
      <c r="BS822" s="268"/>
      <c r="BT822" s="256" t="str">
        <f t="shared" si="389"/>
        <v/>
      </c>
      <c r="BU822" s="256" t="str">
        <f t="shared" si="390"/>
        <v/>
      </c>
      <c r="BV822" s="256" t="str">
        <f t="shared" si="391"/>
        <v/>
      </c>
      <c r="BW822" s="267"/>
      <c r="BX822" s="256" t="str">
        <f t="shared" si="392"/>
        <v/>
      </c>
      <c r="BY822" s="256" t="str">
        <f t="shared" si="393"/>
        <v/>
      </c>
      <c r="BZ822" s="281"/>
      <c r="CA822" s="282"/>
      <c r="CF822" s="284"/>
      <c r="CG822" s="284"/>
      <c r="CH822" s="284"/>
      <c r="CI822" s="284"/>
      <c r="CL822" s="356" t="str">
        <f>IFERROR(VLOOKUP(C822,'Data Sheet'!$A$3:$B$26,2,FALSE),"")</f>
        <v/>
      </c>
    </row>
    <row r="823" spans="1:90" ht="15.75" x14ac:dyDescent="0.2">
      <c r="A823" s="97"/>
      <c r="B823" s="105" t="str">
        <f t="shared" si="396"/>
        <v>--</v>
      </c>
      <c r="C823" s="276"/>
      <c r="D823" s="101" t="str">
        <f>IFERROR(IF(VLOOKUP(C823,'Data Sheet'!$A$3:$D$26,4,FALSE)=0,"",VLOOKUP(C823,'Data Sheet'!$A$3:$D$26,4,FALSE)),"")</f>
        <v/>
      </c>
      <c r="E823" s="279"/>
      <c r="F823" s="103" t="str">
        <f>IFERROR(IF(VLOOKUP(E823,'Data Sheet'!$C$29:$E$174,3,FALSE)=0,"",VLOOKUP(E823,'Data Sheet'!$C$29:$E$174,3,FALSE)),"")</f>
        <v/>
      </c>
      <c r="G823" s="106" t="str">
        <f t="shared" si="394"/>
        <v>-</v>
      </c>
      <c r="H823" s="273"/>
      <c r="I823" s="107"/>
      <c r="J823" s="249" t="e">
        <f t="shared" si="395"/>
        <v>#VALUE!</v>
      </c>
      <c r="K823" s="101" t="str">
        <f>IFERROR(INDEX('Data Sheet'!$C$198:$C$275,MATCH(I823,'Data Sheet'!$F$198:$F$275,0)),"")</f>
        <v/>
      </c>
      <c r="L823" s="250" t="str">
        <f>IFERROR(INDEX('Data Sheet'!$G$198:$G$275,MATCH(I823,'Data Sheet'!$F$198:$F$275,0)),"")</f>
        <v/>
      </c>
      <c r="M823" s="194"/>
      <c r="N823" s="248"/>
      <c r="O823" s="248"/>
      <c r="P823" s="108" t="str">
        <f>IFERROR(INDEX(Setup!$D$44:$D$70,MATCH(M823,Setup!$K$44:$K$70,0))&amp;"","")</f>
        <v/>
      </c>
      <c r="Q823" s="108" t="str">
        <f>IFERROR(INDEX(Setup!$E$44:$E$70,MATCH(M823,Setup!$K$44:$K$70,0))&amp;"","")</f>
        <v/>
      </c>
      <c r="R823" s="108" t="str">
        <f>IFERROR(INDEX(Setup!$L$44:$L$70,MATCH(M823,Setup!$K$44:$K$70,0))&amp;"","")</f>
        <v/>
      </c>
      <c r="S823" s="108" t="str">
        <f>Setup!$C$30</f>
        <v>USD</v>
      </c>
      <c r="T823" s="109" t="str">
        <f>IFERROR(INDEX('Data Sheet'!$B$198:$B$275,MATCH(I823,'Data Sheet'!$F$198:$F$275,0)),"")</f>
        <v/>
      </c>
      <c r="U823" s="110" t="str">
        <f>IFERROR(INDEX('Data Sheet'!$D$198:$D$275,MATCH(I823,'Data Sheet'!$F$198:$F$275,0)),"")</f>
        <v/>
      </c>
      <c r="V823" s="99"/>
      <c r="W823" s="195" t="str">
        <f>IF(V823=Setup!$C$30,"Grant",IF(V823=Setup!$C$31,"Local",IF(V823=Setup!$C$32,"Other",IF(ISBLANK(V823),"","Other"))))</f>
        <v/>
      </c>
      <c r="X823" s="255"/>
      <c r="Y823" s="259" t="str">
        <f>IF(X823&lt;&gt;"",X823/VLOOKUP($V823,Setup!$C$30:$D$41,2,0),"")</f>
        <v/>
      </c>
      <c r="Z823" s="262"/>
      <c r="AA823" s="256" t="str">
        <f t="shared" si="368"/>
        <v/>
      </c>
      <c r="AB823" s="262"/>
      <c r="AC823" s="258" t="str">
        <f t="shared" si="369"/>
        <v/>
      </c>
      <c r="AD823" s="262"/>
      <c r="AE823" s="258" t="str">
        <f t="shared" si="370"/>
        <v/>
      </c>
      <c r="AF823" s="262"/>
      <c r="AG823" s="256" t="str">
        <f t="shared" si="371"/>
        <v/>
      </c>
      <c r="AH823" s="256" t="str">
        <f t="shared" si="372"/>
        <v/>
      </c>
      <c r="AI823" s="256" t="str">
        <f t="shared" si="373"/>
        <v/>
      </c>
      <c r="AJ823" s="111"/>
      <c r="AK823" s="255"/>
      <c r="AL823" s="259" t="str">
        <f>IF(AK823&lt;&gt;"",AK823/VLOOKUP($V823,Setup!$C$30:$D$41,2,0),"")</f>
        <v/>
      </c>
      <c r="AM823" s="266"/>
      <c r="AN823" s="258" t="str">
        <f t="shared" si="374"/>
        <v/>
      </c>
      <c r="AO823" s="266"/>
      <c r="AP823" s="258" t="str">
        <f t="shared" si="375"/>
        <v/>
      </c>
      <c r="AQ823" s="266"/>
      <c r="AR823" s="258" t="str">
        <f t="shared" si="376"/>
        <v/>
      </c>
      <c r="AS823" s="266"/>
      <c r="AT823" s="256" t="str">
        <f t="shared" si="377"/>
        <v/>
      </c>
      <c r="AU823" s="256" t="str">
        <f t="shared" si="378"/>
        <v/>
      </c>
      <c r="AV823" s="256" t="str">
        <f t="shared" si="379"/>
        <v/>
      </c>
      <c r="AW823" s="267"/>
      <c r="AX823" s="255"/>
      <c r="AY823" s="259" t="str">
        <f>IF(AX823&lt;&gt;"",AX823/VLOOKUP($V823,Setup!$C$30:$D$41,2,0),"")</f>
        <v/>
      </c>
      <c r="AZ823" s="268"/>
      <c r="BA823" s="258" t="str">
        <f t="shared" si="380"/>
        <v/>
      </c>
      <c r="BB823" s="268"/>
      <c r="BC823" s="258" t="str">
        <f t="shared" si="381"/>
        <v/>
      </c>
      <c r="BD823" s="268"/>
      <c r="BE823" s="258" t="str">
        <f t="shared" si="382"/>
        <v/>
      </c>
      <c r="BF823" s="268"/>
      <c r="BG823" s="256" t="str">
        <f t="shared" si="383"/>
        <v/>
      </c>
      <c r="BH823" s="256" t="str">
        <f t="shared" si="384"/>
        <v/>
      </c>
      <c r="BI823" s="256" t="str">
        <f t="shared" si="385"/>
        <v/>
      </c>
      <c r="BJ823" s="267"/>
      <c r="BK823" s="255"/>
      <c r="BL823" s="259" t="str">
        <f>IF(BK823&lt;&gt;"",BK823/VLOOKUP($V823,Setup!$C$30:$D$41,2,0),"")</f>
        <v/>
      </c>
      <c r="BM823" s="268"/>
      <c r="BN823" s="258" t="str">
        <f t="shared" si="386"/>
        <v/>
      </c>
      <c r="BO823" s="268"/>
      <c r="BP823" s="258" t="str">
        <f t="shared" si="387"/>
        <v/>
      </c>
      <c r="BQ823" s="268"/>
      <c r="BR823" s="258" t="str">
        <f t="shared" si="388"/>
        <v/>
      </c>
      <c r="BS823" s="268"/>
      <c r="BT823" s="256" t="str">
        <f t="shared" si="389"/>
        <v/>
      </c>
      <c r="BU823" s="256" t="str">
        <f t="shared" si="390"/>
        <v/>
      </c>
      <c r="BV823" s="256" t="str">
        <f t="shared" si="391"/>
        <v/>
      </c>
      <c r="BW823" s="267"/>
      <c r="BX823" s="256" t="str">
        <f t="shared" si="392"/>
        <v/>
      </c>
      <c r="BY823" s="256" t="str">
        <f t="shared" si="393"/>
        <v/>
      </c>
      <c r="BZ823" s="281"/>
      <c r="CA823" s="282"/>
      <c r="CF823" s="284"/>
      <c r="CG823" s="284"/>
      <c r="CH823" s="284"/>
      <c r="CI823" s="284"/>
      <c r="CL823" s="356" t="str">
        <f>IFERROR(VLOOKUP(C823,'Data Sheet'!$A$3:$B$26,2,FALSE),"")</f>
        <v/>
      </c>
    </row>
    <row r="824" spans="1:90" ht="15.75" x14ac:dyDescent="0.2">
      <c r="A824" s="97"/>
      <c r="B824" s="105" t="str">
        <f t="shared" si="396"/>
        <v>--</v>
      </c>
      <c r="C824" s="276"/>
      <c r="D824" s="101" t="str">
        <f>IFERROR(IF(VLOOKUP(C824,'Data Sheet'!$A$3:$D$26,4,FALSE)=0,"",VLOOKUP(C824,'Data Sheet'!$A$3:$D$26,4,FALSE)),"")</f>
        <v/>
      </c>
      <c r="E824" s="279"/>
      <c r="F824" s="103" t="str">
        <f>IFERROR(IF(VLOOKUP(E824,'Data Sheet'!$C$29:$E$174,3,FALSE)=0,"",VLOOKUP(E824,'Data Sheet'!$C$29:$E$174,3,FALSE)),"")</f>
        <v/>
      </c>
      <c r="G824" s="106" t="str">
        <f t="shared" si="394"/>
        <v>-</v>
      </c>
      <c r="H824" s="273"/>
      <c r="I824" s="107"/>
      <c r="J824" s="249" t="e">
        <f t="shared" si="395"/>
        <v>#VALUE!</v>
      </c>
      <c r="K824" s="101" t="str">
        <f>IFERROR(INDEX('Data Sheet'!$C$198:$C$275,MATCH(I824,'Data Sheet'!$F$198:$F$275,0)),"")</f>
        <v/>
      </c>
      <c r="L824" s="250" t="str">
        <f>IFERROR(INDEX('Data Sheet'!$G$198:$G$275,MATCH(I824,'Data Sheet'!$F$198:$F$275,0)),"")</f>
        <v/>
      </c>
      <c r="M824" s="194"/>
      <c r="N824" s="248"/>
      <c r="O824" s="248"/>
      <c r="P824" s="108" t="str">
        <f>IFERROR(INDEX(Setup!$D$44:$D$70,MATCH(M824,Setup!$K$44:$K$70,0))&amp;"","")</f>
        <v/>
      </c>
      <c r="Q824" s="108" t="str">
        <f>IFERROR(INDEX(Setup!$E$44:$E$70,MATCH(M824,Setup!$K$44:$K$70,0))&amp;"","")</f>
        <v/>
      </c>
      <c r="R824" s="108" t="str">
        <f>IFERROR(INDEX(Setup!$L$44:$L$70,MATCH(M824,Setup!$K$44:$K$70,0))&amp;"","")</f>
        <v/>
      </c>
      <c r="S824" s="108" t="str">
        <f>Setup!$C$30</f>
        <v>USD</v>
      </c>
      <c r="T824" s="109" t="str">
        <f>IFERROR(INDEX('Data Sheet'!$B$198:$B$275,MATCH(I824,'Data Sheet'!$F$198:$F$275,0)),"")</f>
        <v/>
      </c>
      <c r="U824" s="110" t="str">
        <f>IFERROR(INDEX('Data Sheet'!$D$198:$D$275,MATCH(I824,'Data Sheet'!$F$198:$F$275,0)),"")</f>
        <v/>
      </c>
      <c r="V824" s="99"/>
      <c r="W824" s="195" t="str">
        <f>IF(V824=Setup!$C$30,"Grant",IF(V824=Setup!$C$31,"Local",IF(V824=Setup!$C$32,"Other",IF(ISBLANK(V824),"","Other"))))</f>
        <v/>
      </c>
      <c r="X824" s="255"/>
      <c r="Y824" s="259" t="str">
        <f>IF(X824&lt;&gt;"",X824/VLOOKUP($V824,Setup!$C$30:$D$41,2,0),"")</f>
        <v/>
      </c>
      <c r="Z824" s="262"/>
      <c r="AA824" s="256" t="str">
        <f t="shared" si="368"/>
        <v/>
      </c>
      <c r="AB824" s="262"/>
      <c r="AC824" s="258" t="str">
        <f t="shared" si="369"/>
        <v/>
      </c>
      <c r="AD824" s="262"/>
      <c r="AE824" s="258" t="str">
        <f t="shared" si="370"/>
        <v/>
      </c>
      <c r="AF824" s="262"/>
      <c r="AG824" s="256" t="str">
        <f t="shared" si="371"/>
        <v/>
      </c>
      <c r="AH824" s="256" t="str">
        <f t="shared" si="372"/>
        <v/>
      </c>
      <c r="AI824" s="256" t="str">
        <f t="shared" si="373"/>
        <v/>
      </c>
      <c r="AJ824" s="111"/>
      <c r="AK824" s="255"/>
      <c r="AL824" s="259" t="str">
        <f>IF(AK824&lt;&gt;"",AK824/VLOOKUP($V824,Setup!$C$30:$D$41,2,0),"")</f>
        <v/>
      </c>
      <c r="AM824" s="266"/>
      <c r="AN824" s="258" t="str">
        <f t="shared" si="374"/>
        <v/>
      </c>
      <c r="AO824" s="266"/>
      <c r="AP824" s="258" t="str">
        <f t="shared" si="375"/>
        <v/>
      </c>
      <c r="AQ824" s="266"/>
      <c r="AR824" s="258" t="str">
        <f t="shared" si="376"/>
        <v/>
      </c>
      <c r="AS824" s="266"/>
      <c r="AT824" s="256" t="str">
        <f t="shared" si="377"/>
        <v/>
      </c>
      <c r="AU824" s="256" t="str">
        <f t="shared" si="378"/>
        <v/>
      </c>
      <c r="AV824" s="256" t="str">
        <f t="shared" si="379"/>
        <v/>
      </c>
      <c r="AW824" s="267"/>
      <c r="AX824" s="255"/>
      <c r="AY824" s="259" t="str">
        <f>IF(AX824&lt;&gt;"",AX824/VLOOKUP($V824,Setup!$C$30:$D$41,2,0),"")</f>
        <v/>
      </c>
      <c r="AZ824" s="268"/>
      <c r="BA824" s="258" t="str">
        <f t="shared" si="380"/>
        <v/>
      </c>
      <c r="BB824" s="268"/>
      <c r="BC824" s="258" t="str">
        <f t="shared" si="381"/>
        <v/>
      </c>
      <c r="BD824" s="268"/>
      <c r="BE824" s="258" t="str">
        <f t="shared" si="382"/>
        <v/>
      </c>
      <c r="BF824" s="268"/>
      <c r="BG824" s="256" t="str">
        <f t="shared" si="383"/>
        <v/>
      </c>
      <c r="BH824" s="256" t="str">
        <f t="shared" si="384"/>
        <v/>
      </c>
      <c r="BI824" s="256" t="str">
        <f t="shared" si="385"/>
        <v/>
      </c>
      <c r="BJ824" s="267"/>
      <c r="BK824" s="255"/>
      <c r="BL824" s="259" t="str">
        <f>IF(BK824&lt;&gt;"",BK824/VLOOKUP($V824,Setup!$C$30:$D$41,2,0),"")</f>
        <v/>
      </c>
      <c r="BM824" s="268"/>
      <c r="BN824" s="258" t="str">
        <f t="shared" si="386"/>
        <v/>
      </c>
      <c r="BO824" s="268"/>
      <c r="BP824" s="258" t="str">
        <f t="shared" si="387"/>
        <v/>
      </c>
      <c r="BQ824" s="268"/>
      <c r="BR824" s="258" t="str">
        <f t="shared" si="388"/>
        <v/>
      </c>
      <c r="BS824" s="268"/>
      <c r="BT824" s="256" t="str">
        <f t="shared" si="389"/>
        <v/>
      </c>
      <c r="BU824" s="256" t="str">
        <f t="shared" si="390"/>
        <v/>
      </c>
      <c r="BV824" s="256" t="str">
        <f t="shared" si="391"/>
        <v/>
      </c>
      <c r="BW824" s="267"/>
      <c r="BX824" s="256" t="str">
        <f t="shared" si="392"/>
        <v/>
      </c>
      <c r="BY824" s="256" t="str">
        <f t="shared" si="393"/>
        <v/>
      </c>
      <c r="BZ824" s="281"/>
      <c r="CA824" s="282"/>
      <c r="CF824" s="284"/>
      <c r="CG824" s="284"/>
      <c r="CH824" s="284"/>
      <c r="CI824" s="284"/>
      <c r="CL824" s="356" t="str">
        <f>IFERROR(VLOOKUP(C824,'Data Sheet'!$A$3:$B$26,2,FALSE),"")</f>
        <v/>
      </c>
    </row>
    <row r="825" spans="1:90" ht="15.75" x14ac:dyDescent="0.2">
      <c r="A825" s="97"/>
      <c r="B825" s="105" t="str">
        <f t="shared" si="396"/>
        <v>--</v>
      </c>
      <c r="C825" s="276"/>
      <c r="D825" s="101" t="str">
        <f>IFERROR(IF(VLOOKUP(C825,'Data Sheet'!$A$3:$D$26,4,FALSE)=0,"",VLOOKUP(C825,'Data Sheet'!$A$3:$D$26,4,FALSE)),"")</f>
        <v/>
      </c>
      <c r="E825" s="279"/>
      <c r="F825" s="103" t="str">
        <f>IFERROR(IF(VLOOKUP(E825,'Data Sheet'!$C$29:$E$174,3,FALSE)=0,"",VLOOKUP(E825,'Data Sheet'!$C$29:$E$174,3,FALSE)),"")</f>
        <v/>
      </c>
      <c r="G825" s="106" t="str">
        <f t="shared" si="394"/>
        <v>-</v>
      </c>
      <c r="H825" s="273"/>
      <c r="I825" s="107"/>
      <c r="J825" s="249" t="e">
        <f t="shared" si="395"/>
        <v>#VALUE!</v>
      </c>
      <c r="K825" s="101" t="str">
        <f>IFERROR(INDEX('Data Sheet'!$C$198:$C$275,MATCH(I825,'Data Sheet'!$F$198:$F$275,0)),"")</f>
        <v/>
      </c>
      <c r="L825" s="250" t="str">
        <f>IFERROR(INDEX('Data Sheet'!$G$198:$G$275,MATCH(I825,'Data Sheet'!$F$198:$F$275,0)),"")</f>
        <v/>
      </c>
      <c r="M825" s="194"/>
      <c r="N825" s="248"/>
      <c r="O825" s="248"/>
      <c r="P825" s="108" t="str">
        <f>IFERROR(INDEX(Setup!$D$44:$D$70,MATCH(M825,Setup!$K$44:$K$70,0))&amp;"","")</f>
        <v/>
      </c>
      <c r="Q825" s="108" t="str">
        <f>IFERROR(INDEX(Setup!$E$44:$E$70,MATCH(M825,Setup!$K$44:$K$70,0))&amp;"","")</f>
        <v/>
      </c>
      <c r="R825" s="108" t="str">
        <f>IFERROR(INDEX(Setup!$L$44:$L$70,MATCH(M825,Setup!$K$44:$K$70,0))&amp;"","")</f>
        <v/>
      </c>
      <c r="S825" s="108" t="str">
        <f>Setup!$C$30</f>
        <v>USD</v>
      </c>
      <c r="T825" s="109" t="str">
        <f>IFERROR(INDEX('Data Sheet'!$B$198:$B$275,MATCH(I825,'Data Sheet'!$F$198:$F$275,0)),"")</f>
        <v/>
      </c>
      <c r="U825" s="110" t="str">
        <f>IFERROR(INDEX('Data Sheet'!$D$198:$D$275,MATCH(I825,'Data Sheet'!$F$198:$F$275,0)),"")</f>
        <v/>
      </c>
      <c r="V825" s="99"/>
      <c r="W825" s="195" t="str">
        <f>IF(V825=Setup!$C$30,"Grant",IF(V825=Setup!$C$31,"Local",IF(V825=Setup!$C$32,"Other",IF(ISBLANK(V825),"","Other"))))</f>
        <v/>
      </c>
      <c r="X825" s="255"/>
      <c r="Y825" s="259" t="str">
        <f>IF(X825&lt;&gt;"",X825/VLOOKUP($V825,Setup!$C$30:$D$41,2,0),"")</f>
        <v/>
      </c>
      <c r="Z825" s="262"/>
      <c r="AA825" s="256" t="str">
        <f t="shared" si="368"/>
        <v/>
      </c>
      <c r="AB825" s="262"/>
      <c r="AC825" s="258" t="str">
        <f t="shared" si="369"/>
        <v/>
      </c>
      <c r="AD825" s="262"/>
      <c r="AE825" s="258" t="str">
        <f t="shared" si="370"/>
        <v/>
      </c>
      <c r="AF825" s="262"/>
      <c r="AG825" s="256" t="str">
        <f t="shared" si="371"/>
        <v/>
      </c>
      <c r="AH825" s="256" t="str">
        <f t="shared" si="372"/>
        <v/>
      </c>
      <c r="AI825" s="256" t="str">
        <f t="shared" si="373"/>
        <v/>
      </c>
      <c r="AJ825" s="111"/>
      <c r="AK825" s="255"/>
      <c r="AL825" s="259" t="str">
        <f>IF(AK825&lt;&gt;"",AK825/VLOOKUP($V825,Setup!$C$30:$D$41,2,0),"")</f>
        <v/>
      </c>
      <c r="AM825" s="266"/>
      <c r="AN825" s="258" t="str">
        <f t="shared" si="374"/>
        <v/>
      </c>
      <c r="AO825" s="266"/>
      <c r="AP825" s="258" t="str">
        <f t="shared" si="375"/>
        <v/>
      </c>
      <c r="AQ825" s="266"/>
      <c r="AR825" s="258" t="str">
        <f t="shared" si="376"/>
        <v/>
      </c>
      <c r="AS825" s="266"/>
      <c r="AT825" s="256" t="str">
        <f t="shared" si="377"/>
        <v/>
      </c>
      <c r="AU825" s="256" t="str">
        <f t="shared" si="378"/>
        <v/>
      </c>
      <c r="AV825" s="256" t="str">
        <f t="shared" si="379"/>
        <v/>
      </c>
      <c r="AW825" s="267"/>
      <c r="AX825" s="255"/>
      <c r="AY825" s="259" t="str">
        <f>IF(AX825&lt;&gt;"",AX825/VLOOKUP($V825,Setup!$C$30:$D$41,2,0),"")</f>
        <v/>
      </c>
      <c r="AZ825" s="268"/>
      <c r="BA825" s="258" t="str">
        <f t="shared" si="380"/>
        <v/>
      </c>
      <c r="BB825" s="268"/>
      <c r="BC825" s="258" t="str">
        <f t="shared" si="381"/>
        <v/>
      </c>
      <c r="BD825" s="268"/>
      <c r="BE825" s="258" t="str">
        <f t="shared" si="382"/>
        <v/>
      </c>
      <c r="BF825" s="268"/>
      <c r="BG825" s="256" t="str">
        <f t="shared" si="383"/>
        <v/>
      </c>
      <c r="BH825" s="256" t="str">
        <f t="shared" si="384"/>
        <v/>
      </c>
      <c r="BI825" s="256" t="str">
        <f t="shared" si="385"/>
        <v/>
      </c>
      <c r="BJ825" s="267"/>
      <c r="BK825" s="255"/>
      <c r="BL825" s="259" t="str">
        <f>IF(BK825&lt;&gt;"",BK825/VLOOKUP($V825,Setup!$C$30:$D$41,2,0),"")</f>
        <v/>
      </c>
      <c r="BM825" s="268"/>
      <c r="BN825" s="258" t="str">
        <f t="shared" si="386"/>
        <v/>
      </c>
      <c r="BO825" s="268"/>
      <c r="BP825" s="258" t="str">
        <f t="shared" si="387"/>
        <v/>
      </c>
      <c r="BQ825" s="268"/>
      <c r="BR825" s="258" t="str">
        <f t="shared" si="388"/>
        <v/>
      </c>
      <c r="BS825" s="268"/>
      <c r="BT825" s="256" t="str">
        <f t="shared" si="389"/>
        <v/>
      </c>
      <c r="BU825" s="256" t="str">
        <f t="shared" si="390"/>
        <v/>
      </c>
      <c r="BV825" s="256" t="str">
        <f t="shared" si="391"/>
        <v/>
      </c>
      <c r="BW825" s="267"/>
      <c r="BX825" s="256" t="str">
        <f t="shared" si="392"/>
        <v/>
      </c>
      <c r="BY825" s="256" t="str">
        <f t="shared" si="393"/>
        <v/>
      </c>
      <c r="BZ825" s="281"/>
      <c r="CA825" s="282"/>
      <c r="CF825" s="284"/>
      <c r="CG825" s="284"/>
      <c r="CH825" s="284"/>
      <c r="CI825" s="284"/>
      <c r="CL825" s="356" t="str">
        <f>IFERROR(VLOOKUP(C825,'Data Sheet'!$A$3:$B$26,2,FALSE),"")</f>
        <v/>
      </c>
    </row>
    <row r="826" spans="1:90" ht="15.75" x14ac:dyDescent="0.2">
      <c r="A826" s="97"/>
      <c r="B826" s="105" t="str">
        <f t="shared" si="396"/>
        <v>--</v>
      </c>
      <c r="C826" s="276"/>
      <c r="D826" s="101" t="str">
        <f>IFERROR(IF(VLOOKUP(C826,'Data Sheet'!$A$3:$D$26,4,FALSE)=0,"",VLOOKUP(C826,'Data Sheet'!$A$3:$D$26,4,FALSE)),"")</f>
        <v/>
      </c>
      <c r="E826" s="279"/>
      <c r="F826" s="103" t="str">
        <f>IFERROR(IF(VLOOKUP(E826,'Data Sheet'!$C$29:$E$174,3,FALSE)=0,"",VLOOKUP(E826,'Data Sheet'!$C$29:$E$174,3,FALSE)),"")</f>
        <v/>
      </c>
      <c r="G826" s="106" t="str">
        <f t="shared" si="394"/>
        <v>-</v>
      </c>
      <c r="H826" s="273"/>
      <c r="I826" s="107"/>
      <c r="J826" s="249" t="e">
        <f t="shared" si="395"/>
        <v>#VALUE!</v>
      </c>
      <c r="K826" s="101" t="str">
        <f>IFERROR(INDEX('Data Sheet'!$C$198:$C$275,MATCH(I826,'Data Sheet'!$F$198:$F$275,0)),"")</f>
        <v/>
      </c>
      <c r="L826" s="250" t="str">
        <f>IFERROR(INDEX('Data Sheet'!$G$198:$G$275,MATCH(I826,'Data Sheet'!$F$198:$F$275,0)),"")</f>
        <v/>
      </c>
      <c r="M826" s="194"/>
      <c r="N826" s="248"/>
      <c r="O826" s="248"/>
      <c r="P826" s="108" t="str">
        <f>IFERROR(INDEX(Setup!$D$44:$D$70,MATCH(M826,Setup!$K$44:$K$70,0))&amp;"","")</f>
        <v/>
      </c>
      <c r="Q826" s="108" t="str">
        <f>IFERROR(INDEX(Setup!$E$44:$E$70,MATCH(M826,Setup!$K$44:$K$70,0))&amp;"","")</f>
        <v/>
      </c>
      <c r="R826" s="108" t="str">
        <f>IFERROR(INDEX(Setup!$L$44:$L$70,MATCH(M826,Setup!$K$44:$K$70,0))&amp;"","")</f>
        <v/>
      </c>
      <c r="S826" s="108" t="str">
        <f>Setup!$C$30</f>
        <v>USD</v>
      </c>
      <c r="T826" s="109" t="str">
        <f>IFERROR(INDEX('Data Sheet'!$B$198:$B$275,MATCH(I826,'Data Sheet'!$F$198:$F$275,0)),"")</f>
        <v/>
      </c>
      <c r="U826" s="110" t="str">
        <f>IFERROR(INDEX('Data Sheet'!$D$198:$D$275,MATCH(I826,'Data Sheet'!$F$198:$F$275,0)),"")</f>
        <v/>
      </c>
      <c r="V826" s="99"/>
      <c r="W826" s="195" t="str">
        <f>IF(V826=Setup!$C$30,"Grant",IF(V826=Setup!$C$31,"Local",IF(V826=Setup!$C$32,"Other",IF(ISBLANK(V826),"","Other"))))</f>
        <v/>
      </c>
      <c r="X826" s="255"/>
      <c r="Y826" s="259" t="str">
        <f>IF(X826&lt;&gt;"",X826/VLOOKUP($V826,Setup!$C$30:$D$41,2,0),"")</f>
        <v/>
      </c>
      <c r="Z826" s="262"/>
      <c r="AA826" s="256" t="str">
        <f t="shared" si="368"/>
        <v/>
      </c>
      <c r="AB826" s="262"/>
      <c r="AC826" s="258" t="str">
        <f t="shared" si="369"/>
        <v/>
      </c>
      <c r="AD826" s="262"/>
      <c r="AE826" s="258" t="str">
        <f t="shared" si="370"/>
        <v/>
      </c>
      <c r="AF826" s="262"/>
      <c r="AG826" s="256" t="str">
        <f t="shared" si="371"/>
        <v/>
      </c>
      <c r="AH826" s="256" t="str">
        <f t="shared" si="372"/>
        <v/>
      </c>
      <c r="AI826" s="256" t="str">
        <f t="shared" si="373"/>
        <v/>
      </c>
      <c r="AJ826" s="111"/>
      <c r="AK826" s="255"/>
      <c r="AL826" s="259" t="str">
        <f>IF(AK826&lt;&gt;"",AK826/VLOOKUP($V826,Setup!$C$30:$D$41,2,0),"")</f>
        <v/>
      </c>
      <c r="AM826" s="266"/>
      <c r="AN826" s="258" t="str">
        <f t="shared" si="374"/>
        <v/>
      </c>
      <c r="AO826" s="266"/>
      <c r="AP826" s="258" t="str">
        <f t="shared" si="375"/>
        <v/>
      </c>
      <c r="AQ826" s="266"/>
      <c r="AR826" s="258" t="str">
        <f t="shared" si="376"/>
        <v/>
      </c>
      <c r="AS826" s="266"/>
      <c r="AT826" s="256" t="str">
        <f t="shared" si="377"/>
        <v/>
      </c>
      <c r="AU826" s="256" t="str">
        <f t="shared" si="378"/>
        <v/>
      </c>
      <c r="AV826" s="256" t="str">
        <f t="shared" si="379"/>
        <v/>
      </c>
      <c r="AW826" s="267"/>
      <c r="AX826" s="255"/>
      <c r="AY826" s="259" t="str">
        <f>IF(AX826&lt;&gt;"",AX826/VLOOKUP($V826,Setup!$C$30:$D$41,2,0),"")</f>
        <v/>
      </c>
      <c r="AZ826" s="268"/>
      <c r="BA826" s="258" t="str">
        <f t="shared" si="380"/>
        <v/>
      </c>
      <c r="BB826" s="268"/>
      <c r="BC826" s="258" t="str">
        <f t="shared" si="381"/>
        <v/>
      </c>
      <c r="BD826" s="268"/>
      <c r="BE826" s="258" t="str">
        <f t="shared" si="382"/>
        <v/>
      </c>
      <c r="BF826" s="268"/>
      <c r="BG826" s="256" t="str">
        <f t="shared" si="383"/>
        <v/>
      </c>
      <c r="BH826" s="256" t="str">
        <f t="shared" si="384"/>
        <v/>
      </c>
      <c r="BI826" s="256" t="str">
        <f t="shared" si="385"/>
        <v/>
      </c>
      <c r="BJ826" s="267"/>
      <c r="BK826" s="255"/>
      <c r="BL826" s="259" t="str">
        <f>IF(BK826&lt;&gt;"",BK826/VLOOKUP($V826,Setup!$C$30:$D$41,2,0),"")</f>
        <v/>
      </c>
      <c r="BM826" s="268"/>
      <c r="BN826" s="258" t="str">
        <f t="shared" si="386"/>
        <v/>
      </c>
      <c r="BO826" s="268"/>
      <c r="BP826" s="258" t="str">
        <f t="shared" si="387"/>
        <v/>
      </c>
      <c r="BQ826" s="268"/>
      <c r="BR826" s="258" t="str">
        <f t="shared" si="388"/>
        <v/>
      </c>
      <c r="BS826" s="268"/>
      <c r="BT826" s="256" t="str">
        <f t="shared" si="389"/>
        <v/>
      </c>
      <c r="BU826" s="256" t="str">
        <f t="shared" si="390"/>
        <v/>
      </c>
      <c r="BV826" s="256" t="str">
        <f t="shared" si="391"/>
        <v/>
      </c>
      <c r="BW826" s="267"/>
      <c r="BX826" s="256" t="str">
        <f t="shared" si="392"/>
        <v/>
      </c>
      <c r="BY826" s="256" t="str">
        <f t="shared" si="393"/>
        <v/>
      </c>
      <c r="BZ826" s="281"/>
      <c r="CA826" s="282"/>
      <c r="CF826" s="284"/>
      <c r="CG826" s="284"/>
      <c r="CH826" s="284"/>
      <c r="CI826" s="284"/>
      <c r="CL826" s="356" t="str">
        <f>IFERROR(VLOOKUP(C826,'Data Sheet'!$A$3:$B$26,2,FALSE),"")</f>
        <v/>
      </c>
    </row>
    <row r="827" spans="1:90" ht="15.75" x14ac:dyDescent="0.2">
      <c r="A827" s="97"/>
      <c r="B827" s="105" t="str">
        <f t="shared" si="396"/>
        <v>--</v>
      </c>
      <c r="C827" s="276"/>
      <c r="D827" s="101" t="str">
        <f>IFERROR(IF(VLOOKUP(C827,'Data Sheet'!$A$3:$D$26,4,FALSE)=0,"",VLOOKUP(C827,'Data Sheet'!$A$3:$D$26,4,FALSE)),"")</f>
        <v/>
      </c>
      <c r="E827" s="279"/>
      <c r="F827" s="103" t="str">
        <f>IFERROR(IF(VLOOKUP(E827,'Data Sheet'!$C$29:$E$174,3,FALSE)=0,"",VLOOKUP(E827,'Data Sheet'!$C$29:$E$174,3,FALSE)),"")</f>
        <v/>
      </c>
      <c r="G827" s="106" t="str">
        <f t="shared" si="394"/>
        <v>-</v>
      </c>
      <c r="H827" s="273"/>
      <c r="I827" s="107"/>
      <c r="J827" s="249" t="e">
        <f t="shared" si="395"/>
        <v>#VALUE!</v>
      </c>
      <c r="K827" s="101" t="str">
        <f>IFERROR(INDEX('Data Sheet'!$C$198:$C$275,MATCH(I827,'Data Sheet'!$F$198:$F$275,0)),"")</f>
        <v/>
      </c>
      <c r="L827" s="250" t="str">
        <f>IFERROR(INDEX('Data Sheet'!$G$198:$G$275,MATCH(I827,'Data Sheet'!$F$198:$F$275,0)),"")</f>
        <v/>
      </c>
      <c r="M827" s="194"/>
      <c r="N827" s="248"/>
      <c r="O827" s="248"/>
      <c r="P827" s="108" t="str">
        <f>IFERROR(INDEX(Setup!$D$44:$D$70,MATCH(M827,Setup!$K$44:$K$70,0))&amp;"","")</f>
        <v/>
      </c>
      <c r="Q827" s="108" t="str">
        <f>IFERROR(INDEX(Setup!$E$44:$E$70,MATCH(M827,Setup!$K$44:$K$70,0))&amp;"","")</f>
        <v/>
      </c>
      <c r="R827" s="108" t="str">
        <f>IFERROR(INDEX(Setup!$L$44:$L$70,MATCH(M827,Setup!$K$44:$K$70,0))&amp;"","")</f>
        <v/>
      </c>
      <c r="S827" s="108" t="str">
        <f>Setup!$C$30</f>
        <v>USD</v>
      </c>
      <c r="T827" s="109" t="str">
        <f>IFERROR(INDEX('Data Sheet'!$B$198:$B$275,MATCH(I827,'Data Sheet'!$F$198:$F$275,0)),"")</f>
        <v/>
      </c>
      <c r="U827" s="110" t="str">
        <f>IFERROR(INDEX('Data Sheet'!$D$198:$D$275,MATCH(I827,'Data Sheet'!$F$198:$F$275,0)),"")</f>
        <v/>
      </c>
      <c r="V827" s="99"/>
      <c r="W827" s="195" t="str">
        <f>IF(V827=Setup!$C$30,"Grant",IF(V827=Setup!$C$31,"Local",IF(V827=Setup!$C$32,"Other",IF(ISBLANK(V827),"","Other"))))</f>
        <v/>
      </c>
      <c r="X827" s="255"/>
      <c r="Y827" s="259" t="str">
        <f>IF(X827&lt;&gt;"",X827/VLOOKUP($V827,Setup!$C$30:$D$41,2,0),"")</f>
        <v/>
      </c>
      <c r="Z827" s="262"/>
      <c r="AA827" s="256" t="str">
        <f t="shared" si="368"/>
        <v/>
      </c>
      <c r="AB827" s="262"/>
      <c r="AC827" s="258" t="str">
        <f t="shared" si="369"/>
        <v/>
      </c>
      <c r="AD827" s="262"/>
      <c r="AE827" s="258" t="str">
        <f t="shared" si="370"/>
        <v/>
      </c>
      <c r="AF827" s="262"/>
      <c r="AG827" s="256" t="str">
        <f t="shared" si="371"/>
        <v/>
      </c>
      <c r="AH827" s="256" t="str">
        <f t="shared" si="372"/>
        <v/>
      </c>
      <c r="AI827" s="256" t="str">
        <f t="shared" si="373"/>
        <v/>
      </c>
      <c r="AJ827" s="111"/>
      <c r="AK827" s="255"/>
      <c r="AL827" s="259" t="str">
        <f>IF(AK827&lt;&gt;"",AK827/VLOOKUP($V827,Setup!$C$30:$D$41,2,0),"")</f>
        <v/>
      </c>
      <c r="AM827" s="266"/>
      <c r="AN827" s="258" t="str">
        <f t="shared" si="374"/>
        <v/>
      </c>
      <c r="AO827" s="266"/>
      <c r="AP827" s="258" t="str">
        <f t="shared" si="375"/>
        <v/>
      </c>
      <c r="AQ827" s="266"/>
      <c r="AR827" s="258" t="str">
        <f t="shared" si="376"/>
        <v/>
      </c>
      <c r="AS827" s="266"/>
      <c r="AT827" s="256" t="str">
        <f t="shared" si="377"/>
        <v/>
      </c>
      <c r="AU827" s="256" t="str">
        <f t="shared" si="378"/>
        <v/>
      </c>
      <c r="AV827" s="256" t="str">
        <f t="shared" si="379"/>
        <v/>
      </c>
      <c r="AW827" s="267"/>
      <c r="AX827" s="255"/>
      <c r="AY827" s="259" t="str">
        <f>IF(AX827&lt;&gt;"",AX827/VLOOKUP($V827,Setup!$C$30:$D$41,2,0),"")</f>
        <v/>
      </c>
      <c r="AZ827" s="268"/>
      <c r="BA827" s="258" t="str">
        <f t="shared" si="380"/>
        <v/>
      </c>
      <c r="BB827" s="268"/>
      <c r="BC827" s="258" t="str">
        <f t="shared" si="381"/>
        <v/>
      </c>
      <c r="BD827" s="268"/>
      <c r="BE827" s="258" t="str">
        <f t="shared" si="382"/>
        <v/>
      </c>
      <c r="BF827" s="268"/>
      <c r="BG827" s="256" t="str">
        <f t="shared" si="383"/>
        <v/>
      </c>
      <c r="BH827" s="256" t="str">
        <f t="shared" si="384"/>
        <v/>
      </c>
      <c r="BI827" s="256" t="str">
        <f t="shared" si="385"/>
        <v/>
      </c>
      <c r="BJ827" s="267"/>
      <c r="BK827" s="255"/>
      <c r="BL827" s="259" t="str">
        <f>IF(BK827&lt;&gt;"",BK827/VLOOKUP($V827,Setup!$C$30:$D$41,2,0),"")</f>
        <v/>
      </c>
      <c r="BM827" s="268"/>
      <c r="BN827" s="258" t="str">
        <f t="shared" si="386"/>
        <v/>
      </c>
      <c r="BO827" s="268"/>
      <c r="BP827" s="258" t="str">
        <f t="shared" si="387"/>
        <v/>
      </c>
      <c r="BQ827" s="268"/>
      <c r="BR827" s="258" t="str">
        <f t="shared" si="388"/>
        <v/>
      </c>
      <c r="BS827" s="268"/>
      <c r="BT827" s="256" t="str">
        <f t="shared" si="389"/>
        <v/>
      </c>
      <c r="BU827" s="256" t="str">
        <f t="shared" si="390"/>
        <v/>
      </c>
      <c r="BV827" s="256" t="str">
        <f t="shared" si="391"/>
        <v/>
      </c>
      <c r="BW827" s="267"/>
      <c r="BX827" s="256" t="str">
        <f t="shared" si="392"/>
        <v/>
      </c>
      <c r="BY827" s="256" t="str">
        <f t="shared" si="393"/>
        <v/>
      </c>
      <c r="BZ827" s="281"/>
      <c r="CA827" s="282"/>
      <c r="CF827" s="284"/>
      <c r="CG827" s="284"/>
      <c r="CH827" s="284"/>
      <c r="CI827" s="284"/>
      <c r="CL827" s="356" t="str">
        <f>IFERROR(VLOOKUP(C827,'Data Sheet'!$A$3:$B$26,2,FALSE),"")</f>
        <v/>
      </c>
    </row>
    <row r="828" spans="1:90" ht="15.75" x14ac:dyDescent="0.2">
      <c r="A828" s="97"/>
      <c r="B828" s="105" t="str">
        <f t="shared" si="396"/>
        <v>--</v>
      </c>
      <c r="C828" s="276"/>
      <c r="D828" s="101" t="str">
        <f>IFERROR(IF(VLOOKUP(C828,'Data Sheet'!$A$3:$D$26,4,FALSE)=0,"",VLOOKUP(C828,'Data Sheet'!$A$3:$D$26,4,FALSE)),"")</f>
        <v/>
      </c>
      <c r="E828" s="279"/>
      <c r="F828" s="103" t="str">
        <f>IFERROR(IF(VLOOKUP(E828,'Data Sheet'!$C$29:$E$174,3,FALSE)=0,"",VLOOKUP(E828,'Data Sheet'!$C$29:$E$174,3,FALSE)),"")</f>
        <v/>
      </c>
      <c r="G828" s="106" t="str">
        <f t="shared" si="394"/>
        <v>-</v>
      </c>
      <c r="H828" s="273"/>
      <c r="I828" s="107"/>
      <c r="J828" s="249" t="e">
        <f t="shared" si="395"/>
        <v>#VALUE!</v>
      </c>
      <c r="K828" s="101" t="str">
        <f>IFERROR(INDEX('Data Sheet'!$C$198:$C$275,MATCH(I828,'Data Sheet'!$F$198:$F$275,0)),"")</f>
        <v/>
      </c>
      <c r="L828" s="250" t="str">
        <f>IFERROR(INDEX('Data Sheet'!$G$198:$G$275,MATCH(I828,'Data Sheet'!$F$198:$F$275,0)),"")</f>
        <v/>
      </c>
      <c r="M828" s="194"/>
      <c r="N828" s="248"/>
      <c r="O828" s="248"/>
      <c r="P828" s="108" t="str">
        <f>IFERROR(INDEX(Setup!$D$44:$D$70,MATCH(M828,Setup!$K$44:$K$70,0))&amp;"","")</f>
        <v/>
      </c>
      <c r="Q828" s="108" t="str">
        <f>IFERROR(INDEX(Setup!$E$44:$E$70,MATCH(M828,Setup!$K$44:$K$70,0))&amp;"","")</f>
        <v/>
      </c>
      <c r="R828" s="108" t="str">
        <f>IFERROR(INDEX(Setup!$L$44:$L$70,MATCH(M828,Setup!$K$44:$K$70,0))&amp;"","")</f>
        <v/>
      </c>
      <c r="S828" s="108" t="str">
        <f>Setup!$C$30</f>
        <v>USD</v>
      </c>
      <c r="T828" s="109" t="str">
        <f>IFERROR(INDEX('Data Sheet'!$B$198:$B$275,MATCH(I828,'Data Sheet'!$F$198:$F$275,0)),"")</f>
        <v/>
      </c>
      <c r="U828" s="110" t="str">
        <f>IFERROR(INDEX('Data Sheet'!$D$198:$D$275,MATCH(I828,'Data Sheet'!$F$198:$F$275,0)),"")</f>
        <v/>
      </c>
      <c r="V828" s="99"/>
      <c r="W828" s="195" t="str">
        <f>IF(V828=Setup!$C$30,"Grant",IF(V828=Setup!$C$31,"Local",IF(V828=Setup!$C$32,"Other",IF(ISBLANK(V828),"","Other"))))</f>
        <v/>
      </c>
      <c r="X828" s="255"/>
      <c r="Y828" s="259" t="str">
        <f>IF(X828&lt;&gt;"",X828/VLOOKUP($V828,Setup!$C$30:$D$41,2,0),"")</f>
        <v/>
      </c>
      <c r="Z828" s="262"/>
      <c r="AA828" s="256" t="str">
        <f t="shared" si="368"/>
        <v/>
      </c>
      <c r="AB828" s="262"/>
      <c r="AC828" s="258" t="str">
        <f t="shared" si="369"/>
        <v/>
      </c>
      <c r="AD828" s="262"/>
      <c r="AE828" s="258" t="str">
        <f t="shared" si="370"/>
        <v/>
      </c>
      <c r="AF828" s="262"/>
      <c r="AG828" s="256" t="str">
        <f t="shared" si="371"/>
        <v/>
      </c>
      <c r="AH828" s="256" t="str">
        <f t="shared" si="372"/>
        <v/>
      </c>
      <c r="AI828" s="256" t="str">
        <f t="shared" si="373"/>
        <v/>
      </c>
      <c r="AJ828" s="111"/>
      <c r="AK828" s="255"/>
      <c r="AL828" s="259" t="str">
        <f>IF(AK828&lt;&gt;"",AK828/VLOOKUP($V828,Setup!$C$30:$D$41,2,0),"")</f>
        <v/>
      </c>
      <c r="AM828" s="266"/>
      <c r="AN828" s="258" t="str">
        <f t="shared" si="374"/>
        <v/>
      </c>
      <c r="AO828" s="266"/>
      <c r="AP828" s="258" t="str">
        <f t="shared" si="375"/>
        <v/>
      </c>
      <c r="AQ828" s="266"/>
      <c r="AR828" s="258" t="str">
        <f t="shared" si="376"/>
        <v/>
      </c>
      <c r="AS828" s="266"/>
      <c r="AT828" s="256" t="str">
        <f t="shared" si="377"/>
        <v/>
      </c>
      <c r="AU828" s="256" t="str">
        <f t="shared" si="378"/>
        <v/>
      </c>
      <c r="AV828" s="256" t="str">
        <f t="shared" si="379"/>
        <v/>
      </c>
      <c r="AW828" s="267"/>
      <c r="AX828" s="255"/>
      <c r="AY828" s="259" t="str">
        <f>IF(AX828&lt;&gt;"",AX828/VLOOKUP($V828,Setup!$C$30:$D$41,2,0),"")</f>
        <v/>
      </c>
      <c r="AZ828" s="268"/>
      <c r="BA828" s="258" t="str">
        <f t="shared" si="380"/>
        <v/>
      </c>
      <c r="BB828" s="268"/>
      <c r="BC828" s="258" t="str">
        <f t="shared" si="381"/>
        <v/>
      </c>
      <c r="BD828" s="268"/>
      <c r="BE828" s="258" t="str">
        <f t="shared" si="382"/>
        <v/>
      </c>
      <c r="BF828" s="268"/>
      <c r="BG828" s="256" t="str">
        <f t="shared" si="383"/>
        <v/>
      </c>
      <c r="BH828" s="256" t="str">
        <f t="shared" si="384"/>
        <v/>
      </c>
      <c r="BI828" s="256" t="str">
        <f t="shared" si="385"/>
        <v/>
      </c>
      <c r="BJ828" s="267"/>
      <c r="BK828" s="255"/>
      <c r="BL828" s="259" t="str">
        <f>IF(BK828&lt;&gt;"",BK828/VLOOKUP($V828,Setup!$C$30:$D$41,2,0),"")</f>
        <v/>
      </c>
      <c r="BM828" s="268"/>
      <c r="BN828" s="258" t="str">
        <f t="shared" si="386"/>
        <v/>
      </c>
      <c r="BO828" s="268"/>
      <c r="BP828" s="258" t="str">
        <f t="shared" si="387"/>
        <v/>
      </c>
      <c r="BQ828" s="268"/>
      <c r="BR828" s="258" t="str">
        <f t="shared" si="388"/>
        <v/>
      </c>
      <c r="BS828" s="268"/>
      <c r="BT828" s="256" t="str">
        <f t="shared" si="389"/>
        <v/>
      </c>
      <c r="BU828" s="256" t="str">
        <f t="shared" si="390"/>
        <v/>
      </c>
      <c r="BV828" s="256" t="str">
        <f t="shared" si="391"/>
        <v/>
      </c>
      <c r="BW828" s="267"/>
      <c r="BX828" s="256" t="str">
        <f t="shared" si="392"/>
        <v/>
      </c>
      <c r="BY828" s="256" t="str">
        <f t="shared" si="393"/>
        <v/>
      </c>
      <c r="BZ828" s="281"/>
      <c r="CA828" s="282"/>
      <c r="CF828" s="284"/>
      <c r="CG828" s="284"/>
      <c r="CH828" s="284"/>
      <c r="CI828" s="284"/>
      <c r="CL828" s="356" t="str">
        <f>IFERROR(VLOOKUP(C828,'Data Sheet'!$A$3:$B$26,2,FALSE),"")</f>
        <v/>
      </c>
    </row>
    <row r="829" spans="1:90" ht="15.75" x14ac:dyDescent="0.2">
      <c r="A829" s="97"/>
      <c r="B829" s="105" t="str">
        <f t="shared" si="396"/>
        <v>--</v>
      </c>
      <c r="C829" s="276"/>
      <c r="D829" s="101" t="str">
        <f>IFERROR(IF(VLOOKUP(C829,'Data Sheet'!$A$3:$D$26,4,FALSE)=0,"",VLOOKUP(C829,'Data Sheet'!$A$3:$D$26,4,FALSE)),"")</f>
        <v/>
      </c>
      <c r="E829" s="279"/>
      <c r="F829" s="103" t="str">
        <f>IFERROR(IF(VLOOKUP(E829,'Data Sheet'!$C$29:$E$174,3,FALSE)=0,"",VLOOKUP(E829,'Data Sheet'!$C$29:$E$174,3,FALSE)),"")</f>
        <v/>
      </c>
      <c r="G829" s="106" t="str">
        <f t="shared" si="394"/>
        <v>-</v>
      </c>
      <c r="H829" s="273"/>
      <c r="I829" s="107"/>
      <c r="J829" s="249" t="e">
        <f t="shared" si="395"/>
        <v>#VALUE!</v>
      </c>
      <c r="K829" s="101" t="str">
        <f>IFERROR(INDEX('Data Sheet'!$C$198:$C$275,MATCH(I829,'Data Sheet'!$F$198:$F$275,0)),"")</f>
        <v/>
      </c>
      <c r="L829" s="250" t="str">
        <f>IFERROR(INDEX('Data Sheet'!$G$198:$G$275,MATCH(I829,'Data Sheet'!$F$198:$F$275,0)),"")</f>
        <v/>
      </c>
      <c r="M829" s="194"/>
      <c r="N829" s="248"/>
      <c r="O829" s="248"/>
      <c r="P829" s="108" t="str">
        <f>IFERROR(INDEX(Setup!$D$44:$D$70,MATCH(M829,Setup!$K$44:$K$70,0))&amp;"","")</f>
        <v/>
      </c>
      <c r="Q829" s="108" t="str">
        <f>IFERROR(INDEX(Setup!$E$44:$E$70,MATCH(M829,Setup!$K$44:$K$70,0))&amp;"","")</f>
        <v/>
      </c>
      <c r="R829" s="108" t="str">
        <f>IFERROR(INDEX(Setup!$L$44:$L$70,MATCH(M829,Setup!$K$44:$K$70,0))&amp;"","")</f>
        <v/>
      </c>
      <c r="S829" s="108" t="str">
        <f>Setup!$C$30</f>
        <v>USD</v>
      </c>
      <c r="T829" s="109" t="str">
        <f>IFERROR(INDEX('Data Sheet'!$B$198:$B$275,MATCH(I829,'Data Sheet'!$F$198:$F$275,0)),"")</f>
        <v/>
      </c>
      <c r="U829" s="110" t="str">
        <f>IFERROR(INDEX('Data Sheet'!$D$198:$D$275,MATCH(I829,'Data Sheet'!$F$198:$F$275,0)),"")</f>
        <v/>
      </c>
      <c r="V829" s="99"/>
      <c r="W829" s="195" t="str">
        <f>IF(V829=Setup!$C$30,"Grant",IF(V829=Setup!$C$31,"Local",IF(V829=Setup!$C$32,"Other",IF(ISBLANK(V829),"","Other"))))</f>
        <v/>
      </c>
      <c r="X829" s="255"/>
      <c r="Y829" s="259" t="str">
        <f>IF(X829&lt;&gt;"",X829/VLOOKUP($V829,Setup!$C$30:$D$41,2,0),"")</f>
        <v/>
      </c>
      <c r="Z829" s="262"/>
      <c r="AA829" s="256" t="str">
        <f t="shared" si="368"/>
        <v/>
      </c>
      <c r="AB829" s="262"/>
      <c r="AC829" s="258" t="str">
        <f t="shared" si="369"/>
        <v/>
      </c>
      <c r="AD829" s="262"/>
      <c r="AE829" s="258" t="str">
        <f t="shared" si="370"/>
        <v/>
      </c>
      <c r="AF829" s="262"/>
      <c r="AG829" s="256" t="str">
        <f t="shared" si="371"/>
        <v/>
      </c>
      <c r="AH829" s="256" t="str">
        <f t="shared" si="372"/>
        <v/>
      </c>
      <c r="AI829" s="256" t="str">
        <f t="shared" si="373"/>
        <v/>
      </c>
      <c r="AJ829" s="111"/>
      <c r="AK829" s="255"/>
      <c r="AL829" s="259" t="str">
        <f>IF(AK829&lt;&gt;"",AK829/VLOOKUP($V829,Setup!$C$30:$D$41,2,0),"")</f>
        <v/>
      </c>
      <c r="AM829" s="266"/>
      <c r="AN829" s="258" t="str">
        <f t="shared" si="374"/>
        <v/>
      </c>
      <c r="AO829" s="266"/>
      <c r="AP829" s="258" t="str">
        <f t="shared" si="375"/>
        <v/>
      </c>
      <c r="AQ829" s="266"/>
      <c r="AR829" s="258" t="str">
        <f t="shared" si="376"/>
        <v/>
      </c>
      <c r="AS829" s="266"/>
      <c r="AT829" s="256" t="str">
        <f t="shared" si="377"/>
        <v/>
      </c>
      <c r="AU829" s="256" t="str">
        <f t="shared" si="378"/>
        <v/>
      </c>
      <c r="AV829" s="256" t="str">
        <f t="shared" si="379"/>
        <v/>
      </c>
      <c r="AW829" s="267"/>
      <c r="AX829" s="255"/>
      <c r="AY829" s="259" t="str">
        <f>IF(AX829&lt;&gt;"",AX829/VLOOKUP($V829,Setup!$C$30:$D$41,2,0),"")</f>
        <v/>
      </c>
      <c r="AZ829" s="268"/>
      <c r="BA829" s="258" t="str">
        <f t="shared" si="380"/>
        <v/>
      </c>
      <c r="BB829" s="268"/>
      <c r="BC829" s="258" t="str">
        <f t="shared" si="381"/>
        <v/>
      </c>
      <c r="BD829" s="268"/>
      <c r="BE829" s="258" t="str">
        <f t="shared" si="382"/>
        <v/>
      </c>
      <c r="BF829" s="268"/>
      <c r="BG829" s="256" t="str">
        <f t="shared" si="383"/>
        <v/>
      </c>
      <c r="BH829" s="256" t="str">
        <f t="shared" si="384"/>
        <v/>
      </c>
      <c r="BI829" s="256" t="str">
        <f t="shared" si="385"/>
        <v/>
      </c>
      <c r="BJ829" s="267"/>
      <c r="BK829" s="255"/>
      <c r="BL829" s="259" t="str">
        <f>IF(BK829&lt;&gt;"",BK829/VLOOKUP($V829,Setup!$C$30:$D$41,2,0),"")</f>
        <v/>
      </c>
      <c r="BM829" s="268"/>
      <c r="BN829" s="258" t="str">
        <f t="shared" si="386"/>
        <v/>
      </c>
      <c r="BO829" s="268"/>
      <c r="BP829" s="258" t="str">
        <f t="shared" si="387"/>
        <v/>
      </c>
      <c r="BQ829" s="268"/>
      <c r="BR829" s="258" t="str">
        <f t="shared" si="388"/>
        <v/>
      </c>
      <c r="BS829" s="268"/>
      <c r="BT829" s="256" t="str">
        <f t="shared" si="389"/>
        <v/>
      </c>
      <c r="BU829" s="256" t="str">
        <f t="shared" si="390"/>
        <v/>
      </c>
      <c r="BV829" s="256" t="str">
        <f t="shared" si="391"/>
        <v/>
      </c>
      <c r="BW829" s="267"/>
      <c r="BX829" s="256" t="str">
        <f t="shared" si="392"/>
        <v/>
      </c>
      <c r="BY829" s="256" t="str">
        <f t="shared" si="393"/>
        <v/>
      </c>
      <c r="BZ829" s="281"/>
      <c r="CA829" s="282"/>
      <c r="CF829" s="284"/>
      <c r="CG829" s="284"/>
      <c r="CH829" s="284"/>
      <c r="CI829" s="284"/>
      <c r="CL829" s="356" t="str">
        <f>IFERROR(VLOOKUP(C829,'Data Sheet'!$A$3:$B$26,2,FALSE),"")</f>
        <v/>
      </c>
    </row>
    <row r="830" spans="1:90" ht="15.75" x14ac:dyDescent="0.2">
      <c r="A830" s="97"/>
      <c r="B830" s="105" t="str">
        <f t="shared" si="396"/>
        <v>--</v>
      </c>
      <c r="C830" s="276"/>
      <c r="D830" s="101" t="str">
        <f>IFERROR(IF(VLOOKUP(C830,'Data Sheet'!$A$3:$D$26,4,FALSE)=0,"",VLOOKUP(C830,'Data Sheet'!$A$3:$D$26,4,FALSE)),"")</f>
        <v/>
      </c>
      <c r="E830" s="279"/>
      <c r="F830" s="103" t="str">
        <f>IFERROR(IF(VLOOKUP(E830,'Data Sheet'!$C$29:$E$174,3,FALSE)=0,"",VLOOKUP(E830,'Data Sheet'!$C$29:$E$174,3,FALSE)),"")</f>
        <v/>
      </c>
      <c r="G830" s="106" t="str">
        <f t="shared" si="394"/>
        <v>-</v>
      </c>
      <c r="H830" s="273"/>
      <c r="I830" s="107"/>
      <c r="J830" s="249" t="e">
        <f t="shared" si="395"/>
        <v>#VALUE!</v>
      </c>
      <c r="K830" s="101" t="str">
        <f>IFERROR(INDEX('Data Sheet'!$C$198:$C$275,MATCH(I830,'Data Sheet'!$F$198:$F$275,0)),"")</f>
        <v/>
      </c>
      <c r="L830" s="250" t="str">
        <f>IFERROR(INDEX('Data Sheet'!$G$198:$G$275,MATCH(I830,'Data Sheet'!$F$198:$F$275,0)),"")</f>
        <v/>
      </c>
      <c r="M830" s="194"/>
      <c r="N830" s="248"/>
      <c r="O830" s="248"/>
      <c r="P830" s="108" t="str">
        <f>IFERROR(INDEX(Setup!$D$44:$D$70,MATCH(M830,Setup!$K$44:$K$70,0))&amp;"","")</f>
        <v/>
      </c>
      <c r="Q830" s="108" t="str">
        <f>IFERROR(INDEX(Setup!$E$44:$E$70,MATCH(M830,Setup!$K$44:$K$70,0))&amp;"","")</f>
        <v/>
      </c>
      <c r="R830" s="108" t="str">
        <f>IFERROR(INDEX(Setup!$L$44:$L$70,MATCH(M830,Setup!$K$44:$K$70,0))&amp;"","")</f>
        <v/>
      </c>
      <c r="S830" s="108" t="str">
        <f>Setup!$C$30</f>
        <v>USD</v>
      </c>
      <c r="T830" s="109" t="str">
        <f>IFERROR(INDEX('Data Sheet'!$B$198:$B$275,MATCH(I830,'Data Sheet'!$F$198:$F$275,0)),"")</f>
        <v/>
      </c>
      <c r="U830" s="110" t="str">
        <f>IFERROR(INDEX('Data Sheet'!$D$198:$D$275,MATCH(I830,'Data Sheet'!$F$198:$F$275,0)),"")</f>
        <v/>
      </c>
      <c r="V830" s="99"/>
      <c r="W830" s="195" t="str">
        <f>IF(V830=Setup!$C$30,"Grant",IF(V830=Setup!$C$31,"Local",IF(V830=Setup!$C$32,"Other",IF(ISBLANK(V830),"","Other"))))</f>
        <v/>
      </c>
      <c r="X830" s="255"/>
      <c r="Y830" s="259" t="str">
        <f>IF(X830&lt;&gt;"",X830/VLOOKUP($V830,Setup!$C$30:$D$41,2,0),"")</f>
        <v/>
      </c>
      <c r="Z830" s="262"/>
      <c r="AA830" s="256" t="str">
        <f t="shared" si="368"/>
        <v/>
      </c>
      <c r="AB830" s="262"/>
      <c r="AC830" s="258" t="str">
        <f t="shared" si="369"/>
        <v/>
      </c>
      <c r="AD830" s="262"/>
      <c r="AE830" s="258" t="str">
        <f t="shared" si="370"/>
        <v/>
      </c>
      <c r="AF830" s="262"/>
      <c r="AG830" s="256" t="str">
        <f t="shared" si="371"/>
        <v/>
      </c>
      <c r="AH830" s="256" t="str">
        <f t="shared" si="372"/>
        <v/>
      </c>
      <c r="AI830" s="256" t="str">
        <f t="shared" si="373"/>
        <v/>
      </c>
      <c r="AJ830" s="111"/>
      <c r="AK830" s="255"/>
      <c r="AL830" s="259" t="str">
        <f>IF(AK830&lt;&gt;"",AK830/VLOOKUP($V830,Setup!$C$30:$D$41,2,0),"")</f>
        <v/>
      </c>
      <c r="AM830" s="266"/>
      <c r="AN830" s="258" t="str">
        <f t="shared" si="374"/>
        <v/>
      </c>
      <c r="AO830" s="266"/>
      <c r="AP830" s="258" t="str">
        <f t="shared" si="375"/>
        <v/>
      </c>
      <c r="AQ830" s="266"/>
      <c r="AR830" s="258" t="str">
        <f t="shared" si="376"/>
        <v/>
      </c>
      <c r="AS830" s="266"/>
      <c r="AT830" s="256" t="str">
        <f t="shared" si="377"/>
        <v/>
      </c>
      <c r="AU830" s="256" t="str">
        <f t="shared" si="378"/>
        <v/>
      </c>
      <c r="AV830" s="256" t="str">
        <f t="shared" si="379"/>
        <v/>
      </c>
      <c r="AW830" s="267"/>
      <c r="AX830" s="255"/>
      <c r="AY830" s="259" t="str">
        <f>IF(AX830&lt;&gt;"",AX830/VLOOKUP($V830,Setup!$C$30:$D$41,2,0),"")</f>
        <v/>
      </c>
      <c r="AZ830" s="268"/>
      <c r="BA830" s="258" t="str">
        <f t="shared" si="380"/>
        <v/>
      </c>
      <c r="BB830" s="268"/>
      <c r="BC830" s="258" t="str">
        <f t="shared" si="381"/>
        <v/>
      </c>
      <c r="BD830" s="268"/>
      <c r="BE830" s="258" t="str">
        <f t="shared" si="382"/>
        <v/>
      </c>
      <c r="BF830" s="268"/>
      <c r="BG830" s="256" t="str">
        <f t="shared" si="383"/>
        <v/>
      </c>
      <c r="BH830" s="256" t="str">
        <f t="shared" si="384"/>
        <v/>
      </c>
      <c r="BI830" s="256" t="str">
        <f t="shared" si="385"/>
        <v/>
      </c>
      <c r="BJ830" s="267"/>
      <c r="BK830" s="255"/>
      <c r="BL830" s="259" t="str">
        <f>IF(BK830&lt;&gt;"",BK830/VLOOKUP($V830,Setup!$C$30:$D$41,2,0),"")</f>
        <v/>
      </c>
      <c r="BM830" s="268"/>
      <c r="BN830" s="258" t="str">
        <f t="shared" si="386"/>
        <v/>
      </c>
      <c r="BO830" s="268"/>
      <c r="BP830" s="258" t="str">
        <f t="shared" si="387"/>
        <v/>
      </c>
      <c r="BQ830" s="268"/>
      <c r="BR830" s="258" t="str">
        <f t="shared" si="388"/>
        <v/>
      </c>
      <c r="BS830" s="268"/>
      <c r="BT830" s="256" t="str">
        <f t="shared" si="389"/>
        <v/>
      </c>
      <c r="BU830" s="256" t="str">
        <f t="shared" si="390"/>
        <v/>
      </c>
      <c r="BV830" s="256" t="str">
        <f t="shared" si="391"/>
        <v/>
      </c>
      <c r="BW830" s="267"/>
      <c r="BX830" s="256" t="str">
        <f t="shared" si="392"/>
        <v/>
      </c>
      <c r="BY830" s="256" t="str">
        <f t="shared" si="393"/>
        <v/>
      </c>
      <c r="BZ830" s="281"/>
      <c r="CA830" s="282"/>
      <c r="CF830" s="284"/>
      <c r="CG830" s="284"/>
      <c r="CH830" s="284"/>
      <c r="CI830" s="284"/>
      <c r="CL830" s="356" t="str">
        <f>IFERROR(VLOOKUP(C830,'Data Sheet'!$A$3:$B$26,2,FALSE),"")</f>
        <v/>
      </c>
    </row>
    <row r="831" spans="1:90" ht="15.75" x14ac:dyDescent="0.2">
      <c r="A831" s="97"/>
      <c r="B831" s="105" t="str">
        <f t="shared" si="396"/>
        <v>--</v>
      </c>
      <c r="C831" s="276"/>
      <c r="D831" s="101" t="str">
        <f>IFERROR(IF(VLOOKUP(C831,'Data Sheet'!$A$3:$D$26,4,FALSE)=0,"",VLOOKUP(C831,'Data Sheet'!$A$3:$D$26,4,FALSE)),"")</f>
        <v/>
      </c>
      <c r="E831" s="279"/>
      <c r="F831" s="103" t="str">
        <f>IFERROR(IF(VLOOKUP(E831,'Data Sheet'!$C$29:$E$174,3,FALSE)=0,"",VLOOKUP(E831,'Data Sheet'!$C$29:$E$174,3,FALSE)),"")</f>
        <v/>
      </c>
      <c r="G831" s="106" t="str">
        <f t="shared" si="394"/>
        <v>-</v>
      </c>
      <c r="H831" s="273"/>
      <c r="I831" s="107"/>
      <c r="J831" s="249" t="e">
        <f t="shared" si="395"/>
        <v>#VALUE!</v>
      </c>
      <c r="K831" s="101" t="str">
        <f>IFERROR(INDEX('Data Sheet'!$C$198:$C$275,MATCH(I831,'Data Sheet'!$F$198:$F$275,0)),"")</f>
        <v/>
      </c>
      <c r="L831" s="250" t="str">
        <f>IFERROR(INDEX('Data Sheet'!$G$198:$G$275,MATCH(I831,'Data Sheet'!$F$198:$F$275,0)),"")</f>
        <v/>
      </c>
      <c r="M831" s="194"/>
      <c r="N831" s="248"/>
      <c r="O831" s="248"/>
      <c r="P831" s="108" t="str">
        <f>IFERROR(INDEX(Setup!$D$44:$D$70,MATCH(M831,Setup!$K$44:$K$70,0))&amp;"","")</f>
        <v/>
      </c>
      <c r="Q831" s="108" t="str">
        <f>IFERROR(INDEX(Setup!$E$44:$E$70,MATCH(M831,Setup!$K$44:$K$70,0))&amp;"","")</f>
        <v/>
      </c>
      <c r="R831" s="108" t="str">
        <f>IFERROR(INDEX(Setup!$L$44:$L$70,MATCH(M831,Setup!$K$44:$K$70,0))&amp;"","")</f>
        <v/>
      </c>
      <c r="S831" s="108" t="str">
        <f>Setup!$C$30</f>
        <v>USD</v>
      </c>
      <c r="T831" s="109" t="str">
        <f>IFERROR(INDEX('Data Sheet'!$B$198:$B$275,MATCH(I831,'Data Sheet'!$F$198:$F$275,0)),"")</f>
        <v/>
      </c>
      <c r="U831" s="110" t="str">
        <f>IFERROR(INDEX('Data Sheet'!$D$198:$D$275,MATCH(I831,'Data Sheet'!$F$198:$F$275,0)),"")</f>
        <v/>
      </c>
      <c r="V831" s="99"/>
      <c r="W831" s="195" t="str">
        <f>IF(V831=Setup!$C$30,"Grant",IF(V831=Setup!$C$31,"Local",IF(V831=Setup!$C$32,"Other",IF(ISBLANK(V831),"","Other"))))</f>
        <v/>
      </c>
      <c r="X831" s="255"/>
      <c r="Y831" s="259" t="str">
        <f>IF(X831&lt;&gt;"",X831/VLOOKUP($V831,Setup!$C$30:$D$41,2,0),"")</f>
        <v/>
      </c>
      <c r="Z831" s="262"/>
      <c r="AA831" s="256" t="str">
        <f t="shared" si="368"/>
        <v/>
      </c>
      <c r="AB831" s="262"/>
      <c r="AC831" s="258" t="str">
        <f t="shared" si="369"/>
        <v/>
      </c>
      <c r="AD831" s="262"/>
      <c r="AE831" s="258" t="str">
        <f t="shared" si="370"/>
        <v/>
      </c>
      <c r="AF831" s="262"/>
      <c r="AG831" s="256" t="str">
        <f t="shared" si="371"/>
        <v/>
      </c>
      <c r="AH831" s="256" t="str">
        <f t="shared" si="372"/>
        <v/>
      </c>
      <c r="AI831" s="256" t="str">
        <f t="shared" si="373"/>
        <v/>
      </c>
      <c r="AJ831" s="111"/>
      <c r="AK831" s="255"/>
      <c r="AL831" s="259" t="str">
        <f>IF(AK831&lt;&gt;"",AK831/VLOOKUP($V831,Setup!$C$30:$D$41,2,0),"")</f>
        <v/>
      </c>
      <c r="AM831" s="266"/>
      <c r="AN831" s="258" t="str">
        <f t="shared" si="374"/>
        <v/>
      </c>
      <c r="AO831" s="266"/>
      <c r="AP831" s="258" t="str">
        <f t="shared" si="375"/>
        <v/>
      </c>
      <c r="AQ831" s="266"/>
      <c r="AR831" s="258" t="str">
        <f t="shared" si="376"/>
        <v/>
      </c>
      <c r="AS831" s="266"/>
      <c r="AT831" s="256" t="str">
        <f t="shared" si="377"/>
        <v/>
      </c>
      <c r="AU831" s="256" t="str">
        <f t="shared" si="378"/>
        <v/>
      </c>
      <c r="AV831" s="256" t="str">
        <f t="shared" si="379"/>
        <v/>
      </c>
      <c r="AW831" s="267"/>
      <c r="AX831" s="255"/>
      <c r="AY831" s="259" t="str">
        <f>IF(AX831&lt;&gt;"",AX831/VLOOKUP($V831,Setup!$C$30:$D$41,2,0),"")</f>
        <v/>
      </c>
      <c r="AZ831" s="268"/>
      <c r="BA831" s="258" t="str">
        <f t="shared" si="380"/>
        <v/>
      </c>
      <c r="BB831" s="268"/>
      <c r="BC831" s="258" t="str">
        <f t="shared" si="381"/>
        <v/>
      </c>
      <c r="BD831" s="268"/>
      <c r="BE831" s="258" t="str">
        <f t="shared" si="382"/>
        <v/>
      </c>
      <c r="BF831" s="268"/>
      <c r="BG831" s="256" t="str">
        <f t="shared" si="383"/>
        <v/>
      </c>
      <c r="BH831" s="256" t="str">
        <f t="shared" si="384"/>
        <v/>
      </c>
      <c r="BI831" s="256" t="str">
        <f t="shared" si="385"/>
        <v/>
      </c>
      <c r="BJ831" s="267"/>
      <c r="BK831" s="255"/>
      <c r="BL831" s="259" t="str">
        <f>IF(BK831&lt;&gt;"",BK831/VLOOKUP($V831,Setup!$C$30:$D$41,2,0),"")</f>
        <v/>
      </c>
      <c r="BM831" s="268"/>
      <c r="BN831" s="258" t="str">
        <f t="shared" si="386"/>
        <v/>
      </c>
      <c r="BO831" s="268"/>
      <c r="BP831" s="258" t="str">
        <f t="shared" si="387"/>
        <v/>
      </c>
      <c r="BQ831" s="268"/>
      <c r="BR831" s="258" t="str">
        <f t="shared" si="388"/>
        <v/>
      </c>
      <c r="BS831" s="268"/>
      <c r="BT831" s="256" t="str">
        <f t="shared" si="389"/>
        <v/>
      </c>
      <c r="BU831" s="256" t="str">
        <f t="shared" si="390"/>
        <v/>
      </c>
      <c r="BV831" s="256" t="str">
        <f t="shared" si="391"/>
        <v/>
      </c>
      <c r="BW831" s="267"/>
      <c r="BX831" s="256" t="str">
        <f t="shared" si="392"/>
        <v/>
      </c>
      <c r="BY831" s="256" t="str">
        <f t="shared" si="393"/>
        <v/>
      </c>
      <c r="BZ831" s="281"/>
      <c r="CA831" s="282"/>
      <c r="CF831" s="284"/>
      <c r="CG831" s="284"/>
      <c r="CH831" s="284"/>
      <c r="CI831" s="284"/>
      <c r="CL831" s="356" t="str">
        <f>IFERROR(VLOOKUP(C831,'Data Sheet'!$A$3:$B$26,2,FALSE),"")</f>
        <v/>
      </c>
    </row>
    <row r="832" spans="1:90" ht="15.75" x14ac:dyDescent="0.2">
      <c r="A832" s="97"/>
      <c r="B832" s="105" t="str">
        <f t="shared" si="396"/>
        <v>--</v>
      </c>
      <c r="C832" s="276"/>
      <c r="D832" s="101" t="str">
        <f>IFERROR(IF(VLOOKUP(C832,'Data Sheet'!$A$3:$D$26,4,FALSE)=0,"",VLOOKUP(C832,'Data Sheet'!$A$3:$D$26,4,FALSE)),"")</f>
        <v/>
      </c>
      <c r="E832" s="279"/>
      <c r="F832" s="103" t="str">
        <f>IFERROR(IF(VLOOKUP(E832,'Data Sheet'!$C$29:$E$174,3,FALSE)=0,"",VLOOKUP(E832,'Data Sheet'!$C$29:$E$174,3,FALSE)),"")</f>
        <v/>
      </c>
      <c r="G832" s="106" t="str">
        <f t="shared" si="394"/>
        <v>-</v>
      </c>
      <c r="H832" s="273"/>
      <c r="I832" s="107"/>
      <c r="J832" s="249" t="e">
        <f t="shared" si="395"/>
        <v>#VALUE!</v>
      </c>
      <c r="K832" s="101" t="str">
        <f>IFERROR(INDEX('Data Sheet'!$C$198:$C$275,MATCH(I832,'Data Sheet'!$F$198:$F$275,0)),"")</f>
        <v/>
      </c>
      <c r="L832" s="250" t="str">
        <f>IFERROR(INDEX('Data Sheet'!$G$198:$G$275,MATCH(I832,'Data Sheet'!$F$198:$F$275,0)),"")</f>
        <v/>
      </c>
      <c r="M832" s="194"/>
      <c r="N832" s="248"/>
      <c r="O832" s="248"/>
      <c r="P832" s="108" t="str">
        <f>IFERROR(INDEX(Setup!$D$44:$D$70,MATCH(M832,Setup!$K$44:$K$70,0))&amp;"","")</f>
        <v/>
      </c>
      <c r="Q832" s="108" t="str">
        <f>IFERROR(INDEX(Setup!$E$44:$E$70,MATCH(M832,Setup!$K$44:$K$70,0))&amp;"","")</f>
        <v/>
      </c>
      <c r="R832" s="108" t="str">
        <f>IFERROR(INDEX(Setup!$L$44:$L$70,MATCH(M832,Setup!$K$44:$K$70,0))&amp;"","")</f>
        <v/>
      </c>
      <c r="S832" s="108" t="str">
        <f>Setup!$C$30</f>
        <v>USD</v>
      </c>
      <c r="T832" s="109" t="str">
        <f>IFERROR(INDEX('Data Sheet'!$B$198:$B$275,MATCH(I832,'Data Sheet'!$F$198:$F$275,0)),"")</f>
        <v/>
      </c>
      <c r="U832" s="110" t="str">
        <f>IFERROR(INDEX('Data Sheet'!$D$198:$D$275,MATCH(I832,'Data Sheet'!$F$198:$F$275,0)),"")</f>
        <v/>
      </c>
      <c r="V832" s="99"/>
      <c r="W832" s="195" t="str">
        <f>IF(V832=Setup!$C$30,"Grant",IF(V832=Setup!$C$31,"Local",IF(V832=Setup!$C$32,"Other",IF(ISBLANK(V832),"","Other"))))</f>
        <v/>
      </c>
      <c r="X832" s="255"/>
      <c r="Y832" s="259" t="str">
        <f>IF(X832&lt;&gt;"",X832/VLOOKUP($V832,Setup!$C$30:$D$41,2,0),"")</f>
        <v/>
      </c>
      <c r="Z832" s="262"/>
      <c r="AA832" s="256" t="str">
        <f t="shared" si="368"/>
        <v/>
      </c>
      <c r="AB832" s="262"/>
      <c r="AC832" s="258" t="str">
        <f t="shared" si="369"/>
        <v/>
      </c>
      <c r="AD832" s="262"/>
      <c r="AE832" s="258" t="str">
        <f t="shared" si="370"/>
        <v/>
      </c>
      <c r="AF832" s="262"/>
      <c r="AG832" s="256" t="str">
        <f t="shared" si="371"/>
        <v/>
      </c>
      <c r="AH832" s="256" t="str">
        <f t="shared" si="372"/>
        <v/>
      </c>
      <c r="AI832" s="256" t="str">
        <f t="shared" si="373"/>
        <v/>
      </c>
      <c r="AJ832" s="111"/>
      <c r="AK832" s="255"/>
      <c r="AL832" s="259" t="str">
        <f>IF(AK832&lt;&gt;"",AK832/VLOOKUP($V832,Setup!$C$30:$D$41,2,0),"")</f>
        <v/>
      </c>
      <c r="AM832" s="266"/>
      <c r="AN832" s="258" t="str">
        <f t="shared" si="374"/>
        <v/>
      </c>
      <c r="AO832" s="266"/>
      <c r="AP832" s="258" t="str">
        <f t="shared" si="375"/>
        <v/>
      </c>
      <c r="AQ832" s="266"/>
      <c r="AR832" s="258" t="str">
        <f t="shared" si="376"/>
        <v/>
      </c>
      <c r="AS832" s="266"/>
      <c r="AT832" s="256" t="str">
        <f t="shared" si="377"/>
        <v/>
      </c>
      <c r="AU832" s="256" t="str">
        <f t="shared" si="378"/>
        <v/>
      </c>
      <c r="AV832" s="256" t="str">
        <f t="shared" si="379"/>
        <v/>
      </c>
      <c r="AW832" s="267"/>
      <c r="AX832" s="255"/>
      <c r="AY832" s="259" t="str">
        <f>IF(AX832&lt;&gt;"",AX832/VLOOKUP($V832,Setup!$C$30:$D$41,2,0),"")</f>
        <v/>
      </c>
      <c r="AZ832" s="268"/>
      <c r="BA832" s="258" t="str">
        <f t="shared" si="380"/>
        <v/>
      </c>
      <c r="BB832" s="268"/>
      <c r="BC832" s="258" t="str">
        <f t="shared" si="381"/>
        <v/>
      </c>
      <c r="BD832" s="268"/>
      <c r="BE832" s="258" t="str">
        <f t="shared" si="382"/>
        <v/>
      </c>
      <c r="BF832" s="268"/>
      <c r="BG832" s="256" t="str">
        <f t="shared" si="383"/>
        <v/>
      </c>
      <c r="BH832" s="256" t="str">
        <f t="shared" si="384"/>
        <v/>
      </c>
      <c r="BI832" s="256" t="str">
        <f t="shared" si="385"/>
        <v/>
      </c>
      <c r="BJ832" s="267"/>
      <c r="BK832" s="255"/>
      <c r="BL832" s="259" t="str">
        <f>IF(BK832&lt;&gt;"",BK832/VLOOKUP($V832,Setup!$C$30:$D$41,2,0),"")</f>
        <v/>
      </c>
      <c r="BM832" s="268"/>
      <c r="BN832" s="258" t="str">
        <f t="shared" si="386"/>
        <v/>
      </c>
      <c r="BO832" s="268"/>
      <c r="BP832" s="258" t="str">
        <f t="shared" si="387"/>
        <v/>
      </c>
      <c r="BQ832" s="268"/>
      <c r="BR832" s="258" t="str">
        <f t="shared" si="388"/>
        <v/>
      </c>
      <c r="BS832" s="268"/>
      <c r="BT832" s="256" t="str">
        <f t="shared" si="389"/>
        <v/>
      </c>
      <c r="BU832" s="256" t="str">
        <f t="shared" si="390"/>
        <v/>
      </c>
      <c r="BV832" s="256" t="str">
        <f t="shared" si="391"/>
        <v/>
      </c>
      <c r="BW832" s="267"/>
      <c r="BX832" s="256" t="str">
        <f t="shared" si="392"/>
        <v/>
      </c>
      <c r="BY832" s="256" t="str">
        <f t="shared" si="393"/>
        <v/>
      </c>
      <c r="BZ832" s="281"/>
      <c r="CA832" s="282"/>
      <c r="CF832" s="284"/>
      <c r="CG832" s="284"/>
      <c r="CH832" s="284"/>
      <c r="CI832" s="284"/>
      <c r="CL832" s="356" t="str">
        <f>IFERROR(VLOOKUP(C832,'Data Sheet'!$A$3:$B$26,2,FALSE),"")</f>
        <v/>
      </c>
    </row>
    <row r="833" spans="1:90" ht="15.75" x14ac:dyDescent="0.2">
      <c r="A833" s="97"/>
      <c r="B833" s="105" t="str">
        <f t="shared" si="396"/>
        <v>--</v>
      </c>
      <c r="C833" s="276"/>
      <c r="D833" s="101" t="str">
        <f>IFERROR(IF(VLOOKUP(C833,'Data Sheet'!$A$3:$D$26,4,FALSE)=0,"",VLOOKUP(C833,'Data Sheet'!$A$3:$D$26,4,FALSE)),"")</f>
        <v/>
      </c>
      <c r="E833" s="279"/>
      <c r="F833" s="103" t="str">
        <f>IFERROR(IF(VLOOKUP(E833,'Data Sheet'!$C$29:$E$174,3,FALSE)=0,"",VLOOKUP(E833,'Data Sheet'!$C$29:$E$174,3,FALSE)),"")</f>
        <v/>
      </c>
      <c r="G833" s="106" t="str">
        <f t="shared" si="394"/>
        <v>-</v>
      </c>
      <c r="H833" s="273"/>
      <c r="I833" s="107"/>
      <c r="J833" s="249" t="e">
        <f t="shared" si="395"/>
        <v>#VALUE!</v>
      </c>
      <c r="K833" s="101" t="str">
        <f>IFERROR(INDEX('Data Sheet'!$C$198:$C$275,MATCH(I833,'Data Sheet'!$F$198:$F$275,0)),"")</f>
        <v/>
      </c>
      <c r="L833" s="250" t="str">
        <f>IFERROR(INDEX('Data Sheet'!$G$198:$G$275,MATCH(I833,'Data Sheet'!$F$198:$F$275,0)),"")</f>
        <v/>
      </c>
      <c r="M833" s="194"/>
      <c r="N833" s="248"/>
      <c r="O833" s="248"/>
      <c r="P833" s="108" t="str">
        <f>IFERROR(INDEX(Setup!$D$44:$D$70,MATCH(M833,Setup!$K$44:$K$70,0))&amp;"","")</f>
        <v/>
      </c>
      <c r="Q833" s="108" t="str">
        <f>IFERROR(INDEX(Setup!$E$44:$E$70,MATCH(M833,Setup!$K$44:$K$70,0))&amp;"","")</f>
        <v/>
      </c>
      <c r="R833" s="108" t="str">
        <f>IFERROR(INDEX(Setup!$L$44:$L$70,MATCH(M833,Setup!$K$44:$K$70,0))&amp;"","")</f>
        <v/>
      </c>
      <c r="S833" s="108" t="str">
        <f>Setup!$C$30</f>
        <v>USD</v>
      </c>
      <c r="T833" s="109" t="str">
        <f>IFERROR(INDEX('Data Sheet'!$B$198:$B$275,MATCH(I833,'Data Sheet'!$F$198:$F$275,0)),"")</f>
        <v/>
      </c>
      <c r="U833" s="110" t="str">
        <f>IFERROR(INDEX('Data Sheet'!$D$198:$D$275,MATCH(I833,'Data Sheet'!$F$198:$F$275,0)),"")</f>
        <v/>
      </c>
      <c r="V833" s="99"/>
      <c r="W833" s="195" t="str">
        <f>IF(V833=Setup!$C$30,"Grant",IF(V833=Setup!$C$31,"Local",IF(V833=Setup!$C$32,"Other",IF(ISBLANK(V833),"","Other"))))</f>
        <v/>
      </c>
      <c r="X833" s="255"/>
      <c r="Y833" s="259" t="str">
        <f>IF(X833&lt;&gt;"",X833/VLOOKUP($V833,Setup!$C$30:$D$41,2,0),"")</f>
        <v/>
      </c>
      <c r="Z833" s="262"/>
      <c r="AA833" s="256" t="str">
        <f t="shared" si="368"/>
        <v/>
      </c>
      <c r="AB833" s="262"/>
      <c r="AC833" s="258" t="str">
        <f t="shared" si="369"/>
        <v/>
      </c>
      <c r="AD833" s="262"/>
      <c r="AE833" s="258" t="str">
        <f t="shared" si="370"/>
        <v/>
      </c>
      <c r="AF833" s="262"/>
      <c r="AG833" s="256" t="str">
        <f t="shared" si="371"/>
        <v/>
      </c>
      <c r="AH833" s="256" t="str">
        <f t="shared" si="372"/>
        <v/>
      </c>
      <c r="AI833" s="256" t="str">
        <f t="shared" si="373"/>
        <v/>
      </c>
      <c r="AJ833" s="111"/>
      <c r="AK833" s="255"/>
      <c r="AL833" s="259" t="str">
        <f>IF(AK833&lt;&gt;"",AK833/VLOOKUP($V833,Setup!$C$30:$D$41,2,0),"")</f>
        <v/>
      </c>
      <c r="AM833" s="266"/>
      <c r="AN833" s="258" t="str">
        <f t="shared" si="374"/>
        <v/>
      </c>
      <c r="AO833" s="266"/>
      <c r="AP833" s="258" t="str">
        <f t="shared" si="375"/>
        <v/>
      </c>
      <c r="AQ833" s="266"/>
      <c r="AR833" s="258" t="str">
        <f t="shared" si="376"/>
        <v/>
      </c>
      <c r="AS833" s="266"/>
      <c r="AT833" s="256" t="str">
        <f t="shared" si="377"/>
        <v/>
      </c>
      <c r="AU833" s="256" t="str">
        <f t="shared" si="378"/>
        <v/>
      </c>
      <c r="AV833" s="256" t="str">
        <f t="shared" si="379"/>
        <v/>
      </c>
      <c r="AW833" s="267"/>
      <c r="AX833" s="255"/>
      <c r="AY833" s="259" t="str">
        <f>IF(AX833&lt;&gt;"",AX833/VLOOKUP($V833,Setup!$C$30:$D$41,2,0),"")</f>
        <v/>
      </c>
      <c r="AZ833" s="268"/>
      <c r="BA833" s="258" t="str">
        <f t="shared" si="380"/>
        <v/>
      </c>
      <c r="BB833" s="268"/>
      <c r="BC833" s="258" t="str">
        <f t="shared" si="381"/>
        <v/>
      </c>
      <c r="BD833" s="268"/>
      <c r="BE833" s="258" t="str">
        <f t="shared" si="382"/>
        <v/>
      </c>
      <c r="BF833" s="268"/>
      <c r="BG833" s="256" t="str">
        <f t="shared" si="383"/>
        <v/>
      </c>
      <c r="BH833" s="256" t="str">
        <f t="shared" si="384"/>
        <v/>
      </c>
      <c r="BI833" s="256" t="str">
        <f t="shared" si="385"/>
        <v/>
      </c>
      <c r="BJ833" s="267"/>
      <c r="BK833" s="255"/>
      <c r="BL833" s="259" t="str">
        <f>IF(BK833&lt;&gt;"",BK833/VLOOKUP($V833,Setup!$C$30:$D$41,2,0),"")</f>
        <v/>
      </c>
      <c r="BM833" s="268"/>
      <c r="BN833" s="258" t="str">
        <f t="shared" si="386"/>
        <v/>
      </c>
      <c r="BO833" s="268"/>
      <c r="BP833" s="258" t="str">
        <f t="shared" si="387"/>
        <v/>
      </c>
      <c r="BQ833" s="268"/>
      <c r="BR833" s="258" t="str">
        <f t="shared" si="388"/>
        <v/>
      </c>
      <c r="BS833" s="268"/>
      <c r="BT833" s="256" t="str">
        <f t="shared" si="389"/>
        <v/>
      </c>
      <c r="BU833" s="256" t="str">
        <f t="shared" si="390"/>
        <v/>
      </c>
      <c r="BV833" s="256" t="str">
        <f t="shared" si="391"/>
        <v/>
      </c>
      <c r="BW833" s="267"/>
      <c r="BX833" s="256" t="str">
        <f t="shared" si="392"/>
        <v/>
      </c>
      <c r="BY833" s="256" t="str">
        <f t="shared" si="393"/>
        <v/>
      </c>
      <c r="BZ833" s="281"/>
      <c r="CA833" s="282"/>
      <c r="CF833" s="284"/>
      <c r="CG833" s="284"/>
      <c r="CH833" s="284"/>
      <c r="CI833" s="284"/>
      <c r="CL833" s="356" t="str">
        <f>IFERROR(VLOOKUP(C833,'Data Sheet'!$A$3:$B$26,2,FALSE),"")</f>
        <v/>
      </c>
    </row>
    <row r="834" spans="1:90" ht="15.75" x14ac:dyDescent="0.2">
      <c r="A834" s="97"/>
      <c r="B834" s="105" t="str">
        <f t="shared" si="396"/>
        <v>--</v>
      </c>
      <c r="C834" s="276"/>
      <c r="D834" s="101" t="str">
        <f>IFERROR(IF(VLOOKUP(C834,'Data Sheet'!$A$3:$D$26,4,FALSE)=0,"",VLOOKUP(C834,'Data Sheet'!$A$3:$D$26,4,FALSE)),"")</f>
        <v/>
      </c>
      <c r="E834" s="279"/>
      <c r="F834" s="103" t="str">
        <f>IFERROR(IF(VLOOKUP(E834,'Data Sheet'!$C$29:$E$174,3,FALSE)=0,"",VLOOKUP(E834,'Data Sheet'!$C$29:$E$174,3,FALSE)),"")</f>
        <v/>
      </c>
      <c r="G834" s="106" t="str">
        <f t="shared" si="394"/>
        <v>-</v>
      </c>
      <c r="H834" s="273"/>
      <c r="I834" s="107"/>
      <c r="J834" s="249" t="e">
        <f t="shared" si="395"/>
        <v>#VALUE!</v>
      </c>
      <c r="K834" s="101" t="str">
        <f>IFERROR(INDEX('Data Sheet'!$C$198:$C$275,MATCH(I834,'Data Sheet'!$F$198:$F$275,0)),"")</f>
        <v/>
      </c>
      <c r="L834" s="250" t="str">
        <f>IFERROR(INDEX('Data Sheet'!$G$198:$G$275,MATCH(I834,'Data Sheet'!$F$198:$F$275,0)),"")</f>
        <v/>
      </c>
      <c r="M834" s="194"/>
      <c r="N834" s="248"/>
      <c r="O834" s="248"/>
      <c r="P834" s="108" t="str">
        <f>IFERROR(INDEX(Setup!$D$44:$D$70,MATCH(M834,Setup!$K$44:$K$70,0))&amp;"","")</f>
        <v/>
      </c>
      <c r="Q834" s="108" t="str">
        <f>IFERROR(INDEX(Setup!$E$44:$E$70,MATCH(M834,Setup!$K$44:$K$70,0))&amp;"","")</f>
        <v/>
      </c>
      <c r="R834" s="108" t="str">
        <f>IFERROR(INDEX(Setup!$L$44:$L$70,MATCH(M834,Setup!$K$44:$K$70,0))&amp;"","")</f>
        <v/>
      </c>
      <c r="S834" s="108" t="str">
        <f>Setup!$C$30</f>
        <v>USD</v>
      </c>
      <c r="T834" s="109" t="str">
        <f>IFERROR(INDEX('Data Sheet'!$B$198:$B$275,MATCH(I834,'Data Sheet'!$F$198:$F$275,0)),"")</f>
        <v/>
      </c>
      <c r="U834" s="110" t="str">
        <f>IFERROR(INDEX('Data Sheet'!$D$198:$D$275,MATCH(I834,'Data Sheet'!$F$198:$F$275,0)),"")</f>
        <v/>
      </c>
      <c r="V834" s="99"/>
      <c r="W834" s="195" t="str">
        <f>IF(V834=Setup!$C$30,"Grant",IF(V834=Setup!$C$31,"Local",IF(V834=Setup!$C$32,"Other",IF(ISBLANK(V834),"","Other"))))</f>
        <v/>
      </c>
      <c r="X834" s="255"/>
      <c r="Y834" s="259" t="str">
        <f>IF(X834&lt;&gt;"",X834/VLOOKUP($V834,Setup!$C$30:$D$41,2,0),"")</f>
        <v/>
      </c>
      <c r="Z834" s="262"/>
      <c r="AA834" s="256" t="str">
        <f t="shared" si="368"/>
        <v/>
      </c>
      <c r="AB834" s="262"/>
      <c r="AC834" s="258" t="str">
        <f t="shared" si="369"/>
        <v/>
      </c>
      <c r="AD834" s="262"/>
      <c r="AE834" s="258" t="str">
        <f t="shared" si="370"/>
        <v/>
      </c>
      <c r="AF834" s="262"/>
      <c r="AG834" s="256" t="str">
        <f t="shared" si="371"/>
        <v/>
      </c>
      <c r="AH834" s="256" t="str">
        <f t="shared" si="372"/>
        <v/>
      </c>
      <c r="AI834" s="256" t="str">
        <f t="shared" si="373"/>
        <v/>
      </c>
      <c r="AJ834" s="111"/>
      <c r="AK834" s="255"/>
      <c r="AL834" s="259" t="str">
        <f>IF(AK834&lt;&gt;"",AK834/VLOOKUP($V834,Setup!$C$30:$D$41,2,0),"")</f>
        <v/>
      </c>
      <c r="AM834" s="266"/>
      <c r="AN834" s="258" t="str">
        <f t="shared" si="374"/>
        <v/>
      </c>
      <c r="AO834" s="266"/>
      <c r="AP834" s="258" t="str">
        <f t="shared" si="375"/>
        <v/>
      </c>
      <c r="AQ834" s="266"/>
      <c r="AR834" s="258" t="str">
        <f t="shared" si="376"/>
        <v/>
      </c>
      <c r="AS834" s="266"/>
      <c r="AT834" s="256" t="str">
        <f t="shared" si="377"/>
        <v/>
      </c>
      <c r="AU834" s="256" t="str">
        <f t="shared" si="378"/>
        <v/>
      </c>
      <c r="AV834" s="256" t="str">
        <f t="shared" si="379"/>
        <v/>
      </c>
      <c r="AW834" s="267"/>
      <c r="AX834" s="255"/>
      <c r="AY834" s="259" t="str">
        <f>IF(AX834&lt;&gt;"",AX834/VLOOKUP($V834,Setup!$C$30:$D$41,2,0),"")</f>
        <v/>
      </c>
      <c r="AZ834" s="268"/>
      <c r="BA834" s="258" t="str">
        <f t="shared" si="380"/>
        <v/>
      </c>
      <c r="BB834" s="268"/>
      <c r="BC834" s="258" t="str">
        <f t="shared" si="381"/>
        <v/>
      </c>
      <c r="BD834" s="268"/>
      <c r="BE834" s="258" t="str">
        <f t="shared" si="382"/>
        <v/>
      </c>
      <c r="BF834" s="268"/>
      <c r="BG834" s="256" t="str">
        <f t="shared" si="383"/>
        <v/>
      </c>
      <c r="BH834" s="256" t="str">
        <f t="shared" si="384"/>
        <v/>
      </c>
      <c r="BI834" s="256" t="str">
        <f t="shared" si="385"/>
        <v/>
      </c>
      <c r="BJ834" s="267"/>
      <c r="BK834" s="255"/>
      <c r="BL834" s="259" t="str">
        <f>IF(BK834&lt;&gt;"",BK834/VLOOKUP($V834,Setup!$C$30:$D$41,2,0),"")</f>
        <v/>
      </c>
      <c r="BM834" s="268"/>
      <c r="BN834" s="258" t="str">
        <f t="shared" si="386"/>
        <v/>
      </c>
      <c r="BO834" s="268"/>
      <c r="BP834" s="258" t="str">
        <f t="shared" si="387"/>
        <v/>
      </c>
      <c r="BQ834" s="268"/>
      <c r="BR834" s="258" t="str">
        <f t="shared" si="388"/>
        <v/>
      </c>
      <c r="BS834" s="268"/>
      <c r="BT834" s="256" t="str">
        <f t="shared" si="389"/>
        <v/>
      </c>
      <c r="BU834" s="256" t="str">
        <f t="shared" si="390"/>
        <v/>
      </c>
      <c r="BV834" s="256" t="str">
        <f t="shared" si="391"/>
        <v/>
      </c>
      <c r="BW834" s="267"/>
      <c r="BX834" s="256" t="str">
        <f t="shared" si="392"/>
        <v/>
      </c>
      <c r="BY834" s="256" t="str">
        <f t="shared" si="393"/>
        <v/>
      </c>
      <c r="BZ834" s="281"/>
      <c r="CA834" s="282"/>
      <c r="CF834" s="284"/>
      <c r="CG834" s="284"/>
      <c r="CH834" s="284"/>
      <c r="CI834" s="284"/>
      <c r="CL834" s="356" t="str">
        <f>IFERROR(VLOOKUP(C834,'Data Sheet'!$A$3:$B$26,2,FALSE),"")</f>
        <v/>
      </c>
    </row>
    <row r="835" spans="1:90" ht="15.75" x14ac:dyDescent="0.2">
      <c r="A835" s="97"/>
      <c r="B835" s="105" t="str">
        <f t="shared" si="396"/>
        <v>--</v>
      </c>
      <c r="C835" s="276"/>
      <c r="D835" s="101" t="str">
        <f>IFERROR(IF(VLOOKUP(C835,'Data Sheet'!$A$3:$D$26,4,FALSE)=0,"",VLOOKUP(C835,'Data Sheet'!$A$3:$D$26,4,FALSE)),"")</f>
        <v/>
      </c>
      <c r="E835" s="279"/>
      <c r="F835" s="103" t="str">
        <f>IFERROR(IF(VLOOKUP(E835,'Data Sheet'!$C$29:$E$174,3,FALSE)=0,"",VLOOKUP(E835,'Data Sheet'!$C$29:$E$174,3,FALSE)),"")</f>
        <v/>
      </c>
      <c r="G835" s="106" t="str">
        <f t="shared" si="394"/>
        <v>-</v>
      </c>
      <c r="H835" s="273"/>
      <c r="I835" s="107"/>
      <c r="J835" s="249" t="e">
        <f t="shared" si="395"/>
        <v>#VALUE!</v>
      </c>
      <c r="K835" s="101" t="str">
        <f>IFERROR(INDEX('Data Sheet'!$C$198:$C$275,MATCH(I835,'Data Sheet'!$F$198:$F$275,0)),"")</f>
        <v/>
      </c>
      <c r="L835" s="250" t="str">
        <f>IFERROR(INDEX('Data Sheet'!$G$198:$G$275,MATCH(I835,'Data Sheet'!$F$198:$F$275,0)),"")</f>
        <v/>
      </c>
      <c r="M835" s="194"/>
      <c r="N835" s="248"/>
      <c r="O835" s="248"/>
      <c r="P835" s="108" t="str">
        <f>IFERROR(INDEX(Setup!$D$44:$D$70,MATCH(M835,Setup!$K$44:$K$70,0))&amp;"","")</f>
        <v/>
      </c>
      <c r="Q835" s="108" t="str">
        <f>IFERROR(INDEX(Setup!$E$44:$E$70,MATCH(M835,Setup!$K$44:$K$70,0))&amp;"","")</f>
        <v/>
      </c>
      <c r="R835" s="108" t="str">
        <f>IFERROR(INDEX(Setup!$L$44:$L$70,MATCH(M835,Setup!$K$44:$K$70,0))&amp;"","")</f>
        <v/>
      </c>
      <c r="S835" s="108" t="str">
        <f>Setup!$C$30</f>
        <v>USD</v>
      </c>
      <c r="T835" s="109" t="str">
        <f>IFERROR(INDEX('Data Sheet'!$B$198:$B$275,MATCH(I835,'Data Sheet'!$F$198:$F$275,0)),"")</f>
        <v/>
      </c>
      <c r="U835" s="110" t="str">
        <f>IFERROR(INDEX('Data Sheet'!$D$198:$D$275,MATCH(I835,'Data Sheet'!$F$198:$F$275,0)),"")</f>
        <v/>
      </c>
      <c r="V835" s="99"/>
      <c r="W835" s="195" t="str">
        <f>IF(V835=Setup!$C$30,"Grant",IF(V835=Setup!$C$31,"Local",IF(V835=Setup!$C$32,"Other",IF(ISBLANK(V835),"","Other"))))</f>
        <v/>
      </c>
      <c r="X835" s="255"/>
      <c r="Y835" s="259" t="str">
        <f>IF(X835&lt;&gt;"",X835/VLOOKUP($V835,Setup!$C$30:$D$41,2,0),"")</f>
        <v/>
      </c>
      <c r="Z835" s="262"/>
      <c r="AA835" s="256" t="str">
        <f t="shared" si="368"/>
        <v/>
      </c>
      <c r="AB835" s="262"/>
      <c r="AC835" s="258" t="str">
        <f t="shared" si="369"/>
        <v/>
      </c>
      <c r="AD835" s="262"/>
      <c r="AE835" s="258" t="str">
        <f t="shared" si="370"/>
        <v/>
      </c>
      <c r="AF835" s="262"/>
      <c r="AG835" s="256" t="str">
        <f t="shared" si="371"/>
        <v/>
      </c>
      <c r="AH835" s="256" t="str">
        <f t="shared" si="372"/>
        <v/>
      </c>
      <c r="AI835" s="256" t="str">
        <f t="shared" si="373"/>
        <v/>
      </c>
      <c r="AJ835" s="111"/>
      <c r="AK835" s="255"/>
      <c r="AL835" s="259" t="str">
        <f>IF(AK835&lt;&gt;"",AK835/VLOOKUP($V835,Setup!$C$30:$D$41,2,0),"")</f>
        <v/>
      </c>
      <c r="AM835" s="266"/>
      <c r="AN835" s="258" t="str">
        <f t="shared" si="374"/>
        <v/>
      </c>
      <c r="AO835" s="266"/>
      <c r="AP835" s="258" t="str">
        <f t="shared" si="375"/>
        <v/>
      </c>
      <c r="AQ835" s="266"/>
      <c r="AR835" s="258" t="str">
        <f t="shared" si="376"/>
        <v/>
      </c>
      <c r="AS835" s="266"/>
      <c r="AT835" s="256" t="str">
        <f t="shared" si="377"/>
        <v/>
      </c>
      <c r="AU835" s="256" t="str">
        <f t="shared" si="378"/>
        <v/>
      </c>
      <c r="AV835" s="256" t="str">
        <f t="shared" si="379"/>
        <v/>
      </c>
      <c r="AW835" s="267"/>
      <c r="AX835" s="255"/>
      <c r="AY835" s="259" t="str">
        <f>IF(AX835&lt;&gt;"",AX835/VLOOKUP($V835,Setup!$C$30:$D$41,2,0),"")</f>
        <v/>
      </c>
      <c r="AZ835" s="268"/>
      <c r="BA835" s="258" t="str">
        <f t="shared" si="380"/>
        <v/>
      </c>
      <c r="BB835" s="268"/>
      <c r="BC835" s="258" t="str">
        <f t="shared" si="381"/>
        <v/>
      </c>
      <c r="BD835" s="268"/>
      <c r="BE835" s="258" t="str">
        <f t="shared" si="382"/>
        <v/>
      </c>
      <c r="BF835" s="268"/>
      <c r="BG835" s="256" t="str">
        <f t="shared" si="383"/>
        <v/>
      </c>
      <c r="BH835" s="256" t="str">
        <f t="shared" si="384"/>
        <v/>
      </c>
      <c r="BI835" s="256" t="str">
        <f t="shared" si="385"/>
        <v/>
      </c>
      <c r="BJ835" s="267"/>
      <c r="BK835" s="255"/>
      <c r="BL835" s="259" t="str">
        <f>IF(BK835&lt;&gt;"",BK835/VLOOKUP($V835,Setup!$C$30:$D$41,2,0),"")</f>
        <v/>
      </c>
      <c r="BM835" s="268"/>
      <c r="BN835" s="258" t="str">
        <f t="shared" si="386"/>
        <v/>
      </c>
      <c r="BO835" s="268"/>
      <c r="BP835" s="258" t="str">
        <f t="shared" si="387"/>
        <v/>
      </c>
      <c r="BQ835" s="268"/>
      <c r="BR835" s="258" t="str">
        <f t="shared" si="388"/>
        <v/>
      </c>
      <c r="BS835" s="268"/>
      <c r="BT835" s="256" t="str">
        <f t="shared" si="389"/>
        <v/>
      </c>
      <c r="BU835" s="256" t="str">
        <f t="shared" si="390"/>
        <v/>
      </c>
      <c r="BV835" s="256" t="str">
        <f t="shared" si="391"/>
        <v/>
      </c>
      <c r="BW835" s="267"/>
      <c r="BX835" s="256" t="str">
        <f t="shared" si="392"/>
        <v/>
      </c>
      <c r="BY835" s="256" t="str">
        <f t="shared" si="393"/>
        <v/>
      </c>
      <c r="BZ835" s="281"/>
      <c r="CA835" s="282"/>
      <c r="CF835" s="284"/>
      <c r="CG835" s="284"/>
      <c r="CH835" s="284"/>
      <c r="CI835" s="284"/>
      <c r="CL835" s="356" t="str">
        <f>IFERROR(VLOOKUP(C835,'Data Sheet'!$A$3:$B$26,2,FALSE),"")</f>
        <v/>
      </c>
    </row>
    <row r="836" spans="1:90" ht="15.75" x14ac:dyDescent="0.2">
      <c r="A836" s="97"/>
      <c r="B836" s="105" t="str">
        <f t="shared" si="396"/>
        <v>--</v>
      </c>
      <c r="C836" s="276"/>
      <c r="D836" s="101" t="str">
        <f>IFERROR(IF(VLOOKUP(C836,'Data Sheet'!$A$3:$D$26,4,FALSE)=0,"",VLOOKUP(C836,'Data Sheet'!$A$3:$D$26,4,FALSE)),"")</f>
        <v/>
      </c>
      <c r="E836" s="279"/>
      <c r="F836" s="103" t="str">
        <f>IFERROR(IF(VLOOKUP(E836,'Data Sheet'!$C$29:$E$174,3,FALSE)=0,"",VLOOKUP(E836,'Data Sheet'!$C$29:$E$174,3,FALSE)),"")</f>
        <v/>
      </c>
      <c r="G836" s="106" t="str">
        <f t="shared" si="394"/>
        <v>-</v>
      </c>
      <c r="H836" s="273"/>
      <c r="I836" s="107"/>
      <c r="J836" s="249" t="e">
        <f t="shared" si="395"/>
        <v>#VALUE!</v>
      </c>
      <c r="K836" s="101" t="str">
        <f>IFERROR(INDEX('Data Sheet'!$C$198:$C$275,MATCH(I836,'Data Sheet'!$F$198:$F$275,0)),"")</f>
        <v/>
      </c>
      <c r="L836" s="250" t="str">
        <f>IFERROR(INDEX('Data Sheet'!$G$198:$G$275,MATCH(I836,'Data Sheet'!$F$198:$F$275,0)),"")</f>
        <v/>
      </c>
      <c r="M836" s="194"/>
      <c r="N836" s="248"/>
      <c r="O836" s="248"/>
      <c r="P836" s="108" t="str">
        <f>IFERROR(INDEX(Setup!$D$44:$D$70,MATCH(M836,Setup!$K$44:$K$70,0))&amp;"","")</f>
        <v/>
      </c>
      <c r="Q836" s="108" t="str">
        <f>IFERROR(INDEX(Setup!$E$44:$E$70,MATCH(M836,Setup!$K$44:$K$70,0))&amp;"","")</f>
        <v/>
      </c>
      <c r="R836" s="108" t="str">
        <f>IFERROR(INDEX(Setup!$L$44:$L$70,MATCH(M836,Setup!$K$44:$K$70,0))&amp;"","")</f>
        <v/>
      </c>
      <c r="S836" s="108" t="str">
        <f>Setup!$C$30</f>
        <v>USD</v>
      </c>
      <c r="T836" s="109" t="str">
        <f>IFERROR(INDEX('Data Sheet'!$B$198:$B$275,MATCH(I836,'Data Sheet'!$F$198:$F$275,0)),"")</f>
        <v/>
      </c>
      <c r="U836" s="110" t="str">
        <f>IFERROR(INDEX('Data Sheet'!$D$198:$D$275,MATCH(I836,'Data Sheet'!$F$198:$F$275,0)),"")</f>
        <v/>
      </c>
      <c r="V836" s="99"/>
      <c r="W836" s="195" t="str">
        <f>IF(V836=Setup!$C$30,"Grant",IF(V836=Setup!$C$31,"Local",IF(V836=Setup!$C$32,"Other",IF(ISBLANK(V836),"","Other"))))</f>
        <v/>
      </c>
      <c r="X836" s="255"/>
      <c r="Y836" s="259" t="str">
        <f>IF(X836&lt;&gt;"",X836/VLOOKUP($V836,Setup!$C$30:$D$41,2,0),"")</f>
        <v/>
      </c>
      <c r="Z836" s="262"/>
      <c r="AA836" s="256" t="str">
        <f t="shared" si="368"/>
        <v/>
      </c>
      <c r="AB836" s="262"/>
      <c r="AC836" s="258" t="str">
        <f t="shared" si="369"/>
        <v/>
      </c>
      <c r="AD836" s="262"/>
      <c r="AE836" s="258" t="str">
        <f t="shared" si="370"/>
        <v/>
      </c>
      <c r="AF836" s="262"/>
      <c r="AG836" s="256" t="str">
        <f t="shared" si="371"/>
        <v/>
      </c>
      <c r="AH836" s="256" t="str">
        <f t="shared" si="372"/>
        <v/>
      </c>
      <c r="AI836" s="256" t="str">
        <f t="shared" si="373"/>
        <v/>
      </c>
      <c r="AJ836" s="111"/>
      <c r="AK836" s="255"/>
      <c r="AL836" s="259" t="str">
        <f>IF(AK836&lt;&gt;"",AK836/VLOOKUP($V836,Setup!$C$30:$D$41,2,0),"")</f>
        <v/>
      </c>
      <c r="AM836" s="266"/>
      <c r="AN836" s="258" t="str">
        <f t="shared" si="374"/>
        <v/>
      </c>
      <c r="AO836" s="266"/>
      <c r="AP836" s="258" t="str">
        <f t="shared" si="375"/>
        <v/>
      </c>
      <c r="AQ836" s="266"/>
      <c r="AR836" s="258" t="str">
        <f t="shared" si="376"/>
        <v/>
      </c>
      <c r="AS836" s="266"/>
      <c r="AT836" s="256" t="str">
        <f t="shared" si="377"/>
        <v/>
      </c>
      <c r="AU836" s="256" t="str">
        <f t="shared" si="378"/>
        <v/>
      </c>
      <c r="AV836" s="256" t="str">
        <f t="shared" si="379"/>
        <v/>
      </c>
      <c r="AW836" s="267"/>
      <c r="AX836" s="255"/>
      <c r="AY836" s="259" t="str">
        <f>IF(AX836&lt;&gt;"",AX836/VLOOKUP($V836,Setup!$C$30:$D$41,2,0),"")</f>
        <v/>
      </c>
      <c r="AZ836" s="268"/>
      <c r="BA836" s="258" t="str">
        <f t="shared" si="380"/>
        <v/>
      </c>
      <c r="BB836" s="268"/>
      <c r="BC836" s="258" t="str">
        <f t="shared" si="381"/>
        <v/>
      </c>
      <c r="BD836" s="268"/>
      <c r="BE836" s="258" t="str">
        <f t="shared" si="382"/>
        <v/>
      </c>
      <c r="BF836" s="268"/>
      <c r="BG836" s="256" t="str">
        <f t="shared" si="383"/>
        <v/>
      </c>
      <c r="BH836" s="256" t="str">
        <f t="shared" si="384"/>
        <v/>
      </c>
      <c r="BI836" s="256" t="str">
        <f t="shared" si="385"/>
        <v/>
      </c>
      <c r="BJ836" s="267"/>
      <c r="BK836" s="255"/>
      <c r="BL836" s="259" t="str">
        <f>IF(BK836&lt;&gt;"",BK836/VLOOKUP($V836,Setup!$C$30:$D$41,2,0),"")</f>
        <v/>
      </c>
      <c r="BM836" s="268"/>
      <c r="BN836" s="258" t="str">
        <f t="shared" si="386"/>
        <v/>
      </c>
      <c r="BO836" s="268"/>
      <c r="BP836" s="258" t="str">
        <f t="shared" si="387"/>
        <v/>
      </c>
      <c r="BQ836" s="268"/>
      <c r="BR836" s="258" t="str">
        <f t="shared" si="388"/>
        <v/>
      </c>
      <c r="BS836" s="268"/>
      <c r="BT836" s="256" t="str">
        <f t="shared" si="389"/>
        <v/>
      </c>
      <c r="BU836" s="256" t="str">
        <f t="shared" si="390"/>
        <v/>
      </c>
      <c r="BV836" s="256" t="str">
        <f t="shared" si="391"/>
        <v/>
      </c>
      <c r="BW836" s="267"/>
      <c r="BX836" s="256" t="str">
        <f t="shared" si="392"/>
        <v/>
      </c>
      <c r="BY836" s="256" t="str">
        <f t="shared" si="393"/>
        <v/>
      </c>
      <c r="BZ836" s="281"/>
      <c r="CA836" s="282"/>
      <c r="CF836" s="284"/>
      <c r="CG836" s="284"/>
      <c r="CH836" s="284"/>
      <c r="CI836" s="284"/>
      <c r="CL836" s="356" t="str">
        <f>IFERROR(VLOOKUP(C836,'Data Sheet'!$A$3:$B$26,2,FALSE),"")</f>
        <v/>
      </c>
    </row>
    <row r="837" spans="1:90" ht="15.75" x14ac:dyDescent="0.2">
      <c r="A837" s="97"/>
      <c r="B837" s="105" t="str">
        <f t="shared" si="396"/>
        <v>--</v>
      </c>
      <c r="C837" s="276"/>
      <c r="D837" s="101" t="str">
        <f>IFERROR(IF(VLOOKUP(C837,'Data Sheet'!$A$3:$D$26,4,FALSE)=0,"",VLOOKUP(C837,'Data Sheet'!$A$3:$D$26,4,FALSE)),"")</f>
        <v/>
      </c>
      <c r="E837" s="279"/>
      <c r="F837" s="103" t="str">
        <f>IFERROR(IF(VLOOKUP(E837,'Data Sheet'!$C$29:$E$174,3,FALSE)=0,"",VLOOKUP(E837,'Data Sheet'!$C$29:$E$174,3,FALSE)),"")</f>
        <v/>
      </c>
      <c r="G837" s="106" t="str">
        <f t="shared" si="394"/>
        <v>-</v>
      </c>
      <c r="H837" s="273"/>
      <c r="I837" s="107"/>
      <c r="J837" s="249" t="e">
        <f t="shared" si="395"/>
        <v>#VALUE!</v>
      </c>
      <c r="K837" s="101" t="str">
        <f>IFERROR(INDEX('Data Sheet'!$C$198:$C$275,MATCH(I837,'Data Sheet'!$F$198:$F$275,0)),"")</f>
        <v/>
      </c>
      <c r="L837" s="250" t="str">
        <f>IFERROR(INDEX('Data Sheet'!$G$198:$G$275,MATCH(I837,'Data Sheet'!$F$198:$F$275,0)),"")</f>
        <v/>
      </c>
      <c r="M837" s="194"/>
      <c r="N837" s="248"/>
      <c r="O837" s="248"/>
      <c r="P837" s="108" t="str">
        <f>IFERROR(INDEX(Setup!$D$44:$D$70,MATCH(M837,Setup!$K$44:$K$70,0))&amp;"","")</f>
        <v/>
      </c>
      <c r="Q837" s="108" t="str">
        <f>IFERROR(INDEX(Setup!$E$44:$E$70,MATCH(M837,Setup!$K$44:$K$70,0))&amp;"","")</f>
        <v/>
      </c>
      <c r="R837" s="108" t="str">
        <f>IFERROR(INDEX(Setup!$L$44:$L$70,MATCH(M837,Setup!$K$44:$K$70,0))&amp;"","")</f>
        <v/>
      </c>
      <c r="S837" s="108" t="str">
        <f>Setup!$C$30</f>
        <v>USD</v>
      </c>
      <c r="T837" s="109" t="str">
        <f>IFERROR(INDEX('Data Sheet'!$B$198:$B$275,MATCH(I837,'Data Sheet'!$F$198:$F$275,0)),"")</f>
        <v/>
      </c>
      <c r="U837" s="110" t="str">
        <f>IFERROR(INDEX('Data Sheet'!$D$198:$D$275,MATCH(I837,'Data Sheet'!$F$198:$F$275,0)),"")</f>
        <v/>
      </c>
      <c r="V837" s="99"/>
      <c r="W837" s="195" t="str">
        <f>IF(V837=Setup!$C$30,"Grant",IF(V837=Setup!$C$31,"Local",IF(V837=Setup!$C$32,"Other",IF(ISBLANK(V837),"","Other"))))</f>
        <v/>
      </c>
      <c r="X837" s="255"/>
      <c r="Y837" s="259" t="str">
        <f>IF(X837&lt;&gt;"",X837/VLOOKUP($V837,Setup!$C$30:$D$41,2,0),"")</f>
        <v/>
      </c>
      <c r="Z837" s="262"/>
      <c r="AA837" s="256" t="str">
        <f t="shared" ref="AA837:AA900" si="397">IFERROR(IF(AND(NOT(Z837=""),NOT(Y837="")),Z837*Y837,""),"")</f>
        <v/>
      </c>
      <c r="AB837" s="262"/>
      <c r="AC837" s="258" t="str">
        <f t="shared" ref="AC837:AC900" si="398">IFERROR(IF(AND(NOT(AB837=""),NOT(Y837="")),AB837*Y837,""),"")</f>
        <v/>
      </c>
      <c r="AD837" s="262"/>
      <c r="AE837" s="258" t="str">
        <f t="shared" ref="AE837:AE900" si="399">IFERROR(IF(AND(NOT(AD837=""),NOT(Y837="")),AD837*Y837,""),"")</f>
        <v/>
      </c>
      <c r="AF837" s="262"/>
      <c r="AG837" s="256" t="str">
        <f t="shared" ref="AG837:AG900" si="400">IFERROR(IF(AND(NOT(AF837=""),NOT(Y837="")),AF837*Y837,""),"")</f>
        <v/>
      </c>
      <c r="AH837" s="256" t="str">
        <f t="shared" ref="AH837:AH900" si="401">IFERROR(IF(OR(NOT(Z837=""),NOT(AF837=""),NOT(AB837=""),NOT(AD837="")),Z837+AF837+AB837+AD837,""),"")</f>
        <v/>
      </c>
      <c r="AI837" s="256" t="str">
        <f t="shared" ref="AI837:AI900" si="402">IF(SUM(AA837,AC837,AE837,AG837)&gt;0,SUM(AA837,AC837,AE837,AG837),"")</f>
        <v/>
      </c>
      <c r="AJ837" s="111"/>
      <c r="AK837" s="255"/>
      <c r="AL837" s="259" t="str">
        <f>IF(AK837&lt;&gt;"",AK837/VLOOKUP($V837,Setup!$C$30:$D$41,2,0),"")</f>
        <v/>
      </c>
      <c r="AM837" s="266"/>
      <c r="AN837" s="258" t="str">
        <f t="shared" ref="AN837:AN900" si="403">IFERROR(IF(AND(NOT(AM837=""),NOT(AL837="")),AM837*$AL837,""),"")</f>
        <v/>
      </c>
      <c r="AO837" s="266"/>
      <c r="AP837" s="258" t="str">
        <f t="shared" ref="AP837:AP900" si="404">IFERROR(IF(AND(NOT(AO837=""),NOT(AL837="")),AO837*$AL837,""),"")</f>
        <v/>
      </c>
      <c r="AQ837" s="266"/>
      <c r="AR837" s="258" t="str">
        <f t="shared" ref="AR837:AR900" si="405">IFERROR(IF(AND(NOT(AQ837=""),NOT(AL837="")),AQ837*$AL837,""),"")</f>
        <v/>
      </c>
      <c r="AS837" s="266"/>
      <c r="AT837" s="256" t="str">
        <f t="shared" ref="AT837:AT900" si="406">IFERROR(IF(AND(NOT(AS837=""),NOT(AL837="")),AS837*$AL837,""),"")</f>
        <v/>
      </c>
      <c r="AU837" s="256" t="str">
        <f t="shared" ref="AU837:AU900" si="407">IFERROR(IF(OR(NOT(AM837=""),NOT(AS837=""),NOT(AO837=""),NOT(AQ837="")),AM837+AS837+AO837+AQ837,""),"")</f>
        <v/>
      </c>
      <c r="AV837" s="256" t="str">
        <f t="shared" ref="AV837:AV900" si="408">IF(SUM(AN837,AT837,AP837,AR837)&gt;0,SUM(AN837,AT837,AP837,AR837),"")</f>
        <v/>
      </c>
      <c r="AW837" s="267"/>
      <c r="AX837" s="255"/>
      <c r="AY837" s="259" t="str">
        <f>IF(AX837&lt;&gt;"",AX837/VLOOKUP($V837,Setup!$C$30:$D$41,2,0),"")</f>
        <v/>
      </c>
      <c r="AZ837" s="268"/>
      <c r="BA837" s="258" t="str">
        <f t="shared" ref="BA837:BA900" si="409">IFERROR(IF(AND(NOT(AZ837=""),NOT(AY837="")),AZ837*$AY837,""),"")</f>
        <v/>
      </c>
      <c r="BB837" s="268"/>
      <c r="BC837" s="258" t="str">
        <f t="shared" ref="BC837:BC900" si="410">IFERROR(IF(AND(NOT(BB837=""),NOT(AY837="")),BB837*$AY837,""),"")</f>
        <v/>
      </c>
      <c r="BD837" s="268"/>
      <c r="BE837" s="258" t="str">
        <f t="shared" ref="BE837:BE900" si="411">IFERROR(IF(AND(NOT(BD837=""),NOT(AY837="")),BD837*$AY837,""),"")</f>
        <v/>
      </c>
      <c r="BF837" s="268"/>
      <c r="BG837" s="256" t="str">
        <f t="shared" ref="BG837:BG900" si="412">IFERROR(IF(AND(NOT(BF837=""),NOT(AY837="")),BF837*$AY837,""),"")</f>
        <v/>
      </c>
      <c r="BH837" s="256" t="str">
        <f t="shared" ref="BH837:BH900" si="413">IFERROR(IF(OR(NOT(AZ837=""),NOT(BF837=""),NOT(BB837=""),NOT(BD837="")),AZ837+BF837+BB837+BD837,""),"")</f>
        <v/>
      </c>
      <c r="BI837" s="256" t="str">
        <f t="shared" ref="BI837:BI900" si="414">IF(SUM(BA837,BG837,BC837,BE837)&gt;0,SUM(BA837,BG837,BC837,BE837),"")</f>
        <v/>
      </c>
      <c r="BJ837" s="267"/>
      <c r="BK837" s="255"/>
      <c r="BL837" s="259" t="str">
        <f>IF(BK837&lt;&gt;"",BK837/VLOOKUP($V837,Setup!$C$30:$D$41,2,0),"")</f>
        <v/>
      </c>
      <c r="BM837" s="268"/>
      <c r="BN837" s="258" t="str">
        <f t="shared" ref="BN837:BN900" si="415">IFERROR(IF(AND(NOT(BM837=""),NOT(BL837="")),BM837*$BL837,""),"")</f>
        <v/>
      </c>
      <c r="BO837" s="268"/>
      <c r="BP837" s="258" t="str">
        <f t="shared" ref="BP837:BP900" si="416">IFERROR(IF(AND(NOT(BO837=""),NOT(BL837="")),BO837*$BL837,""),"")</f>
        <v/>
      </c>
      <c r="BQ837" s="268"/>
      <c r="BR837" s="258" t="str">
        <f t="shared" ref="BR837:BR900" si="417">IFERROR(IF(AND(NOT(BQ837=""),NOT(BL837="")),BQ837*$BL837,""),"")</f>
        <v/>
      </c>
      <c r="BS837" s="268"/>
      <c r="BT837" s="256" t="str">
        <f t="shared" ref="BT837:BT900" si="418">IFERROR(IF(AND(NOT(BS837=""),NOT(BL837="")),BS837*$BL837,""),"")</f>
        <v/>
      </c>
      <c r="BU837" s="256" t="str">
        <f t="shared" ref="BU837:BU900" si="419">IFERROR(IF(OR(NOT(BM837=""),NOT(BS837=""),NOT(BO837=""),NOT(BQ837="")),BM837+BS837+BO837+BQ837,""),"")</f>
        <v/>
      </c>
      <c r="BV837" s="256" t="str">
        <f t="shared" ref="BV837:BV900" si="420">IF(SUM(BN837,BT837,BP837,BR837)&gt;0,SUM(BN837,BT837,BP837,BR837),"")</f>
        <v/>
      </c>
      <c r="BW837" s="267"/>
      <c r="BX837" s="256" t="str">
        <f t="shared" ref="BX837:BX900" si="421">IF(SUM(AH837,AU837,BH837,BU837)&gt;0,SUM(AH837,AU837,BH837,BU837),"")</f>
        <v/>
      </c>
      <c r="BY837" s="256" t="str">
        <f t="shared" ref="BY837:BY900" si="422">IF(SUM(AI837,AV837,BI837,BV837)&gt;0,SUM(AI837,AV837,BI837,BV837),"")</f>
        <v/>
      </c>
      <c r="BZ837" s="281"/>
      <c r="CA837" s="282"/>
      <c r="CF837" s="284"/>
      <c r="CG837" s="284"/>
      <c r="CH837" s="284"/>
      <c r="CI837" s="284"/>
      <c r="CL837" s="356" t="str">
        <f>IFERROR(VLOOKUP(C837,'Data Sheet'!$A$3:$B$26,2,FALSE),"")</f>
        <v/>
      </c>
    </row>
    <row r="838" spans="1:90" ht="15.75" x14ac:dyDescent="0.2">
      <c r="A838" s="97"/>
      <c r="B838" s="105" t="str">
        <f t="shared" si="396"/>
        <v>--</v>
      </c>
      <c r="C838" s="276"/>
      <c r="D838" s="101" t="str">
        <f>IFERROR(IF(VLOOKUP(C838,'Data Sheet'!$A$3:$D$26,4,FALSE)=0,"",VLOOKUP(C838,'Data Sheet'!$A$3:$D$26,4,FALSE)),"")</f>
        <v/>
      </c>
      <c r="E838" s="279"/>
      <c r="F838" s="103" t="str">
        <f>IFERROR(IF(VLOOKUP(E838,'Data Sheet'!$C$29:$E$174,3,FALSE)=0,"",VLOOKUP(E838,'Data Sheet'!$C$29:$E$174,3,FALSE)),"")</f>
        <v/>
      </c>
      <c r="G838" s="106" t="str">
        <f t="shared" ref="G838:G901" si="423">CONCATENATE(D838,"-",F838)</f>
        <v>-</v>
      </c>
      <c r="H838" s="273"/>
      <c r="I838" s="107"/>
      <c r="J838" s="249" t="e">
        <f t="shared" ref="J838:J901" si="424">LEFT(I838,SEARCH(".",I838,1)+1)</f>
        <v>#VALUE!</v>
      </c>
      <c r="K838" s="101" t="str">
        <f>IFERROR(INDEX('Data Sheet'!$C$198:$C$275,MATCH(I838,'Data Sheet'!$F$198:$F$275,0)),"")</f>
        <v/>
      </c>
      <c r="L838" s="250" t="str">
        <f>IFERROR(INDEX('Data Sheet'!$G$198:$G$275,MATCH(I838,'Data Sheet'!$F$198:$F$275,0)),"")</f>
        <v/>
      </c>
      <c r="M838" s="194"/>
      <c r="N838" s="248"/>
      <c r="O838" s="248"/>
      <c r="P838" s="108" t="str">
        <f>IFERROR(INDEX(Setup!$D$44:$D$70,MATCH(M838,Setup!$K$44:$K$70,0))&amp;"","")</f>
        <v/>
      </c>
      <c r="Q838" s="108" t="str">
        <f>IFERROR(INDEX(Setup!$E$44:$E$70,MATCH(M838,Setup!$K$44:$K$70,0))&amp;"","")</f>
        <v/>
      </c>
      <c r="R838" s="108" t="str">
        <f>IFERROR(INDEX(Setup!$L$44:$L$70,MATCH(M838,Setup!$K$44:$K$70,0))&amp;"","")</f>
        <v/>
      </c>
      <c r="S838" s="108" t="str">
        <f>Setup!$C$30</f>
        <v>USD</v>
      </c>
      <c r="T838" s="109" t="str">
        <f>IFERROR(INDEX('Data Sheet'!$B$198:$B$275,MATCH(I838,'Data Sheet'!$F$198:$F$275,0)),"")</f>
        <v/>
      </c>
      <c r="U838" s="110" t="str">
        <f>IFERROR(INDEX('Data Sheet'!$D$198:$D$275,MATCH(I838,'Data Sheet'!$F$198:$F$275,0)),"")</f>
        <v/>
      </c>
      <c r="V838" s="99"/>
      <c r="W838" s="195" t="str">
        <f>IF(V838=Setup!$C$30,"Grant",IF(V838=Setup!$C$31,"Local",IF(V838=Setup!$C$32,"Other",IF(ISBLANK(V838),"","Other"))))</f>
        <v/>
      </c>
      <c r="X838" s="255"/>
      <c r="Y838" s="259" t="str">
        <f>IF(X838&lt;&gt;"",X838/VLOOKUP($V838,Setup!$C$30:$D$41,2,0),"")</f>
        <v/>
      </c>
      <c r="Z838" s="262"/>
      <c r="AA838" s="256" t="str">
        <f t="shared" si="397"/>
        <v/>
      </c>
      <c r="AB838" s="262"/>
      <c r="AC838" s="258" t="str">
        <f t="shared" si="398"/>
        <v/>
      </c>
      <c r="AD838" s="262"/>
      <c r="AE838" s="258" t="str">
        <f t="shared" si="399"/>
        <v/>
      </c>
      <c r="AF838" s="262"/>
      <c r="AG838" s="256" t="str">
        <f t="shared" si="400"/>
        <v/>
      </c>
      <c r="AH838" s="256" t="str">
        <f t="shared" si="401"/>
        <v/>
      </c>
      <c r="AI838" s="256" t="str">
        <f t="shared" si="402"/>
        <v/>
      </c>
      <c r="AJ838" s="111"/>
      <c r="AK838" s="255"/>
      <c r="AL838" s="259" t="str">
        <f>IF(AK838&lt;&gt;"",AK838/VLOOKUP($V838,Setup!$C$30:$D$41,2,0),"")</f>
        <v/>
      </c>
      <c r="AM838" s="266"/>
      <c r="AN838" s="258" t="str">
        <f t="shared" si="403"/>
        <v/>
      </c>
      <c r="AO838" s="266"/>
      <c r="AP838" s="258" t="str">
        <f t="shared" si="404"/>
        <v/>
      </c>
      <c r="AQ838" s="266"/>
      <c r="AR838" s="258" t="str">
        <f t="shared" si="405"/>
        <v/>
      </c>
      <c r="AS838" s="266"/>
      <c r="AT838" s="256" t="str">
        <f t="shared" si="406"/>
        <v/>
      </c>
      <c r="AU838" s="256" t="str">
        <f t="shared" si="407"/>
        <v/>
      </c>
      <c r="AV838" s="256" t="str">
        <f t="shared" si="408"/>
        <v/>
      </c>
      <c r="AW838" s="267"/>
      <c r="AX838" s="255"/>
      <c r="AY838" s="259" t="str">
        <f>IF(AX838&lt;&gt;"",AX838/VLOOKUP($V838,Setup!$C$30:$D$41,2,0),"")</f>
        <v/>
      </c>
      <c r="AZ838" s="268"/>
      <c r="BA838" s="258" t="str">
        <f t="shared" si="409"/>
        <v/>
      </c>
      <c r="BB838" s="268"/>
      <c r="BC838" s="258" t="str">
        <f t="shared" si="410"/>
        <v/>
      </c>
      <c r="BD838" s="268"/>
      <c r="BE838" s="258" t="str">
        <f t="shared" si="411"/>
        <v/>
      </c>
      <c r="BF838" s="268"/>
      <c r="BG838" s="256" t="str">
        <f t="shared" si="412"/>
        <v/>
      </c>
      <c r="BH838" s="256" t="str">
        <f t="shared" si="413"/>
        <v/>
      </c>
      <c r="BI838" s="256" t="str">
        <f t="shared" si="414"/>
        <v/>
      </c>
      <c r="BJ838" s="267"/>
      <c r="BK838" s="255"/>
      <c r="BL838" s="259" t="str">
        <f>IF(BK838&lt;&gt;"",BK838/VLOOKUP($V838,Setup!$C$30:$D$41,2,0),"")</f>
        <v/>
      </c>
      <c r="BM838" s="268"/>
      <c r="BN838" s="258" t="str">
        <f t="shared" si="415"/>
        <v/>
      </c>
      <c r="BO838" s="268"/>
      <c r="BP838" s="258" t="str">
        <f t="shared" si="416"/>
        <v/>
      </c>
      <c r="BQ838" s="268"/>
      <c r="BR838" s="258" t="str">
        <f t="shared" si="417"/>
        <v/>
      </c>
      <c r="BS838" s="268"/>
      <c r="BT838" s="256" t="str">
        <f t="shared" si="418"/>
        <v/>
      </c>
      <c r="BU838" s="256" t="str">
        <f t="shared" si="419"/>
        <v/>
      </c>
      <c r="BV838" s="256" t="str">
        <f t="shared" si="420"/>
        <v/>
      </c>
      <c r="BW838" s="267"/>
      <c r="BX838" s="256" t="str">
        <f t="shared" si="421"/>
        <v/>
      </c>
      <c r="BY838" s="256" t="str">
        <f t="shared" si="422"/>
        <v/>
      </c>
      <c r="BZ838" s="281"/>
      <c r="CA838" s="282"/>
      <c r="CF838" s="284"/>
      <c r="CG838" s="284"/>
      <c r="CH838" s="284"/>
      <c r="CI838" s="284"/>
      <c r="CL838" s="356" t="str">
        <f>IFERROR(VLOOKUP(C838,'Data Sheet'!$A$3:$B$26,2,FALSE),"")</f>
        <v/>
      </c>
    </row>
    <row r="839" spans="1:90" ht="15.75" x14ac:dyDescent="0.2">
      <c r="A839" s="97"/>
      <c r="B839" s="105" t="str">
        <f t="shared" si="396"/>
        <v>--</v>
      </c>
      <c r="C839" s="276"/>
      <c r="D839" s="101" t="str">
        <f>IFERROR(IF(VLOOKUP(C839,'Data Sheet'!$A$3:$D$26,4,FALSE)=0,"",VLOOKUP(C839,'Data Sheet'!$A$3:$D$26,4,FALSE)),"")</f>
        <v/>
      </c>
      <c r="E839" s="279"/>
      <c r="F839" s="103" t="str">
        <f>IFERROR(IF(VLOOKUP(E839,'Data Sheet'!$C$29:$E$174,3,FALSE)=0,"",VLOOKUP(E839,'Data Sheet'!$C$29:$E$174,3,FALSE)),"")</f>
        <v/>
      </c>
      <c r="G839" s="106" t="str">
        <f t="shared" si="423"/>
        <v>-</v>
      </c>
      <c r="H839" s="273"/>
      <c r="I839" s="107"/>
      <c r="J839" s="249" t="e">
        <f t="shared" si="424"/>
        <v>#VALUE!</v>
      </c>
      <c r="K839" s="101" t="str">
        <f>IFERROR(INDEX('Data Sheet'!$C$198:$C$275,MATCH(I839,'Data Sheet'!$F$198:$F$275,0)),"")</f>
        <v/>
      </c>
      <c r="L839" s="250" t="str">
        <f>IFERROR(INDEX('Data Sheet'!$G$198:$G$275,MATCH(I839,'Data Sheet'!$F$198:$F$275,0)),"")</f>
        <v/>
      </c>
      <c r="M839" s="194"/>
      <c r="N839" s="248"/>
      <c r="O839" s="248"/>
      <c r="P839" s="108" t="str">
        <f>IFERROR(INDEX(Setup!$D$44:$D$70,MATCH(M839,Setup!$K$44:$K$70,0))&amp;"","")</f>
        <v/>
      </c>
      <c r="Q839" s="108" t="str">
        <f>IFERROR(INDEX(Setup!$E$44:$E$70,MATCH(M839,Setup!$K$44:$K$70,0))&amp;"","")</f>
        <v/>
      </c>
      <c r="R839" s="108" t="str">
        <f>IFERROR(INDEX(Setup!$L$44:$L$70,MATCH(M839,Setup!$K$44:$K$70,0))&amp;"","")</f>
        <v/>
      </c>
      <c r="S839" s="108" t="str">
        <f>Setup!$C$30</f>
        <v>USD</v>
      </c>
      <c r="T839" s="109" t="str">
        <f>IFERROR(INDEX('Data Sheet'!$B$198:$B$275,MATCH(I839,'Data Sheet'!$F$198:$F$275,0)),"")</f>
        <v/>
      </c>
      <c r="U839" s="110" t="str">
        <f>IFERROR(INDEX('Data Sheet'!$D$198:$D$275,MATCH(I839,'Data Sheet'!$F$198:$F$275,0)),"")</f>
        <v/>
      </c>
      <c r="V839" s="99"/>
      <c r="W839" s="195" t="str">
        <f>IF(V839=Setup!$C$30,"Grant",IF(V839=Setup!$C$31,"Local",IF(V839=Setup!$C$32,"Other",IF(ISBLANK(V839),"","Other"))))</f>
        <v/>
      </c>
      <c r="X839" s="255"/>
      <c r="Y839" s="259" t="str">
        <f>IF(X839&lt;&gt;"",X839/VLOOKUP($V839,Setup!$C$30:$D$41,2,0),"")</f>
        <v/>
      </c>
      <c r="Z839" s="262"/>
      <c r="AA839" s="256" t="str">
        <f t="shared" si="397"/>
        <v/>
      </c>
      <c r="AB839" s="262"/>
      <c r="AC839" s="258" t="str">
        <f t="shared" si="398"/>
        <v/>
      </c>
      <c r="AD839" s="262"/>
      <c r="AE839" s="258" t="str">
        <f t="shared" si="399"/>
        <v/>
      </c>
      <c r="AF839" s="262"/>
      <c r="AG839" s="256" t="str">
        <f t="shared" si="400"/>
        <v/>
      </c>
      <c r="AH839" s="256" t="str">
        <f t="shared" si="401"/>
        <v/>
      </c>
      <c r="AI839" s="256" t="str">
        <f t="shared" si="402"/>
        <v/>
      </c>
      <c r="AJ839" s="111"/>
      <c r="AK839" s="255"/>
      <c r="AL839" s="259" t="str">
        <f>IF(AK839&lt;&gt;"",AK839/VLOOKUP($V839,Setup!$C$30:$D$41,2,0),"")</f>
        <v/>
      </c>
      <c r="AM839" s="266"/>
      <c r="AN839" s="258" t="str">
        <f t="shared" si="403"/>
        <v/>
      </c>
      <c r="AO839" s="266"/>
      <c r="AP839" s="258" t="str">
        <f t="shared" si="404"/>
        <v/>
      </c>
      <c r="AQ839" s="266"/>
      <c r="AR839" s="258" t="str">
        <f t="shared" si="405"/>
        <v/>
      </c>
      <c r="AS839" s="266"/>
      <c r="AT839" s="256" t="str">
        <f t="shared" si="406"/>
        <v/>
      </c>
      <c r="AU839" s="256" t="str">
        <f t="shared" si="407"/>
        <v/>
      </c>
      <c r="AV839" s="256" t="str">
        <f t="shared" si="408"/>
        <v/>
      </c>
      <c r="AW839" s="267"/>
      <c r="AX839" s="255"/>
      <c r="AY839" s="259" t="str">
        <f>IF(AX839&lt;&gt;"",AX839/VLOOKUP($V839,Setup!$C$30:$D$41,2,0),"")</f>
        <v/>
      </c>
      <c r="AZ839" s="268"/>
      <c r="BA839" s="258" t="str">
        <f t="shared" si="409"/>
        <v/>
      </c>
      <c r="BB839" s="268"/>
      <c r="BC839" s="258" t="str">
        <f t="shared" si="410"/>
        <v/>
      </c>
      <c r="BD839" s="268"/>
      <c r="BE839" s="258" t="str">
        <f t="shared" si="411"/>
        <v/>
      </c>
      <c r="BF839" s="268"/>
      <c r="BG839" s="256" t="str">
        <f t="shared" si="412"/>
        <v/>
      </c>
      <c r="BH839" s="256" t="str">
        <f t="shared" si="413"/>
        <v/>
      </c>
      <c r="BI839" s="256" t="str">
        <f t="shared" si="414"/>
        <v/>
      </c>
      <c r="BJ839" s="267"/>
      <c r="BK839" s="255"/>
      <c r="BL839" s="259" t="str">
        <f>IF(BK839&lt;&gt;"",BK839/VLOOKUP($V839,Setup!$C$30:$D$41,2,0),"")</f>
        <v/>
      </c>
      <c r="BM839" s="268"/>
      <c r="BN839" s="258" t="str">
        <f t="shared" si="415"/>
        <v/>
      </c>
      <c r="BO839" s="268"/>
      <c r="BP839" s="258" t="str">
        <f t="shared" si="416"/>
        <v/>
      </c>
      <c r="BQ839" s="268"/>
      <c r="BR839" s="258" t="str">
        <f t="shared" si="417"/>
        <v/>
      </c>
      <c r="BS839" s="268"/>
      <c r="BT839" s="256" t="str">
        <f t="shared" si="418"/>
        <v/>
      </c>
      <c r="BU839" s="256" t="str">
        <f t="shared" si="419"/>
        <v/>
      </c>
      <c r="BV839" s="256" t="str">
        <f t="shared" si="420"/>
        <v/>
      </c>
      <c r="BW839" s="267"/>
      <c r="BX839" s="256" t="str">
        <f t="shared" si="421"/>
        <v/>
      </c>
      <c r="BY839" s="256" t="str">
        <f t="shared" si="422"/>
        <v/>
      </c>
      <c r="BZ839" s="281"/>
      <c r="CA839" s="282"/>
      <c r="CF839" s="284"/>
      <c r="CG839" s="284"/>
      <c r="CH839" s="284"/>
      <c r="CI839" s="284"/>
      <c r="CL839" s="356" t="str">
        <f>IFERROR(VLOOKUP(C839,'Data Sheet'!$A$3:$B$26,2,FALSE),"")</f>
        <v/>
      </c>
    </row>
    <row r="840" spans="1:90" ht="15.75" x14ac:dyDescent="0.2">
      <c r="A840" s="97"/>
      <c r="B840" s="105" t="str">
        <f t="shared" si="396"/>
        <v>--</v>
      </c>
      <c r="C840" s="276"/>
      <c r="D840" s="101" t="str">
        <f>IFERROR(IF(VLOOKUP(C840,'Data Sheet'!$A$3:$D$26,4,FALSE)=0,"",VLOOKUP(C840,'Data Sheet'!$A$3:$D$26,4,FALSE)),"")</f>
        <v/>
      </c>
      <c r="E840" s="279"/>
      <c r="F840" s="103" t="str">
        <f>IFERROR(IF(VLOOKUP(E840,'Data Sheet'!$C$29:$E$174,3,FALSE)=0,"",VLOOKUP(E840,'Data Sheet'!$C$29:$E$174,3,FALSE)),"")</f>
        <v/>
      </c>
      <c r="G840" s="106" t="str">
        <f t="shared" si="423"/>
        <v>-</v>
      </c>
      <c r="H840" s="273"/>
      <c r="I840" s="107"/>
      <c r="J840" s="249" t="e">
        <f t="shared" si="424"/>
        <v>#VALUE!</v>
      </c>
      <c r="K840" s="101" t="str">
        <f>IFERROR(INDEX('Data Sheet'!$C$198:$C$275,MATCH(I840,'Data Sheet'!$F$198:$F$275,0)),"")</f>
        <v/>
      </c>
      <c r="L840" s="250" t="str">
        <f>IFERROR(INDEX('Data Sheet'!$G$198:$G$275,MATCH(I840,'Data Sheet'!$F$198:$F$275,0)),"")</f>
        <v/>
      </c>
      <c r="M840" s="194"/>
      <c r="N840" s="248"/>
      <c r="O840" s="248"/>
      <c r="P840" s="108" t="str">
        <f>IFERROR(INDEX(Setup!$D$44:$D$70,MATCH(M840,Setup!$K$44:$K$70,0))&amp;"","")</f>
        <v/>
      </c>
      <c r="Q840" s="108" t="str">
        <f>IFERROR(INDEX(Setup!$E$44:$E$70,MATCH(M840,Setup!$K$44:$K$70,0))&amp;"","")</f>
        <v/>
      </c>
      <c r="R840" s="108" t="str">
        <f>IFERROR(INDEX(Setup!$L$44:$L$70,MATCH(M840,Setup!$K$44:$K$70,0))&amp;"","")</f>
        <v/>
      </c>
      <c r="S840" s="108" t="str">
        <f>Setup!$C$30</f>
        <v>USD</v>
      </c>
      <c r="T840" s="109" t="str">
        <f>IFERROR(INDEX('Data Sheet'!$B$198:$B$275,MATCH(I840,'Data Sheet'!$F$198:$F$275,0)),"")</f>
        <v/>
      </c>
      <c r="U840" s="110" t="str">
        <f>IFERROR(INDEX('Data Sheet'!$D$198:$D$275,MATCH(I840,'Data Sheet'!$F$198:$F$275,0)),"")</f>
        <v/>
      </c>
      <c r="V840" s="99"/>
      <c r="W840" s="195" t="str">
        <f>IF(V840=Setup!$C$30,"Grant",IF(V840=Setup!$C$31,"Local",IF(V840=Setup!$C$32,"Other",IF(ISBLANK(V840),"","Other"))))</f>
        <v/>
      </c>
      <c r="X840" s="255"/>
      <c r="Y840" s="259" t="str">
        <f>IF(X840&lt;&gt;"",X840/VLOOKUP($V840,Setup!$C$30:$D$41,2,0),"")</f>
        <v/>
      </c>
      <c r="Z840" s="262"/>
      <c r="AA840" s="256" t="str">
        <f t="shared" si="397"/>
        <v/>
      </c>
      <c r="AB840" s="262"/>
      <c r="AC840" s="258" t="str">
        <f t="shared" si="398"/>
        <v/>
      </c>
      <c r="AD840" s="262"/>
      <c r="AE840" s="258" t="str">
        <f t="shared" si="399"/>
        <v/>
      </c>
      <c r="AF840" s="262"/>
      <c r="AG840" s="256" t="str">
        <f t="shared" si="400"/>
        <v/>
      </c>
      <c r="AH840" s="256" t="str">
        <f t="shared" si="401"/>
        <v/>
      </c>
      <c r="AI840" s="256" t="str">
        <f t="shared" si="402"/>
        <v/>
      </c>
      <c r="AJ840" s="111"/>
      <c r="AK840" s="255"/>
      <c r="AL840" s="259" t="str">
        <f>IF(AK840&lt;&gt;"",AK840/VLOOKUP($V840,Setup!$C$30:$D$41,2,0),"")</f>
        <v/>
      </c>
      <c r="AM840" s="266"/>
      <c r="AN840" s="258" t="str">
        <f t="shared" si="403"/>
        <v/>
      </c>
      <c r="AO840" s="266"/>
      <c r="AP840" s="258" t="str">
        <f t="shared" si="404"/>
        <v/>
      </c>
      <c r="AQ840" s="266"/>
      <c r="AR840" s="258" t="str">
        <f t="shared" si="405"/>
        <v/>
      </c>
      <c r="AS840" s="266"/>
      <c r="AT840" s="256" t="str">
        <f t="shared" si="406"/>
        <v/>
      </c>
      <c r="AU840" s="256" t="str">
        <f t="shared" si="407"/>
        <v/>
      </c>
      <c r="AV840" s="256" t="str">
        <f t="shared" si="408"/>
        <v/>
      </c>
      <c r="AW840" s="267"/>
      <c r="AX840" s="255"/>
      <c r="AY840" s="259" t="str">
        <f>IF(AX840&lt;&gt;"",AX840/VLOOKUP($V840,Setup!$C$30:$D$41,2,0),"")</f>
        <v/>
      </c>
      <c r="AZ840" s="268"/>
      <c r="BA840" s="258" t="str">
        <f t="shared" si="409"/>
        <v/>
      </c>
      <c r="BB840" s="268"/>
      <c r="BC840" s="258" t="str">
        <f t="shared" si="410"/>
        <v/>
      </c>
      <c r="BD840" s="268"/>
      <c r="BE840" s="258" t="str">
        <f t="shared" si="411"/>
        <v/>
      </c>
      <c r="BF840" s="268"/>
      <c r="BG840" s="256" t="str">
        <f t="shared" si="412"/>
        <v/>
      </c>
      <c r="BH840" s="256" t="str">
        <f t="shared" si="413"/>
        <v/>
      </c>
      <c r="BI840" s="256" t="str">
        <f t="shared" si="414"/>
        <v/>
      </c>
      <c r="BJ840" s="267"/>
      <c r="BK840" s="255"/>
      <c r="BL840" s="259" t="str">
        <f>IF(BK840&lt;&gt;"",BK840/VLOOKUP($V840,Setup!$C$30:$D$41,2,0),"")</f>
        <v/>
      </c>
      <c r="BM840" s="268"/>
      <c r="BN840" s="258" t="str">
        <f t="shared" si="415"/>
        <v/>
      </c>
      <c r="BO840" s="268"/>
      <c r="BP840" s="258" t="str">
        <f t="shared" si="416"/>
        <v/>
      </c>
      <c r="BQ840" s="268"/>
      <c r="BR840" s="258" t="str">
        <f t="shared" si="417"/>
        <v/>
      </c>
      <c r="BS840" s="268"/>
      <c r="BT840" s="256" t="str">
        <f t="shared" si="418"/>
        <v/>
      </c>
      <c r="BU840" s="256" t="str">
        <f t="shared" si="419"/>
        <v/>
      </c>
      <c r="BV840" s="256" t="str">
        <f t="shared" si="420"/>
        <v/>
      </c>
      <c r="BW840" s="267"/>
      <c r="BX840" s="256" t="str">
        <f t="shared" si="421"/>
        <v/>
      </c>
      <c r="BY840" s="256" t="str">
        <f t="shared" si="422"/>
        <v/>
      </c>
      <c r="BZ840" s="281"/>
      <c r="CA840" s="282"/>
      <c r="CF840" s="284"/>
      <c r="CG840" s="284"/>
      <c r="CH840" s="284"/>
      <c r="CI840" s="284"/>
      <c r="CL840" s="356" t="str">
        <f>IFERROR(VLOOKUP(C840,'Data Sheet'!$A$3:$B$26,2,FALSE),"")</f>
        <v/>
      </c>
    </row>
    <row r="841" spans="1:90" ht="15.75" x14ac:dyDescent="0.2">
      <c r="A841" s="97"/>
      <c r="B841" s="105" t="str">
        <f t="shared" si="396"/>
        <v>--</v>
      </c>
      <c r="C841" s="276"/>
      <c r="D841" s="101" t="str">
        <f>IFERROR(IF(VLOOKUP(C841,'Data Sheet'!$A$3:$D$26,4,FALSE)=0,"",VLOOKUP(C841,'Data Sheet'!$A$3:$D$26,4,FALSE)),"")</f>
        <v/>
      </c>
      <c r="E841" s="279"/>
      <c r="F841" s="103" t="str">
        <f>IFERROR(IF(VLOOKUP(E841,'Data Sheet'!$C$29:$E$174,3,FALSE)=0,"",VLOOKUP(E841,'Data Sheet'!$C$29:$E$174,3,FALSE)),"")</f>
        <v/>
      </c>
      <c r="G841" s="106" t="str">
        <f t="shared" si="423"/>
        <v>-</v>
      </c>
      <c r="H841" s="273"/>
      <c r="I841" s="107"/>
      <c r="J841" s="249" t="e">
        <f t="shared" si="424"/>
        <v>#VALUE!</v>
      </c>
      <c r="K841" s="101" t="str">
        <f>IFERROR(INDEX('Data Sheet'!$C$198:$C$275,MATCH(I841,'Data Sheet'!$F$198:$F$275,0)),"")</f>
        <v/>
      </c>
      <c r="L841" s="250" t="str">
        <f>IFERROR(INDEX('Data Sheet'!$G$198:$G$275,MATCH(I841,'Data Sheet'!$F$198:$F$275,0)),"")</f>
        <v/>
      </c>
      <c r="M841" s="194"/>
      <c r="N841" s="248"/>
      <c r="O841" s="248"/>
      <c r="P841" s="108" t="str">
        <f>IFERROR(INDEX(Setup!$D$44:$D$70,MATCH(M841,Setup!$K$44:$K$70,0))&amp;"","")</f>
        <v/>
      </c>
      <c r="Q841" s="108" t="str">
        <f>IFERROR(INDEX(Setup!$E$44:$E$70,MATCH(M841,Setup!$K$44:$K$70,0))&amp;"","")</f>
        <v/>
      </c>
      <c r="R841" s="108" t="str">
        <f>IFERROR(INDEX(Setup!$L$44:$L$70,MATCH(M841,Setup!$K$44:$K$70,0))&amp;"","")</f>
        <v/>
      </c>
      <c r="S841" s="108" t="str">
        <f>Setup!$C$30</f>
        <v>USD</v>
      </c>
      <c r="T841" s="109" t="str">
        <f>IFERROR(INDEX('Data Sheet'!$B$198:$B$275,MATCH(I841,'Data Sheet'!$F$198:$F$275,0)),"")</f>
        <v/>
      </c>
      <c r="U841" s="110" t="str">
        <f>IFERROR(INDEX('Data Sheet'!$D$198:$D$275,MATCH(I841,'Data Sheet'!$F$198:$F$275,0)),"")</f>
        <v/>
      </c>
      <c r="V841" s="99"/>
      <c r="W841" s="195" t="str">
        <f>IF(V841=Setup!$C$30,"Grant",IF(V841=Setup!$C$31,"Local",IF(V841=Setup!$C$32,"Other",IF(ISBLANK(V841),"","Other"))))</f>
        <v/>
      </c>
      <c r="X841" s="255"/>
      <c r="Y841" s="259" t="str">
        <f>IF(X841&lt;&gt;"",X841/VLOOKUP($V841,Setup!$C$30:$D$41,2,0),"")</f>
        <v/>
      </c>
      <c r="Z841" s="262"/>
      <c r="AA841" s="256" t="str">
        <f t="shared" si="397"/>
        <v/>
      </c>
      <c r="AB841" s="262"/>
      <c r="AC841" s="258" t="str">
        <f t="shared" si="398"/>
        <v/>
      </c>
      <c r="AD841" s="262"/>
      <c r="AE841" s="258" t="str">
        <f t="shared" si="399"/>
        <v/>
      </c>
      <c r="AF841" s="262"/>
      <c r="AG841" s="256" t="str">
        <f t="shared" si="400"/>
        <v/>
      </c>
      <c r="AH841" s="256" t="str">
        <f t="shared" si="401"/>
        <v/>
      </c>
      <c r="AI841" s="256" t="str">
        <f t="shared" si="402"/>
        <v/>
      </c>
      <c r="AJ841" s="111"/>
      <c r="AK841" s="255"/>
      <c r="AL841" s="259" t="str">
        <f>IF(AK841&lt;&gt;"",AK841/VLOOKUP($V841,Setup!$C$30:$D$41,2,0),"")</f>
        <v/>
      </c>
      <c r="AM841" s="266"/>
      <c r="AN841" s="258" t="str">
        <f t="shared" si="403"/>
        <v/>
      </c>
      <c r="AO841" s="266"/>
      <c r="AP841" s="258" t="str">
        <f t="shared" si="404"/>
        <v/>
      </c>
      <c r="AQ841" s="266"/>
      <c r="AR841" s="258" t="str">
        <f t="shared" si="405"/>
        <v/>
      </c>
      <c r="AS841" s="266"/>
      <c r="AT841" s="256" t="str">
        <f t="shared" si="406"/>
        <v/>
      </c>
      <c r="AU841" s="256" t="str">
        <f t="shared" si="407"/>
        <v/>
      </c>
      <c r="AV841" s="256" t="str">
        <f t="shared" si="408"/>
        <v/>
      </c>
      <c r="AW841" s="267"/>
      <c r="AX841" s="255"/>
      <c r="AY841" s="259" t="str">
        <f>IF(AX841&lt;&gt;"",AX841/VLOOKUP($V841,Setup!$C$30:$D$41,2,0),"")</f>
        <v/>
      </c>
      <c r="AZ841" s="268"/>
      <c r="BA841" s="258" t="str">
        <f t="shared" si="409"/>
        <v/>
      </c>
      <c r="BB841" s="268"/>
      <c r="BC841" s="258" t="str">
        <f t="shared" si="410"/>
        <v/>
      </c>
      <c r="BD841" s="268"/>
      <c r="BE841" s="258" t="str">
        <f t="shared" si="411"/>
        <v/>
      </c>
      <c r="BF841" s="268"/>
      <c r="BG841" s="256" t="str">
        <f t="shared" si="412"/>
        <v/>
      </c>
      <c r="BH841" s="256" t="str">
        <f t="shared" si="413"/>
        <v/>
      </c>
      <c r="BI841" s="256" t="str">
        <f t="shared" si="414"/>
        <v/>
      </c>
      <c r="BJ841" s="267"/>
      <c r="BK841" s="255"/>
      <c r="BL841" s="259" t="str">
        <f>IF(BK841&lt;&gt;"",BK841/VLOOKUP($V841,Setup!$C$30:$D$41,2,0),"")</f>
        <v/>
      </c>
      <c r="BM841" s="268"/>
      <c r="BN841" s="258" t="str">
        <f t="shared" si="415"/>
        <v/>
      </c>
      <c r="BO841" s="268"/>
      <c r="BP841" s="258" t="str">
        <f t="shared" si="416"/>
        <v/>
      </c>
      <c r="BQ841" s="268"/>
      <c r="BR841" s="258" t="str">
        <f t="shared" si="417"/>
        <v/>
      </c>
      <c r="BS841" s="268"/>
      <c r="BT841" s="256" t="str">
        <f t="shared" si="418"/>
        <v/>
      </c>
      <c r="BU841" s="256" t="str">
        <f t="shared" si="419"/>
        <v/>
      </c>
      <c r="BV841" s="256" t="str">
        <f t="shared" si="420"/>
        <v/>
      </c>
      <c r="BW841" s="267"/>
      <c r="BX841" s="256" t="str">
        <f t="shared" si="421"/>
        <v/>
      </c>
      <c r="BY841" s="256" t="str">
        <f t="shared" si="422"/>
        <v/>
      </c>
      <c r="BZ841" s="281"/>
      <c r="CA841" s="282"/>
      <c r="CF841" s="284"/>
      <c r="CG841" s="284"/>
      <c r="CH841" s="284"/>
      <c r="CI841" s="284"/>
      <c r="CL841" s="356" t="str">
        <f>IFERROR(VLOOKUP(C841,'Data Sheet'!$A$3:$B$26,2,FALSE),"")</f>
        <v/>
      </c>
    </row>
    <row r="842" spans="1:90" ht="15.75" x14ac:dyDescent="0.2">
      <c r="A842" s="97"/>
      <c r="B842" s="105" t="str">
        <f t="shared" si="396"/>
        <v>--</v>
      </c>
      <c r="C842" s="276"/>
      <c r="D842" s="101" t="str">
        <f>IFERROR(IF(VLOOKUP(C842,'Data Sheet'!$A$3:$D$26,4,FALSE)=0,"",VLOOKUP(C842,'Data Sheet'!$A$3:$D$26,4,FALSE)),"")</f>
        <v/>
      </c>
      <c r="E842" s="279"/>
      <c r="F842" s="103" t="str">
        <f>IFERROR(IF(VLOOKUP(E842,'Data Sheet'!$C$29:$E$174,3,FALSE)=0,"",VLOOKUP(E842,'Data Sheet'!$C$29:$E$174,3,FALSE)),"")</f>
        <v/>
      </c>
      <c r="G842" s="106" t="str">
        <f t="shared" si="423"/>
        <v>-</v>
      </c>
      <c r="H842" s="273"/>
      <c r="I842" s="107"/>
      <c r="J842" s="249" t="e">
        <f t="shared" si="424"/>
        <v>#VALUE!</v>
      </c>
      <c r="K842" s="101" t="str">
        <f>IFERROR(INDEX('Data Sheet'!$C$198:$C$275,MATCH(I842,'Data Sheet'!$F$198:$F$275,0)),"")</f>
        <v/>
      </c>
      <c r="L842" s="250" t="str">
        <f>IFERROR(INDEX('Data Sheet'!$G$198:$G$275,MATCH(I842,'Data Sheet'!$F$198:$F$275,0)),"")</f>
        <v/>
      </c>
      <c r="M842" s="194"/>
      <c r="N842" s="248"/>
      <c r="O842" s="248"/>
      <c r="P842" s="108" t="str">
        <f>IFERROR(INDEX(Setup!$D$44:$D$70,MATCH(M842,Setup!$K$44:$K$70,0))&amp;"","")</f>
        <v/>
      </c>
      <c r="Q842" s="108" t="str">
        <f>IFERROR(INDEX(Setup!$E$44:$E$70,MATCH(M842,Setup!$K$44:$K$70,0))&amp;"","")</f>
        <v/>
      </c>
      <c r="R842" s="108" t="str">
        <f>IFERROR(INDEX(Setup!$L$44:$L$70,MATCH(M842,Setup!$K$44:$K$70,0))&amp;"","")</f>
        <v/>
      </c>
      <c r="S842" s="108" t="str">
        <f>Setup!$C$30</f>
        <v>USD</v>
      </c>
      <c r="T842" s="109" t="str">
        <f>IFERROR(INDEX('Data Sheet'!$B$198:$B$275,MATCH(I842,'Data Sheet'!$F$198:$F$275,0)),"")</f>
        <v/>
      </c>
      <c r="U842" s="110" t="str">
        <f>IFERROR(INDEX('Data Sheet'!$D$198:$D$275,MATCH(I842,'Data Sheet'!$F$198:$F$275,0)),"")</f>
        <v/>
      </c>
      <c r="V842" s="99"/>
      <c r="W842" s="195" t="str">
        <f>IF(V842=Setup!$C$30,"Grant",IF(V842=Setup!$C$31,"Local",IF(V842=Setup!$C$32,"Other",IF(ISBLANK(V842),"","Other"))))</f>
        <v/>
      </c>
      <c r="X842" s="255"/>
      <c r="Y842" s="259" t="str">
        <f>IF(X842&lt;&gt;"",X842/VLOOKUP($V842,Setup!$C$30:$D$41,2,0),"")</f>
        <v/>
      </c>
      <c r="Z842" s="262"/>
      <c r="AA842" s="256" t="str">
        <f t="shared" si="397"/>
        <v/>
      </c>
      <c r="AB842" s="262"/>
      <c r="AC842" s="258" t="str">
        <f t="shared" si="398"/>
        <v/>
      </c>
      <c r="AD842" s="262"/>
      <c r="AE842" s="258" t="str">
        <f t="shared" si="399"/>
        <v/>
      </c>
      <c r="AF842" s="262"/>
      <c r="AG842" s="256" t="str">
        <f t="shared" si="400"/>
        <v/>
      </c>
      <c r="AH842" s="256" t="str">
        <f t="shared" si="401"/>
        <v/>
      </c>
      <c r="AI842" s="256" t="str">
        <f t="shared" si="402"/>
        <v/>
      </c>
      <c r="AJ842" s="111"/>
      <c r="AK842" s="255"/>
      <c r="AL842" s="259" t="str">
        <f>IF(AK842&lt;&gt;"",AK842/VLOOKUP($V842,Setup!$C$30:$D$41,2,0),"")</f>
        <v/>
      </c>
      <c r="AM842" s="266"/>
      <c r="AN842" s="258" t="str">
        <f t="shared" si="403"/>
        <v/>
      </c>
      <c r="AO842" s="266"/>
      <c r="AP842" s="258" t="str">
        <f t="shared" si="404"/>
        <v/>
      </c>
      <c r="AQ842" s="266"/>
      <c r="AR842" s="258" t="str">
        <f t="shared" si="405"/>
        <v/>
      </c>
      <c r="AS842" s="266"/>
      <c r="AT842" s="256" t="str">
        <f t="shared" si="406"/>
        <v/>
      </c>
      <c r="AU842" s="256" t="str">
        <f t="shared" si="407"/>
        <v/>
      </c>
      <c r="AV842" s="256" t="str">
        <f t="shared" si="408"/>
        <v/>
      </c>
      <c r="AW842" s="267"/>
      <c r="AX842" s="255"/>
      <c r="AY842" s="259" t="str">
        <f>IF(AX842&lt;&gt;"",AX842/VLOOKUP($V842,Setup!$C$30:$D$41,2,0),"")</f>
        <v/>
      </c>
      <c r="AZ842" s="268"/>
      <c r="BA842" s="258" t="str">
        <f t="shared" si="409"/>
        <v/>
      </c>
      <c r="BB842" s="268"/>
      <c r="BC842" s="258" t="str">
        <f t="shared" si="410"/>
        <v/>
      </c>
      <c r="BD842" s="268"/>
      <c r="BE842" s="258" t="str">
        <f t="shared" si="411"/>
        <v/>
      </c>
      <c r="BF842" s="268"/>
      <c r="BG842" s="256" t="str">
        <f t="shared" si="412"/>
        <v/>
      </c>
      <c r="BH842" s="256" t="str">
        <f t="shared" si="413"/>
        <v/>
      </c>
      <c r="BI842" s="256" t="str">
        <f t="shared" si="414"/>
        <v/>
      </c>
      <c r="BJ842" s="267"/>
      <c r="BK842" s="255"/>
      <c r="BL842" s="259" t="str">
        <f>IF(BK842&lt;&gt;"",BK842/VLOOKUP($V842,Setup!$C$30:$D$41,2,0),"")</f>
        <v/>
      </c>
      <c r="BM842" s="268"/>
      <c r="BN842" s="258" t="str">
        <f t="shared" si="415"/>
        <v/>
      </c>
      <c r="BO842" s="268"/>
      <c r="BP842" s="258" t="str">
        <f t="shared" si="416"/>
        <v/>
      </c>
      <c r="BQ842" s="268"/>
      <c r="BR842" s="258" t="str">
        <f t="shared" si="417"/>
        <v/>
      </c>
      <c r="BS842" s="268"/>
      <c r="BT842" s="256" t="str">
        <f t="shared" si="418"/>
        <v/>
      </c>
      <c r="BU842" s="256" t="str">
        <f t="shared" si="419"/>
        <v/>
      </c>
      <c r="BV842" s="256" t="str">
        <f t="shared" si="420"/>
        <v/>
      </c>
      <c r="BW842" s="267"/>
      <c r="BX842" s="256" t="str">
        <f t="shared" si="421"/>
        <v/>
      </c>
      <c r="BY842" s="256" t="str">
        <f t="shared" si="422"/>
        <v/>
      </c>
      <c r="BZ842" s="281"/>
      <c r="CA842" s="282"/>
      <c r="CF842" s="284"/>
      <c r="CG842" s="284"/>
      <c r="CH842" s="284"/>
      <c r="CI842" s="284"/>
      <c r="CL842" s="356" t="str">
        <f>IFERROR(VLOOKUP(C842,'Data Sheet'!$A$3:$B$26,2,FALSE),"")</f>
        <v/>
      </c>
    </row>
    <row r="843" spans="1:90" ht="15.75" x14ac:dyDescent="0.2">
      <c r="A843" s="97"/>
      <c r="B843" s="105" t="str">
        <f t="shared" si="396"/>
        <v>--</v>
      </c>
      <c r="C843" s="276"/>
      <c r="D843" s="101" t="str">
        <f>IFERROR(IF(VLOOKUP(C843,'Data Sheet'!$A$3:$D$26,4,FALSE)=0,"",VLOOKUP(C843,'Data Sheet'!$A$3:$D$26,4,FALSE)),"")</f>
        <v/>
      </c>
      <c r="E843" s="279"/>
      <c r="F843" s="103" t="str">
        <f>IFERROR(IF(VLOOKUP(E843,'Data Sheet'!$C$29:$E$174,3,FALSE)=0,"",VLOOKUP(E843,'Data Sheet'!$C$29:$E$174,3,FALSE)),"")</f>
        <v/>
      </c>
      <c r="G843" s="106" t="str">
        <f t="shared" si="423"/>
        <v>-</v>
      </c>
      <c r="H843" s="273"/>
      <c r="I843" s="107"/>
      <c r="J843" s="249" t="e">
        <f t="shared" si="424"/>
        <v>#VALUE!</v>
      </c>
      <c r="K843" s="101" t="str">
        <f>IFERROR(INDEX('Data Sheet'!$C$198:$C$275,MATCH(I843,'Data Sheet'!$F$198:$F$275,0)),"")</f>
        <v/>
      </c>
      <c r="L843" s="250" t="str">
        <f>IFERROR(INDEX('Data Sheet'!$G$198:$G$275,MATCH(I843,'Data Sheet'!$F$198:$F$275,0)),"")</f>
        <v/>
      </c>
      <c r="M843" s="194"/>
      <c r="N843" s="248"/>
      <c r="O843" s="248"/>
      <c r="P843" s="108" t="str">
        <f>IFERROR(INDEX(Setup!$D$44:$D$70,MATCH(M843,Setup!$K$44:$K$70,0))&amp;"","")</f>
        <v/>
      </c>
      <c r="Q843" s="108" t="str">
        <f>IFERROR(INDEX(Setup!$E$44:$E$70,MATCH(M843,Setup!$K$44:$K$70,0))&amp;"","")</f>
        <v/>
      </c>
      <c r="R843" s="108" t="str">
        <f>IFERROR(INDEX(Setup!$L$44:$L$70,MATCH(M843,Setup!$K$44:$K$70,0))&amp;"","")</f>
        <v/>
      </c>
      <c r="S843" s="108" t="str">
        <f>Setup!$C$30</f>
        <v>USD</v>
      </c>
      <c r="T843" s="109" t="str">
        <f>IFERROR(INDEX('Data Sheet'!$B$198:$B$275,MATCH(I843,'Data Sheet'!$F$198:$F$275,0)),"")</f>
        <v/>
      </c>
      <c r="U843" s="110" t="str">
        <f>IFERROR(INDEX('Data Sheet'!$D$198:$D$275,MATCH(I843,'Data Sheet'!$F$198:$F$275,0)),"")</f>
        <v/>
      </c>
      <c r="V843" s="99"/>
      <c r="W843" s="195" t="str">
        <f>IF(V843=Setup!$C$30,"Grant",IF(V843=Setup!$C$31,"Local",IF(V843=Setup!$C$32,"Other",IF(ISBLANK(V843),"","Other"))))</f>
        <v/>
      </c>
      <c r="X843" s="255"/>
      <c r="Y843" s="259" t="str">
        <f>IF(X843&lt;&gt;"",X843/VLOOKUP($V843,Setup!$C$30:$D$41,2,0),"")</f>
        <v/>
      </c>
      <c r="Z843" s="262"/>
      <c r="AA843" s="256" t="str">
        <f t="shared" si="397"/>
        <v/>
      </c>
      <c r="AB843" s="262"/>
      <c r="AC843" s="258" t="str">
        <f t="shared" si="398"/>
        <v/>
      </c>
      <c r="AD843" s="262"/>
      <c r="AE843" s="258" t="str">
        <f t="shared" si="399"/>
        <v/>
      </c>
      <c r="AF843" s="262"/>
      <c r="AG843" s="256" t="str">
        <f t="shared" si="400"/>
        <v/>
      </c>
      <c r="AH843" s="256" t="str">
        <f t="shared" si="401"/>
        <v/>
      </c>
      <c r="AI843" s="256" t="str">
        <f t="shared" si="402"/>
        <v/>
      </c>
      <c r="AJ843" s="111"/>
      <c r="AK843" s="255"/>
      <c r="AL843" s="259" t="str">
        <f>IF(AK843&lt;&gt;"",AK843/VLOOKUP($V843,Setup!$C$30:$D$41,2,0),"")</f>
        <v/>
      </c>
      <c r="AM843" s="266"/>
      <c r="AN843" s="258" t="str">
        <f t="shared" si="403"/>
        <v/>
      </c>
      <c r="AO843" s="266"/>
      <c r="AP843" s="258" t="str">
        <f t="shared" si="404"/>
        <v/>
      </c>
      <c r="AQ843" s="266"/>
      <c r="AR843" s="258" t="str">
        <f t="shared" si="405"/>
        <v/>
      </c>
      <c r="AS843" s="266"/>
      <c r="AT843" s="256" t="str">
        <f t="shared" si="406"/>
        <v/>
      </c>
      <c r="AU843" s="256" t="str">
        <f t="shared" si="407"/>
        <v/>
      </c>
      <c r="AV843" s="256" t="str">
        <f t="shared" si="408"/>
        <v/>
      </c>
      <c r="AW843" s="267"/>
      <c r="AX843" s="255"/>
      <c r="AY843" s="259" t="str">
        <f>IF(AX843&lt;&gt;"",AX843/VLOOKUP($V843,Setup!$C$30:$D$41,2,0),"")</f>
        <v/>
      </c>
      <c r="AZ843" s="268"/>
      <c r="BA843" s="258" t="str">
        <f t="shared" si="409"/>
        <v/>
      </c>
      <c r="BB843" s="268"/>
      <c r="BC843" s="258" t="str">
        <f t="shared" si="410"/>
        <v/>
      </c>
      <c r="BD843" s="268"/>
      <c r="BE843" s="258" t="str">
        <f t="shared" si="411"/>
        <v/>
      </c>
      <c r="BF843" s="268"/>
      <c r="BG843" s="256" t="str">
        <f t="shared" si="412"/>
        <v/>
      </c>
      <c r="BH843" s="256" t="str">
        <f t="shared" si="413"/>
        <v/>
      </c>
      <c r="BI843" s="256" t="str">
        <f t="shared" si="414"/>
        <v/>
      </c>
      <c r="BJ843" s="267"/>
      <c r="BK843" s="255"/>
      <c r="BL843" s="259" t="str">
        <f>IF(BK843&lt;&gt;"",BK843/VLOOKUP($V843,Setup!$C$30:$D$41,2,0),"")</f>
        <v/>
      </c>
      <c r="BM843" s="268"/>
      <c r="BN843" s="258" t="str">
        <f t="shared" si="415"/>
        <v/>
      </c>
      <c r="BO843" s="268"/>
      <c r="BP843" s="258" t="str">
        <f t="shared" si="416"/>
        <v/>
      </c>
      <c r="BQ843" s="268"/>
      <c r="BR843" s="258" t="str">
        <f t="shared" si="417"/>
        <v/>
      </c>
      <c r="BS843" s="268"/>
      <c r="BT843" s="256" t="str">
        <f t="shared" si="418"/>
        <v/>
      </c>
      <c r="BU843" s="256" t="str">
        <f t="shared" si="419"/>
        <v/>
      </c>
      <c r="BV843" s="256" t="str">
        <f t="shared" si="420"/>
        <v/>
      </c>
      <c r="BW843" s="267"/>
      <c r="BX843" s="256" t="str">
        <f t="shared" si="421"/>
        <v/>
      </c>
      <c r="BY843" s="256" t="str">
        <f t="shared" si="422"/>
        <v/>
      </c>
      <c r="BZ843" s="281"/>
      <c r="CA843" s="282"/>
      <c r="CF843" s="284"/>
      <c r="CG843" s="284"/>
      <c r="CH843" s="284"/>
      <c r="CI843" s="284"/>
      <c r="CL843" s="356" t="str">
        <f>IFERROR(VLOOKUP(C843,'Data Sheet'!$A$3:$B$26,2,FALSE),"")</f>
        <v/>
      </c>
    </row>
    <row r="844" spans="1:90" ht="15.75" x14ac:dyDescent="0.2">
      <c r="A844" s="97"/>
      <c r="B844" s="105" t="str">
        <f t="shared" si="396"/>
        <v>--</v>
      </c>
      <c r="C844" s="276"/>
      <c r="D844" s="101" t="str">
        <f>IFERROR(IF(VLOOKUP(C844,'Data Sheet'!$A$3:$D$26,4,FALSE)=0,"",VLOOKUP(C844,'Data Sheet'!$A$3:$D$26,4,FALSE)),"")</f>
        <v/>
      </c>
      <c r="E844" s="279"/>
      <c r="F844" s="103" t="str">
        <f>IFERROR(IF(VLOOKUP(E844,'Data Sheet'!$C$29:$E$174,3,FALSE)=0,"",VLOOKUP(E844,'Data Sheet'!$C$29:$E$174,3,FALSE)),"")</f>
        <v/>
      </c>
      <c r="G844" s="106" t="str">
        <f t="shared" si="423"/>
        <v>-</v>
      </c>
      <c r="H844" s="273"/>
      <c r="I844" s="107"/>
      <c r="J844" s="249" t="e">
        <f t="shared" si="424"/>
        <v>#VALUE!</v>
      </c>
      <c r="K844" s="101" t="str">
        <f>IFERROR(INDEX('Data Sheet'!$C$198:$C$275,MATCH(I844,'Data Sheet'!$F$198:$F$275,0)),"")</f>
        <v/>
      </c>
      <c r="L844" s="250" t="str">
        <f>IFERROR(INDEX('Data Sheet'!$G$198:$G$275,MATCH(I844,'Data Sheet'!$F$198:$F$275,0)),"")</f>
        <v/>
      </c>
      <c r="M844" s="194"/>
      <c r="N844" s="248"/>
      <c r="O844" s="248"/>
      <c r="P844" s="108" t="str">
        <f>IFERROR(INDEX(Setup!$D$44:$D$70,MATCH(M844,Setup!$K$44:$K$70,0))&amp;"","")</f>
        <v/>
      </c>
      <c r="Q844" s="108" t="str">
        <f>IFERROR(INDEX(Setup!$E$44:$E$70,MATCH(M844,Setup!$K$44:$K$70,0))&amp;"","")</f>
        <v/>
      </c>
      <c r="R844" s="108" t="str">
        <f>IFERROR(INDEX(Setup!$L$44:$L$70,MATCH(M844,Setup!$K$44:$K$70,0))&amp;"","")</f>
        <v/>
      </c>
      <c r="S844" s="108" t="str">
        <f>Setup!$C$30</f>
        <v>USD</v>
      </c>
      <c r="T844" s="109" t="str">
        <f>IFERROR(INDEX('Data Sheet'!$B$198:$B$275,MATCH(I844,'Data Sheet'!$F$198:$F$275,0)),"")</f>
        <v/>
      </c>
      <c r="U844" s="110" t="str">
        <f>IFERROR(INDEX('Data Sheet'!$D$198:$D$275,MATCH(I844,'Data Sheet'!$F$198:$F$275,0)),"")</f>
        <v/>
      </c>
      <c r="V844" s="99"/>
      <c r="W844" s="195" t="str">
        <f>IF(V844=Setup!$C$30,"Grant",IF(V844=Setup!$C$31,"Local",IF(V844=Setup!$C$32,"Other",IF(ISBLANK(V844),"","Other"))))</f>
        <v/>
      </c>
      <c r="X844" s="255"/>
      <c r="Y844" s="259" t="str">
        <f>IF(X844&lt;&gt;"",X844/VLOOKUP($V844,Setup!$C$30:$D$41,2,0),"")</f>
        <v/>
      </c>
      <c r="Z844" s="262"/>
      <c r="AA844" s="256" t="str">
        <f t="shared" si="397"/>
        <v/>
      </c>
      <c r="AB844" s="262"/>
      <c r="AC844" s="258" t="str">
        <f t="shared" si="398"/>
        <v/>
      </c>
      <c r="AD844" s="262"/>
      <c r="AE844" s="258" t="str">
        <f t="shared" si="399"/>
        <v/>
      </c>
      <c r="AF844" s="262"/>
      <c r="AG844" s="256" t="str">
        <f t="shared" si="400"/>
        <v/>
      </c>
      <c r="AH844" s="256" t="str">
        <f t="shared" si="401"/>
        <v/>
      </c>
      <c r="AI844" s="256" t="str">
        <f t="shared" si="402"/>
        <v/>
      </c>
      <c r="AJ844" s="111"/>
      <c r="AK844" s="255"/>
      <c r="AL844" s="259" t="str">
        <f>IF(AK844&lt;&gt;"",AK844/VLOOKUP($V844,Setup!$C$30:$D$41,2,0),"")</f>
        <v/>
      </c>
      <c r="AM844" s="266"/>
      <c r="AN844" s="258" t="str">
        <f t="shared" si="403"/>
        <v/>
      </c>
      <c r="AO844" s="266"/>
      <c r="AP844" s="258" t="str">
        <f t="shared" si="404"/>
        <v/>
      </c>
      <c r="AQ844" s="266"/>
      <c r="AR844" s="258" t="str">
        <f t="shared" si="405"/>
        <v/>
      </c>
      <c r="AS844" s="266"/>
      <c r="AT844" s="256" t="str">
        <f t="shared" si="406"/>
        <v/>
      </c>
      <c r="AU844" s="256" t="str">
        <f t="shared" si="407"/>
        <v/>
      </c>
      <c r="AV844" s="256" t="str">
        <f t="shared" si="408"/>
        <v/>
      </c>
      <c r="AW844" s="267"/>
      <c r="AX844" s="255"/>
      <c r="AY844" s="259" t="str">
        <f>IF(AX844&lt;&gt;"",AX844/VLOOKUP($V844,Setup!$C$30:$D$41,2,0),"")</f>
        <v/>
      </c>
      <c r="AZ844" s="268"/>
      <c r="BA844" s="258" t="str">
        <f t="shared" si="409"/>
        <v/>
      </c>
      <c r="BB844" s="268"/>
      <c r="BC844" s="258" t="str">
        <f t="shared" si="410"/>
        <v/>
      </c>
      <c r="BD844" s="268"/>
      <c r="BE844" s="258" t="str">
        <f t="shared" si="411"/>
        <v/>
      </c>
      <c r="BF844" s="268"/>
      <c r="BG844" s="256" t="str">
        <f t="shared" si="412"/>
        <v/>
      </c>
      <c r="BH844" s="256" t="str">
        <f t="shared" si="413"/>
        <v/>
      </c>
      <c r="BI844" s="256" t="str">
        <f t="shared" si="414"/>
        <v/>
      </c>
      <c r="BJ844" s="267"/>
      <c r="BK844" s="255"/>
      <c r="BL844" s="259" t="str">
        <f>IF(BK844&lt;&gt;"",BK844/VLOOKUP($V844,Setup!$C$30:$D$41,2,0),"")</f>
        <v/>
      </c>
      <c r="BM844" s="268"/>
      <c r="BN844" s="258" t="str">
        <f t="shared" si="415"/>
        <v/>
      </c>
      <c r="BO844" s="268"/>
      <c r="BP844" s="258" t="str">
        <f t="shared" si="416"/>
        <v/>
      </c>
      <c r="BQ844" s="268"/>
      <c r="BR844" s="258" t="str">
        <f t="shared" si="417"/>
        <v/>
      </c>
      <c r="BS844" s="268"/>
      <c r="BT844" s="256" t="str">
        <f t="shared" si="418"/>
        <v/>
      </c>
      <c r="BU844" s="256" t="str">
        <f t="shared" si="419"/>
        <v/>
      </c>
      <c r="BV844" s="256" t="str">
        <f t="shared" si="420"/>
        <v/>
      </c>
      <c r="BW844" s="267"/>
      <c r="BX844" s="256" t="str">
        <f t="shared" si="421"/>
        <v/>
      </c>
      <c r="BY844" s="256" t="str">
        <f t="shared" si="422"/>
        <v/>
      </c>
      <c r="BZ844" s="281"/>
      <c r="CA844" s="282"/>
      <c r="CF844" s="284"/>
      <c r="CG844" s="284"/>
      <c r="CH844" s="284"/>
      <c r="CI844" s="284"/>
      <c r="CL844" s="356" t="str">
        <f>IFERROR(VLOOKUP(C844,'Data Sheet'!$A$3:$B$26,2,FALSE),"")</f>
        <v/>
      </c>
    </row>
    <row r="845" spans="1:90" ht="15.75" x14ac:dyDescent="0.2">
      <c r="A845" s="97"/>
      <c r="B845" s="105" t="str">
        <f t="shared" si="396"/>
        <v>--</v>
      </c>
      <c r="C845" s="276"/>
      <c r="D845" s="101" t="str">
        <f>IFERROR(IF(VLOOKUP(C845,'Data Sheet'!$A$3:$D$26,4,FALSE)=0,"",VLOOKUP(C845,'Data Sheet'!$A$3:$D$26,4,FALSE)),"")</f>
        <v/>
      </c>
      <c r="E845" s="279"/>
      <c r="F845" s="103" t="str">
        <f>IFERROR(IF(VLOOKUP(E845,'Data Sheet'!$C$29:$E$174,3,FALSE)=0,"",VLOOKUP(E845,'Data Sheet'!$C$29:$E$174,3,FALSE)),"")</f>
        <v/>
      </c>
      <c r="G845" s="106" t="str">
        <f t="shared" si="423"/>
        <v>-</v>
      </c>
      <c r="H845" s="273"/>
      <c r="I845" s="107"/>
      <c r="J845" s="249" t="e">
        <f t="shared" si="424"/>
        <v>#VALUE!</v>
      </c>
      <c r="K845" s="101" t="str">
        <f>IFERROR(INDEX('Data Sheet'!$C$198:$C$275,MATCH(I845,'Data Sheet'!$F$198:$F$275,0)),"")</f>
        <v/>
      </c>
      <c r="L845" s="250" t="str">
        <f>IFERROR(INDEX('Data Sheet'!$G$198:$G$275,MATCH(I845,'Data Sheet'!$F$198:$F$275,0)),"")</f>
        <v/>
      </c>
      <c r="M845" s="194"/>
      <c r="N845" s="248"/>
      <c r="O845" s="248"/>
      <c r="P845" s="108" t="str">
        <f>IFERROR(INDEX(Setup!$D$44:$D$70,MATCH(M845,Setup!$K$44:$K$70,0))&amp;"","")</f>
        <v/>
      </c>
      <c r="Q845" s="108" t="str">
        <f>IFERROR(INDEX(Setup!$E$44:$E$70,MATCH(M845,Setup!$K$44:$K$70,0))&amp;"","")</f>
        <v/>
      </c>
      <c r="R845" s="108" t="str">
        <f>IFERROR(INDEX(Setup!$L$44:$L$70,MATCH(M845,Setup!$K$44:$K$70,0))&amp;"","")</f>
        <v/>
      </c>
      <c r="S845" s="108" t="str">
        <f>Setup!$C$30</f>
        <v>USD</v>
      </c>
      <c r="T845" s="109" t="str">
        <f>IFERROR(INDEX('Data Sheet'!$B$198:$B$275,MATCH(I845,'Data Sheet'!$F$198:$F$275,0)),"")</f>
        <v/>
      </c>
      <c r="U845" s="110" t="str">
        <f>IFERROR(INDEX('Data Sheet'!$D$198:$D$275,MATCH(I845,'Data Sheet'!$F$198:$F$275,0)),"")</f>
        <v/>
      </c>
      <c r="V845" s="99"/>
      <c r="W845" s="195" t="str">
        <f>IF(V845=Setup!$C$30,"Grant",IF(V845=Setup!$C$31,"Local",IF(V845=Setup!$C$32,"Other",IF(ISBLANK(V845),"","Other"))))</f>
        <v/>
      </c>
      <c r="X845" s="255"/>
      <c r="Y845" s="259" t="str">
        <f>IF(X845&lt;&gt;"",X845/VLOOKUP($V845,Setup!$C$30:$D$41,2,0),"")</f>
        <v/>
      </c>
      <c r="Z845" s="262"/>
      <c r="AA845" s="256" t="str">
        <f t="shared" si="397"/>
        <v/>
      </c>
      <c r="AB845" s="262"/>
      <c r="AC845" s="258" t="str">
        <f t="shared" si="398"/>
        <v/>
      </c>
      <c r="AD845" s="262"/>
      <c r="AE845" s="258" t="str">
        <f t="shared" si="399"/>
        <v/>
      </c>
      <c r="AF845" s="262"/>
      <c r="AG845" s="256" t="str">
        <f t="shared" si="400"/>
        <v/>
      </c>
      <c r="AH845" s="256" t="str">
        <f t="shared" si="401"/>
        <v/>
      </c>
      <c r="AI845" s="256" t="str">
        <f t="shared" si="402"/>
        <v/>
      </c>
      <c r="AJ845" s="111"/>
      <c r="AK845" s="255"/>
      <c r="AL845" s="259" t="str">
        <f>IF(AK845&lt;&gt;"",AK845/VLOOKUP($V845,Setup!$C$30:$D$41,2,0),"")</f>
        <v/>
      </c>
      <c r="AM845" s="266"/>
      <c r="AN845" s="258" t="str">
        <f t="shared" si="403"/>
        <v/>
      </c>
      <c r="AO845" s="266"/>
      <c r="AP845" s="258" t="str">
        <f t="shared" si="404"/>
        <v/>
      </c>
      <c r="AQ845" s="266"/>
      <c r="AR845" s="258" t="str">
        <f t="shared" si="405"/>
        <v/>
      </c>
      <c r="AS845" s="266"/>
      <c r="AT845" s="256" t="str">
        <f t="shared" si="406"/>
        <v/>
      </c>
      <c r="AU845" s="256" t="str">
        <f t="shared" si="407"/>
        <v/>
      </c>
      <c r="AV845" s="256" t="str">
        <f t="shared" si="408"/>
        <v/>
      </c>
      <c r="AW845" s="267"/>
      <c r="AX845" s="255"/>
      <c r="AY845" s="259" t="str">
        <f>IF(AX845&lt;&gt;"",AX845/VLOOKUP($V845,Setup!$C$30:$D$41,2,0),"")</f>
        <v/>
      </c>
      <c r="AZ845" s="268"/>
      <c r="BA845" s="258" t="str">
        <f t="shared" si="409"/>
        <v/>
      </c>
      <c r="BB845" s="268"/>
      <c r="BC845" s="258" t="str">
        <f t="shared" si="410"/>
        <v/>
      </c>
      <c r="BD845" s="268"/>
      <c r="BE845" s="258" t="str">
        <f t="shared" si="411"/>
        <v/>
      </c>
      <c r="BF845" s="268"/>
      <c r="BG845" s="256" t="str">
        <f t="shared" si="412"/>
        <v/>
      </c>
      <c r="BH845" s="256" t="str">
        <f t="shared" si="413"/>
        <v/>
      </c>
      <c r="BI845" s="256" t="str">
        <f t="shared" si="414"/>
        <v/>
      </c>
      <c r="BJ845" s="267"/>
      <c r="BK845" s="255"/>
      <c r="BL845" s="259" t="str">
        <f>IF(BK845&lt;&gt;"",BK845/VLOOKUP($V845,Setup!$C$30:$D$41,2,0),"")</f>
        <v/>
      </c>
      <c r="BM845" s="268"/>
      <c r="BN845" s="258" t="str">
        <f t="shared" si="415"/>
        <v/>
      </c>
      <c r="BO845" s="268"/>
      <c r="BP845" s="258" t="str">
        <f t="shared" si="416"/>
        <v/>
      </c>
      <c r="BQ845" s="268"/>
      <c r="BR845" s="258" t="str">
        <f t="shared" si="417"/>
        <v/>
      </c>
      <c r="BS845" s="268"/>
      <c r="BT845" s="256" t="str">
        <f t="shared" si="418"/>
        <v/>
      </c>
      <c r="BU845" s="256" t="str">
        <f t="shared" si="419"/>
        <v/>
      </c>
      <c r="BV845" s="256" t="str">
        <f t="shared" si="420"/>
        <v/>
      </c>
      <c r="BW845" s="267"/>
      <c r="BX845" s="256" t="str">
        <f t="shared" si="421"/>
        <v/>
      </c>
      <c r="BY845" s="256" t="str">
        <f t="shared" si="422"/>
        <v/>
      </c>
      <c r="BZ845" s="281"/>
      <c r="CA845" s="282"/>
      <c r="CF845" s="284"/>
      <c r="CG845" s="284"/>
      <c r="CH845" s="284"/>
      <c r="CI845" s="284"/>
      <c r="CL845" s="356" t="str">
        <f>IFERROR(VLOOKUP(C845,'Data Sheet'!$A$3:$B$26,2,FALSE),"")</f>
        <v/>
      </c>
    </row>
    <row r="846" spans="1:90" ht="15.75" x14ac:dyDescent="0.2">
      <c r="A846" s="97"/>
      <c r="B846" s="105" t="str">
        <f t="shared" ref="B846:B909" si="425">CONCATENATE(D846,"-",F846,"-",N846)</f>
        <v>--</v>
      </c>
      <c r="C846" s="276"/>
      <c r="D846" s="101" t="str">
        <f>IFERROR(IF(VLOOKUP(C846,'Data Sheet'!$A$3:$D$26,4,FALSE)=0,"",VLOOKUP(C846,'Data Sheet'!$A$3:$D$26,4,FALSE)),"")</f>
        <v/>
      </c>
      <c r="E846" s="279"/>
      <c r="F846" s="103" t="str">
        <f>IFERROR(IF(VLOOKUP(E846,'Data Sheet'!$C$29:$E$174,3,FALSE)=0,"",VLOOKUP(E846,'Data Sheet'!$C$29:$E$174,3,FALSE)),"")</f>
        <v/>
      </c>
      <c r="G846" s="106" t="str">
        <f t="shared" si="423"/>
        <v>-</v>
      </c>
      <c r="H846" s="273"/>
      <c r="I846" s="107"/>
      <c r="J846" s="249" t="e">
        <f t="shared" si="424"/>
        <v>#VALUE!</v>
      </c>
      <c r="K846" s="101" t="str">
        <f>IFERROR(INDEX('Data Sheet'!$C$198:$C$275,MATCH(I846,'Data Sheet'!$F$198:$F$275,0)),"")</f>
        <v/>
      </c>
      <c r="L846" s="250" t="str">
        <f>IFERROR(INDEX('Data Sheet'!$G$198:$G$275,MATCH(I846,'Data Sheet'!$F$198:$F$275,0)),"")</f>
        <v/>
      </c>
      <c r="M846" s="194"/>
      <c r="N846" s="248"/>
      <c r="O846" s="248"/>
      <c r="P846" s="108" t="str">
        <f>IFERROR(INDEX(Setup!$D$44:$D$70,MATCH(M846,Setup!$K$44:$K$70,0))&amp;"","")</f>
        <v/>
      </c>
      <c r="Q846" s="108" t="str">
        <f>IFERROR(INDEX(Setup!$E$44:$E$70,MATCH(M846,Setup!$K$44:$K$70,0))&amp;"","")</f>
        <v/>
      </c>
      <c r="R846" s="108" t="str">
        <f>IFERROR(INDEX(Setup!$L$44:$L$70,MATCH(M846,Setup!$K$44:$K$70,0))&amp;"","")</f>
        <v/>
      </c>
      <c r="S846" s="108" t="str">
        <f>Setup!$C$30</f>
        <v>USD</v>
      </c>
      <c r="T846" s="109" t="str">
        <f>IFERROR(INDEX('Data Sheet'!$B$198:$B$275,MATCH(I846,'Data Sheet'!$F$198:$F$275,0)),"")</f>
        <v/>
      </c>
      <c r="U846" s="110" t="str">
        <f>IFERROR(INDEX('Data Sheet'!$D$198:$D$275,MATCH(I846,'Data Sheet'!$F$198:$F$275,0)),"")</f>
        <v/>
      </c>
      <c r="V846" s="99"/>
      <c r="W846" s="195" t="str">
        <f>IF(V846=Setup!$C$30,"Grant",IF(V846=Setup!$C$31,"Local",IF(V846=Setup!$C$32,"Other",IF(ISBLANK(V846),"","Other"))))</f>
        <v/>
      </c>
      <c r="X846" s="255"/>
      <c r="Y846" s="259" t="str">
        <f>IF(X846&lt;&gt;"",X846/VLOOKUP($V846,Setup!$C$30:$D$41,2,0),"")</f>
        <v/>
      </c>
      <c r="Z846" s="262"/>
      <c r="AA846" s="256" t="str">
        <f t="shared" si="397"/>
        <v/>
      </c>
      <c r="AB846" s="262"/>
      <c r="AC846" s="258" t="str">
        <f t="shared" si="398"/>
        <v/>
      </c>
      <c r="AD846" s="262"/>
      <c r="AE846" s="258" t="str">
        <f t="shared" si="399"/>
        <v/>
      </c>
      <c r="AF846" s="262"/>
      <c r="AG846" s="256" t="str">
        <f t="shared" si="400"/>
        <v/>
      </c>
      <c r="AH846" s="256" t="str">
        <f t="shared" si="401"/>
        <v/>
      </c>
      <c r="AI846" s="256" t="str">
        <f t="shared" si="402"/>
        <v/>
      </c>
      <c r="AJ846" s="111"/>
      <c r="AK846" s="255"/>
      <c r="AL846" s="259" t="str">
        <f>IF(AK846&lt;&gt;"",AK846/VLOOKUP($V846,Setup!$C$30:$D$41,2,0),"")</f>
        <v/>
      </c>
      <c r="AM846" s="266"/>
      <c r="AN846" s="258" t="str">
        <f t="shared" si="403"/>
        <v/>
      </c>
      <c r="AO846" s="266"/>
      <c r="AP846" s="258" t="str">
        <f t="shared" si="404"/>
        <v/>
      </c>
      <c r="AQ846" s="266"/>
      <c r="AR846" s="258" t="str">
        <f t="shared" si="405"/>
        <v/>
      </c>
      <c r="AS846" s="266"/>
      <c r="AT846" s="256" t="str">
        <f t="shared" si="406"/>
        <v/>
      </c>
      <c r="AU846" s="256" t="str">
        <f t="shared" si="407"/>
        <v/>
      </c>
      <c r="AV846" s="256" t="str">
        <f t="shared" si="408"/>
        <v/>
      </c>
      <c r="AW846" s="267"/>
      <c r="AX846" s="255"/>
      <c r="AY846" s="259" t="str">
        <f>IF(AX846&lt;&gt;"",AX846/VLOOKUP($V846,Setup!$C$30:$D$41,2,0),"")</f>
        <v/>
      </c>
      <c r="AZ846" s="268"/>
      <c r="BA846" s="258" t="str">
        <f t="shared" si="409"/>
        <v/>
      </c>
      <c r="BB846" s="268"/>
      <c r="BC846" s="258" t="str">
        <f t="shared" si="410"/>
        <v/>
      </c>
      <c r="BD846" s="268"/>
      <c r="BE846" s="258" t="str">
        <f t="shared" si="411"/>
        <v/>
      </c>
      <c r="BF846" s="268"/>
      <c r="BG846" s="256" t="str">
        <f t="shared" si="412"/>
        <v/>
      </c>
      <c r="BH846" s="256" t="str">
        <f t="shared" si="413"/>
        <v/>
      </c>
      <c r="BI846" s="256" t="str">
        <f t="shared" si="414"/>
        <v/>
      </c>
      <c r="BJ846" s="267"/>
      <c r="BK846" s="255"/>
      <c r="BL846" s="259" t="str">
        <f>IF(BK846&lt;&gt;"",BK846/VLOOKUP($V846,Setup!$C$30:$D$41,2,0),"")</f>
        <v/>
      </c>
      <c r="BM846" s="268"/>
      <c r="BN846" s="258" t="str">
        <f t="shared" si="415"/>
        <v/>
      </c>
      <c r="BO846" s="268"/>
      <c r="BP846" s="258" t="str">
        <f t="shared" si="416"/>
        <v/>
      </c>
      <c r="BQ846" s="268"/>
      <c r="BR846" s="258" t="str">
        <f t="shared" si="417"/>
        <v/>
      </c>
      <c r="BS846" s="268"/>
      <c r="BT846" s="256" t="str">
        <f t="shared" si="418"/>
        <v/>
      </c>
      <c r="BU846" s="256" t="str">
        <f t="shared" si="419"/>
        <v/>
      </c>
      <c r="BV846" s="256" t="str">
        <f t="shared" si="420"/>
        <v/>
      </c>
      <c r="BW846" s="267"/>
      <c r="BX846" s="256" t="str">
        <f t="shared" si="421"/>
        <v/>
      </c>
      <c r="BY846" s="256" t="str">
        <f t="shared" si="422"/>
        <v/>
      </c>
      <c r="BZ846" s="281"/>
      <c r="CA846" s="282"/>
      <c r="CF846" s="284"/>
      <c r="CG846" s="284"/>
      <c r="CH846" s="284"/>
      <c r="CI846" s="284"/>
      <c r="CL846" s="356" t="str">
        <f>IFERROR(VLOOKUP(C846,'Data Sheet'!$A$3:$B$26,2,FALSE),"")</f>
        <v/>
      </c>
    </row>
    <row r="847" spans="1:90" ht="15.75" x14ac:dyDescent="0.2">
      <c r="A847" s="97"/>
      <c r="B847" s="105" t="str">
        <f t="shared" si="425"/>
        <v>--</v>
      </c>
      <c r="C847" s="276"/>
      <c r="D847" s="101" t="str">
        <f>IFERROR(IF(VLOOKUP(C847,'Data Sheet'!$A$3:$D$26,4,FALSE)=0,"",VLOOKUP(C847,'Data Sheet'!$A$3:$D$26,4,FALSE)),"")</f>
        <v/>
      </c>
      <c r="E847" s="279"/>
      <c r="F847" s="103" t="str">
        <f>IFERROR(IF(VLOOKUP(E847,'Data Sheet'!$C$29:$E$174,3,FALSE)=0,"",VLOOKUP(E847,'Data Sheet'!$C$29:$E$174,3,FALSE)),"")</f>
        <v/>
      </c>
      <c r="G847" s="106" t="str">
        <f t="shared" si="423"/>
        <v>-</v>
      </c>
      <c r="H847" s="273"/>
      <c r="I847" s="107"/>
      <c r="J847" s="249" t="e">
        <f t="shared" si="424"/>
        <v>#VALUE!</v>
      </c>
      <c r="K847" s="101" t="str">
        <f>IFERROR(INDEX('Data Sheet'!$C$198:$C$275,MATCH(I847,'Data Sheet'!$F$198:$F$275,0)),"")</f>
        <v/>
      </c>
      <c r="L847" s="250" t="str">
        <f>IFERROR(INDEX('Data Sheet'!$G$198:$G$275,MATCH(I847,'Data Sheet'!$F$198:$F$275,0)),"")</f>
        <v/>
      </c>
      <c r="M847" s="194"/>
      <c r="N847" s="248"/>
      <c r="O847" s="248"/>
      <c r="P847" s="108" t="str">
        <f>IFERROR(INDEX(Setup!$D$44:$D$70,MATCH(M847,Setup!$K$44:$K$70,0))&amp;"","")</f>
        <v/>
      </c>
      <c r="Q847" s="108" t="str">
        <f>IFERROR(INDEX(Setup!$E$44:$E$70,MATCH(M847,Setup!$K$44:$K$70,0))&amp;"","")</f>
        <v/>
      </c>
      <c r="R847" s="108" t="str">
        <f>IFERROR(INDEX(Setup!$L$44:$L$70,MATCH(M847,Setup!$K$44:$K$70,0))&amp;"","")</f>
        <v/>
      </c>
      <c r="S847" s="108" t="str">
        <f>Setup!$C$30</f>
        <v>USD</v>
      </c>
      <c r="T847" s="109" t="str">
        <f>IFERROR(INDEX('Data Sheet'!$B$198:$B$275,MATCH(I847,'Data Sheet'!$F$198:$F$275,0)),"")</f>
        <v/>
      </c>
      <c r="U847" s="110" t="str">
        <f>IFERROR(INDEX('Data Sheet'!$D$198:$D$275,MATCH(I847,'Data Sheet'!$F$198:$F$275,0)),"")</f>
        <v/>
      </c>
      <c r="V847" s="99"/>
      <c r="W847" s="195" t="str">
        <f>IF(V847=Setup!$C$30,"Grant",IF(V847=Setup!$C$31,"Local",IF(V847=Setup!$C$32,"Other",IF(ISBLANK(V847),"","Other"))))</f>
        <v/>
      </c>
      <c r="X847" s="255"/>
      <c r="Y847" s="259" t="str">
        <f>IF(X847&lt;&gt;"",X847/VLOOKUP($V847,Setup!$C$30:$D$41,2,0),"")</f>
        <v/>
      </c>
      <c r="Z847" s="262"/>
      <c r="AA847" s="256" t="str">
        <f t="shared" si="397"/>
        <v/>
      </c>
      <c r="AB847" s="262"/>
      <c r="AC847" s="258" t="str">
        <f t="shared" si="398"/>
        <v/>
      </c>
      <c r="AD847" s="262"/>
      <c r="AE847" s="258" t="str">
        <f t="shared" si="399"/>
        <v/>
      </c>
      <c r="AF847" s="262"/>
      <c r="AG847" s="256" t="str">
        <f t="shared" si="400"/>
        <v/>
      </c>
      <c r="AH847" s="256" t="str">
        <f t="shared" si="401"/>
        <v/>
      </c>
      <c r="AI847" s="256" t="str">
        <f t="shared" si="402"/>
        <v/>
      </c>
      <c r="AJ847" s="111"/>
      <c r="AK847" s="255"/>
      <c r="AL847" s="259" t="str">
        <f>IF(AK847&lt;&gt;"",AK847/VLOOKUP($V847,Setup!$C$30:$D$41,2,0),"")</f>
        <v/>
      </c>
      <c r="AM847" s="266"/>
      <c r="AN847" s="258" t="str">
        <f t="shared" si="403"/>
        <v/>
      </c>
      <c r="AO847" s="266"/>
      <c r="AP847" s="258" t="str">
        <f t="shared" si="404"/>
        <v/>
      </c>
      <c r="AQ847" s="266"/>
      <c r="AR847" s="258" t="str">
        <f t="shared" si="405"/>
        <v/>
      </c>
      <c r="AS847" s="266"/>
      <c r="AT847" s="256" t="str">
        <f t="shared" si="406"/>
        <v/>
      </c>
      <c r="AU847" s="256" t="str">
        <f t="shared" si="407"/>
        <v/>
      </c>
      <c r="AV847" s="256" t="str">
        <f t="shared" si="408"/>
        <v/>
      </c>
      <c r="AW847" s="267"/>
      <c r="AX847" s="255"/>
      <c r="AY847" s="259" t="str">
        <f>IF(AX847&lt;&gt;"",AX847/VLOOKUP($V847,Setup!$C$30:$D$41,2,0),"")</f>
        <v/>
      </c>
      <c r="AZ847" s="268"/>
      <c r="BA847" s="258" t="str">
        <f t="shared" si="409"/>
        <v/>
      </c>
      <c r="BB847" s="268"/>
      <c r="BC847" s="258" t="str">
        <f t="shared" si="410"/>
        <v/>
      </c>
      <c r="BD847" s="268"/>
      <c r="BE847" s="258" t="str">
        <f t="shared" si="411"/>
        <v/>
      </c>
      <c r="BF847" s="268"/>
      <c r="BG847" s="256" t="str">
        <f t="shared" si="412"/>
        <v/>
      </c>
      <c r="BH847" s="256" t="str">
        <f t="shared" si="413"/>
        <v/>
      </c>
      <c r="BI847" s="256" t="str">
        <f t="shared" si="414"/>
        <v/>
      </c>
      <c r="BJ847" s="267"/>
      <c r="BK847" s="255"/>
      <c r="BL847" s="259" t="str">
        <f>IF(BK847&lt;&gt;"",BK847/VLOOKUP($V847,Setup!$C$30:$D$41,2,0),"")</f>
        <v/>
      </c>
      <c r="BM847" s="268"/>
      <c r="BN847" s="258" t="str">
        <f t="shared" si="415"/>
        <v/>
      </c>
      <c r="BO847" s="268"/>
      <c r="BP847" s="258" t="str">
        <f t="shared" si="416"/>
        <v/>
      </c>
      <c r="BQ847" s="268"/>
      <c r="BR847" s="258" t="str">
        <f t="shared" si="417"/>
        <v/>
      </c>
      <c r="BS847" s="268"/>
      <c r="BT847" s="256" t="str">
        <f t="shared" si="418"/>
        <v/>
      </c>
      <c r="BU847" s="256" t="str">
        <f t="shared" si="419"/>
        <v/>
      </c>
      <c r="BV847" s="256" t="str">
        <f t="shared" si="420"/>
        <v/>
      </c>
      <c r="BW847" s="267"/>
      <c r="BX847" s="256" t="str">
        <f t="shared" si="421"/>
        <v/>
      </c>
      <c r="BY847" s="256" t="str">
        <f t="shared" si="422"/>
        <v/>
      </c>
      <c r="BZ847" s="281"/>
      <c r="CA847" s="282"/>
      <c r="CF847" s="284"/>
      <c r="CG847" s="284"/>
      <c r="CH847" s="284"/>
      <c r="CI847" s="284"/>
      <c r="CL847" s="356" t="str">
        <f>IFERROR(VLOOKUP(C847,'Data Sheet'!$A$3:$B$26,2,FALSE),"")</f>
        <v/>
      </c>
    </row>
    <row r="848" spans="1:90" ht="15.75" x14ac:dyDescent="0.2">
      <c r="A848" s="97"/>
      <c r="B848" s="105" t="str">
        <f t="shared" si="425"/>
        <v>--</v>
      </c>
      <c r="C848" s="276"/>
      <c r="D848" s="101" t="str">
        <f>IFERROR(IF(VLOOKUP(C848,'Data Sheet'!$A$3:$D$26,4,FALSE)=0,"",VLOOKUP(C848,'Data Sheet'!$A$3:$D$26,4,FALSE)),"")</f>
        <v/>
      </c>
      <c r="E848" s="279"/>
      <c r="F848" s="103" t="str">
        <f>IFERROR(IF(VLOOKUP(E848,'Data Sheet'!$C$29:$E$174,3,FALSE)=0,"",VLOOKUP(E848,'Data Sheet'!$C$29:$E$174,3,FALSE)),"")</f>
        <v/>
      </c>
      <c r="G848" s="106" t="str">
        <f t="shared" si="423"/>
        <v>-</v>
      </c>
      <c r="H848" s="273"/>
      <c r="I848" s="107"/>
      <c r="J848" s="249" t="e">
        <f t="shared" si="424"/>
        <v>#VALUE!</v>
      </c>
      <c r="K848" s="101" t="str">
        <f>IFERROR(INDEX('Data Sheet'!$C$198:$C$275,MATCH(I848,'Data Sheet'!$F$198:$F$275,0)),"")</f>
        <v/>
      </c>
      <c r="L848" s="250" t="str">
        <f>IFERROR(INDEX('Data Sheet'!$G$198:$G$275,MATCH(I848,'Data Sheet'!$F$198:$F$275,0)),"")</f>
        <v/>
      </c>
      <c r="M848" s="194"/>
      <c r="N848" s="248"/>
      <c r="O848" s="248"/>
      <c r="P848" s="108" t="str">
        <f>IFERROR(INDEX(Setup!$D$44:$D$70,MATCH(M848,Setup!$K$44:$K$70,0))&amp;"","")</f>
        <v/>
      </c>
      <c r="Q848" s="108" t="str">
        <f>IFERROR(INDEX(Setup!$E$44:$E$70,MATCH(M848,Setup!$K$44:$K$70,0))&amp;"","")</f>
        <v/>
      </c>
      <c r="R848" s="108" t="str">
        <f>IFERROR(INDEX(Setup!$L$44:$L$70,MATCH(M848,Setup!$K$44:$K$70,0))&amp;"","")</f>
        <v/>
      </c>
      <c r="S848" s="108" t="str">
        <f>Setup!$C$30</f>
        <v>USD</v>
      </c>
      <c r="T848" s="109" t="str">
        <f>IFERROR(INDEX('Data Sheet'!$B$198:$B$275,MATCH(I848,'Data Sheet'!$F$198:$F$275,0)),"")</f>
        <v/>
      </c>
      <c r="U848" s="110" t="str">
        <f>IFERROR(INDEX('Data Sheet'!$D$198:$D$275,MATCH(I848,'Data Sheet'!$F$198:$F$275,0)),"")</f>
        <v/>
      </c>
      <c r="V848" s="99"/>
      <c r="W848" s="195" t="str">
        <f>IF(V848=Setup!$C$30,"Grant",IF(V848=Setup!$C$31,"Local",IF(V848=Setup!$C$32,"Other",IF(ISBLANK(V848),"","Other"))))</f>
        <v/>
      </c>
      <c r="X848" s="255"/>
      <c r="Y848" s="259" t="str">
        <f>IF(X848&lt;&gt;"",X848/VLOOKUP($V848,Setup!$C$30:$D$41,2,0),"")</f>
        <v/>
      </c>
      <c r="Z848" s="262"/>
      <c r="AA848" s="256" t="str">
        <f t="shared" si="397"/>
        <v/>
      </c>
      <c r="AB848" s="262"/>
      <c r="AC848" s="258" t="str">
        <f t="shared" si="398"/>
        <v/>
      </c>
      <c r="AD848" s="262"/>
      <c r="AE848" s="258" t="str">
        <f t="shared" si="399"/>
        <v/>
      </c>
      <c r="AF848" s="262"/>
      <c r="AG848" s="256" t="str">
        <f t="shared" si="400"/>
        <v/>
      </c>
      <c r="AH848" s="256" t="str">
        <f t="shared" si="401"/>
        <v/>
      </c>
      <c r="AI848" s="256" t="str">
        <f t="shared" si="402"/>
        <v/>
      </c>
      <c r="AJ848" s="111"/>
      <c r="AK848" s="255"/>
      <c r="AL848" s="259" t="str">
        <f>IF(AK848&lt;&gt;"",AK848/VLOOKUP($V848,Setup!$C$30:$D$41,2,0),"")</f>
        <v/>
      </c>
      <c r="AM848" s="266"/>
      <c r="AN848" s="258" t="str">
        <f t="shared" si="403"/>
        <v/>
      </c>
      <c r="AO848" s="266"/>
      <c r="AP848" s="258" t="str">
        <f t="shared" si="404"/>
        <v/>
      </c>
      <c r="AQ848" s="266"/>
      <c r="AR848" s="258" t="str">
        <f t="shared" si="405"/>
        <v/>
      </c>
      <c r="AS848" s="266"/>
      <c r="AT848" s="256" t="str">
        <f t="shared" si="406"/>
        <v/>
      </c>
      <c r="AU848" s="256" t="str">
        <f t="shared" si="407"/>
        <v/>
      </c>
      <c r="AV848" s="256" t="str">
        <f t="shared" si="408"/>
        <v/>
      </c>
      <c r="AW848" s="267"/>
      <c r="AX848" s="255"/>
      <c r="AY848" s="259" t="str">
        <f>IF(AX848&lt;&gt;"",AX848/VLOOKUP($V848,Setup!$C$30:$D$41,2,0),"")</f>
        <v/>
      </c>
      <c r="AZ848" s="268"/>
      <c r="BA848" s="258" t="str">
        <f t="shared" si="409"/>
        <v/>
      </c>
      <c r="BB848" s="268"/>
      <c r="BC848" s="258" t="str">
        <f t="shared" si="410"/>
        <v/>
      </c>
      <c r="BD848" s="268"/>
      <c r="BE848" s="258" t="str">
        <f t="shared" si="411"/>
        <v/>
      </c>
      <c r="BF848" s="268"/>
      <c r="BG848" s="256" t="str">
        <f t="shared" si="412"/>
        <v/>
      </c>
      <c r="BH848" s="256" t="str">
        <f t="shared" si="413"/>
        <v/>
      </c>
      <c r="BI848" s="256" t="str">
        <f t="shared" si="414"/>
        <v/>
      </c>
      <c r="BJ848" s="267"/>
      <c r="BK848" s="255"/>
      <c r="BL848" s="259" t="str">
        <f>IF(BK848&lt;&gt;"",BK848/VLOOKUP($V848,Setup!$C$30:$D$41,2,0),"")</f>
        <v/>
      </c>
      <c r="BM848" s="268"/>
      <c r="BN848" s="258" t="str">
        <f t="shared" si="415"/>
        <v/>
      </c>
      <c r="BO848" s="268"/>
      <c r="BP848" s="258" t="str">
        <f t="shared" si="416"/>
        <v/>
      </c>
      <c r="BQ848" s="268"/>
      <c r="BR848" s="258" t="str">
        <f t="shared" si="417"/>
        <v/>
      </c>
      <c r="BS848" s="268"/>
      <c r="BT848" s="256" t="str">
        <f t="shared" si="418"/>
        <v/>
      </c>
      <c r="BU848" s="256" t="str">
        <f t="shared" si="419"/>
        <v/>
      </c>
      <c r="BV848" s="256" t="str">
        <f t="shared" si="420"/>
        <v/>
      </c>
      <c r="BW848" s="267"/>
      <c r="BX848" s="256" t="str">
        <f t="shared" si="421"/>
        <v/>
      </c>
      <c r="BY848" s="256" t="str">
        <f t="shared" si="422"/>
        <v/>
      </c>
      <c r="BZ848" s="281"/>
      <c r="CA848" s="282"/>
      <c r="CF848" s="284"/>
      <c r="CG848" s="284"/>
      <c r="CH848" s="284"/>
      <c r="CI848" s="284"/>
      <c r="CL848" s="356" t="str">
        <f>IFERROR(VLOOKUP(C848,'Data Sheet'!$A$3:$B$26,2,FALSE),"")</f>
        <v/>
      </c>
    </row>
    <row r="849" spans="1:90" ht="15.75" x14ac:dyDescent="0.2">
      <c r="A849" s="97"/>
      <c r="B849" s="105" t="str">
        <f t="shared" si="425"/>
        <v>--</v>
      </c>
      <c r="C849" s="276"/>
      <c r="D849" s="101" t="str">
        <f>IFERROR(IF(VLOOKUP(C849,'Data Sheet'!$A$3:$D$26,4,FALSE)=0,"",VLOOKUP(C849,'Data Sheet'!$A$3:$D$26,4,FALSE)),"")</f>
        <v/>
      </c>
      <c r="E849" s="279"/>
      <c r="F849" s="103" t="str">
        <f>IFERROR(IF(VLOOKUP(E849,'Data Sheet'!$C$29:$E$174,3,FALSE)=0,"",VLOOKUP(E849,'Data Sheet'!$C$29:$E$174,3,FALSE)),"")</f>
        <v/>
      </c>
      <c r="G849" s="106" t="str">
        <f t="shared" si="423"/>
        <v>-</v>
      </c>
      <c r="H849" s="273"/>
      <c r="I849" s="107"/>
      <c r="J849" s="249" t="e">
        <f t="shared" si="424"/>
        <v>#VALUE!</v>
      </c>
      <c r="K849" s="101" t="str">
        <f>IFERROR(INDEX('Data Sheet'!$C$198:$C$275,MATCH(I849,'Data Sheet'!$F$198:$F$275,0)),"")</f>
        <v/>
      </c>
      <c r="L849" s="250" t="str">
        <f>IFERROR(INDEX('Data Sheet'!$G$198:$G$275,MATCH(I849,'Data Sheet'!$F$198:$F$275,0)),"")</f>
        <v/>
      </c>
      <c r="M849" s="194"/>
      <c r="N849" s="248"/>
      <c r="O849" s="248"/>
      <c r="P849" s="108" t="str">
        <f>IFERROR(INDEX(Setup!$D$44:$D$70,MATCH(M849,Setup!$K$44:$K$70,0))&amp;"","")</f>
        <v/>
      </c>
      <c r="Q849" s="108" t="str">
        <f>IFERROR(INDEX(Setup!$E$44:$E$70,MATCH(M849,Setup!$K$44:$K$70,0))&amp;"","")</f>
        <v/>
      </c>
      <c r="R849" s="108" t="str">
        <f>IFERROR(INDEX(Setup!$L$44:$L$70,MATCH(M849,Setup!$K$44:$K$70,0))&amp;"","")</f>
        <v/>
      </c>
      <c r="S849" s="108" t="str">
        <f>Setup!$C$30</f>
        <v>USD</v>
      </c>
      <c r="T849" s="109" t="str">
        <f>IFERROR(INDEX('Data Sheet'!$B$198:$B$275,MATCH(I849,'Data Sheet'!$F$198:$F$275,0)),"")</f>
        <v/>
      </c>
      <c r="U849" s="110" t="str">
        <f>IFERROR(INDEX('Data Sheet'!$D$198:$D$275,MATCH(I849,'Data Sheet'!$F$198:$F$275,0)),"")</f>
        <v/>
      </c>
      <c r="V849" s="99"/>
      <c r="W849" s="195" t="str">
        <f>IF(V849=Setup!$C$30,"Grant",IF(V849=Setup!$C$31,"Local",IF(V849=Setup!$C$32,"Other",IF(ISBLANK(V849),"","Other"))))</f>
        <v/>
      </c>
      <c r="X849" s="255"/>
      <c r="Y849" s="259" t="str">
        <f>IF(X849&lt;&gt;"",X849/VLOOKUP($V849,Setup!$C$30:$D$41,2,0),"")</f>
        <v/>
      </c>
      <c r="Z849" s="262"/>
      <c r="AA849" s="256" t="str">
        <f t="shared" si="397"/>
        <v/>
      </c>
      <c r="AB849" s="262"/>
      <c r="AC849" s="258" t="str">
        <f t="shared" si="398"/>
        <v/>
      </c>
      <c r="AD849" s="262"/>
      <c r="AE849" s="258" t="str">
        <f t="shared" si="399"/>
        <v/>
      </c>
      <c r="AF849" s="262"/>
      <c r="AG849" s="256" t="str">
        <f t="shared" si="400"/>
        <v/>
      </c>
      <c r="AH849" s="256" t="str">
        <f t="shared" si="401"/>
        <v/>
      </c>
      <c r="AI849" s="256" t="str">
        <f t="shared" si="402"/>
        <v/>
      </c>
      <c r="AJ849" s="111"/>
      <c r="AK849" s="255"/>
      <c r="AL849" s="259" t="str">
        <f>IF(AK849&lt;&gt;"",AK849/VLOOKUP($V849,Setup!$C$30:$D$41,2,0),"")</f>
        <v/>
      </c>
      <c r="AM849" s="266"/>
      <c r="AN849" s="258" t="str">
        <f t="shared" si="403"/>
        <v/>
      </c>
      <c r="AO849" s="266"/>
      <c r="AP849" s="258" t="str">
        <f t="shared" si="404"/>
        <v/>
      </c>
      <c r="AQ849" s="266"/>
      <c r="AR849" s="258" t="str">
        <f t="shared" si="405"/>
        <v/>
      </c>
      <c r="AS849" s="266"/>
      <c r="AT849" s="256" t="str">
        <f t="shared" si="406"/>
        <v/>
      </c>
      <c r="AU849" s="256" t="str">
        <f t="shared" si="407"/>
        <v/>
      </c>
      <c r="AV849" s="256" t="str">
        <f t="shared" si="408"/>
        <v/>
      </c>
      <c r="AW849" s="267"/>
      <c r="AX849" s="255"/>
      <c r="AY849" s="259" t="str">
        <f>IF(AX849&lt;&gt;"",AX849/VLOOKUP($V849,Setup!$C$30:$D$41,2,0),"")</f>
        <v/>
      </c>
      <c r="AZ849" s="268"/>
      <c r="BA849" s="258" t="str">
        <f t="shared" si="409"/>
        <v/>
      </c>
      <c r="BB849" s="268"/>
      <c r="BC849" s="258" t="str">
        <f t="shared" si="410"/>
        <v/>
      </c>
      <c r="BD849" s="268"/>
      <c r="BE849" s="258" t="str">
        <f t="shared" si="411"/>
        <v/>
      </c>
      <c r="BF849" s="268"/>
      <c r="BG849" s="256" t="str">
        <f t="shared" si="412"/>
        <v/>
      </c>
      <c r="BH849" s="256" t="str">
        <f t="shared" si="413"/>
        <v/>
      </c>
      <c r="BI849" s="256" t="str">
        <f t="shared" si="414"/>
        <v/>
      </c>
      <c r="BJ849" s="267"/>
      <c r="BK849" s="255"/>
      <c r="BL849" s="259" t="str">
        <f>IF(BK849&lt;&gt;"",BK849/VLOOKUP($V849,Setup!$C$30:$D$41,2,0),"")</f>
        <v/>
      </c>
      <c r="BM849" s="268"/>
      <c r="BN849" s="258" t="str">
        <f t="shared" si="415"/>
        <v/>
      </c>
      <c r="BO849" s="268"/>
      <c r="BP849" s="258" t="str">
        <f t="shared" si="416"/>
        <v/>
      </c>
      <c r="BQ849" s="268"/>
      <c r="BR849" s="258" t="str">
        <f t="shared" si="417"/>
        <v/>
      </c>
      <c r="BS849" s="268"/>
      <c r="BT849" s="256" t="str">
        <f t="shared" si="418"/>
        <v/>
      </c>
      <c r="BU849" s="256" t="str">
        <f t="shared" si="419"/>
        <v/>
      </c>
      <c r="BV849" s="256" t="str">
        <f t="shared" si="420"/>
        <v/>
      </c>
      <c r="BW849" s="267"/>
      <c r="BX849" s="256" t="str">
        <f t="shared" si="421"/>
        <v/>
      </c>
      <c r="BY849" s="256" t="str">
        <f t="shared" si="422"/>
        <v/>
      </c>
      <c r="BZ849" s="281"/>
      <c r="CA849" s="282"/>
      <c r="CF849" s="284"/>
      <c r="CG849" s="284"/>
      <c r="CH849" s="284"/>
      <c r="CI849" s="284"/>
      <c r="CL849" s="356" t="str">
        <f>IFERROR(VLOOKUP(C849,'Data Sheet'!$A$3:$B$26,2,FALSE),"")</f>
        <v/>
      </c>
    </row>
    <row r="850" spans="1:90" ht="15.75" x14ac:dyDescent="0.2">
      <c r="A850" s="97"/>
      <c r="B850" s="105" t="str">
        <f t="shared" si="425"/>
        <v>--</v>
      </c>
      <c r="C850" s="276"/>
      <c r="D850" s="101" t="str">
        <f>IFERROR(IF(VLOOKUP(C850,'Data Sheet'!$A$3:$D$26,4,FALSE)=0,"",VLOOKUP(C850,'Data Sheet'!$A$3:$D$26,4,FALSE)),"")</f>
        <v/>
      </c>
      <c r="E850" s="279"/>
      <c r="F850" s="103" t="str">
        <f>IFERROR(IF(VLOOKUP(E850,'Data Sheet'!$C$29:$E$174,3,FALSE)=0,"",VLOOKUP(E850,'Data Sheet'!$C$29:$E$174,3,FALSE)),"")</f>
        <v/>
      </c>
      <c r="G850" s="106" t="str">
        <f t="shared" si="423"/>
        <v>-</v>
      </c>
      <c r="H850" s="273"/>
      <c r="I850" s="107"/>
      <c r="J850" s="249" t="e">
        <f t="shared" si="424"/>
        <v>#VALUE!</v>
      </c>
      <c r="K850" s="101" t="str">
        <f>IFERROR(INDEX('Data Sheet'!$C$198:$C$275,MATCH(I850,'Data Sheet'!$F$198:$F$275,0)),"")</f>
        <v/>
      </c>
      <c r="L850" s="250" t="str">
        <f>IFERROR(INDEX('Data Sheet'!$G$198:$G$275,MATCH(I850,'Data Sheet'!$F$198:$F$275,0)),"")</f>
        <v/>
      </c>
      <c r="M850" s="194"/>
      <c r="N850" s="248"/>
      <c r="O850" s="248"/>
      <c r="P850" s="108" t="str">
        <f>IFERROR(INDEX(Setup!$D$44:$D$70,MATCH(M850,Setup!$K$44:$K$70,0))&amp;"","")</f>
        <v/>
      </c>
      <c r="Q850" s="108" t="str">
        <f>IFERROR(INDEX(Setup!$E$44:$E$70,MATCH(M850,Setup!$K$44:$K$70,0))&amp;"","")</f>
        <v/>
      </c>
      <c r="R850" s="108" t="str">
        <f>IFERROR(INDEX(Setup!$L$44:$L$70,MATCH(M850,Setup!$K$44:$K$70,0))&amp;"","")</f>
        <v/>
      </c>
      <c r="S850" s="108" t="str">
        <f>Setup!$C$30</f>
        <v>USD</v>
      </c>
      <c r="T850" s="109" t="str">
        <f>IFERROR(INDEX('Data Sheet'!$B$198:$B$275,MATCH(I850,'Data Sheet'!$F$198:$F$275,0)),"")</f>
        <v/>
      </c>
      <c r="U850" s="110" t="str">
        <f>IFERROR(INDEX('Data Sheet'!$D$198:$D$275,MATCH(I850,'Data Sheet'!$F$198:$F$275,0)),"")</f>
        <v/>
      </c>
      <c r="V850" s="99"/>
      <c r="W850" s="195" t="str">
        <f>IF(V850=Setup!$C$30,"Grant",IF(V850=Setup!$C$31,"Local",IF(V850=Setup!$C$32,"Other",IF(ISBLANK(V850),"","Other"))))</f>
        <v/>
      </c>
      <c r="X850" s="255"/>
      <c r="Y850" s="259" t="str">
        <f>IF(X850&lt;&gt;"",X850/VLOOKUP($V850,Setup!$C$30:$D$41,2,0),"")</f>
        <v/>
      </c>
      <c r="Z850" s="262"/>
      <c r="AA850" s="256" t="str">
        <f t="shared" si="397"/>
        <v/>
      </c>
      <c r="AB850" s="262"/>
      <c r="AC850" s="258" t="str">
        <f t="shared" si="398"/>
        <v/>
      </c>
      <c r="AD850" s="262"/>
      <c r="AE850" s="258" t="str">
        <f t="shared" si="399"/>
        <v/>
      </c>
      <c r="AF850" s="262"/>
      <c r="AG850" s="256" t="str">
        <f t="shared" si="400"/>
        <v/>
      </c>
      <c r="AH850" s="256" t="str">
        <f t="shared" si="401"/>
        <v/>
      </c>
      <c r="AI850" s="256" t="str">
        <f t="shared" si="402"/>
        <v/>
      </c>
      <c r="AJ850" s="111"/>
      <c r="AK850" s="255"/>
      <c r="AL850" s="259" t="str">
        <f>IF(AK850&lt;&gt;"",AK850/VLOOKUP($V850,Setup!$C$30:$D$41,2,0),"")</f>
        <v/>
      </c>
      <c r="AM850" s="266"/>
      <c r="AN850" s="258" t="str">
        <f t="shared" si="403"/>
        <v/>
      </c>
      <c r="AO850" s="266"/>
      <c r="AP850" s="258" t="str">
        <f t="shared" si="404"/>
        <v/>
      </c>
      <c r="AQ850" s="266"/>
      <c r="AR850" s="258" t="str">
        <f t="shared" si="405"/>
        <v/>
      </c>
      <c r="AS850" s="266"/>
      <c r="AT850" s="256" t="str">
        <f t="shared" si="406"/>
        <v/>
      </c>
      <c r="AU850" s="256" t="str">
        <f t="shared" si="407"/>
        <v/>
      </c>
      <c r="AV850" s="256" t="str">
        <f t="shared" si="408"/>
        <v/>
      </c>
      <c r="AW850" s="267"/>
      <c r="AX850" s="255"/>
      <c r="AY850" s="259" t="str">
        <f>IF(AX850&lt;&gt;"",AX850/VLOOKUP($V850,Setup!$C$30:$D$41,2,0),"")</f>
        <v/>
      </c>
      <c r="AZ850" s="268"/>
      <c r="BA850" s="258" t="str">
        <f t="shared" si="409"/>
        <v/>
      </c>
      <c r="BB850" s="268"/>
      <c r="BC850" s="258" t="str">
        <f t="shared" si="410"/>
        <v/>
      </c>
      <c r="BD850" s="268"/>
      <c r="BE850" s="258" t="str">
        <f t="shared" si="411"/>
        <v/>
      </c>
      <c r="BF850" s="268"/>
      <c r="BG850" s="256" t="str">
        <f t="shared" si="412"/>
        <v/>
      </c>
      <c r="BH850" s="256" t="str">
        <f t="shared" si="413"/>
        <v/>
      </c>
      <c r="BI850" s="256" t="str">
        <f t="shared" si="414"/>
        <v/>
      </c>
      <c r="BJ850" s="267"/>
      <c r="BK850" s="255"/>
      <c r="BL850" s="259" t="str">
        <f>IF(BK850&lt;&gt;"",BK850/VLOOKUP($V850,Setup!$C$30:$D$41,2,0),"")</f>
        <v/>
      </c>
      <c r="BM850" s="268"/>
      <c r="BN850" s="258" t="str">
        <f t="shared" si="415"/>
        <v/>
      </c>
      <c r="BO850" s="268"/>
      <c r="BP850" s="258" t="str">
        <f t="shared" si="416"/>
        <v/>
      </c>
      <c r="BQ850" s="268"/>
      <c r="BR850" s="258" t="str">
        <f t="shared" si="417"/>
        <v/>
      </c>
      <c r="BS850" s="268"/>
      <c r="BT850" s="256" t="str">
        <f t="shared" si="418"/>
        <v/>
      </c>
      <c r="BU850" s="256" t="str">
        <f t="shared" si="419"/>
        <v/>
      </c>
      <c r="BV850" s="256" t="str">
        <f t="shared" si="420"/>
        <v/>
      </c>
      <c r="BW850" s="267"/>
      <c r="BX850" s="256" t="str">
        <f t="shared" si="421"/>
        <v/>
      </c>
      <c r="BY850" s="256" t="str">
        <f t="shared" si="422"/>
        <v/>
      </c>
      <c r="BZ850" s="281"/>
      <c r="CA850" s="282"/>
      <c r="CF850" s="284"/>
      <c r="CG850" s="284"/>
      <c r="CH850" s="284"/>
      <c r="CI850" s="284"/>
      <c r="CL850" s="356" t="str">
        <f>IFERROR(VLOOKUP(C850,'Data Sheet'!$A$3:$B$26,2,FALSE),"")</f>
        <v/>
      </c>
    </row>
    <row r="851" spans="1:90" ht="15.75" x14ac:dyDescent="0.2">
      <c r="A851" s="97"/>
      <c r="B851" s="105" t="str">
        <f t="shared" si="425"/>
        <v>--</v>
      </c>
      <c r="C851" s="276"/>
      <c r="D851" s="101" t="str">
        <f>IFERROR(IF(VLOOKUP(C851,'Data Sheet'!$A$3:$D$26,4,FALSE)=0,"",VLOOKUP(C851,'Data Sheet'!$A$3:$D$26,4,FALSE)),"")</f>
        <v/>
      </c>
      <c r="E851" s="279"/>
      <c r="F851" s="103" t="str">
        <f>IFERROR(IF(VLOOKUP(E851,'Data Sheet'!$C$29:$E$174,3,FALSE)=0,"",VLOOKUP(E851,'Data Sheet'!$C$29:$E$174,3,FALSE)),"")</f>
        <v/>
      </c>
      <c r="G851" s="106" t="str">
        <f t="shared" si="423"/>
        <v>-</v>
      </c>
      <c r="H851" s="273"/>
      <c r="I851" s="107"/>
      <c r="J851" s="249" t="e">
        <f t="shared" si="424"/>
        <v>#VALUE!</v>
      </c>
      <c r="K851" s="101" t="str">
        <f>IFERROR(INDEX('Data Sheet'!$C$198:$C$275,MATCH(I851,'Data Sheet'!$F$198:$F$275,0)),"")</f>
        <v/>
      </c>
      <c r="L851" s="250" t="str">
        <f>IFERROR(INDEX('Data Sheet'!$G$198:$G$275,MATCH(I851,'Data Sheet'!$F$198:$F$275,0)),"")</f>
        <v/>
      </c>
      <c r="M851" s="194"/>
      <c r="N851" s="248"/>
      <c r="O851" s="248"/>
      <c r="P851" s="108" t="str">
        <f>IFERROR(INDEX(Setup!$D$44:$D$70,MATCH(M851,Setup!$K$44:$K$70,0))&amp;"","")</f>
        <v/>
      </c>
      <c r="Q851" s="108" t="str">
        <f>IFERROR(INDEX(Setup!$E$44:$E$70,MATCH(M851,Setup!$K$44:$K$70,0))&amp;"","")</f>
        <v/>
      </c>
      <c r="R851" s="108" t="str">
        <f>IFERROR(INDEX(Setup!$L$44:$L$70,MATCH(M851,Setup!$K$44:$K$70,0))&amp;"","")</f>
        <v/>
      </c>
      <c r="S851" s="108" t="str">
        <f>Setup!$C$30</f>
        <v>USD</v>
      </c>
      <c r="T851" s="109" t="str">
        <f>IFERROR(INDEX('Data Sheet'!$B$198:$B$275,MATCH(I851,'Data Sheet'!$F$198:$F$275,0)),"")</f>
        <v/>
      </c>
      <c r="U851" s="110" t="str">
        <f>IFERROR(INDEX('Data Sheet'!$D$198:$D$275,MATCH(I851,'Data Sheet'!$F$198:$F$275,0)),"")</f>
        <v/>
      </c>
      <c r="V851" s="99"/>
      <c r="W851" s="195" t="str">
        <f>IF(V851=Setup!$C$30,"Grant",IF(V851=Setup!$C$31,"Local",IF(V851=Setup!$C$32,"Other",IF(ISBLANK(V851),"","Other"))))</f>
        <v/>
      </c>
      <c r="X851" s="255"/>
      <c r="Y851" s="259" t="str">
        <f>IF(X851&lt;&gt;"",X851/VLOOKUP($V851,Setup!$C$30:$D$41,2,0),"")</f>
        <v/>
      </c>
      <c r="Z851" s="262"/>
      <c r="AA851" s="256" t="str">
        <f t="shared" si="397"/>
        <v/>
      </c>
      <c r="AB851" s="262"/>
      <c r="AC851" s="258" t="str">
        <f t="shared" si="398"/>
        <v/>
      </c>
      <c r="AD851" s="262"/>
      <c r="AE851" s="258" t="str">
        <f t="shared" si="399"/>
        <v/>
      </c>
      <c r="AF851" s="262"/>
      <c r="AG851" s="256" t="str">
        <f t="shared" si="400"/>
        <v/>
      </c>
      <c r="AH851" s="256" t="str">
        <f t="shared" si="401"/>
        <v/>
      </c>
      <c r="AI851" s="256" t="str">
        <f t="shared" si="402"/>
        <v/>
      </c>
      <c r="AJ851" s="111"/>
      <c r="AK851" s="255"/>
      <c r="AL851" s="259" t="str">
        <f>IF(AK851&lt;&gt;"",AK851/VLOOKUP($V851,Setup!$C$30:$D$41,2,0),"")</f>
        <v/>
      </c>
      <c r="AM851" s="266"/>
      <c r="AN851" s="258" t="str">
        <f t="shared" si="403"/>
        <v/>
      </c>
      <c r="AO851" s="266"/>
      <c r="AP851" s="258" t="str">
        <f t="shared" si="404"/>
        <v/>
      </c>
      <c r="AQ851" s="266"/>
      <c r="AR851" s="258" t="str">
        <f t="shared" si="405"/>
        <v/>
      </c>
      <c r="AS851" s="266"/>
      <c r="AT851" s="256" t="str">
        <f t="shared" si="406"/>
        <v/>
      </c>
      <c r="AU851" s="256" t="str">
        <f t="shared" si="407"/>
        <v/>
      </c>
      <c r="AV851" s="256" t="str">
        <f t="shared" si="408"/>
        <v/>
      </c>
      <c r="AW851" s="267"/>
      <c r="AX851" s="255"/>
      <c r="AY851" s="259" t="str">
        <f>IF(AX851&lt;&gt;"",AX851/VLOOKUP($V851,Setup!$C$30:$D$41,2,0),"")</f>
        <v/>
      </c>
      <c r="AZ851" s="268"/>
      <c r="BA851" s="258" t="str">
        <f t="shared" si="409"/>
        <v/>
      </c>
      <c r="BB851" s="268"/>
      <c r="BC851" s="258" t="str">
        <f t="shared" si="410"/>
        <v/>
      </c>
      <c r="BD851" s="268"/>
      <c r="BE851" s="258" t="str">
        <f t="shared" si="411"/>
        <v/>
      </c>
      <c r="BF851" s="268"/>
      <c r="BG851" s="256" t="str">
        <f t="shared" si="412"/>
        <v/>
      </c>
      <c r="BH851" s="256" t="str">
        <f t="shared" si="413"/>
        <v/>
      </c>
      <c r="BI851" s="256" t="str">
        <f t="shared" si="414"/>
        <v/>
      </c>
      <c r="BJ851" s="267"/>
      <c r="BK851" s="255"/>
      <c r="BL851" s="259" t="str">
        <f>IF(BK851&lt;&gt;"",BK851/VLOOKUP($V851,Setup!$C$30:$D$41,2,0),"")</f>
        <v/>
      </c>
      <c r="BM851" s="268"/>
      <c r="BN851" s="258" t="str">
        <f t="shared" si="415"/>
        <v/>
      </c>
      <c r="BO851" s="268"/>
      <c r="BP851" s="258" t="str">
        <f t="shared" si="416"/>
        <v/>
      </c>
      <c r="BQ851" s="268"/>
      <c r="BR851" s="258" t="str">
        <f t="shared" si="417"/>
        <v/>
      </c>
      <c r="BS851" s="268"/>
      <c r="BT851" s="256" t="str">
        <f t="shared" si="418"/>
        <v/>
      </c>
      <c r="BU851" s="256" t="str">
        <f t="shared" si="419"/>
        <v/>
      </c>
      <c r="BV851" s="256" t="str">
        <f t="shared" si="420"/>
        <v/>
      </c>
      <c r="BW851" s="267"/>
      <c r="BX851" s="256" t="str">
        <f t="shared" si="421"/>
        <v/>
      </c>
      <c r="BY851" s="256" t="str">
        <f t="shared" si="422"/>
        <v/>
      </c>
      <c r="BZ851" s="281"/>
      <c r="CA851" s="282"/>
      <c r="CF851" s="284"/>
      <c r="CG851" s="284"/>
      <c r="CH851" s="284"/>
      <c r="CI851" s="284"/>
      <c r="CL851" s="356" t="str">
        <f>IFERROR(VLOOKUP(C851,'Data Sheet'!$A$3:$B$26,2,FALSE),"")</f>
        <v/>
      </c>
    </row>
    <row r="852" spans="1:90" ht="15.75" x14ac:dyDescent="0.2">
      <c r="A852" s="97"/>
      <c r="B852" s="105" t="str">
        <f t="shared" si="425"/>
        <v>--</v>
      </c>
      <c r="C852" s="276"/>
      <c r="D852" s="101" t="str">
        <f>IFERROR(IF(VLOOKUP(C852,'Data Sheet'!$A$3:$D$26,4,FALSE)=0,"",VLOOKUP(C852,'Data Sheet'!$A$3:$D$26,4,FALSE)),"")</f>
        <v/>
      </c>
      <c r="E852" s="279"/>
      <c r="F852" s="103" t="str">
        <f>IFERROR(IF(VLOOKUP(E852,'Data Sheet'!$C$29:$E$174,3,FALSE)=0,"",VLOOKUP(E852,'Data Sheet'!$C$29:$E$174,3,FALSE)),"")</f>
        <v/>
      </c>
      <c r="G852" s="106" t="str">
        <f t="shared" si="423"/>
        <v>-</v>
      </c>
      <c r="H852" s="273"/>
      <c r="I852" s="107"/>
      <c r="J852" s="249" t="e">
        <f t="shared" si="424"/>
        <v>#VALUE!</v>
      </c>
      <c r="K852" s="101" t="str">
        <f>IFERROR(INDEX('Data Sheet'!$C$198:$C$275,MATCH(I852,'Data Sheet'!$F$198:$F$275,0)),"")</f>
        <v/>
      </c>
      <c r="L852" s="250" t="str">
        <f>IFERROR(INDEX('Data Sheet'!$G$198:$G$275,MATCH(I852,'Data Sheet'!$F$198:$F$275,0)),"")</f>
        <v/>
      </c>
      <c r="M852" s="194"/>
      <c r="N852" s="248"/>
      <c r="O852" s="248"/>
      <c r="P852" s="108" t="str">
        <f>IFERROR(INDEX(Setup!$D$44:$D$70,MATCH(M852,Setup!$K$44:$K$70,0))&amp;"","")</f>
        <v/>
      </c>
      <c r="Q852" s="108" t="str">
        <f>IFERROR(INDEX(Setup!$E$44:$E$70,MATCH(M852,Setup!$K$44:$K$70,0))&amp;"","")</f>
        <v/>
      </c>
      <c r="R852" s="108" t="str">
        <f>IFERROR(INDEX(Setup!$L$44:$L$70,MATCH(M852,Setup!$K$44:$K$70,0))&amp;"","")</f>
        <v/>
      </c>
      <c r="S852" s="108" t="str">
        <f>Setup!$C$30</f>
        <v>USD</v>
      </c>
      <c r="T852" s="109" t="str">
        <f>IFERROR(INDEX('Data Sheet'!$B$198:$B$275,MATCH(I852,'Data Sheet'!$F$198:$F$275,0)),"")</f>
        <v/>
      </c>
      <c r="U852" s="110" t="str">
        <f>IFERROR(INDEX('Data Sheet'!$D$198:$D$275,MATCH(I852,'Data Sheet'!$F$198:$F$275,0)),"")</f>
        <v/>
      </c>
      <c r="V852" s="99"/>
      <c r="W852" s="195" t="str">
        <f>IF(V852=Setup!$C$30,"Grant",IF(V852=Setup!$C$31,"Local",IF(V852=Setup!$C$32,"Other",IF(ISBLANK(V852),"","Other"))))</f>
        <v/>
      </c>
      <c r="X852" s="255"/>
      <c r="Y852" s="259" t="str">
        <f>IF(X852&lt;&gt;"",X852/VLOOKUP($V852,Setup!$C$30:$D$41,2,0),"")</f>
        <v/>
      </c>
      <c r="Z852" s="262"/>
      <c r="AA852" s="256" t="str">
        <f t="shared" si="397"/>
        <v/>
      </c>
      <c r="AB852" s="262"/>
      <c r="AC852" s="258" t="str">
        <f t="shared" si="398"/>
        <v/>
      </c>
      <c r="AD852" s="262"/>
      <c r="AE852" s="258" t="str">
        <f t="shared" si="399"/>
        <v/>
      </c>
      <c r="AF852" s="262"/>
      <c r="AG852" s="256" t="str">
        <f t="shared" si="400"/>
        <v/>
      </c>
      <c r="AH852" s="256" t="str">
        <f t="shared" si="401"/>
        <v/>
      </c>
      <c r="AI852" s="256" t="str">
        <f t="shared" si="402"/>
        <v/>
      </c>
      <c r="AJ852" s="111"/>
      <c r="AK852" s="255"/>
      <c r="AL852" s="259" t="str">
        <f>IF(AK852&lt;&gt;"",AK852/VLOOKUP($V852,Setup!$C$30:$D$41,2,0),"")</f>
        <v/>
      </c>
      <c r="AM852" s="266"/>
      <c r="AN852" s="258" t="str">
        <f t="shared" si="403"/>
        <v/>
      </c>
      <c r="AO852" s="266"/>
      <c r="AP852" s="258" t="str">
        <f t="shared" si="404"/>
        <v/>
      </c>
      <c r="AQ852" s="266"/>
      <c r="AR852" s="258" t="str">
        <f t="shared" si="405"/>
        <v/>
      </c>
      <c r="AS852" s="266"/>
      <c r="AT852" s="256" t="str">
        <f t="shared" si="406"/>
        <v/>
      </c>
      <c r="AU852" s="256" t="str">
        <f t="shared" si="407"/>
        <v/>
      </c>
      <c r="AV852" s="256" t="str">
        <f t="shared" si="408"/>
        <v/>
      </c>
      <c r="AW852" s="267"/>
      <c r="AX852" s="255"/>
      <c r="AY852" s="259" t="str">
        <f>IF(AX852&lt;&gt;"",AX852/VLOOKUP($V852,Setup!$C$30:$D$41,2,0),"")</f>
        <v/>
      </c>
      <c r="AZ852" s="268"/>
      <c r="BA852" s="258" t="str">
        <f t="shared" si="409"/>
        <v/>
      </c>
      <c r="BB852" s="268"/>
      <c r="BC852" s="258" t="str">
        <f t="shared" si="410"/>
        <v/>
      </c>
      <c r="BD852" s="268"/>
      <c r="BE852" s="258" t="str">
        <f t="shared" si="411"/>
        <v/>
      </c>
      <c r="BF852" s="268"/>
      <c r="BG852" s="256" t="str">
        <f t="shared" si="412"/>
        <v/>
      </c>
      <c r="BH852" s="256" t="str">
        <f t="shared" si="413"/>
        <v/>
      </c>
      <c r="BI852" s="256" t="str">
        <f t="shared" si="414"/>
        <v/>
      </c>
      <c r="BJ852" s="267"/>
      <c r="BK852" s="255"/>
      <c r="BL852" s="259" t="str">
        <f>IF(BK852&lt;&gt;"",BK852/VLOOKUP($V852,Setup!$C$30:$D$41,2,0),"")</f>
        <v/>
      </c>
      <c r="BM852" s="268"/>
      <c r="BN852" s="258" t="str">
        <f t="shared" si="415"/>
        <v/>
      </c>
      <c r="BO852" s="268"/>
      <c r="BP852" s="258" t="str">
        <f t="shared" si="416"/>
        <v/>
      </c>
      <c r="BQ852" s="268"/>
      <c r="BR852" s="258" t="str">
        <f t="shared" si="417"/>
        <v/>
      </c>
      <c r="BS852" s="268"/>
      <c r="BT852" s="256" t="str">
        <f t="shared" si="418"/>
        <v/>
      </c>
      <c r="BU852" s="256" t="str">
        <f t="shared" si="419"/>
        <v/>
      </c>
      <c r="BV852" s="256" t="str">
        <f t="shared" si="420"/>
        <v/>
      </c>
      <c r="BW852" s="267"/>
      <c r="BX852" s="256" t="str">
        <f t="shared" si="421"/>
        <v/>
      </c>
      <c r="BY852" s="256" t="str">
        <f t="shared" si="422"/>
        <v/>
      </c>
      <c r="BZ852" s="281"/>
      <c r="CA852" s="282"/>
      <c r="CF852" s="284"/>
      <c r="CG852" s="284"/>
      <c r="CH852" s="284"/>
      <c r="CI852" s="284"/>
      <c r="CL852" s="356" t="str">
        <f>IFERROR(VLOOKUP(C852,'Data Sheet'!$A$3:$B$26,2,FALSE),"")</f>
        <v/>
      </c>
    </row>
    <row r="853" spans="1:90" ht="15.75" x14ac:dyDescent="0.2">
      <c r="A853" s="97"/>
      <c r="B853" s="105" t="str">
        <f t="shared" si="425"/>
        <v>--</v>
      </c>
      <c r="C853" s="276"/>
      <c r="D853" s="101" t="str">
        <f>IFERROR(IF(VLOOKUP(C853,'Data Sheet'!$A$3:$D$26,4,FALSE)=0,"",VLOOKUP(C853,'Data Sheet'!$A$3:$D$26,4,FALSE)),"")</f>
        <v/>
      </c>
      <c r="E853" s="279"/>
      <c r="F853" s="103" t="str">
        <f>IFERROR(IF(VLOOKUP(E853,'Data Sheet'!$C$29:$E$174,3,FALSE)=0,"",VLOOKUP(E853,'Data Sheet'!$C$29:$E$174,3,FALSE)),"")</f>
        <v/>
      </c>
      <c r="G853" s="106" t="str">
        <f t="shared" si="423"/>
        <v>-</v>
      </c>
      <c r="H853" s="273"/>
      <c r="I853" s="107"/>
      <c r="J853" s="249" t="e">
        <f t="shared" si="424"/>
        <v>#VALUE!</v>
      </c>
      <c r="K853" s="101" t="str">
        <f>IFERROR(INDEX('Data Sheet'!$C$198:$C$275,MATCH(I853,'Data Sheet'!$F$198:$F$275,0)),"")</f>
        <v/>
      </c>
      <c r="L853" s="250" t="str">
        <f>IFERROR(INDEX('Data Sheet'!$G$198:$G$275,MATCH(I853,'Data Sheet'!$F$198:$F$275,0)),"")</f>
        <v/>
      </c>
      <c r="M853" s="194"/>
      <c r="N853" s="248"/>
      <c r="O853" s="248"/>
      <c r="P853" s="108" t="str">
        <f>IFERROR(INDEX(Setup!$D$44:$D$70,MATCH(M853,Setup!$K$44:$K$70,0))&amp;"","")</f>
        <v/>
      </c>
      <c r="Q853" s="108" t="str">
        <f>IFERROR(INDEX(Setup!$E$44:$E$70,MATCH(M853,Setup!$K$44:$K$70,0))&amp;"","")</f>
        <v/>
      </c>
      <c r="R853" s="108" t="str">
        <f>IFERROR(INDEX(Setup!$L$44:$L$70,MATCH(M853,Setup!$K$44:$K$70,0))&amp;"","")</f>
        <v/>
      </c>
      <c r="S853" s="108" t="str">
        <f>Setup!$C$30</f>
        <v>USD</v>
      </c>
      <c r="T853" s="109" t="str">
        <f>IFERROR(INDEX('Data Sheet'!$B$198:$B$275,MATCH(I853,'Data Sheet'!$F$198:$F$275,0)),"")</f>
        <v/>
      </c>
      <c r="U853" s="110" t="str">
        <f>IFERROR(INDEX('Data Sheet'!$D$198:$D$275,MATCH(I853,'Data Sheet'!$F$198:$F$275,0)),"")</f>
        <v/>
      </c>
      <c r="V853" s="99"/>
      <c r="W853" s="195" t="str">
        <f>IF(V853=Setup!$C$30,"Grant",IF(V853=Setup!$C$31,"Local",IF(V853=Setup!$C$32,"Other",IF(ISBLANK(V853),"","Other"))))</f>
        <v/>
      </c>
      <c r="X853" s="255"/>
      <c r="Y853" s="259" t="str">
        <f>IF(X853&lt;&gt;"",X853/VLOOKUP($V853,Setup!$C$30:$D$41,2,0),"")</f>
        <v/>
      </c>
      <c r="Z853" s="262"/>
      <c r="AA853" s="256" t="str">
        <f t="shared" si="397"/>
        <v/>
      </c>
      <c r="AB853" s="262"/>
      <c r="AC853" s="258" t="str">
        <f t="shared" si="398"/>
        <v/>
      </c>
      <c r="AD853" s="262"/>
      <c r="AE853" s="258" t="str">
        <f t="shared" si="399"/>
        <v/>
      </c>
      <c r="AF853" s="262"/>
      <c r="AG853" s="256" t="str">
        <f t="shared" si="400"/>
        <v/>
      </c>
      <c r="AH853" s="256" t="str">
        <f t="shared" si="401"/>
        <v/>
      </c>
      <c r="AI853" s="256" t="str">
        <f t="shared" si="402"/>
        <v/>
      </c>
      <c r="AJ853" s="111"/>
      <c r="AK853" s="255"/>
      <c r="AL853" s="259" t="str">
        <f>IF(AK853&lt;&gt;"",AK853/VLOOKUP($V853,Setup!$C$30:$D$41,2,0),"")</f>
        <v/>
      </c>
      <c r="AM853" s="266"/>
      <c r="AN853" s="258" t="str">
        <f t="shared" si="403"/>
        <v/>
      </c>
      <c r="AO853" s="266"/>
      <c r="AP853" s="258" t="str">
        <f t="shared" si="404"/>
        <v/>
      </c>
      <c r="AQ853" s="266"/>
      <c r="AR853" s="258" t="str">
        <f t="shared" si="405"/>
        <v/>
      </c>
      <c r="AS853" s="266"/>
      <c r="AT853" s="256" t="str">
        <f t="shared" si="406"/>
        <v/>
      </c>
      <c r="AU853" s="256" t="str">
        <f t="shared" si="407"/>
        <v/>
      </c>
      <c r="AV853" s="256" t="str">
        <f t="shared" si="408"/>
        <v/>
      </c>
      <c r="AW853" s="267"/>
      <c r="AX853" s="255"/>
      <c r="AY853" s="259" t="str">
        <f>IF(AX853&lt;&gt;"",AX853/VLOOKUP($V853,Setup!$C$30:$D$41,2,0),"")</f>
        <v/>
      </c>
      <c r="AZ853" s="268"/>
      <c r="BA853" s="258" t="str">
        <f t="shared" si="409"/>
        <v/>
      </c>
      <c r="BB853" s="268"/>
      <c r="BC853" s="258" t="str">
        <f t="shared" si="410"/>
        <v/>
      </c>
      <c r="BD853" s="268"/>
      <c r="BE853" s="258" t="str">
        <f t="shared" si="411"/>
        <v/>
      </c>
      <c r="BF853" s="268"/>
      <c r="BG853" s="256" t="str">
        <f t="shared" si="412"/>
        <v/>
      </c>
      <c r="BH853" s="256" t="str">
        <f t="shared" si="413"/>
        <v/>
      </c>
      <c r="BI853" s="256" t="str">
        <f t="shared" si="414"/>
        <v/>
      </c>
      <c r="BJ853" s="267"/>
      <c r="BK853" s="255"/>
      <c r="BL853" s="259" t="str">
        <f>IF(BK853&lt;&gt;"",BK853/VLOOKUP($V853,Setup!$C$30:$D$41,2,0),"")</f>
        <v/>
      </c>
      <c r="BM853" s="268"/>
      <c r="BN853" s="258" t="str">
        <f t="shared" si="415"/>
        <v/>
      </c>
      <c r="BO853" s="268"/>
      <c r="BP853" s="258" t="str">
        <f t="shared" si="416"/>
        <v/>
      </c>
      <c r="BQ853" s="268"/>
      <c r="BR853" s="258" t="str">
        <f t="shared" si="417"/>
        <v/>
      </c>
      <c r="BS853" s="268"/>
      <c r="BT853" s="256" t="str">
        <f t="shared" si="418"/>
        <v/>
      </c>
      <c r="BU853" s="256" t="str">
        <f t="shared" si="419"/>
        <v/>
      </c>
      <c r="BV853" s="256" t="str">
        <f t="shared" si="420"/>
        <v/>
      </c>
      <c r="BW853" s="267"/>
      <c r="BX853" s="256" t="str">
        <f t="shared" si="421"/>
        <v/>
      </c>
      <c r="BY853" s="256" t="str">
        <f t="shared" si="422"/>
        <v/>
      </c>
      <c r="BZ853" s="281"/>
      <c r="CA853" s="282"/>
      <c r="CF853" s="284"/>
      <c r="CG853" s="284"/>
      <c r="CH853" s="284"/>
      <c r="CI853" s="284"/>
      <c r="CL853" s="356" t="str">
        <f>IFERROR(VLOOKUP(C853,'Data Sheet'!$A$3:$B$26,2,FALSE),"")</f>
        <v/>
      </c>
    </row>
    <row r="854" spans="1:90" ht="15.75" x14ac:dyDescent="0.2">
      <c r="A854" s="97"/>
      <c r="B854" s="105" t="str">
        <f t="shared" si="425"/>
        <v>--</v>
      </c>
      <c r="C854" s="276"/>
      <c r="D854" s="101" t="str">
        <f>IFERROR(IF(VLOOKUP(C854,'Data Sheet'!$A$3:$D$26,4,FALSE)=0,"",VLOOKUP(C854,'Data Sheet'!$A$3:$D$26,4,FALSE)),"")</f>
        <v/>
      </c>
      <c r="E854" s="279"/>
      <c r="F854" s="103" t="str">
        <f>IFERROR(IF(VLOOKUP(E854,'Data Sheet'!$C$29:$E$174,3,FALSE)=0,"",VLOOKUP(E854,'Data Sheet'!$C$29:$E$174,3,FALSE)),"")</f>
        <v/>
      </c>
      <c r="G854" s="106" t="str">
        <f t="shared" si="423"/>
        <v>-</v>
      </c>
      <c r="H854" s="273"/>
      <c r="I854" s="107"/>
      <c r="J854" s="249" t="e">
        <f t="shared" si="424"/>
        <v>#VALUE!</v>
      </c>
      <c r="K854" s="101" t="str">
        <f>IFERROR(INDEX('Data Sheet'!$C$198:$C$275,MATCH(I854,'Data Sheet'!$F$198:$F$275,0)),"")</f>
        <v/>
      </c>
      <c r="L854" s="250" t="str">
        <f>IFERROR(INDEX('Data Sheet'!$G$198:$G$275,MATCH(I854,'Data Sheet'!$F$198:$F$275,0)),"")</f>
        <v/>
      </c>
      <c r="M854" s="194"/>
      <c r="N854" s="248"/>
      <c r="O854" s="248"/>
      <c r="P854" s="108" t="str">
        <f>IFERROR(INDEX(Setup!$D$44:$D$70,MATCH(M854,Setup!$K$44:$K$70,0))&amp;"","")</f>
        <v/>
      </c>
      <c r="Q854" s="108" t="str">
        <f>IFERROR(INDEX(Setup!$E$44:$E$70,MATCH(M854,Setup!$K$44:$K$70,0))&amp;"","")</f>
        <v/>
      </c>
      <c r="R854" s="108" t="str">
        <f>IFERROR(INDEX(Setup!$L$44:$L$70,MATCH(M854,Setup!$K$44:$K$70,0))&amp;"","")</f>
        <v/>
      </c>
      <c r="S854" s="108" t="str">
        <f>Setup!$C$30</f>
        <v>USD</v>
      </c>
      <c r="T854" s="109" t="str">
        <f>IFERROR(INDEX('Data Sheet'!$B$198:$B$275,MATCH(I854,'Data Sheet'!$F$198:$F$275,0)),"")</f>
        <v/>
      </c>
      <c r="U854" s="110" t="str">
        <f>IFERROR(INDEX('Data Sheet'!$D$198:$D$275,MATCH(I854,'Data Sheet'!$F$198:$F$275,0)),"")</f>
        <v/>
      </c>
      <c r="V854" s="99"/>
      <c r="W854" s="195" t="str">
        <f>IF(V854=Setup!$C$30,"Grant",IF(V854=Setup!$C$31,"Local",IF(V854=Setup!$C$32,"Other",IF(ISBLANK(V854),"","Other"))))</f>
        <v/>
      </c>
      <c r="X854" s="255"/>
      <c r="Y854" s="259" t="str">
        <f>IF(X854&lt;&gt;"",X854/VLOOKUP($V854,Setup!$C$30:$D$41,2,0),"")</f>
        <v/>
      </c>
      <c r="Z854" s="262"/>
      <c r="AA854" s="256" t="str">
        <f t="shared" si="397"/>
        <v/>
      </c>
      <c r="AB854" s="262"/>
      <c r="AC854" s="258" t="str">
        <f t="shared" si="398"/>
        <v/>
      </c>
      <c r="AD854" s="262"/>
      <c r="AE854" s="258" t="str">
        <f t="shared" si="399"/>
        <v/>
      </c>
      <c r="AF854" s="262"/>
      <c r="AG854" s="256" t="str">
        <f t="shared" si="400"/>
        <v/>
      </c>
      <c r="AH854" s="256" t="str">
        <f t="shared" si="401"/>
        <v/>
      </c>
      <c r="AI854" s="256" t="str">
        <f t="shared" si="402"/>
        <v/>
      </c>
      <c r="AJ854" s="111"/>
      <c r="AK854" s="255"/>
      <c r="AL854" s="259" t="str">
        <f>IF(AK854&lt;&gt;"",AK854/VLOOKUP($V854,Setup!$C$30:$D$41,2,0),"")</f>
        <v/>
      </c>
      <c r="AM854" s="266"/>
      <c r="AN854" s="258" t="str">
        <f t="shared" si="403"/>
        <v/>
      </c>
      <c r="AO854" s="266"/>
      <c r="AP854" s="258" t="str">
        <f t="shared" si="404"/>
        <v/>
      </c>
      <c r="AQ854" s="266"/>
      <c r="AR854" s="258" t="str">
        <f t="shared" si="405"/>
        <v/>
      </c>
      <c r="AS854" s="266"/>
      <c r="AT854" s="256" t="str">
        <f t="shared" si="406"/>
        <v/>
      </c>
      <c r="AU854" s="256" t="str">
        <f t="shared" si="407"/>
        <v/>
      </c>
      <c r="AV854" s="256" t="str">
        <f t="shared" si="408"/>
        <v/>
      </c>
      <c r="AW854" s="267"/>
      <c r="AX854" s="255"/>
      <c r="AY854" s="259" t="str">
        <f>IF(AX854&lt;&gt;"",AX854/VLOOKUP($V854,Setup!$C$30:$D$41,2,0),"")</f>
        <v/>
      </c>
      <c r="AZ854" s="268"/>
      <c r="BA854" s="258" t="str">
        <f t="shared" si="409"/>
        <v/>
      </c>
      <c r="BB854" s="268"/>
      <c r="BC854" s="258" t="str">
        <f t="shared" si="410"/>
        <v/>
      </c>
      <c r="BD854" s="268"/>
      <c r="BE854" s="258" t="str">
        <f t="shared" si="411"/>
        <v/>
      </c>
      <c r="BF854" s="268"/>
      <c r="BG854" s="256" t="str">
        <f t="shared" si="412"/>
        <v/>
      </c>
      <c r="BH854" s="256" t="str">
        <f t="shared" si="413"/>
        <v/>
      </c>
      <c r="BI854" s="256" t="str">
        <f t="shared" si="414"/>
        <v/>
      </c>
      <c r="BJ854" s="267"/>
      <c r="BK854" s="255"/>
      <c r="BL854" s="259" t="str">
        <f>IF(BK854&lt;&gt;"",BK854/VLOOKUP($V854,Setup!$C$30:$D$41,2,0),"")</f>
        <v/>
      </c>
      <c r="BM854" s="268"/>
      <c r="BN854" s="258" t="str">
        <f t="shared" si="415"/>
        <v/>
      </c>
      <c r="BO854" s="268"/>
      <c r="BP854" s="258" t="str">
        <f t="shared" si="416"/>
        <v/>
      </c>
      <c r="BQ854" s="268"/>
      <c r="BR854" s="258" t="str">
        <f t="shared" si="417"/>
        <v/>
      </c>
      <c r="BS854" s="268"/>
      <c r="BT854" s="256" t="str">
        <f t="shared" si="418"/>
        <v/>
      </c>
      <c r="BU854" s="256" t="str">
        <f t="shared" si="419"/>
        <v/>
      </c>
      <c r="BV854" s="256" t="str">
        <f t="shared" si="420"/>
        <v/>
      </c>
      <c r="BW854" s="267"/>
      <c r="BX854" s="256" t="str">
        <f t="shared" si="421"/>
        <v/>
      </c>
      <c r="BY854" s="256" t="str">
        <f t="shared" si="422"/>
        <v/>
      </c>
      <c r="BZ854" s="281"/>
      <c r="CA854" s="282"/>
      <c r="CF854" s="284"/>
      <c r="CG854" s="284"/>
      <c r="CH854" s="284"/>
      <c r="CI854" s="284"/>
      <c r="CL854" s="356" t="str">
        <f>IFERROR(VLOOKUP(C854,'Data Sheet'!$A$3:$B$26,2,FALSE),"")</f>
        <v/>
      </c>
    </row>
    <row r="855" spans="1:90" ht="15.75" x14ac:dyDescent="0.2">
      <c r="A855" s="97"/>
      <c r="B855" s="105" t="str">
        <f t="shared" si="425"/>
        <v>--</v>
      </c>
      <c r="C855" s="276"/>
      <c r="D855" s="101" t="str">
        <f>IFERROR(IF(VLOOKUP(C855,'Data Sheet'!$A$3:$D$26,4,FALSE)=0,"",VLOOKUP(C855,'Data Sheet'!$A$3:$D$26,4,FALSE)),"")</f>
        <v/>
      </c>
      <c r="E855" s="279"/>
      <c r="F855" s="103" t="str">
        <f>IFERROR(IF(VLOOKUP(E855,'Data Sheet'!$C$29:$E$174,3,FALSE)=0,"",VLOOKUP(E855,'Data Sheet'!$C$29:$E$174,3,FALSE)),"")</f>
        <v/>
      </c>
      <c r="G855" s="106" t="str">
        <f t="shared" si="423"/>
        <v>-</v>
      </c>
      <c r="H855" s="273"/>
      <c r="I855" s="107"/>
      <c r="J855" s="249" t="e">
        <f t="shared" si="424"/>
        <v>#VALUE!</v>
      </c>
      <c r="K855" s="101" t="str">
        <f>IFERROR(INDEX('Data Sheet'!$C$198:$C$275,MATCH(I855,'Data Sheet'!$F$198:$F$275,0)),"")</f>
        <v/>
      </c>
      <c r="L855" s="250" t="str">
        <f>IFERROR(INDEX('Data Sheet'!$G$198:$G$275,MATCH(I855,'Data Sheet'!$F$198:$F$275,0)),"")</f>
        <v/>
      </c>
      <c r="M855" s="194"/>
      <c r="N855" s="248"/>
      <c r="O855" s="248"/>
      <c r="P855" s="108" t="str">
        <f>IFERROR(INDEX(Setup!$D$44:$D$70,MATCH(M855,Setup!$K$44:$K$70,0))&amp;"","")</f>
        <v/>
      </c>
      <c r="Q855" s="108" t="str">
        <f>IFERROR(INDEX(Setup!$E$44:$E$70,MATCH(M855,Setup!$K$44:$K$70,0))&amp;"","")</f>
        <v/>
      </c>
      <c r="R855" s="108" t="str">
        <f>IFERROR(INDEX(Setup!$L$44:$L$70,MATCH(M855,Setup!$K$44:$K$70,0))&amp;"","")</f>
        <v/>
      </c>
      <c r="S855" s="108" t="str">
        <f>Setup!$C$30</f>
        <v>USD</v>
      </c>
      <c r="T855" s="109" t="str">
        <f>IFERROR(INDEX('Data Sheet'!$B$198:$B$275,MATCH(I855,'Data Sheet'!$F$198:$F$275,0)),"")</f>
        <v/>
      </c>
      <c r="U855" s="110" t="str">
        <f>IFERROR(INDEX('Data Sheet'!$D$198:$D$275,MATCH(I855,'Data Sheet'!$F$198:$F$275,0)),"")</f>
        <v/>
      </c>
      <c r="V855" s="99"/>
      <c r="W855" s="195" t="str">
        <f>IF(V855=Setup!$C$30,"Grant",IF(V855=Setup!$C$31,"Local",IF(V855=Setup!$C$32,"Other",IF(ISBLANK(V855),"","Other"))))</f>
        <v/>
      </c>
      <c r="X855" s="255"/>
      <c r="Y855" s="259" t="str">
        <f>IF(X855&lt;&gt;"",X855/VLOOKUP($V855,Setup!$C$30:$D$41,2,0),"")</f>
        <v/>
      </c>
      <c r="Z855" s="262"/>
      <c r="AA855" s="256" t="str">
        <f t="shared" si="397"/>
        <v/>
      </c>
      <c r="AB855" s="262"/>
      <c r="AC855" s="258" t="str">
        <f t="shared" si="398"/>
        <v/>
      </c>
      <c r="AD855" s="262"/>
      <c r="AE855" s="258" t="str">
        <f t="shared" si="399"/>
        <v/>
      </c>
      <c r="AF855" s="262"/>
      <c r="AG855" s="256" t="str">
        <f t="shared" si="400"/>
        <v/>
      </c>
      <c r="AH855" s="256" t="str">
        <f t="shared" si="401"/>
        <v/>
      </c>
      <c r="AI855" s="256" t="str">
        <f t="shared" si="402"/>
        <v/>
      </c>
      <c r="AJ855" s="111"/>
      <c r="AK855" s="255"/>
      <c r="AL855" s="259" t="str">
        <f>IF(AK855&lt;&gt;"",AK855/VLOOKUP($V855,Setup!$C$30:$D$41,2,0),"")</f>
        <v/>
      </c>
      <c r="AM855" s="266"/>
      <c r="AN855" s="258" t="str">
        <f t="shared" si="403"/>
        <v/>
      </c>
      <c r="AO855" s="266"/>
      <c r="AP855" s="258" t="str">
        <f t="shared" si="404"/>
        <v/>
      </c>
      <c r="AQ855" s="266"/>
      <c r="AR855" s="258" t="str">
        <f t="shared" si="405"/>
        <v/>
      </c>
      <c r="AS855" s="266"/>
      <c r="AT855" s="256" t="str">
        <f t="shared" si="406"/>
        <v/>
      </c>
      <c r="AU855" s="256" t="str">
        <f t="shared" si="407"/>
        <v/>
      </c>
      <c r="AV855" s="256" t="str">
        <f t="shared" si="408"/>
        <v/>
      </c>
      <c r="AW855" s="267"/>
      <c r="AX855" s="255"/>
      <c r="AY855" s="259" t="str">
        <f>IF(AX855&lt;&gt;"",AX855/VLOOKUP($V855,Setup!$C$30:$D$41,2,0),"")</f>
        <v/>
      </c>
      <c r="AZ855" s="268"/>
      <c r="BA855" s="258" t="str">
        <f t="shared" si="409"/>
        <v/>
      </c>
      <c r="BB855" s="268"/>
      <c r="BC855" s="258" t="str">
        <f t="shared" si="410"/>
        <v/>
      </c>
      <c r="BD855" s="268"/>
      <c r="BE855" s="258" t="str">
        <f t="shared" si="411"/>
        <v/>
      </c>
      <c r="BF855" s="268"/>
      <c r="BG855" s="256" t="str">
        <f t="shared" si="412"/>
        <v/>
      </c>
      <c r="BH855" s="256" t="str">
        <f t="shared" si="413"/>
        <v/>
      </c>
      <c r="BI855" s="256" t="str">
        <f t="shared" si="414"/>
        <v/>
      </c>
      <c r="BJ855" s="267"/>
      <c r="BK855" s="255"/>
      <c r="BL855" s="259" t="str">
        <f>IF(BK855&lt;&gt;"",BK855/VLOOKUP($V855,Setup!$C$30:$D$41,2,0),"")</f>
        <v/>
      </c>
      <c r="BM855" s="268"/>
      <c r="BN855" s="258" t="str">
        <f t="shared" si="415"/>
        <v/>
      </c>
      <c r="BO855" s="268"/>
      <c r="BP855" s="258" t="str">
        <f t="shared" si="416"/>
        <v/>
      </c>
      <c r="BQ855" s="268"/>
      <c r="BR855" s="258" t="str">
        <f t="shared" si="417"/>
        <v/>
      </c>
      <c r="BS855" s="268"/>
      <c r="BT855" s="256" t="str">
        <f t="shared" si="418"/>
        <v/>
      </c>
      <c r="BU855" s="256" t="str">
        <f t="shared" si="419"/>
        <v/>
      </c>
      <c r="BV855" s="256" t="str">
        <f t="shared" si="420"/>
        <v/>
      </c>
      <c r="BW855" s="267"/>
      <c r="BX855" s="256" t="str">
        <f t="shared" si="421"/>
        <v/>
      </c>
      <c r="BY855" s="256" t="str">
        <f t="shared" si="422"/>
        <v/>
      </c>
      <c r="BZ855" s="281"/>
      <c r="CA855" s="282"/>
      <c r="CF855" s="284"/>
      <c r="CG855" s="284"/>
      <c r="CH855" s="284"/>
      <c r="CI855" s="284"/>
      <c r="CL855" s="356" t="str">
        <f>IFERROR(VLOOKUP(C855,'Data Sheet'!$A$3:$B$26,2,FALSE),"")</f>
        <v/>
      </c>
    </row>
    <row r="856" spans="1:90" ht="15.75" x14ac:dyDescent="0.2">
      <c r="A856" s="97"/>
      <c r="B856" s="105" t="str">
        <f t="shared" si="425"/>
        <v>--</v>
      </c>
      <c r="C856" s="276"/>
      <c r="D856" s="101" t="str">
        <f>IFERROR(IF(VLOOKUP(C856,'Data Sheet'!$A$3:$D$26,4,FALSE)=0,"",VLOOKUP(C856,'Data Sheet'!$A$3:$D$26,4,FALSE)),"")</f>
        <v/>
      </c>
      <c r="E856" s="279"/>
      <c r="F856" s="103" t="str">
        <f>IFERROR(IF(VLOOKUP(E856,'Data Sheet'!$C$29:$E$174,3,FALSE)=0,"",VLOOKUP(E856,'Data Sheet'!$C$29:$E$174,3,FALSE)),"")</f>
        <v/>
      </c>
      <c r="G856" s="106" t="str">
        <f t="shared" si="423"/>
        <v>-</v>
      </c>
      <c r="H856" s="273"/>
      <c r="I856" s="107"/>
      <c r="J856" s="249" t="e">
        <f t="shared" si="424"/>
        <v>#VALUE!</v>
      </c>
      <c r="K856" s="101" t="str">
        <f>IFERROR(INDEX('Data Sheet'!$C$198:$C$275,MATCH(I856,'Data Sheet'!$F$198:$F$275,0)),"")</f>
        <v/>
      </c>
      <c r="L856" s="250" t="str">
        <f>IFERROR(INDEX('Data Sheet'!$G$198:$G$275,MATCH(I856,'Data Sheet'!$F$198:$F$275,0)),"")</f>
        <v/>
      </c>
      <c r="M856" s="194"/>
      <c r="N856" s="248"/>
      <c r="O856" s="248"/>
      <c r="P856" s="108" t="str">
        <f>IFERROR(INDEX(Setup!$D$44:$D$70,MATCH(M856,Setup!$K$44:$K$70,0))&amp;"","")</f>
        <v/>
      </c>
      <c r="Q856" s="108" t="str">
        <f>IFERROR(INDEX(Setup!$E$44:$E$70,MATCH(M856,Setup!$K$44:$K$70,0))&amp;"","")</f>
        <v/>
      </c>
      <c r="R856" s="108" t="str">
        <f>IFERROR(INDEX(Setup!$L$44:$L$70,MATCH(M856,Setup!$K$44:$K$70,0))&amp;"","")</f>
        <v/>
      </c>
      <c r="S856" s="108" t="str">
        <f>Setup!$C$30</f>
        <v>USD</v>
      </c>
      <c r="T856" s="109" t="str">
        <f>IFERROR(INDEX('Data Sheet'!$B$198:$B$275,MATCH(I856,'Data Sheet'!$F$198:$F$275,0)),"")</f>
        <v/>
      </c>
      <c r="U856" s="110" t="str">
        <f>IFERROR(INDEX('Data Sheet'!$D$198:$D$275,MATCH(I856,'Data Sheet'!$F$198:$F$275,0)),"")</f>
        <v/>
      </c>
      <c r="V856" s="99"/>
      <c r="W856" s="195" t="str">
        <f>IF(V856=Setup!$C$30,"Grant",IF(V856=Setup!$C$31,"Local",IF(V856=Setup!$C$32,"Other",IF(ISBLANK(V856),"","Other"))))</f>
        <v/>
      </c>
      <c r="X856" s="255"/>
      <c r="Y856" s="259" t="str">
        <f>IF(X856&lt;&gt;"",X856/VLOOKUP($V856,Setup!$C$30:$D$41,2,0),"")</f>
        <v/>
      </c>
      <c r="Z856" s="262"/>
      <c r="AA856" s="256" t="str">
        <f t="shared" si="397"/>
        <v/>
      </c>
      <c r="AB856" s="262"/>
      <c r="AC856" s="258" t="str">
        <f t="shared" si="398"/>
        <v/>
      </c>
      <c r="AD856" s="262"/>
      <c r="AE856" s="258" t="str">
        <f t="shared" si="399"/>
        <v/>
      </c>
      <c r="AF856" s="262"/>
      <c r="AG856" s="256" t="str">
        <f t="shared" si="400"/>
        <v/>
      </c>
      <c r="AH856" s="256" t="str">
        <f t="shared" si="401"/>
        <v/>
      </c>
      <c r="AI856" s="256" t="str">
        <f t="shared" si="402"/>
        <v/>
      </c>
      <c r="AJ856" s="111"/>
      <c r="AK856" s="255"/>
      <c r="AL856" s="259" t="str">
        <f>IF(AK856&lt;&gt;"",AK856/VLOOKUP($V856,Setup!$C$30:$D$41,2,0),"")</f>
        <v/>
      </c>
      <c r="AM856" s="266"/>
      <c r="AN856" s="258" t="str">
        <f t="shared" si="403"/>
        <v/>
      </c>
      <c r="AO856" s="266"/>
      <c r="AP856" s="258" t="str">
        <f t="shared" si="404"/>
        <v/>
      </c>
      <c r="AQ856" s="266"/>
      <c r="AR856" s="258" t="str">
        <f t="shared" si="405"/>
        <v/>
      </c>
      <c r="AS856" s="266"/>
      <c r="AT856" s="256" t="str">
        <f t="shared" si="406"/>
        <v/>
      </c>
      <c r="AU856" s="256" t="str">
        <f t="shared" si="407"/>
        <v/>
      </c>
      <c r="AV856" s="256" t="str">
        <f t="shared" si="408"/>
        <v/>
      </c>
      <c r="AW856" s="267"/>
      <c r="AX856" s="255"/>
      <c r="AY856" s="259" t="str">
        <f>IF(AX856&lt;&gt;"",AX856/VLOOKUP($V856,Setup!$C$30:$D$41,2,0),"")</f>
        <v/>
      </c>
      <c r="AZ856" s="268"/>
      <c r="BA856" s="258" t="str">
        <f t="shared" si="409"/>
        <v/>
      </c>
      <c r="BB856" s="268"/>
      <c r="BC856" s="258" t="str">
        <f t="shared" si="410"/>
        <v/>
      </c>
      <c r="BD856" s="268"/>
      <c r="BE856" s="258" t="str">
        <f t="shared" si="411"/>
        <v/>
      </c>
      <c r="BF856" s="268"/>
      <c r="BG856" s="256" t="str">
        <f t="shared" si="412"/>
        <v/>
      </c>
      <c r="BH856" s="256" t="str">
        <f t="shared" si="413"/>
        <v/>
      </c>
      <c r="BI856" s="256" t="str">
        <f t="shared" si="414"/>
        <v/>
      </c>
      <c r="BJ856" s="267"/>
      <c r="BK856" s="255"/>
      <c r="BL856" s="259" t="str">
        <f>IF(BK856&lt;&gt;"",BK856/VLOOKUP($V856,Setup!$C$30:$D$41,2,0),"")</f>
        <v/>
      </c>
      <c r="BM856" s="268"/>
      <c r="BN856" s="258" t="str">
        <f t="shared" si="415"/>
        <v/>
      </c>
      <c r="BO856" s="268"/>
      <c r="BP856" s="258" t="str">
        <f t="shared" si="416"/>
        <v/>
      </c>
      <c r="BQ856" s="268"/>
      <c r="BR856" s="258" t="str">
        <f t="shared" si="417"/>
        <v/>
      </c>
      <c r="BS856" s="268"/>
      <c r="BT856" s="256" t="str">
        <f t="shared" si="418"/>
        <v/>
      </c>
      <c r="BU856" s="256" t="str">
        <f t="shared" si="419"/>
        <v/>
      </c>
      <c r="BV856" s="256" t="str">
        <f t="shared" si="420"/>
        <v/>
      </c>
      <c r="BW856" s="267"/>
      <c r="BX856" s="256" t="str">
        <f t="shared" si="421"/>
        <v/>
      </c>
      <c r="BY856" s="256" t="str">
        <f t="shared" si="422"/>
        <v/>
      </c>
      <c r="BZ856" s="281"/>
      <c r="CA856" s="282"/>
      <c r="CF856" s="284"/>
      <c r="CG856" s="284"/>
      <c r="CH856" s="284"/>
      <c r="CI856" s="284"/>
      <c r="CL856" s="356" t="str">
        <f>IFERROR(VLOOKUP(C856,'Data Sheet'!$A$3:$B$26,2,FALSE),"")</f>
        <v/>
      </c>
    </row>
    <row r="857" spans="1:90" ht="15.75" x14ac:dyDescent="0.2">
      <c r="A857" s="97"/>
      <c r="B857" s="105" t="str">
        <f t="shared" si="425"/>
        <v>--</v>
      </c>
      <c r="C857" s="276"/>
      <c r="D857" s="101" t="str">
        <f>IFERROR(IF(VLOOKUP(C857,'Data Sheet'!$A$3:$D$26,4,FALSE)=0,"",VLOOKUP(C857,'Data Sheet'!$A$3:$D$26,4,FALSE)),"")</f>
        <v/>
      </c>
      <c r="E857" s="279"/>
      <c r="F857" s="103" t="str">
        <f>IFERROR(IF(VLOOKUP(E857,'Data Sheet'!$C$29:$E$174,3,FALSE)=0,"",VLOOKUP(E857,'Data Sheet'!$C$29:$E$174,3,FALSE)),"")</f>
        <v/>
      </c>
      <c r="G857" s="106" t="str">
        <f t="shared" si="423"/>
        <v>-</v>
      </c>
      <c r="H857" s="273"/>
      <c r="I857" s="107"/>
      <c r="J857" s="249" t="e">
        <f t="shared" si="424"/>
        <v>#VALUE!</v>
      </c>
      <c r="K857" s="101" t="str">
        <f>IFERROR(INDEX('Data Sheet'!$C$198:$C$275,MATCH(I857,'Data Sheet'!$F$198:$F$275,0)),"")</f>
        <v/>
      </c>
      <c r="L857" s="250" t="str">
        <f>IFERROR(INDEX('Data Sheet'!$G$198:$G$275,MATCH(I857,'Data Sheet'!$F$198:$F$275,0)),"")</f>
        <v/>
      </c>
      <c r="M857" s="194"/>
      <c r="N857" s="248"/>
      <c r="O857" s="248"/>
      <c r="P857" s="108" t="str">
        <f>IFERROR(INDEX(Setup!$D$44:$D$70,MATCH(M857,Setup!$K$44:$K$70,0))&amp;"","")</f>
        <v/>
      </c>
      <c r="Q857" s="108" t="str">
        <f>IFERROR(INDEX(Setup!$E$44:$E$70,MATCH(M857,Setup!$K$44:$K$70,0))&amp;"","")</f>
        <v/>
      </c>
      <c r="R857" s="108" t="str">
        <f>IFERROR(INDEX(Setup!$L$44:$L$70,MATCH(M857,Setup!$K$44:$K$70,0))&amp;"","")</f>
        <v/>
      </c>
      <c r="S857" s="108" t="str">
        <f>Setup!$C$30</f>
        <v>USD</v>
      </c>
      <c r="T857" s="109" t="str">
        <f>IFERROR(INDEX('Data Sheet'!$B$198:$B$275,MATCH(I857,'Data Sheet'!$F$198:$F$275,0)),"")</f>
        <v/>
      </c>
      <c r="U857" s="110" t="str">
        <f>IFERROR(INDEX('Data Sheet'!$D$198:$D$275,MATCH(I857,'Data Sheet'!$F$198:$F$275,0)),"")</f>
        <v/>
      </c>
      <c r="V857" s="99"/>
      <c r="W857" s="195" t="str">
        <f>IF(V857=Setup!$C$30,"Grant",IF(V857=Setup!$C$31,"Local",IF(V857=Setup!$C$32,"Other",IF(ISBLANK(V857),"","Other"))))</f>
        <v/>
      </c>
      <c r="X857" s="255"/>
      <c r="Y857" s="259" t="str">
        <f>IF(X857&lt;&gt;"",X857/VLOOKUP($V857,Setup!$C$30:$D$41,2,0),"")</f>
        <v/>
      </c>
      <c r="Z857" s="262"/>
      <c r="AA857" s="256" t="str">
        <f t="shared" si="397"/>
        <v/>
      </c>
      <c r="AB857" s="262"/>
      <c r="AC857" s="258" t="str">
        <f t="shared" si="398"/>
        <v/>
      </c>
      <c r="AD857" s="262"/>
      <c r="AE857" s="258" t="str">
        <f t="shared" si="399"/>
        <v/>
      </c>
      <c r="AF857" s="262"/>
      <c r="AG857" s="256" t="str">
        <f t="shared" si="400"/>
        <v/>
      </c>
      <c r="AH857" s="256" t="str">
        <f t="shared" si="401"/>
        <v/>
      </c>
      <c r="AI857" s="256" t="str">
        <f t="shared" si="402"/>
        <v/>
      </c>
      <c r="AJ857" s="111"/>
      <c r="AK857" s="255"/>
      <c r="AL857" s="259" t="str">
        <f>IF(AK857&lt;&gt;"",AK857/VLOOKUP($V857,Setup!$C$30:$D$41,2,0),"")</f>
        <v/>
      </c>
      <c r="AM857" s="266"/>
      <c r="AN857" s="258" t="str">
        <f t="shared" si="403"/>
        <v/>
      </c>
      <c r="AO857" s="266"/>
      <c r="AP857" s="258" t="str">
        <f t="shared" si="404"/>
        <v/>
      </c>
      <c r="AQ857" s="266"/>
      <c r="AR857" s="258" t="str">
        <f t="shared" si="405"/>
        <v/>
      </c>
      <c r="AS857" s="266"/>
      <c r="AT857" s="256" t="str">
        <f t="shared" si="406"/>
        <v/>
      </c>
      <c r="AU857" s="256" t="str">
        <f t="shared" si="407"/>
        <v/>
      </c>
      <c r="AV857" s="256" t="str">
        <f t="shared" si="408"/>
        <v/>
      </c>
      <c r="AW857" s="267"/>
      <c r="AX857" s="255"/>
      <c r="AY857" s="259" t="str">
        <f>IF(AX857&lt;&gt;"",AX857/VLOOKUP($V857,Setup!$C$30:$D$41,2,0),"")</f>
        <v/>
      </c>
      <c r="AZ857" s="268"/>
      <c r="BA857" s="258" t="str">
        <f t="shared" si="409"/>
        <v/>
      </c>
      <c r="BB857" s="268"/>
      <c r="BC857" s="258" t="str">
        <f t="shared" si="410"/>
        <v/>
      </c>
      <c r="BD857" s="268"/>
      <c r="BE857" s="258" t="str">
        <f t="shared" si="411"/>
        <v/>
      </c>
      <c r="BF857" s="268"/>
      <c r="BG857" s="256" t="str">
        <f t="shared" si="412"/>
        <v/>
      </c>
      <c r="BH857" s="256" t="str">
        <f t="shared" si="413"/>
        <v/>
      </c>
      <c r="BI857" s="256" t="str">
        <f t="shared" si="414"/>
        <v/>
      </c>
      <c r="BJ857" s="267"/>
      <c r="BK857" s="255"/>
      <c r="BL857" s="259" t="str">
        <f>IF(BK857&lt;&gt;"",BK857/VLOOKUP($V857,Setup!$C$30:$D$41,2,0),"")</f>
        <v/>
      </c>
      <c r="BM857" s="268"/>
      <c r="BN857" s="258" t="str">
        <f t="shared" si="415"/>
        <v/>
      </c>
      <c r="BO857" s="268"/>
      <c r="BP857" s="258" t="str">
        <f t="shared" si="416"/>
        <v/>
      </c>
      <c r="BQ857" s="268"/>
      <c r="BR857" s="258" t="str">
        <f t="shared" si="417"/>
        <v/>
      </c>
      <c r="BS857" s="268"/>
      <c r="BT857" s="256" t="str">
        <f t="shared" si="418"/>
        <v/>
      </c>
      <c r="BU857" s="256" t="str">
        <f t="shared" si="419"/>
        <v/>
      </c>
      <c r="BV857" s="256" t="str">
        <f t="shared" si="420"/>
        <v/>
      </c>
      <c r="BW857" s="267"/>
      <c r="BX857" s="256" t="str">
        <f t="shared" si="421"/>
        <v/>
      </c>
      <c r="BY857" s="256" t="str">
        <f t="shared" si="422"/>
        <v/>
      </c>
      <c r="BZ857" s="281"/>
      <c r="CA857" s="282"/>
      <c r="CF857" s="284"/>
      <c r="CG857" s="284"/>
      <c r="CH857" s="284"/>
      <c r="CI857" s="284"/>
      <c r="CL857" s="356" t="str">
        <f>IFERROR(VLOOKUP(C857,'Data Sheet'!$A$3:$B$26,2,FALSE),"")</f>
        <v/>
      </c>
    </row>
    <row r="858" spans="1:90" ht="15.75" x14ac:dyDescent="0.2">
      <c r="A858" s="97"/>
      <c r="B858" s="105" t="str">
        <f t="shared" si="425"/>
        <v>--</v>
      </c>
      <c r="C858" s="276"/>
      <c r="D858" s="101" t="str">
        <f>IFERROR(IF(VLOOKUP(C858,'Data Sheet'!$A$3:$D$26,4,FALSE)=0,"",VLOOKUP(C858,'Data Sheet'!$A$3:$D$26,4,FALSE)),"")</f>
        <v/>
      </c>
      <c r="E858" s="279"/>
      <c r="F858" s="103" t="str">
        <f>IFERROR(IF(VLOOKUP(E858,'Data Sheet'!$C$29:$E$174,3,FALSE)=0,"",VLOOKUP(E858,'Data Sheet'!$C$29:$E$174,3,FALSE)),"")</f>
        <v/>
      </c>
      <c r="G858" s="106" t="str">
        <f t="shared" si="423"/>
        <v>-</v>
      </c>
      <c r="H858" s="273"/>
      <c r="I858" s="107"/>
      <c r="J858" s="249" t="e">
        <f t="shared" si="424"/>
        <v>#VALUE!</v>
      </c>
      <c r="K858" s="101" t="str">
        <f>IFERROR(INDEX('Data Sheet'!$C$198:$C$275,MATCH(I858,'Data Sheet'!$F$198:$F$275,0)),"")</f>
        <v/>
      </c>
      <c r="L858" s="250" t="str">
        <f>IFERROR(INDEX('Data Sheet'!$G$198:$G$275,MATCH(I858,'Data Sheet'!$F$198:$F$275,0)),"")</f>
        <v/>
      </c>
      <c r="M858" s="194"/>
      <c r="N858" s="248"/>
      <c r="O858" s="248"/>
      <c r="P858" s="108" t="str">
        <f>IFERROR(INDEX(Setup!$D$44:$D$70,MATCH(M858,Setup!$K$44:$K$70,0))&amp;"","")</f>
        <v/>
      </c>
      <c r="Q858" s="108" t="str">
        <f>IFERROR(INDEX(Setup!$E$44:$E$70,MATCH(M858,Setup!$K$44:$K$70,0))&amp;"","")</f>
        <v/>
      </c>
      <c r="R858" s="108" t="str">
        <f>IFERROR(INDEX(Setup!$L$44:$L$70,MATCH(M858,Setup!$K$44:$K$70,0))&amp;"","")</f>
        <v/>
      </c>
      <c r="S858" s="108" t="str">
        <f>Setup!$C$30</f>
        <v>USD</v>
      </c>
      <c r="T858" s="109" t="str">
        <f>IFERROR(INDEX('Data Sheet'!$B$198:$B$275,MATCH(I858,'Data Sheet'!$F$198:$F$275,0)),"")</f>
        <v/>
      </c>
      <c r="U858" s="110" t="str">
        <f>IFERROR(INDEX('Data Sheet'!$D$198:$D$275,MATCH(I858,'Data Sheet'!$F$198:$F$275,0)),"")</f>
        <v/>
      </c>
      <c r="V858" s="99"/>
      <c r="W858" s="195" t="str">
        <f>IF(V858=Setup!$C$30,"Grant",IF(V858=Setup!$C$31,"Local",IF(V858=Setup!$C$32,"Other",IF(ISBLANK(V858),"","Other"))))</f>
        <v/>
      </c>
      <c r="X858" s="255"/>
      <c r="Y858" s="259" t="str">
        <f>IF(X858&lt;&gt;"",X858/VLOOKUP($V858,Setup!$C$30:$D$41,2,0),"")</f>
        <v/>
      </c>
      <c r="Z858" s="262"/>
      <c r="AA858" s="256" t="str">
        <f t="shared" si="397"/>
        <v/>
      </c>
      <c r="AB858" s="262"/>
      <c r="AC858" s="258" t="str">
        <f t="shared" si="398"/>
        <v/>
      </c>
      <c r="AD858" s="262"/>
      <c r="AE858" s="258" t="str">
        <f t="shared" si="399"/>
        <v/>
      </c>
      <c r="AF858" s="262"/>
      <c r="AG858" s="256" t="str">
        <f t="shared" si="400"/>
        <v/>
      </c>
      <c r="AH858" s="256" t="str">
        <f t="shared" si="401"/>
        <v/>
      </c>
      <c r="AI858" s="256" t="str">
        <f t="shared" si="402"/>
        <v/>
      </c>
      <c r="AJ858" s="111"/>
      <c r="AK858" s="255"/>
      <c r="AL858" s="259" t="str">
        <f>IF(AK858&lt;&gt;"",AK858/VLOOKUP($V858,Setup!$C$30:$D$41,2,0),"")</f>
        <v/>
      </c>
      <c r="AM858" s="266"/>
      <c r="AN858" s="258" t="str">
        <f t="shared" si="403"/>
        <v/>
      </c>
      <c r="AO858" s="266"/>
      <c r="AP858" s="258" t="str">
        <f t="shared" si="404"/>
        <v/>
      </c>
      <c r="AQ858" s="266"/>
      <c r="AR858" s="258" t="str">
        <f t="shared" si="405"/>
        <v/>
      </c>
      <c r="AS858" s="266"/>
      <c r="AT858" s="256" t="str">
        <f t="shared" si="406"/>
        <v/>
      </c>
      <c r="AU858" s="256" t="str">
        <f t="shared" si="407"/>
        <v/>
      </c>
      <c r="AV858" s="256" t="str">
        <f t="shared" si="408"/>
        <v/>
      </c>
      <c r="AW858" s="267"/>
      <c r="AX858" s="255"/>
      <c r="AY858" s="259" t="str">
        <f>IF(AX858&lt;&gt;"",AX858/VLOOKUP($V858,Setup!$C$30:$D$41,2,0),"")</f>
        <v/>
      </c>
      <c r="AZ858" s="268"/>
      <c r="BA858" s="258" t="str">
        <f t="shared" si="409"/>
        <v/>
      </c>
      <c r="BB858" s="268"/>
      <c r="BC858" s="258" t="str">
        <f t="shared" si="410"/>
        <v/>
      </c>
      <c r="BD858" s="268"/>
      <c r="BE858" s="258" t="str">
        <f t="shared" si="411"/>
        <v/>
      </c>
      <c r="BF858" s="268"/>
      <c r="BG858" s="256" t="str">
        <f t="shared" si="412"/>
        <v/>
      </c>
      <c r="BH858" s="256" t="str">
        <f t="shared" si="413"/>
        <v/>
      </c>
      <c r="BI858" s="256" t="str">
        <f t="shared" si="414"/>
        <v/>
      </c>
      <c r="BJ858" s="267"/>
      <c r="BK858" s="255"/>
      <c r="BL858" s="259" t="str">
        <f>IF(BK858&lt;&gt;"",BK858/VLOOKUP($V858,Setup!$C$30:$D$41,2,0),"")</f>
        <v/>
      </c>
      <c r="BM858" s="268"/>
      <c r="BN858" s="258" t="str">
        <f t="shared" si="415"/>
        <v/>
      </c>
      <c r="BO858" s="268"/>
      <c r="BP858" s="258" t="str">
        <f t="shared" si="416"/>
        <v/>
      </c>
      <c r="BQ858" s="268"/>
      <c r="BR858" s="258" t="str">
        <f t="shared" si="417"/>
        <v/>
      </c>
      <c r="BS858" s="268"/>
      <c r="BT858" s="256" t="str">
        <f t="shared" si="418"/>
        <v/>
      </c>
      <c r="BU858" s="256" t="str">
        <f t="shared" si="419"/>
        <v/>
      </c>
      <c r="BV858" s="256" t="str">
        <f t="shared" si="420"/>
        <v/>
      </c>
      <c r="BW858" s="267"/>
      <c r="BX858" s="256" t="str">
        <f t="shared" si="421"/>
        <v/>
      </c>
      <c r="BY858" s="256" t="str">
        <f t="shared" si="422"/>
        <v/>
      </c>
      <c r="BZ858" s="281"/>
      <c r="CA858" s="282"/>
      <c r="CF858" s="284"/>
      <c r="CG858" s="284"/>
      <c r="CH858" s="284"/>
      <c r="CI858" s="284"/>
      <c r="CL858" s="356" t="str">
        <f>IFERROR(VLOOKUP(C858,'Data Sheet'!$A$3:$B$26,2,FALSE),"")</f>
        <v/>
      </c>
    </row>
    <row r="859" spans="1:90" ht="15.75" x14ac:dyDescent="0.2">
      <c r="A859" s="97"/>
      <c r="B859" s="105" t="str">
        <f t="shared" si="425"/>
        <v>--</v>
      </c>
      <c r="C859" s="276"/>
      <c r="D859" s="101" t="str">
        <f>IFERROR(IF(VLOOKUP(C859,'Data Sheet'!$A$3:$D$26,4,FALSE)=0,"",VLOOKUP(C859,'Data Sheet'!$A$3:$D$26,4,FALSE)),"")</f>
        <v/>
      </c>
      <c r="E859" s="279"/>
      <c r="F859" s="103" t="str">
        <f>IFERROR(IF(VLOOKUP(E859,'Data Sheet'!$C$29:$E$174,3,FALSE)=0,"",VLOOKUP(E859,'Data Sheet'!$C$29:$E$174,3,FALSE)),"")</f>
        <v/>
      </c>
      <c r="G859" s="106" t="str">
        <f t="shared" si="423"/>
        <v>-</v>
      </c>
      <c r="H859" s="273"/>
      <c r="I859" s="107"/>
      <c r="J859" s="249" t="e">
        <f t="shared" si="424"/>
        <v>#VALUE!</v>
      </c>
      <c r="K859" s="101" t="str">
        <f>IFERROR(INDEX('Data Sheet'!$C$198:$C$275,MATCH(I859,'Data Sheet'!$F$198:$F$275,0)),"")</f>
        <v/>
      </c>
      <c r="L859" s="250" t="str">
        <f>IFERROR(INDEX('Data Sheet'!$G$198:$G$275,MATCH(I859,'Data Sheet'!$F$198:$F$275,0)),"")</f>
        <v/>
      </c>
      <c r="M859" s="194"/>
      <c r="N859" s="248"/>
      <c r="O859" s="248"/>
      <c r="P859" s="108" t="str">
        <f>IFERROR(INDEX(Setup!$D$44:$D$70,MATCH(M859,Setup!$K$44:$K$70,0))&amp;"","")</f>
        <v/>
      </c>
      <c r="Q859" s="108" t="str">
        <f>IFERROR(INDEX(Setup!$E$44:$E$70,MATCH(M859,Setup!$K$44:$K$70,0))&amp;"","")</f>
        <v/>
      </c>
      <c r="R859" s="108" t="str">
        <f>IFERROR(INDEX(Setup!$L$44:$L$70,MATCH(M859,Setup!$K$44:$K$70,0))&amp;"","")</f>
        <v/>
      </c>
      <c r="S859" s="108" t="str">
        <f>Setup!$C$30</f>
        <v>USD</v>
      </c>
      <c r="T859" s="109" t="str">
        <f>IFERROR(INDEX('Data Sheet'!$B$198:$B$275,MATCH(I859,'Data Sheet'!$F$198:$F$275,0)),"")</f>
        <v/>
      </c>
      <c r="U859" s="110" t="str">
        <f>IFERROR(INDEX('Data Sheet'!$D$198:$D$275,MATCH(I859,'Data Sheet'!$F$198:$F$275,0)),"")</f>
        <v/>
      </c>
      <c r="V859" s="99"/>
      <c r="W859" s="195" t="str">
        <f>IF(V859=Setup!$C$30,"Grant",IF(V859=Setup!$C$31,"Local",IF(V859=Setup!$C$32,"Other",IF(ISBLANK(V859),"","Other"))))</f>
        <v/>
      </c>
      <c r="X859" s="255"/>
      <c r="Y859" s="259" t="str">
        <f>IF(X859&lt;&gt;"",X859/VLOOKUP($V859,Setup!$C$30:$D$41,2,0),"")</f>
        <v/>
      </c>
      <c r="Z859" s="262"/>
      <c r="AA859" s="256" t="str">
        <f t="shared" si="397"/>
        <v/>
      </c>
      <c r="AB859" s="262"/>
      <c r="AC859" s="258" t="str">
        <f t="shared" si="398"/>
        <v/>
      </c>
      <c r="AD859" s="262"/>
      <c r="AE859" s="258" t="str">
        <f t="shared" si="399"/>
        <v/>
      </c>
      <c r="AF859" s="262"/>
      <c r="AG859" s="256" t="str">
        <f t="shared" si="400"/>
        <v/>
      </c>
      <c r="AH859" s="256" t="str">
        <f t="shared" si="401"/>
        <v/>
      </c>
      <c r="AI859" s="256" t="str">
        <f t="shared" si="402"/>
        <v/>
      </c>
      <c r="AJ859" s="111"/>
      <c r="AK859" s="255"/>
      <c r="AL859" s="259" t="str">
        <f>IF(AK859&lt;&gt;"",AK859/VLOOKUP($V859,Setup!$C$30:$D$41,2,0),"")</f>
        <v/>
      </c>
      <c r="AM859" s="266"/>
      <c r="AN859" s="258" t="str">
        <f t="shared" si="403"/>
        <v/>
      </c>
      <c r="AO859" s="266"/>
      <c r="AP859" s="258" t="str">
        <f t="shared" si="404"/>
        <v/>
      </c>
      <c r="AQ859" s="266"/>
      <c r="AR859" s="258" t="str">
        <f t="shared" si="405"/>
        <v/>
      </c>
      <c r="AS859" s="266"/>
      <c r="AT859" s="256" t="str">
        <f t="shared" si="406"/>
        <v/>
      </c>
      <c r="AU859" s="256" t="str">
        <f t="shared" si="407"/>
        <v/>
      </c>
      <c r="AV859" s="256" t="str">
        <f t="shared" si="408"/>
        <v/>
      </c>
      <c r="AW859" s="267"/>
      <c r="AX859" s="255"/>
      <c r="AY859" s="259" t="str">
        <f>IF(AX859&lt;&gt;"",AX859/VLOOKUP($V859,Setup!$C$30:$D$41,2,0),"")</f>
        <v/>
      </c>
      <c r="AZ859" s="268"/>
      <c r="BA859" s="258" t="str">
        <f t="shared" si="409"/>
        <v/>
      </c>
      <c r="BB859" s="268"/>
      <c r="BC859" s="258" t="str">
        <f t="shared" si="410"/>
        <v/>
      </c>
      <c r="BD859" s="268"/>
      <c r="BE859" s="258" t="str">
        <f t="shared" si="411"/>
        <v/>
      </c>
      <c r="BF859" s="268"/>
      <c r="BG859" s="256" t="str">
        <f t="shared" si="412"/>
        <v/>
      </c>
      <c r="BH859" s="256" t="str">
        <f t="shared" si="413"/>
        <v/>
      </c>
      <c r="BI859" s="256" t="str">
        <f t="shared" si="414"/>
        <v/>
      </c>
      <c r="BJ859" s="267"/>
      <c r="BK859" s="255"/>
      <c r="BL859" s="259" t="str">
        <f>IF(BK859&lt;&gt;"",BK859/VLOOKUP($V859,Setup!$C$30:$D$41,2,0),"")</f>
        <v/>
      </c>
      <c r="BM859" s="268"/>
      <c r="BN859" s="258" t="str">
        <f t="shared" si="415"/>
        <v/>
      </c>
      <c r="BO859" s="268"/>
      <c r="BP859" s="258" t="str">
        <f t="shared" si="416"/>
        <v/>
      </c>
      <c r="BQ859" s="268"/>
      <c r="BR859" s="258" t="str">
        <f t="shared" si="417"/>
        <v/>
      </c>
      <c r="BS859" s="268"/>
      <c r="BT859" s="256" t="str">
        <f t="shared" si="418"/>
        <v/>
      </c>
      <c r="BU859" s="256" t="str">
        <f t="shared" si="419"/>
        <v/>
      </c>
      <c r="BV859" s="256" t="str">
        <f t="shared" si="420"/>
        <v/>
      </c>
      <c r="BW859" s="267"/>
      <c r="BX859" s="256" t="str">
        <f t="shared" si="421"/>
        <v/>
      </c>
      <c r="BY859" s="256" t="str">
        <f t="shared" si="422"/>
        <v/>
      </c>
      <c r="BZ859" s="281"/>
      <c r="CA859" s="282"/>
      <c r="CF859" s="284"/>
      <c r="CG859" s="284"/>
      <c r="CH859" s="284"/>
      <c r="CI859" s="284"/>
      <c r="CL859" s="356" t="str">
        <f>IFERROR(VLOOKUP(C859,'Data Sheet'!$A$3:$B$26,2,FALSE),"")</f>
        <v/>
      </c>
    </row>
    <row r="860" spans="1:90" ht="15.75" x14ac:dyDescent="0.2">
      <c r="A860" s="97"/>
      <c r="B860" s="105" t="str">
        <f t="shared" si="425"/>
        <v>--</v>
      </c>
      <c r="C860" s="276"/>
      <c r="D860" s="101" t="str">
        <f>IFERROR(IF(VLOOKUP(C860,'Data Sheet'!$A$3:$D$26,4,FALSE)=0,"",VLOOKUP(C860,'Data Sheet'!$A$3:$D$26,4,FALSE)),"")</f>
        <v/>
      </c>
      <c r="E860" s="279"/>
      <c r="F860" s="103" t="str">
        <f>IFERROR(IF(VLOOKUP(E860,'Data Sheet'!$C$29:$E$174,3,FALSE)=0,"",VLOOKUP(E860,'Data Sheet'!$C$29:$E$174,3,FALSE)),"")</f>
        <v/>
      </c>
      <c r="G860" s="106" t="str">
        <f t="shared" si="423"/>
        <v>-</v>
      </c>
      <c r="H860" s="273"/>
      <c r="I860" s="107"/>
      <c r="J860" s="249" t="e">
        <f t="shared" si="424"/>
        <v>#VALUE!</v>
      </c>
      <c r="K860" s="101" t="str">
        <f>IFERROR(INDEX('Data Sheet'!$C$198:$C$275,MATCH(I860,'Data Sheet'!$F$198:$F$275,0)),"")</f>
        <v/>
      </c>
      <c r="L860" s="250" t="str">
        <f>IFERROR(INDEX('Data Sheet'!$G$198:$G$275,MATCH(I860,'Data Sheet'!$F$198:$F$275,0)),"")</f>
        <v/>
      </c>
      <c r="M860" s="194"/>
      <c r="N860" s="248"/>
      <c r="O860" s="248"/>
      <c r="P860" s="108" t="str">
        <f>IFERROR(INDEX(Setup!$D$44:$D$70,MATCH(M860,Setup!$K$44:$K$70,0))&amp;"","")</f>
        <v/>
      </c>
      <c r="Q860" s="108" t="str">
        <f>IFERROR(INDEX(Setup!$E$44:$E$70,MATCH(M860,Setup!$K$44:$K$70,0))&amp;"","")</f>
        <v/>
      </c>
      <c r="R860" s="108" t="str">
        <f>IFERROR(INDEX(Setup!$L$44:$L$70,MATCH(M860,Setup!$K$44:$K$70,0))&amp;"","")</f>
        <v/>
      </c>
      <c r="S860" s="108" t="str">
        <f>Setup!$C$30</f>
        <v>USD</v>
      </c>
      <c r="T860" s="109" t="str">
        <f>IFERROR(INDEX('Data Sheet'!$B$198:$B$275,MATCH(I860,'Data Sheet'!$F$198:$F$275,0)),"")</f>
        <v/>
      </c>
      <c r="U860" s="110" t="str">
        <f>IFERROR(INDEX('Data Sheet'!$D$198:$D$275,MATCH(I860,'Data Sheet'!$F$198:$F$275,0)),"")</f>
        <v/>
      </c>
      <c r="V860" s="99"/>
      <c r="W860" s="195" t="str">
        <f>IF(V860=Setup!$C$30,"Grant",IF(V860=Setup!$C$31,"Local",IF(V860=Setup!$C$32,"Other",IF(ISBLANK(V860),"","Other"))))</f>
        <v/>
      </c>
      <c r="X860" s="255"/>
      <c r="Y860" s="259" t="str">
        <f>IF(X860&lt;&gt;"",X860/VLOOKUP($V860,Setup!$C$30:$D$41,2,0),"")</f>
        <v/>
      </c>
      <c r="Z860" s="262"/>
      <c r="AA860" s="256" t="str">
        <f t="shared" si="397"/>
        <v/>
      </c>
      <c r="AB860" s="262"/>
      <c r="AC860" s="258" t="str">
        <f t="shared" si="398"/>
        <v/>
      </c>
      <c r="AD860" s="262"/>
      <c r="AE860" s="258" t="str">
        <f t="shared" si="399"/>
        <v/>
      </c>
      <c r="AF860" s="262"/>
      <c r="AG860" s="256" t="str">
        <f t="shared" si="400"/>
        <v/>
      </c>
      <c r="AH860" s="256" t="str">
        <f t="shared" si="401"/>
        <v/>
      </c>
      <c r="AI860" s="256" t="str">
        <f t="shared" si="402"/>
        <v/>
      </c>
      <c r="AJ860" s="111"/>
      <c r="AK860" s="255"/>
      <c r="AL860" s="259" t="str">
        <f>IF(AK860&lt;&gt;"",AK860/VLOOKUP($V860,Setup!$C$30:$D$41,2,0),"")</f>
        <v/>
      </c>
      <c r="AM860" s="266"/>
      <c r="AN860" s="258" t="str">
        <f t="shared" si="403"/>
        <v/>
      </c>
      <c r="AO860" s="266"/>
      <c r="AP860" s="258" t="str">
        <f t="shared" si="404"/>
        <v/>
      </c>
      <c r="AQ860" s="266"/>
      <c r="AR860" s="258" t="str">
        <f t="shared" si="405"/>
        <v/>
      </c>
      <c r="AS860" s="266"/>
      <c r="AT860" s="256" t="str">
        <f t="shared" si="406"/>
        <v/>
      </c>
      <c r="AU860" s="256" t="str">
        <f t="shared" si="407"/>
        <v/>
      </c>
      <c r="AV860" s="256" t="str">
        <f t="shared" si="408"/>
        <v/>
      </c>
      <c r="AW860" s="267"/>
      <c r="AX860" s="255"/>
      <c r="AY860" s="259" t="str">
        <f>IF(AX860&lt;&gt;"",AX860/VLOOKUP($V860,Setup!$C$30:$D$41,2,0),"")</f>
        <v/>
      </c>
      <c r="AZ860" s="268"/>
      <c r="BA860" s="258" t="str">
        <f t="shared" si="409"/>
        <v/>
      </c>
      <c r="BB860" s="268"/>
      <c r="BC860" s="258" t="str">
        <f t="shared" si="410"/>
        <v/>
      </c>
      <c r="BD860" s="268"/>
      <c r="BE860" s="258" t="str">
        <f t="shared" si="411"/>
        <v/>
      </c>
      <c r="BF860" s="268"/>
      <c r="BG860" s="256" t="str">
        <f t="shared" si="412"/>
        <v/>
      </c>
      <c r="BH860" s="256" t="str">
        <f t="shared" si="413"/>
        <v/>
      </c>
      <c r="BI860" s="256" t="str">
        <f t="shared" si="414"/>
        <v/>
      </c>
      <c r="BJ860" s="267"/>
      <c r="BK860" s="255"/>
      <c r="BL860" s="259" t="str">
        <f>IF(BK860&lt;&gt;"",BK860/VLOOKUP($V860,Setup!$C$30:$D$41,2,0),"")</f>
        <v/>
      </c>
      <c r="BM860" s="268"/>
      <c r="BN860" s="258" t="str">
        <f t="shared" si="415"/>
        <v/>
      </c>
      <c r="BO860" s="268"/>
      <c r="BP860" s="258" t="str">
        <f t="shared" si="416"/>
        <v/>
      </c>
      <c r="BQ860" s="268"/>
      <c r="BR860" s="258" t="str">
        <f t="shared" si="417"/>
        <v/>
      </c>
      <c r="BS860" s="268"/>
      <c r="BT860" s="256" t="str">
        <f t="shared" si="418"/>
        <v/>
      </c>
      <c r="BU860" s="256" t="str">
        <f t="shared" si="419"/>
        <v/>
      </c>
      <c r="BV860" s="256" t="str">
        <f t="shared" si="420"/>
        <v/>
      </c>
      <c r="BW860" s="267"/>
      <c r="BX860" s="256" t="str">
        <f t="shared" si="421"/>
        <v/>
      </c>
      <c r="BY860" s="256" t="str">
        <f t="shared" si="422"/>
        <v/>
      </c>
      <c r="BZ860" s="281"/>
      <c r="CA860" s="282"/>
      <c r="CF860" s="284"/>
      <c r="CG860" s="284"/>
      <c r="CH860" s="284"/>
      <c r="CI860" s="284"/>
      <c r="CL860" s="356" t="str">
        <f>IFERROR(VLOOKUP(C860,'Data Sheet'!$A$3:$B$26,2,FALSE),"")</f>
        <v/>
      </c>
    </row>
    <row r="861" spans="1:90" ht="15.75" x14ac:dyDescent="0.2">
      <c r="A861" s="97"/>
      <c r="B861" s="105" t="str">
        <f t="shared" si="425"/>
        <v>--</v>
      </c>
      <c r="C861" s="276"/>
      <c r="D861" s="101" t="str">
        <f>IFERROR(IF(VLOOKUP(C861,'Data Sheet'!$A$3:$D$26,4,FALSE)=0,"",VLOOKUP(C861,'Data Sheet'!$A$3:$D$26,4,FALSE)),"")</f>
        <v/>
      </c>
      <c r="E861" s="279"/>
      <c r="F861" s="103" t="str">
        <f>IFERROR(IF(VLOOKUP(E861,'Data Sheet'!$C$29:$E$174,3,FALSE)=0,"",VLOOKUP(E861,'Data Sheet'!$C$29:$E$174,3,FALSE)),"")</f>
        <v/>
      </c>
      <c r="G861" s="106" t="str">
        <f t="shared" si="423"/>
        <v>-</v>
      </c>
      <c r="H861" s="273"/>
      <c r="I861" s="107"/>
      <c r="J861" s="249" t="e">
        <f t="shared" si="424"/>
        <v>#VALUE!</v>
      </c>
      <c r="K861" s="101" t="str">
        <f>IFERROR(INDEX('Data Sheet'!$C$198:$C$275,MATCH(I861,'Data Sheet'!$F$198:$F$275,0)),"")</f>
        <v/>
      </c>
      <c r="L861" s="250" t="str">
        <f>IFERROR(INDEX('Data Sheet'!$G$198:$G$275,MATCH(I861,'Data Sheet'!$F$198:$F$275,0)),"")</f>
        <v/>
      </c>
      <c r="M861" s="194"/>
      <c r="N861" s="248"/>
      <c r="O861" s="248"/>
      <c r="P861" s="108" t="str">
        <f>IFERROR(INDEX(Setup!$D$44:$D$70,MATCH(M861,Setup!$K$44:$K$70,0))&amp;"","")</f>
        <v/>
      </c>
      <c r="Q861" s="108" t="str">
        <f>IFERROR(INDEX(Setup!$E$44:$E$70,MATCH(M861,Setup!$K$44:$K$70,0))&amp;"","")</f>
        <v/>
      </c>
      <c r="R861" s="108" t="str">
        <f>IFERROR(INDEX(Setup!$L$44:$L$70,MATCH(M861,Setup!$K$44:$K$70,0))&amp;"","")</f>
        <v/>
      </c>
      <c r="S861" s="108" t="str">
        <f>Setup!$C$30</f>
        <v>USD</v>
      </c>
      <c r="T861" s="109" t="str">
        <f>IFERROR(INDEX('Data Sheet'!$B$198:$B$275,MATCH(I861,'Data Sheet'!$F$198:$F$275,0)),"")</f>
        <v/>
      </c>
      <c r="U861" s="110" t="str">
        <f>IFERROR(INDEX('Data Sheet'!$D$198:$D$275,MATCH(I861,'Data Sheet'!$F$198:$F$275,0)),"")</f>
        <v/>
      </c>
      <c r="V861" s="99"/>
      <c r="W861" s="195" t="str">
        <f>IF(V861=Setup!$C$30,"Grant",IF(V861=Setup!$C$31,"Local",IF(V861=Setup!$C$32,"Other",IF(ISBLANK(V861),"","Other"))))</f>
        <v/>
      </c>
      <c r="X861" s="255"/>
      <c r="Y861" s="259" t="str">
        <f>IF(X861&lt;&gt;"",X861/VLOOKUP($V861,Setup!$C$30:$D$41,2,0),"")</f>
        <v/>
      </c>
      <c r="Z861" s="262"/>
      <c r="AA861" s="256" t="str">
        <f t="shared" si="397"/>
        <v/>
      </c>
      <c r="AB861" s="262"/>
      <c r="AC861" s="258" t="str">
        <f t="shared" si="398"/>
        <v/>
      </c>
      <c r="AD861" s="262"/>
      <c r="AE861" s="258" t="str">
        <f t="shared" si="399"/>
        <v/>
      </c>
      <c r="AF861" s="262"/>
      <c r="AG861" s="256" t="str">
        <f t="shared" si="400"/>
        <v/>
      </c>
      <c r="AH861" s="256" t="str">
        <f t="shared" si="401"/>
        <v/>
      </c>
      <c r="AI861" s="256" t="str">
        <f t="shared" si="402"/>
        <v/>
      </c>
      <c r="AJ861" s="111"/>
      <c r="AK861" s="255"/>
      <c r="AL861" s="259" t="str">
        <f>IF(AK861&lt;&gt;"",AK861/VLOOKUP($V861,Setup!$C$30:$D$41,2,0),"")</f>
        <v/>
      </c>
      <c r="AM861" s="266"/>
      <c r="AN861" s="258" t="str">
        <f t="shared" si="403"/>
        <v/>
      </c>
      <c r="AO861" s="266"/>
      <c r="AP861" s="258" t="str">
        <f t="shared" si="404"/>
        <v/>
      </c>
      <c r="AQ861" s="266"/>
      <c r="AR861" s="258" t="str">
        <f t="shared" si="405"/>
        <v/>
      </c>
      <c r="AS861" s="266"/>
      <c r="AT861" s="256" t="str">
        <f t="shared" si="406"/>
        <v/>
      </c>
      <c r="AU861" s="256" t="str">
        <f t="shared" si="407"/>
        <v/>
      </c>
      <c r="AV861" s="256" t="str">
        <f t="shared" si="408"/>
        <v/>
      </c>
      <c r="AW861" s="267"/>
      <c r="AX861" s="255"/>
      <c r="AY861" s="259" t="str">
        <f>IF(AX861&lt;&gt;"",AX861/VLOOKUP($V861,Setup!$C$30:$D$41,2,0),"")</f>
        <v/>
      </c>
      <c r="AZ861" s="268"/>
      <c r="BA861" s="258" t="str">
        <f t="shared" si="409"/>
        <v/>
      </c>
      <c r="BB861" s="268"/>
      <c r="BC861" s="258" t="str">
        <f t="shared" si="410"/>
        <v/>
      </c>
      <c r="BD861" s="268"/>
      <c r="BE861" s="258" t="str">
        <f t="shared" si="411"/>
        <v/>
      </c>
      <c r="BF861" s="268"/>
      <c r="BG861" s="256" t="str">
        <f t="shared" si="412"/>
        <v/>
      </c>
      <c r="BH861" s="256" t="str">
        <f t="shared" si="413"/>
        <v/>
      </c>
      <c r="BI861" s="256" t="str">
        <f t="shared" si="414"/>
        <v/>
      </c>
      <c r="BJ861" s="267"/>
      <c r="BK861" s="255"/>
      <c r="BL861" s="259" t="str">
        <f>IF(BK861&lt;&gt;"",BK861/VLOOKUP($V861,Setup!$C$30:$D$41,2,0),"")</f>
        <v/>
      </c>
      <c r="BM861" s="268"/>
      <c r="BN861" s="258" t="str">
        <f t="shared" si="415"/>
        <v/>
      </c>
      <c r="BO861" s="268"/>
      <c r="BP861" s="258" t="str">
        <f t="shared" si="416"/>
        <v/>
      </c>
      <c r="BQ861" s="268"/>
      <c r="BR861" s="258" t="str">
        <f t="shared" si="417"/>
        <v/>
      </c>
      <c r="BS861" s="268"/>
      <c r="BT861" s="256" t="str">
        <f t="shared" si="418"/>
        <v/>
      </c>
      <c r="BU861" s="256" t="str">
        <f t="shared" si="419"/>
        <v/>
      </c>
      <c r="BV861" s="256" t="str">
        <f t="shared" si="420"/>
        <v/>
      </c>
      <c r="BW861" s="267"/>
      <c r="BX861" s="256" t="str">
        <f t="shared" si="421"/>
        <v/>
      </c>
      <c r="BY861" s="256" t="str">
        <f t="shared" si="422"/>
        <v/>
      </c>
      <c r="BZ861" s="281"/>
      <c r="CA861" s="282"/>
      <c r="CF861" s="284"/>
      <c r="CG861" s="284"/>
      <c r="CH861" s="284"/>
      <c r="CI861" s="284"/>
      <c r="CL861" s="356" t="str">
        <f>IFERROR(VLOOKUP(C861,'Data Sheet'!$A$3:$B$26,2,FALSE),"")</f>
        <v/>
      </c>
    </row>
    <row r="862" spans="1:90" ht="15.75" x14ac:dyDescent="0.2">
      <c r="A862" s="97"/>
      <c r="B862" s="105" t="str">
        <f t="shared" si="425"/>
        <v>--</v>
      </c>
      <c r="C862" s="276"/>
      <c r="D862" s="101" t="str">
        <f>IFERROR(IF(VLOOKUP(C862,'Data Sheet'!$A$3:$D$26,4,FALSE)=0,"",VLOOKUP(C862,'Data Sheet'!$A$3:$D$26,4,FALSE)),"")</f>
        <v/>
      </c>
      <c r="E862" s="279"/>
      <c r="F862" s="103" t="str">
        <f>IFERROR(IF(VLOOKUP(E862,'Data Sheet'!$C$29:$E$174,3,FALSE)=0,"",VLOOKUP(E862,'Data Sheet'!$C$29:$E$174,3,FALSE)),"")</f>
        <v/>
      </c>
      <c r="G862" s="106" t="str">
        <f t="shared" si="423"/>
        <v>-</v>
      </c>
      <c r="H862" s="273"/>
      <c r="I862" s="107"/>
      <c r="J862" s="249" t="e">
        <f t="shared" si="424"/>
        <v>#VALUE!</v>
      </c>
      <c r="K862" s="101" t="str">
        <f>IFERROR(INDEX('Data Sheet'!$C$198:$C$275,MATCH(I862,'Data Sheet'!$F$198:$F$275,0)),"")</f>
        <v/>
      </c>
      <c r="L862" s="250" t="str">
        <f>IFERROR(INDEX('Data Sheet'!$G$198:$G$275,MATCH(I862,'Data Sheet'!$F$198:$F$275,0)),"")</f>
        <v/>
      </c>
      <c r="M862" s="194"/>
      <c r="N862" s="248"/>
      <c r="O862" s="248"/>
      <c r="P862" s="108" t="str">
        <f>IFERROR(INDEX(Setup!$D$44:$D$70,MATCH(M862,Setup!$K$44:$K$70,0))&amp;"","")</f>
        <v/>
      </c>
      <c r="Q862" s="108" t="str">
        <f>IFERROR(INDEX(Setup!$E$44:$E$70,MATCH(M862,Setup!$K$44:$K$70,0))&amp;"","")</f>
        <v/>
      </c>
      <c r="R862" s="108" t="str">
        <f>IFERROR(INDEX(Setup!$L$44:$L$70,MATCH(M862,Setup!$K$44:$K$70,0))&amp;"","")</f>
        <v/>
      </c>
      <c r="S862" s="108" t="str">
        <f>Setup!$C$30</f>
        <v>USD</v>
      </c>
      <c r="T862" s="109" t="str">
        <f>IFERROR(INDEX('Data Sheet'!$B$198:$B$275,MATCH(I862,'Data Sheet'!$F$198:$F$275,0)),"")</f>
        <v/>
      </c>
      <c r="U862" s="110" t="str">
        <f>IFERROR(INDEX('Data Sheet'!$D$198:$D$275,MATCH(I862,'Data Sheet'!$F$198:$F$275,0)),"")</f>
        <v/>
      </c>
      <c r="V862" s="99"/>
      <c r="W862" s="195" t="str">
        <f>IF(V862=Setup!$C$30,"Grant",IF(V862=Setup!$C$31,"Local",IF(V862=Setup!$C$32,"Other",IF(ISBLANK(V862),"","Other"))))</f>
        <v/>
      </c>
      <c r="X862" s="255"/>
      <c r="Y862" s="259" t="str">
        <f>IF(X862&lt;&gt;"",X862/VLOOKUP($V862,Setup!$C$30:$D$41,2,0),"")</f>
        <v/>
      </c>
      <c r="Z862" s="262"/>
      <c r="AA862" s="256" t="str">
        <f t="shared" si="397"/>
        <v/>
      </c>
      <c r="AB862" s="262"/>
      <c r="AC862" s="258" t="str">
        <f t="shared" si="398"/>
        <v/>
      </c>
      <c r="AD862" s="262"/>
      <c r="AE862" s="258" t="str">
        <f t="shared" si="399"/>
        <v/>
      </c>
      <c r="AF862" s="262"/>
      <c r="AG862" s="256" t="str">
        <f t="shared" si="400"/>
        <v/>
      </c>
      <c r="AH862" s="256" t="str">
        <f t="shared" si="401"/>
        <v/>
      </c>
      <c r="AI862" s="256" t="str">
        <f t="shared" si="402"/>
        <v/>
      </c>
      <c r="AJ862" s="111"/>
      <c r="AK862" s="255"/>
      <c r="AL862" s="259" t="str">
        <f>IF(AK862&lt;&gt;"",AK862/VLOOKUP($V862,Setup!$C$30:$D$41,2,0),"")</f>
        <v/>
      </c>
      <c r="AM862" s="266"/>
      <c r="AN862" s="258" t="str">
        <f t="shared" si="403"/>
        <v/>
      </c>
      <c r="AO862" s="266"/>
      <c r="AP862" s="258" t="str">
        <f t="shared" si="404"/>
        <v/>
      </c>
      <c r="AQ862" s="266"/>
      <c r="AR862" s="258" t="str">
        <f t="shared" si="405"/>
        <v/>
      </c>
      <c r="AS862" s="266"/>
      <c r="AT862" s="256" t="str">
        <f t="shared" si="406"/>
        <v/>
      </c>
      <c r="AU862" s="256" t="str">
        <f t="shared" si="407"/>
        <v/>
      </c>
      <c r="AV862" s="256" t="str">
        <f t="shared" si="408"/>
        <v/>
      </c>
      <c r="AW862" s="267"/>
      <c r="AX862" s="255"/>
      <c r="AY862" s="259" t="str">
        <f>IF(AX862&lt;&gt;"",AX862/VLOOKUP($V862,Setup!$C$30:$D$41,2,0),"")</f>
        <v/>
      </c>
      <c r="AZ862" s="268"/>
      <c r="BA862" s="258" t="str">
        <f t="shared" si="409"/>
        <v/>
      </c>
      <c r="BB862" s="268"/>
      <c r="BC862" s="258" t="str">
        <f t="shared" si="410"/>
        <v/>
      </c>
      <c r="BD862" s="268"/>
      <c r="BE862" s="258" t="str">
        <f t="shared" si="411"/>
        <v/>
      </c>
      <c r="BF862" s="268"/>
      <c r="BG862" s="256" t="str">
        <f t="shared" si="412"/>
        <v/>
      </c>
      <c r="BH862" s="256" t="str">
        <f t="shared" si="413"/>
        <v/>
      </c>
      <c r="BI862" s="256" t="str">
        <f t="shared" si="414"/>
        <v/>
      </c>
      <c r="BJ862" s="267"/>
      <c r="BK862" s="255"/>
      <c r="BL862" s="259" t="str">
        <f>IF(BK862&lt;&gt;"",BK862/VLOOKUP($V862,Setup!$C$30:$D$41,2,0),"")</f>
        <v/>
      </c>
      <c r="BM862" s="268"/>
      <c r="BN862" s="258" t="str">
        <f t="shared" si="415"/>
        <v/>
      </c>
      <c r="BO862" s="268"/>
      <c r="BP862" s="258" t="str">
        <f t="shared" si="416"/>
        <v/>
      </c>
      <c r="BQ862" s="268"/>
      <c r="BR862" s="258" t="str">
        <f t="shared" si="417"/>
        <v/>
      </c>
      <c r="BS862" s="268"/>
      <c r="BT862" s="256" t="str">
        <f t="shared" si="418"/>
        <v/>
      </c>
      <c r="BU862" s="256" t="str">
        <f t="shared" si="419"/>
        <v/>
      </c>
      <c r="BV862" s="256" t="str">
        <f t="shared" si="420"/>
        <v/>
      </c>
      <c r="BW862" s="267"/>
      <c r="BX862" s="256" t="str">
        <f t="shared" si="421"/>
        <v/>
      </c>
      <c r="BY862" s="256" t="str">
        <f t="shared" si="422"/>
        <v/>
      </c>
      <c r="BZ862" s="281"/>
      <c r="CA862" s="282"/>
      <c r="CF862" s="284"/>
      <c r="CG862" s="284"/>
      <c r="CH862" s="284"/>
      <c r="CI862" s="284"/>
      <c r="CL862" s="356" t="str">
        <f>IFERROR(VLOOKUP(C862,'Data Sheet'!$A$3:$B$26,2,FALSE),"")</f>
        <v/>
      </c>
    </row>
    <row r="863" spans="1:90" ht="15.75" x14ac:dyDescent="0.2">
      <c r="A863" s="97"/>
      <c r="B863" s="105" t="str">
        <f t="shared" si="425"/>
        <v>--</v>
      </c>
      <c r="C863" s="276"/>
      <c r="D863" s="101" t="str">
        <f>IFERROR(IF(VLOOKUP(C863,'Data Sheet'!$A$3:$D$26,4,FALSE)=0,"",VLOOKUP(C863,'Data Sheet'!$A$3:$D$26,4,FALSE)),"")</f>
        <v/>
      </c>
      <c r="E863" s="279"/>
      <c r="F863" s="103" t="str">
        <f>IFERROR(IF(VLOOKUP(E863,'Data Sheet'!$C$29:$E$174,3,FALSE)=0,"",VLOOKUP(E863,'Data Sheet'!$C$29:$E$174,3,FALSE)),"")</f>
        <v/>
      </c>
      <c r="G863" s="106" t="str">
        <f t="shared" si="423"/>
        <v>-</v>
      </c>
      <c r="H863" s="273"/>
      <c r="I863" s="107"/>
      <c r="J863" s="249" t="e">
        <f t="shared" si="424"/>
        <v>#VALUE!</v>
      </c>
      <c r="K863" s="101" t="str">
        <f>IFERROR(INDEX('Data Sheet'!$C$198:$C$275,MATCH(I863,'Data Sheet'!$F$198:$F$275,0)),"")</f>
        <v/>
      </c>
      <c r="L863" s="250" t="str">
        <f>IFERROR(INDEX('Data Sheet'!$G$198:$G$275,MATCH(I863,'Data Sheet'!$F$198:$F$275,0)),"")</f>
        <v/>
      </c>
      <c r="M863" s="194"/>
      <c r="N863" s="248"/>
      <c r="O863" s="248"/>
      <c r="P863" s="108" t="str">
        <f>IFERROR(INDEX(Setup!$D$44:$D$70,MATCH(M863,Setup!$K$44:$K$70,0))&amp;"","")</f>
        <v/>
      </c>
      <c r="Q863" s="108" t="str">
        <f>IFERROR(INDEX(Setup!$E$44:$E$70,MATCH(M863,Setup!$K$44:$K$70,0))&amp;"","")</f>
        <v/>
      </c>
      <c r="R863" s="108" t="str">
        <f>IFERROR(INDEX(Setup!$L$44:$L$70,MATCH(M863,Setup!$K$44:$K$70,0))&amp;"","")</f>
        <v/>
      </c>
      <c r="S863" s="108" t="str">
        <f>Setup!$C$30</f>
        <v>USD</v>
      </c>
      <c r="T863" s="109" t="str">
        <f>IFERROR(INDEX('Data Sheet'!$B$198:$B$275,MATCH(I863,'Data Sheet'!$F$198:$F$275,0)),"")</f>
        <v/>
      </c>
      <c r="U863" s="110" t="str">
        <f>IFERROR(INDEX('Data Sheet'!$D$198:$D$275,MATCH(I863,'Data Sheet'!$F$198:$F$275,0)),"")</f>
        <v/>
      </c>
      <c r="V863" s="99"/>
      <c r="W863" s="195" t="str">
        <f>IF(V863=Setup!$C$30,"Grant",IF(V863=Setup!$C$31,"Local",IF(V863=Setup!$C$32,"Other",IF(ISBLANK(V863),"","Other"))))</f>
        <v/>
      </c>
      <c r="X863" s="255"/>
      <c r="Y863" s="259" t="str">
        <f>IF(X863&lt;&gt;"",X863/VLOOKUP($V863,Setup!$C$30:$D$41,2,0),"")</f>
        <v/>
      </c>
      <c r="Z863" s="262"/>
      <c r="AA863" s="256" t="str">
        <f t="shared" si="397"/>
        <v/>
      </c>
      <c r="AB863" s="262"/>
      <c r="AC863" s="258" t="str">
        <f t="shared" si="398"/>
        <v/>
      </c>
      <c r="AD863" s="262"/>
      <c r="AE863" s="258" t="str">
        <f t="shared" si="399"/>
        <v/>
      </c>
      <c r="AF863" s="262"/>
      <c r="AG863" s="256" t="str">
        <f t="shared" si="400"/>
        <v/>
      </c>
      <c r="AH863" s="256" t="str">
        <f t="shared" si="401"/>
        <v/>
      </c>
      <c r="AI863" s="256" t="str">
        <f t="shared" si="402"/>
        <v/>
      </c>
      <c r="AJ863" s="111"/>
      <c r="AK863" s="255"/>
      <c r="AL863" s="259" t="str">
        <f>IF(AK863&lt;&gt;"",AK863/VLOOKUP($V863,Setup!$C$30:$D$41,2,0),"")</f>
        <v/>
      </c>
      <c r="AM863" s="266"/>
      <c r="AN863" s="258" t="str">
        <f t="shared" si="403"/>
        <v/>
      </c>
      <c r="AO863" s="266"/>
      <c r="AP863" s="258" t="str">
        <f t="shared" si="404"/>
        <v/>
      </c>
      <c r="AQ863" s="266"/>
      <c r="AR863" s="258" t="str">
        <f t="shared" si="405"/>
        <v/>
      </c>
      <c r="AS863" s="266"/>
      <c r="AT863" s="256" t="str">
        <f t="shared" si="406"/>
        <v/>
      </c>
      <c r="AU863" s="256" t="str">
        <f t="shared" si="407"/>
        <v/>
      </c>
      <c r="AV863" s="256" t="str">
        <f t="shared" si="408"/>
        <v/>
      </c>
      <c r="AW863" s="267"/>
      <c r="AX863" s="255"/>
      <c r="AY863" s="259" t="str">
        <f>IF(AX863&lt;&gt;"",AX863/VLOOKUP($V863,Setup!$C$30:$D$41,2,0),"")</f>
        <v/>
      </c>
      <c r="AZ863" s="268"/>
      <c r="BA863" s="258" t="str">
        <f t="shared" si="409"/>
        <v/>
      </c>
      <c r="BB863" s="268"/>
      <c r="BC863" s="258" t="str">
        <f t="shared" si="410"/>
        <v/>
      </c>
      <c r="BD863" s="268"/>
      <c r="BE863" s="258" t="str">
        <f t="shared" si="411"/>
        <v/>
      </c>
      <c r="BF863" s="268"/>
      <c r="BG863" s="256" t="str">
        <f t="shared" si="412"/>
        <v/>
      </c>
      <c r="BH863" s="256" t="str">
        <f t="shared" si="413"/>
        <v/>
      </c>
      <c r="BI863" s="256" t="str">
        <f t="shared" si="414"/>
        <v/>
      </c>
      <c r="BJ863" s="267"/>
      <c r="BK863" s="255"/>
      <c r="BL863" s="259" t="str">
        <f>IF(BK863&lt;&gt;"",BK863/VLOOKUP($V863,Setup!$C$30:$D$41,2,0),"")</f>
        <v/>
      </c>
      <c r="BM863" s="268"/>
      <c r="BN863" s="258" t="str">
        <f t="shared" si="415"/>
        <v/>
      </c>
      <c r="BO863" s="268"/>
      <c r="BP863" s="258" t="str">
        <f t="shared" si="416"/>
        <v/>
      </c>
      <c r="BQ863" s="268"/>
      <c r="BR863" s="258" t="str">
        <f t="shared" si="417"/>
        <v/>
      </c>
      <c r="BS863" s="268"/>
      <c r="BT863" s="256" t="str">
        <f t="shared" si="418"/>
        <v/>
      </c>
      <c r="BU863" s="256" t="str">
        <f t="shared" si="419"/>
        <v/>
      </c>
      <c r="BV863" s="256" t="str">
        <f t="shared" si="420"/>
        <v/>
      </c>
      <c r="BW863" s="267"/>
      <c r="BX863" s="256" t="str">
        <f t="shared" si="421"/>
        <v/>
      </c>
      <c r="BY863" s="256" t="str">
        <f t="shared" si="422"/>
        <v/>
      </c>
      <c r="BZ863" s="281"/>
      <c r="CA863" s="282"/>
      <c r="CF863" s="284"/>
      <c r="CG863" s="284"/>
      <c r="CH863" s="284"/>
      <c r="CI863" s="284"/>
      <c r="CL863" s="356" t="str">
        <f>IFERROR(VLOOKUP(C863,'Data Sheet'!$A$3:$B$26,2,FALSE),"")</f>
        <v/>
      </c>
    </row>
    <row r="864" spans="1:90" ht="15.75" x14ac:dyDescent="0.2">
      <c r="A864" s="97"/>
      <c r="B864" s="105" t="str">
        <f t="shared" si="425"/>
        <v>--</v>
      </c>
      <c r="C864" s="276"/>
      <c r="D864" s="101" t="str">
        <f>IFERROR(IF(VLOOKUP(C864,'Data Sheet'!$A$3:$D$26,4,FALSE)=0,"",VLOOKUP(C864,'Data Sheet'!$A$3:$D$26,4,FALSE)),"")</f>
        <v/>
      </c>
      <c r="E864" s="279"/>
      <c r="F864" s="103" t="str">
        <f>IFERROR(IF(VLOOKUP(E864,'Data Sheet'!$C$29:$E$174,3,FALSE)=0,"",VLOOKUP(E864,'Data Sheet'!$C$29:$E$174,3,FALSE)),"")</f>
        <v/>
      </c>
      <c r="G864" s="106" t="str">
        <f t="shared" si="423"/>
        <v>-</v>
      </c>
      <c r="H864" s="273"/>
      <c r="I864" s="107"/>
      <c r="J864" s="249" t="e">
        <f t="shared" si="424"/>
        <v>#VALUE!</v>
      </c>
      <c r="K864" s="101" t="str">
        <f>IFERROR(INDEX('Data Sheet'!$C$198:$C$275,MATCH(I864,'Data Sheet'!$F$198:$F$275,0)),"")</f>
        <v/>
      </c>
      <c r="L864" s="250" t="str">
        <f>IFERROR(INDEX('Data Sheet'!$G$198:$G$275,MATCH(I864,'Data Sheet'!$F$198:$F$275,0)),"")</f>
        <v/>
      </c>
      <c r="M864" s="194"/>
      <c r="N864" s="248"/>
      <c r="O864" s="248"/>
      <c r="P864" s="108" t="str">
        <f>IFERROR(INDEX(Setup!$D$44:$D$70,MATCH(M864,Setup!$K$44:$K$70,0))&amp;"","")</f>
        <v/>
      </c>
      <c r="Q864" s="108" t="str">
        <f>IFERROR(INDEX(Setup!$E$44:$E$70,MATCH(M864,Setup!$K$44:$K$70,0))&amp;"","")</f>
        <v/>
      </c>
      <c r="R864" s="108" t="str">
        <f>IFERROR(INDEX(Setup!$L$44:$L$70,MATCH(M864,Setup!$K$44:$K$70,0))&amp;"","")</f>
        <v/>
      </c>
      <c r="S864" s="108" t="str">
        <f>Setup!$C$30</f>
        <v>USD</v>
      </c>
      <c r="T864" s="109" t="str">
        <f>IFERROR(INDEX('Data Sheet'!$B$198:$B$275,MATCH(I864,'Data Sheet'!$F$198:$F$275,0)),"")</f>
        <v/>
      </c>
      <c r="U864" s="110" t="str">
        <f>IFERROR(INDEX('Data Sheet'!$D$198:$D$275,MATCH(I864,'Data Sheet'!$F$198:$F$275,0)),"")</f>
        <v/>
      </c>
      <c r="V864" s="99"/>
      <c r="W864" s="195" t="str">
        <f>IF(V864=Setup!$C$30,"Grant",IF(V864=Setup!$C$31,"Local",IF(V864=Setup!$C$32,"Other",IF(ISBLANK(V864),"","Other"))))</f>
        <v/>
      </c>
      <c r="X864" s="255"/>
      <c r="Y864" s="259" t="str">
        <f>IF(X864&lt;&gt;"",X864/VLOOKUP($V864,Setup!$C$30:$D$41,2,0),"")</f>
        <v/>
      </c>
      <c r="Z864" s="262"/>
      <c r="AA864" s="256" t="str">
        <f t="shared" si="397"/>
        <v/>
      </c>
      <c r="AB864" s="262"/>
      <c r="AC864" s="258" t="str">
        <f t="shared" si="398"/>
        <v/>
      </c>
      <c r="AD864" s="262"/>
      <c r="AE864" s="258" t="str">
        <f t="shared" si="399"/>
        <v/>
      </c>
      <c r="AF864" s="262"/>
      <c r="AG864" s="256" t="str">
        <f t="shared" si="400"/>
        <v/>
      </c>
      <c r="AH864" s="256" t="str">
        <f t="shared" si="401"/>
        <v/>
      </c>
      <c r="AI864" s="256" t="str">
        <f t="shared" si="402"/>
        <v/>
      </c>
      <c r="AJ864" s="111"/>
      <c r="AK864" s="255"/>
      <c r="AL864" s="259" t="str">
        <f>IF(AK864&lt;&gt;"",AK864/VLOOKUP($V864,Setup!$C$30:$D$41,2,0),"")</f>
        <v/>
      </c>
      <c r="AM864" s="266"/>
      <c r="AN864" s="258" t="str">
        <f t="shared" si="403"/>
        <v/>
      </c>
      <c r="AO864" s="266"/>
      <c r="AP864" s="258" t="str">
        <f t="shared" si="404"/>
        <v/>
      </c>
      <c r="AQ864" s="266"/>
      <c r="AR864" s="258" t="str">
        <f t="shared" si="405"/>
        <v/>
      </c>
      <c r="AS864" s="266"/>
      <c r="AT864" s="256" t="str">
        <f t="shared" si="406"/>
        <v/>
      </c>
      <c r="AU864" s="256" t="str">
        <f t="shared" si="407"/>
        <v/>
      </c>
      <c r="AV864" s="256" t="str">
        <f t="shared" si="408"/>
        <v/>
      </c>
      <c r="AW864" s="267"/>
      <c r="AX864" s="255"/>
      <c r="AY864" s="259" t="str">
        <f>IF(AX864&lt;&gt;"",AX864/VLOOKUP($V864,Setup!$C$30:$D$41,2,0),"")</f>
        <v/>
      </c>
      <c r="AZ864" s="268"/>
      <c r="BA864" s="258" t="str">
        <f t="shared" si="409"/>
        <v/>
      </c>
      <c r="BB864" s="268"/>
      <c r="BC864" s="258" t="str">
        <f t="shared" si="410"/>
        <v/>
      </c>
      <c r="BD864" s="268"/>
      <c r="BE864" s="258" t="str">
        <f t="shared" si="411"/>
        <v/>
      </c>
      <c r="BF864" s="268"/>
      <c r="BG864" s="256" t="str">
        <f t="shared" si="412"/>
        <v/>
      </c>
      <c r="BH864" s="256" t="str">
        <f t="shared" si="413"/>
        <v/>
      </c>
      <c r="BI864" s="256" t="str">
        <f t="shared" si="414"/>
        <v/>
      </c>
      <c r="BJ864" s="267"/>
      <c r="BK864" s="255"/>
      <c r="BL864" s="259" t="str">
        <f>IF(BK864&lt;&gt;"",BK864/VLOOKUP($V864,Setup!$C$30:$D$41,2,0),"")</f>
        <v/>
      </c>
      <c r="BM864" s="268"/>
      <c r="BN864" s="258" t="str">
        <f t="shared" si="415"/>
        <v/>
      </c>
      <c r="BO864" s="268"/>
      <c r="BP864" s="258" t="str">
        <f t="shared" si="416"/>
        <v/>
      </c>
      <c r="BQ864" s="268"/>
      <c r="BR864" s="258" t="str">
        <f t="shared" si="417"/>
        <v/>
      </c>
      <c r="BS864" s="268"/>
      <c r="BT864" s="256" t="str">
        <f t="shared" si="418"/>
        <v/>
      </c>
      <c r="BU864" s="256" t="str">
        <f t="shared" si="419"/>
        <v/>
      </c>
      <c r="BV864" s="256" t="str">
        <f t="shared" si="420"/>
        <v/>
      </c>
      <c r="BW864" s="267"/>
      <c r="BX864" s="256" t="str">
        <f t="shared" si="421"/>
        <v/>
      </c>
      <c r="BY864" s="256" t="str">
        <f t="shared" si="422"/>
        <v/>
      </c>
      <c r="BZ864" s="281"/>
      <c r="CA864" s="282"/>
      <c r="CF864" s="284"/>
      <c r="CG864" s="284"/>
      <c r="CH864" s="284"/>
      <c r="CI864" s="284"/>
      <c r="CL864" s="356" t="str">
        <f>IFERROR(VLOOKUP(C864,'Data Sheet'!$A$3:$B$26,2,FALSE),"")</f>
        <v/>
      </c>
    </row>
    <row r="865" spans="1:90" ht="15.75" x14ac:dyDescent="0.2">
      <c r="A865" s="97"/>
      <c r="B865" s="105" t="str">
        <f t="shared" si="425"/>
        <v>--</v>
      </c>
      <c r="C865" s="276"/>
      <c r="D865" s="101" t="str">
        <f>IFERROR(IF(VLOOKUP(C865,'Data Sheet'!$A$3:$D$26,4,FALSE)=0,"",VLOOKUP(C865,'Data Sheet'!$A$3:$D$26,4,FALSE)),"")</f>
        <v/>
      </c>
      <c r="E865" s="279"/>
      <c r="F865" s="103" t="str">
        <f>IFERROR(IF(VLOOKUP(E865,'Data Sheet'!$C$29:$E$174,3,FALSE)=0,"",VLOOKUP(E865,'Data Sheet'!$C$29:$E$174,3,FALSE)),"")</f>
        <v/>
      </c>
      <c r="G865" s="106" t="str">
        <f t="shared" si="423"/>
        <v>-</v>
      </c>
      <c r="H865" s="273"/>
      <c r="I865" s="107"/>
      <c r="J865" s="249" t="e">
        <f t="shared" si="424"/>
        <v>#VALUE!</v>
      </c>
      <c r="K865" s="101" t="str">
        <f>IFERROR(INDEX('Data Sheet'!$C$198:$C$275,MATCH(I865,'Data Sheet'!$F$198:$F$275,0)),"")</f>
        <v/>
      </c>
      <c r="L865" s="250" t="str">
        <f>IFERROR(INDEX('Data Sheet'!$G$198:$G$275,MATCH(I865,'Data Sheet'!$F$198:$F$275,0)),"")</f>
        <v/>
      </c>
      <c r="M865" s="194"/>
      <c r="N865" s="248"/>
      <c r="O865" s="248"/>
      <c r="P865" s="108" t="str">
        <f>IFERROR(INDEX(Setup!$D$44:$D$70,MATCH(M865,Setup!$K$44:$K$70,0))&amp;"","")</f>
        <v/>
      </c>
      <c r="Q865" s="108" t="str">
        <f>IFERROR(INDEX(Setup!$E$44:$E$70,MATCH(M865,Setup!$K$44:$K$70,0))&amp;"","")</f>
        <v/>
      </c>
      <c r="R865" s="108" t="str">
        <f>IFERROR(INDEX(Setup!$L$44:$L$70,MATCH(M865,Setup!$K$44:$K$70,0))&amp;"","")</f>
        <v/>
      </c>
      <c r="S865" s="108" t="str">
        <f>Setup!$C$30</f>
        <v>USD</v>
      </c>
      <c r="T865" s="109" t="str">
        <f>IFERROR(INDEX('Data Sheet'!$B$198:$B$275,MATCH(I865,'Data Sheet'!$F$198:$F$275,0)),"")</f>
        <v/>
      </c>
      <c r="U865" s="110" t="str">
        <f>IFERROR(INDEX('Data Sheet'!$D$198:$D$275,MATCH(I865,'Data Sheet'!$F$198:$F$275,0)),"")</f>
        <v/>
      </c>
      <c r="V865" s="99"/>
      <c r="W865" s="195" t="str">
        <f>IF(V865=Setup!$C$30,"Grant",IF(V865=Setup!$C$31,"Local",IF(V865=Setup!$C$32,"Other",IF(ISBLANK(V865),"","Other"))))</f>
        <v/>
      </c>
      <c r="X865" s="255"/>
      <c r="Y865" s="259" t="str">
        <f>IF(X865&lt;&gt;"",X865/VLOOKUP($V865,Setup!$C$30:$D$41,2,0),"")</f>
        <v/>
      </c>
      <c r="Z865" s="262"/>
      <c r="AA865" s="256" t="str">
        <f t="shared" si="397"/>
        <v/>
      </c>
      <c r="AB865" s="262"/>
      <c r="AC865" s="258" t="str">
        <f t="shared" si="398"/>
        <v/>
      </c>
      <c r="AD865" s="262"/>
      <c r="AE865" s="258" t="str">
        <f t="shared" si="399"/>
        <v/>
      </c>
      <c r="AF865" s="262"/>
      <c r="AG865" s="256" t="str">
        <f t="shared" si="400"/>
        <v/>
      </c>
      <c r="AH865" s="256" t="str">
        <f t="shared" si="401"/>
        <v/>
      </c>
      <c r="AI865" s="256" t="str">
        <f t="shared" si="402"/>
        <v/>
      </c>
      <c r="AJ865" s="111"/>
      <c r="AK865" s="255"/>
      <c r="AL865" s="259" t="str">
        <f>IF(AK865&lt;&gt;"",AK865/VLOOKUP($V865,Setup!$C$30:$D$41,2,0),"")</f>
        <v/>
      </c>
      <c r="AM865" s="266"/>
      <c r="AN865" s="258" t="str">
        <f t="shared" si="403"/>
        <v/>
      </c>
      <c r="AO865" s="266"/>
      <c r="AP865" s="258" t="str">
        <f t="shared" si="404"/>
        <v/>
      </c>
      <c r="AQ865" s="266"/>
      <c r="AR865" s="258" t="str">
        <f t="shared" si="405"/>
        <v/>
      </c>
      <c r="AS865" s="266"/>
      <c r="AT865" s="256" t="str">
        <f t="shared" si="406"/>
        <v/>
      </c>
      <c r="AU865" s="256" t="str">
        <f t="shared" si="407"/>
        <v/>
      </c>
      <c r="AV865" s="256" t="str">
        <f t="shared" si="408"/>
        <v/>
      </c>
      <c r="AW865" s="267"/>
      <c r="AX865" s="255"/>
      <c r="AY865" s="259" t="str">
        <f>IF(AX865&lt;&gt;"",AX865/VLOOKUP($V865,Setup!$C$30:$D$41,2,0),"")</f>
        <v/>
      </c>
      <c r="AZ865" s="268"/>
      <c r="BA865" s="258" t="str">
        <f t="shared" si="409"/>
        <v/>
      </c>
      <c r="BB865" s="268"/>
      <c r="BC865" s="258" t="str">
        <f t="shared" si="410"/>
        <v/>
      </c>
      <c r="BD865" s="268"/>
      <c r="BE865" s="258" t="str">
        <f t="shared" si="411"/>
        <v/>
      </c>
      <c r="BF865" s="268"/>
      <c r="BG865" s="256" t="str">
        <f t="shared" si="412"/>
        <v/>
      </c>
      <c r="BH865" s="256" t="str">
        <f t="shared" si="413"/>
        <v/>
      </c>
      <c r="BI865" s="256" t="str">
        <f t="shared" si="414"/>
        <v/>
      </c>
      <c r="BJ865" s="267"/>
      <c r="BK865" s="255"/>
      <c r="BL865" s="259" t="str">
        <f>IF(BK865&lt;&gt;"",BK865/VLOOKUP($V865,Setup!$C$30:$D$41,2,0),"")</f>
        <v/>
      </c>
      <c r="BM865" s="268"/>
      <c r="BN865" s="258" t="str">
        <f t="shared" si="415"/>
        <v/>
      </c>
      <c r="BO865" s="268"/>
      <c r="BP865" s="258" t="str">
        <f t="shared" si="416"/>
        <v/>
      </c>
      <c r="BQ865" s="268"/>
      <c r="BR865" s="258" t="str">
        <f t="shared" si="417"/>
        <v/>
      </c>
      <c r="BS865" s="268"/>
      <c r="BT865" s="256" t="str">
        <f t="shared" si="418"/>
        <v/>
      </c>
      <c r="BU865" s="256" t="str">
        <f t="shared" si="419"/>
        <v/>
      </c>
      <c r="BV865" s="256" t="str">
        <f t="shared" si="420"/>
        <v/>
      </c>
      <c r="BW865" s="267"/>
      <c r="BX865" s="256" t="str">
        <f t="shared" si="421"/>
        <v/>
      </c>
      <c r="BY865" s="256" t="str">
        <f t="shared" si="422"/>
        <v/>
      </c>
      <c r="BZ865" s="281"/>
      <c r="CA865" s="282"/>
      <c r="CF865" s="284"/>
      <c r="CG865" s="284"/>
      <c r="CH865" s="284"/>
      <c r="CI865" s="284"/>
      <c r="CL865" s="356" t="str">
        <f>IFERROR(VLOOKUP(C865,'Data Sheet'!$A$3:$B$26,2,FALSE),"")</f>
        <v/>
      </c>
    </row>
    <row r="866" spans="1:90" ht="15.75" x14ac:dyDescent="0.2">
      <c r="A866" s="97"/>
      <c r="B866" s="105" t="str">
        <f t="shared" si="425"/>
        <v>--</v>
      </c>
      <c r="C866" s="276"/>
      <c r="D866" s="101" t="str">
        <f>IFERROR(IF(VLOOKUP(C866,'Data Sheet'!$A$3:$D$26,4,FALSE)=0,"",VLOOKUP(C866,'Data Sheet'!$A$3:$D$26,4,FALSE)),"")</f>
        <v/>
      </c>
      <c r="E866" s="279"/>
      <c r="F866" s="103" t="str">
        <f>IFERROR(IF(VLOOKUP(E866,'Data Sheet'!$C$29:$E$174,3,FALSE)=0,"",VLOOKUP(E866,'Data Sheet'!$C$29:$E$174,3,FALSE)),"")</f>
        <v/>
      </c>
      <c r="G866" s="106" t="str">
        <f t="shared" si="423"/>
        <v>-</v>
      </c>
      <c r="H866" s="273"/>
      <c r="I866" s="107"/>
      <c r="J866" s="249" t="e">
        <f t="shared" si="424"/>
        <v>#VALUE!</v>
      </c>
      <c r="K866" s="101" t="str">
        <f>IFERROR(INDEX('Data Sheet'!$C$198:$C$275,MATCH(I866,'Data Sheet'!$F$198:$F$275,0)),"")</f>
        <v/>
      </c>
      <c r="L866" s="250" t="str">
        <f>IFERROR(INDEX('Data Sheet'!$G$198:$G$275,MATCH(I866,'Data Sheet'!$F$198:$F$275,0)),"")</f>
        <v/>
      </c>
      <c r="M866" s="194"/>
      <c r="N866" s="248"/>
      <c r="O866" s="248"/>
      <c r="P866" s="108" t="str">
        <f>IFERROR(INDEX(Setup!$D$44:$D$70,MATCH(M866,Setup!$K$44:$K$70,0))&amp;"","")</f>
        <v/>
      </c>
      <c r="Q866" s="108" t="str">
        <f>IFERROR(INDEX(Setup!$E$44:$E$70,MATCH(M866,Setup!$K$44:$K$70,0))&amp;"","")</f>
        <v/>
      </c>
      <c r="R866" s="108" t="str">
        <f>IFERROR(INDEX(Setup!$L$44:$L$70,MATCH(M866,Setup!$K$44:$K$70,0))&amp;"","")</f>
        <v/>
      </c>
      <c r="S866" s="108" t="str">
        <f>Setup!$C$30</f>
        <v>USD</v>
      </c>
      <c r="T866" s="109" t="str">
        <f>IFERROR(INDEX('Data Sheet'!$B$198:$B$275,MATCH(I866,'Data Sheet'!$F$198:$F$275,0)),"")</f>
        <v/>
      </c>
      <c r="U866" s="110" t="str">
        <f>IFERROR(INDEX('Data Sheet'!$D$198:$D$275,MATCH(I866,'Data Sheet'!$F$198:$F$275,0)),"")</f>
        <v/>
      </c>
      <c r="V866" s="99"/>
      <c r="W866" s="195" t="str">
        <f>IF(V866=Setup!$C$30,"Grant",IF(V866=Setup!$C$31,"Local",IF(V866=Setup!$C$32,"Other",IF(ISBLANK(V866),"","Other"))))</f>
        <v/>
      </c>
      <c r="X866" s="255"/>
      <c r="Y866" s="259" t="str">
        <f>IF(X866&lt;&gt;"",X866/VLOOKUP($V866,Setup!$C$30:$D$41,2,0),"")</f>
        <v/>
      </c>
      <c r="Z866" s="262"/>
      <c r="AA866" s="256" t="str">
        <f t="shared" si="397"/>
        <v/>
      </c>
      <c r="AB866" s="262"/>
      <c r="AC866" s="258" t="str">
        <f t="shared" si="398"/>
        <v/>
      </c>
      <c r="AD866" s="262"/>
      <c r="AE866" s="258" t="str">
        <f t="shared" si="399"/>
        <v/>
      </c>
      <c r="AF866" s="262"/>
      <c r="AG866" s="256" t="str">
        <f t="shared" si="400"/>
        <v/>
      </c>
      <c r="AH866" s="256" t="str">
        <f t="shared" si="401"/>
        <v/>
      </c>
      <c r="AI866" s="256" t="str">
        <f t="shared" si="402"/>
        <v/>
      </c>
      <c r="AJ866" s="111"/>
      <c r="AK866" s="255"/>
      <c r="AL866" s="259" t="str">
        <f>IF(AK866&lt;&gt;"",AK866/VLOOKUP($V866,Setup!$C$30:$D$41,2,0),"")</f>
        <v/>
      </c>
      <c r="AM866" s="266"/>
      <c r="AN866" s="258" t="str">
        <f t="shared" si="403"/>
        <v/>
      </c>
      <c r="AO866" s="266"/>
      <c r="AP866" s="258" t="str">
        <f t="shared" si="404"/>
        <v/>
      </c>
      <c r="AQ866" s="266"/>
      <c r="AR866" s="258" t="str">
        <f t="shared" si="405"/>
        <v/>
      </c>
      <c r="AS866" s="266"/>
      <c r="AT866" s="256" t="str">
        <f t="shared" si="406"/>
        <v/>
      </c>
      <c r="AU866" s="256" t="str">
        <f t="shared" si="407"/>
        <v/>
      </c>
      <c r="AV866" s="256" t="str">
        <f t="shared" si="408"/>
        <v/>
      </c>
      <c r="AW866" s="267"/>
      <c r="AX866" s="255"/>
      <c r="AY866" s="259" t="str">
        <f>IF(AX866&lt;&gt;"",AX866/VLOOKUP($V866,Setup!$C$30:$D$41,2,0),"")</f>
        <v/>
      </c>
      <c r="AZ866" s="268"/>
      <c r="BA866" s="258" t="str">
        <f t="shared" si="409"/>
        <v/>
      </c>
      <c r="BB866" s="268"/>
      <c r="BC866" s="258" t="str">
        <f t="shared" si="410"/>
        <v/>
      </c>
      <c r="BD866" s="268"/>
      <c r="BE866" s="258" t="str">
        <f t="shared" si="411"/>
        <v/>
      </c>
      <c r="BF866" s="268"/>
      <c r="BG866" s="256" t="str">
        <f t="shared" si="412"/>
        <v/>
      </c>
      <c r="BH866" s="256" t="str">
        <f t="shared" si="413"/>
        <v/>
      </c>
      <c r="BI866" s="256" t="str">
        <f t="shared" si="414"/>
        <v/>
      </c>
      <c r="BJ866" s="267"/>
      <c r="BK866" s="255"/>
      <c r="BL866" s="259" t="str">
        <f>IF(BK866&lt;&gt;"",BK866/VLOOKUP($V866,Setup!$C$30:$D$41,2,0),"")</f>
        <v/>
      </c>
      <c r="BM866" s="268"/>
      <c r="BN866" s="258" t="str">
        <f t="shared" si="415"/>
        <v/>
      </c>
      <c r="BO866" s="268"/>
      <c r="BP866" s="258" t="str">
        <f t="shared" si="416"/>
        <v/>
      </c>
      <c r="BQ866" s="268"/>
      <c r="BR866" s="258" t="str">
        <f t="shared" si="417"/>
        <v/>
      </c>
      <c r="BS866" s="268"/>
      <c r="BT866" s="256" t="str">
        <f t="shared" si="418"/>
        <v/>
      </c>
      <c r="BU866" s="256" t="str">
        <f t="shared" si="419"/>
        <v/>
      </c>
      <c r="BV866" s="256" t="str">
        <f t="shared" si="420"/>
        <v/>
      </c>
      <c r="BW866" s="267"/>
      <c r="BX866" s="256" t="str">
        <f t="shared" si="421"/>
        <v/>
      </c>
      <c r="BY866" s="256" t="str">
        <f t="shared" si="422"/>
        <v/>
      </c>
      <c r="BZ866" s="281"/>
      <c r="CA866" s="282"/>
      <c r="CF866" s="284"/>
      <c r="CG866" s="284"/>
      <c r="CH866" s="284"/>
      <c r="CI866" s="284"/>
      <c r="CL866" s="356" t="str">
        <f>IFERROR(VLOOKUP(C866,'Data Sheet'!$A$3:$B$26,2,FALSE),"")</f>
        <v/>
      </c>
    </row>
    <row r="867" spans="1:90" ht="15.75" x14ac:dyDescent="0.2">
      <c r="A867" s="97"/>
      <c r="B867" s="105" t="str">
        <f t="shared" si="425"/>
        <v>--</v>
      </c>
      <c r="C867" s="276"/>
      <c r="D867" s="101" t="str">
        <f>IFERROR(IF(VLOOKUP(C867,'Data Sheet'!$A$3:$D$26,4,FALSE)=0,"",VLOOKUP(C867,'Data Sheet'!$A$3:$D$26,4,FALSE)),"")</f>
        <v/>
      </c>
      <c r="E867" s="279"/>
      <c r="F867" s="103" t="str">
        <f>IFERROR(IF(VLOOKUP(E867,'Data Sheet'!$C$29:$E$174,3,FALSE)=0,"",VLOOKUP(E867,'Data Sheet'!$C$29:$E$174,3,FALSE)),"")</f>
        <v/>
      </c>
      <c r="G867" s="106" t="str">
        <f t="shared" si="423"/>
        <v>-</v>
      </c>
      <c r="H867" s="273"/>
      <c r="I867" s="107"/>
      <c r="J867" s="249" t="e">
        <f t="shared" si="424"/>
        <v>#VALUE!</v>
      </c>
      <c r="K867" s="101" t="str">
        <f>IFERROR(INDEX('Data Sheet'!$C$198:$C$275,MATCH(I867,'Data Sheet'!$F$198:$F$275,0)),"")</f>
        <v/>
      </c>
      <c r="L867" s="250" t="str">
        <f>IFERROR(INDEX('Data Sheet'!$G$198:$G$275,MATCH(I867,'Data Sheet'!$F$198:$F$275,0)),"")</f>
        <v/>
      </c>
      <c r="M867" s="194"/>
      <c r="N867" s="248"/>
      <c r="O867" s="248"/>
      <c r="P867" s="108" t="str">
        <f>IFERROR(INDEX(Setup!$D$44:$D$70,MATCH(M867,Setup!$K$44:$K$70,0))&amp;"","")</f>
        <v/>
      </c>
      <c r="Q867" s="108" t="str">
        <f>IFERROR(INDEX(Setup!$E$44:$E$70,MATCH(M867,Setup!$K$44:$K$70,0))&amp;"","")</f>
        <v/>
      </c>
      <c r="R867" s="108" t="str">
        <f>IFERROR(INDEX(Setup!$L$44:$L$70,MATCH(M867,Setup!$K$44:$K$70,0))&amp;"","")</f>
        <v/>
      </c>
      <c r="S867" s="108" t="str">
        <f>Setup!$C$30</f>
        <v>USD</v>
      </c>
      <c r="T867" s="109" t="str">
        <f>IFERROR(INDEX('Data Sheet'!$B$198:$B$275,MATCH(I867,'Data Sheet'!$F$198:$F$275,0)),"")</f>
        <v/>
      </c>
      <c r="U867" s="110" t="str">
        <f>IFERROR(INDEX('Data Sheet'!$D$198:$D$275,MATCH(I867,'Data Sheet'!$F$198:$F$275,0)),"")</f>
        <v/>
      </c>
      <c r="V867" s="99"/>
      <c r="W867" s="195" t="str">
        <f>IF(V867=Setup!$C$30,"Grant",IF(V867=Setup!$C$31,"Local",IF(V867=Setup!$C$32,"Other",IF(ISBLANK(V867),"","Other"))))</f>
        <v/>
      </c>
      <c r="X867" s="255"/>
      <c r="Y867" s="259" t="str">
        <f>IF(X867&lt;&gt;"",X867/VLOOKUP($V867,Setup!$C$30:$D$41,2,0),"")</f>
        <v/>
      </c>
      <c r="Z867" s="262"/>
      <c r="AA867" s="256" t="str">
        <f t="shared" si="397"/>
        <v/>
      </c>
      <c r="AB867" s="262"/>
      <c r="AC867" s="258" t="str">
        <f t="shared" si="398"/>
        <v/>
      </c>
      <c r="AD867" s="262"/>
      <c r="AE867" s="258" t="str">
        <f t="shared" si="399"/>
        <v/>
      </c>
      <c r="AF867" s="262"/>
      <c r="AG867" s="256" t="str">
        <f t="shared" si="400"/>
        <v/>
      </c>
      <c r="AH867" s="256" t="str">
        <f t="shared" si="401"/>
        <v/>
      </c>
      <c r="AI867" s="256" t="str">
        <f t="shared" si="402"/>
        <v/>
      </c>
      <c r="AJ867" s="111"/>
      <c r="AK867" s="255"/>
      <c r="AL867" s="259" t="str">
        <f>IF(AK867&lt;&gt;"",AK867/VLOOKUP($V867,Setup!$C$30:$D$41,2,0),"")</f>
        <v/>
      </c>
      <c r="AM867" s="266"/>
      <c r="AN867" s="258" t="str">
        <f t="shared" si="403"/>
        <v/>
      </c>
      <c r="AO867" s="266"/>
      <c r="AP867" s="258" t="str">
        <f t="shared" si="404"/>
        <v/>
      </c>
      <c r="AQ867" s="266"/>
      <c r="AR867" s="258" t="str">
        <f t="shared" si="405"/>
        <v/>
      </c>
      <c r="AS867" s="266"/>
      <c r="AT867" s="256" t="str">
        <f t="shared" si="406"/>
        <v/>
      </c>
      <c r="AU867" s="256" t="str">
        <f t="shared" si="407"/>
        <v/>
      </c>
      <c r="AV867" s="256" t="str">
        <f t="shared" si="408"/>
        <v/>
      </c>
      <c r="AW867" s="267"/>
      <c r="AX867" s="255"/>
      <c r="AY867" s="259" t="str">
        <f>IF(AX867&lt;&gt;"",AX867/VLOOKUP($V867,Setup!$C$30:$D$41,2,0),"")</f>
        <v/>
      </c>
      <c r="AZ867" s="268"/>
      <c r="BA867" s="258" t="str">
        <f t="shared" si="409"/>
        <v/>
      </c>
      <c r="BB867" s="268"/>
      <c r="BC867" s="258" t="str">
        <f t="shared" si="410"/>
        <v/>
      </c>
      <c r="BD867" s="268"/>
      <c r="BE867" s="258" t="str">
        <f t="shared" si="411"/>
        <v/>
      </c>
      <c r="BF867" s="268"/>
      <c r="BG867" s="256" t="str">
        <f t="shared" si="412"/>
        <v/>
      </c>
      <c r="BH867" s="256" t="str">
        <f t="shared" si="413"/>
        <v/>
      </c>
      <c r="BI867" s="256" t="str">
        <f t="shared" si="414"/>
        <v/>
      </c>
      <c r="BJ867" s="267"/>
      <c r="BK867" s="255"/>
      <c r="BL867" s="259" t="str">
        <f>IF(BK867&lt;&gt;"",BK867/VLOOKUP($V867,Setup!$C$30:$D$41,2,0),"")</f>
        <v/>
      </c>
      <c r="BM867" s="268"/>
      <c r="BN867" s="258" t="str">
        <f t="shared" si="415"/>
        <v/>
      </c>
      <c r="BO867" s="268"/>
      <c r="BP867" s="258" t="str">
        <f t="shared" si="416"/>
        <v/>
      </c>
      <c r="BQ867" s="268"/>
      <c r="BR867" s="258" t="str">
        <f t="shared" si="417"/>
        <v/>
      </c>
      <c r="BS867" s="268"/>
      <c r="BT867" s="256" t="str">
        <f t="shared" si="418"/>
        <v/>
      </c>
      <c r="BU867" s="256" t="str">
        <f t="shared" si="419"/>
        <v/>
      </c>
      <c r="BV867" s="256" t="str">
        <f t="shared" si="420"/>
        <v/>
      </c>
      <c r="BW867" s="267"/>
      <c r="BX867" s="256" t="str">
        <f t="shared" si="421"/>
        <v/>
      </c>
      <c r="BY867" s="256" t="str">
        <f t="shared" si="422"/>
        <v/>
      </c>
      <c r="BZ867" s="281"/>
      <c r="CA867" s="282"/>
      <c r="CF867" s="284"/>
      <c r="CG867" s="284"/>
      <c r="CH867" s="284"/>
      <c r="CI867" s="284"/>
      <c r="CL867" s="356" t="str">
        <f>IFERROR(VLOOKUP(C867,'Data Sheet'!$A$3:$B$26,2,FALSE),"")</f>
        <v/>
      </c>
    </row>
    <row r="868" spans="1:90" ht="15.75" x14ac:dyDescent="0.2">
      <c r="A868" s="97"/>
      <c r="B868" s="105" t="str">
        <f t="shared" si="425"/>
        <v>--</v>
      </c>
      <c r="C868" s="276"/>
      <c r="D868" s="101" t="str">
        <f>IFERROR(IF(VLOOKUP(C868,'Data Sheet'!$A$3:$D$26,4,FALSE)=0,"",VLOOKUP(C868,'Data Sheet'!$A$3:$D$26,4,FALSE)),"")</f>
        <v/>
      </c>
      <c r="E868" s="279"/>
      <c r="F868" s="103" t="str">
        <f>IFERROR(IF(VLOOKUP(E868,'Data Sheet'!$C$29:$E$174,3,FALSE)=0,"",VLOOKUP(E868,'Data Sheet'!$C$29:$E$174,3,FALSE)),"")</f>
        <v/>
      </c>
      <c r="G868" s="106" t="str">
        <f t="shared" si="423"/>
        <v>-</v>
      </c>
      <c r="H868" s="273"/>
      <c r="I868" s="107"/>
      <c r="J868" s="249" t="e">
        <f t="shared" si="424"/>
        <v>#VALUE!</v>
      </c>
      <c r="K868" s="101" t="str">
        <f>IFERROR(INDEX('Data Sheet'!$C$198:$C$275,MATCH(I868,'Data Sheet'!$F$198:$F$275,0)),"")</f>
        <v/>
      </c>
      <c r="L868" s="250" t="str">
        <f>IFERROR(INDEX('Data Sheet'!$G$198:$G$275,MATCH(I868,'Data Sheet'!$F$198:$F$275,0)),"")</f>
        <v/>
      </c>
      <c r="M868" s="194"/>
      <c r="N868" s="248"/>
      <c r="O868" s="248"/>
      <c r="P868" s="108" t="str">
        <f>IFERROR(INDEX(Setup!$D$44:$D$70,MATCH(M868,Setup!$K$44:$K$70,0))&amp;"","")</f>
        <v/>
      </c>
      <c r="Q868" s="108" t="str">
        <f>IFERROR(INDEX(Setup!$E$44:$E$70,MATCH(M868,Setup!$K$44:$K$70,0))&amp;"","")</f>
        <v/>
      </c>
      <c r="R868" s="108" t="str">
        <f>IFERROR(INDEX(Setup!$L$44:$L$70,MATCH(M868,Setup!$K$44:$K$70,0))&amp;"","")</f>
        <v/>
      </c>
      <c r="S868" s="108" t="str">
        <f>Setup!$C$30</f>
        <v>USD</v>
      </c>
      <c r="T868" s="109" t="str">
        <f>IFERROR(INDEX('Data Sheet'!$B$198:$B$275,MATCH(I868,'Data Sheet'!$F$198:$F$275,0)),"")</f>
        <v/>
      </c>
      <c r="U868" s="110" t="str">
        <f>IFERROR(INDEX('Data Sheet'!$D$198:$D$275,MATCH(I868,'Data Sheet'!$F$198:$F$275,0)),"")</f>
        <v/>
      </c>
      <c r="V868" s="99"/>
      <c r="W868" s="195" t="str">
        <f>IF(V868=Setup!$C$30,"Grant",IF(V868=Setup!$C$31,"Local",IF(V868=Setup!$C$32,"Other",IF(ISBLANK(V868),"","Other"))))</f>
        <v/>
      </c>
      <c r="X868" s="255"/>
      <c r="Y868" s="259" t="str">
        <f>IF(X868&lt;&gt;"",X868/VLOOKUP($V868,Setup!$C$30:$D$41,2,0),"")</f>
        <v/>
      </c>
      <c r="Z868" s="262"/>
      <c r="AA868" s="256" t="str">
        <f t="shared" si="397"/>
        <v/>
      </c>
      <c r="AB868" s="262"/>
      <c r="AC868" s="258" t="str">
        <f t="shared" si="398"/>
        <v/>
      </c>
      <c r="AD868" s="262"/>
      <c r="AE868" s="258" t="str">
        <f t="shared" si="399"/>
        <v/>
      </c>
      <c r="AF868" s="262"/>
      <c r="AG868" s="256" t="str">
        <f t="shared" si="400"/>
        <v/>
      </c>
      <c r="AH868" s="256" t="str">
        <f t="shared" si="401"/>
        <v/>
      </c>
      <c r="AI868" s="256" t="str">
        <f t="shared" si="402"/>
        <v/>
      </c>
      <c r="AJ868" s="111"/>
      <c r="AK868" s="255"/>
      <c r="AL868" s="259" t="str">
        <f>IF(AK868&lt;&gt;"",AK868/VLOOKUP($V868,Setup!$C$30:$D$41,2,0),"")</f>
        <v/>
      </c>
      <c r="AM868" s="266"/>
      <c r="AN868" s="258" t="str">
        <f t="shared" si="403"/>
        <v/>
      </c>
      <c r="AO868" s="266"/>
      <c r="AP868" s="258" t="str">
        <f t="shared" si="404"/>
        <v/>
      </c>
      <c r="AQ868" s="266"/>
      <c r="AR868" s="258" t="str">
        <f t="shared" si="405"/>
        <v/>
      </c>
      <c r="AS868" s="266"/>
      <c r="AT868" s="256" t="str">
        <f t="shared" si="406"/>
        <v/>
      </c>
      <c r="AU868" s="256" t="str">
        <f t="shared" si="407"/>
        <v/>
      </c>
      <c r="AV868" s="256" t="str">
        <f t="shared" si="408"/>
        <v/>
      </c>
      <c r="AW868" s="267"/>
      <c r="AX868" s="255"/>
      <c r="AY868" s="259" t="str">
        <f>IF(AX868&lt;&gt;"",AX868/VLOOKUP($V868,Setup!$C$30:$D$41,2,0),"")</f>
        <v/>
      </c>
      <c r="AZ868" s="268"/>
      <c r="BA868" s="258" t="str">
        <f t="shared" si="409"/>
        <v/>
      </c>
      <c r="BB868" s="268"/>
      <c r="BC868" s="258" t="str">
        <f t="shared" si="410"/>
        <v/>
      </c>
      <c r="BD868" s="268"/>
      <c r="BE868" s="258" t="str">
        <f t="shared" si="411"/>
        <v/>
      </c>
      <c r="BF868" s="268"/>
      <c r="BG868" s="256" t="str">
        <f t="shared" si="412"/>
        <v/>
      </c>
      <c r="BH868" s="256" t="str">
        <f t="shared" si="413"/>
        <v/>
      </c>
      <c r="BI868" s="256" t="str">
        <f t="shared" si="414"/>
        <v/>
      </c>
      <c r="BJ868" s="267"/>
      <c r="BK868" s="255"/>
      <c r="BL868" s="259" t="str">
        <f>IF(BK868&lt;&gt;"",BK868/VLOOKUP($V868,Setup!$C$30:$D$41,2,0),"")</f>
        <v/>
      </c>
      <c r="BM868" s="268"/>
      <c r="BN868" s="258" t="str">
        <f t="shared" si="415"/>
        <v/>
      </c>
      <c r="BO868" s="268"/>
      <c r="BP868" s="258" t="str">
        <f t="shared" si="416"/>
        <v/>
      </c>
      <c r="BQ868" s="268"/>
      <c r="BR868" s="258" t="str">
        <f t="shared" si="417"/>
        <v/>
      </c>
      <c r="BS868" s="268"/>
      <c r="BT868" s="256" t="str">
        <f t="shared" si="418"/>
        <v/>
      </c>
      <c r="BU868" s="256" t="str">
        <f t="shared" si="419"/>
        <v/>
      </c>
      <c r="BV868" s="256" t="str">
        <f t="shared" si="420"/>
        <v/>
      </c>
      <c r="BW868" s="267"/>
      <c r="BX868" s="256" t="str">
        <f t="shared" si="421"/>
        <v/>
      </c>
      <c r="BY868" s="256" t="str">
        <f t="shared" si="422"/>
        <v/>
      </c>
      <c r="BZ868" s="281"/>
      <c r="CA868" s="282"/>
      <c r="CF868" s="284"/>
      <c r="CG868" s="284"/>
      <c r="CH868" s="284"/>
      <c r="CI868" s="284"/>
      <c r="CL868" s="356" t="str">
        <f>IFERROR(VLOOKUP(C868,'Data Sheet'!$A$3:$B$26,2,FALSE),"")</f>
        <v/>
      </c>
    </row>
    <row r="869" spans="1:90" ht="15.75" x14ac:dyDescent="0.2">
      <c r="A869" s="97"/>
      <c r="B869" s="105" t="str">
        <f t="shared" si="425"/>
        <v>--</v>
      </c>
      <c r="C869" s="276"/>
      <c r="D869" s="101" t="str">
        <f>IFERROR(IF(VLOOKUP(C869,'Data Sheet'!$A$3:$D$26,4,FALSE)=0,"",VLOOKUP(C869,'Data Sheet'!$A$3:$D$26,4,FALSE)),"")</f>
        <v/>
      </c>
      <c r="E869" s="279"/>
      <c r="F869" s="103" t="str">
        <f>IFERROR(IF(VLOOKUP(E869,'Data Sheet'!$C$29:$E$174,3,FALSE)=0,"",VLOOKUP(E869,'Data Sheet'!$C$29:$E$174,3,FALSE)),"")</f>
        <v/>
      </c>
      <c r="G869" s="106" t="str">
        <f t="shared" si="423"/>
        <v>-</v>
      </c>
      <c r="H869" s="273"/>
      <c r="I869" s="107"/>
      <c r="J869" s="249" t="e">
        <f t="shared" si="424"/>
        <v>#VALUE!</v>
      </c>
      <c r="K869" s="101" t="str">
        <f>IFERROR(INDEX('Data Sheet'!$C$198:$C$275,MATCH(I869,'Data Sheet'!$F$198:$F$275,0)),"")</f>
        <v/>
      </c>
      <c r="L869" s="250" t="str">
        <f>IFERROR(INDEX('Data Sheet'!$G$198:$G$275,MATCH(I869,'Data Sheet'!$F$198:$F$275,0)),"")</f>
        <v/>
      </c>
      <c r="M869" s="194"/>
      <c r="N869" s="248"/>
      <c r="O869" s="248"/>
      <c r="P869" s="108" t="str">
        <f>IFERROR(INDEX(Setup!$D$44:$D$70,MATCH(M869,Setup!$K$44:$K$70,0))&amp;"","")</f>
        <v/>
      </c>
      <c r="Q869" s="108" t="str">
        <f>IFERROR(INDEX(Setup!$E$44:$E$70,MATCH(M869,Setup!$K$44:$K$70,0))&amp;"","")</f>
        <v/>
      </c>
      <c r="R869" s="108" t="str">
        <f>IFERROR(INDEX(Setup!$L$44:$L$70,MATCH(M869,Setup!$K$44:$K$70,0))&amp;"","")</f>
        <v/>
      </c>
      <c r="S869" s="108" t="str">
        <f>Setup!$C$30</f>
        <v>USD</v>
      </c>
      <c r="T869" s="109" t="str">
        <f>IFERROR(INDEX('Data Sheet'!$B$198:$B$275,MATCH(I869,'Data Sheet'!$F$198:$F$275,0)),"")</f>
        <v/>
      </c>
      <c r="U869" s="110" t="str">
        <f>IFERROR(INDEX('Data Sheet'!$D$198:$D$275,MATCH(I869,'Data Sheet'!$F$198:$F$275,0)),"")</f>
        <v/>
      </c>
      <c r="V869" s="99"/>
      <c r="W869" s="195" t="str">
        <f>IF(V869=Setup!$C$30,"Grant",IF(V869=Setup!$C$31,"Local",IF(V869=Setup!$C$32,"Other",IF(ISBLANK(V869),"","Other"))))</f>
        <v/>
      </c>
      <c r="X869" s="255"/>
      <c r="Y869" s="259" t="str">
        <f>IF(X869&lt;&gt;"",X869/VLOOKUP($V869,Setup!$C$30:$D$41,2,0),"")</f>
        <v/>
      </c>
      <c r="Z869" s="262"/>
      <c r="AA869" s="256" t="str">
        <f t="shared" si="397"/>
        <v/>
      </c>
      <c r="AB869" s="262"/>
      <c r="AC869" s="258" t="str">
        <f t="shared" si="398"/>
        <v/>
      </c>
      <c r="AD869" s="262"/>
      <c r="AE869" s="258" t="str">
        <f t="shared" si="399"/>
        <v/>
      </c>
      <c r="AF869" s="262"/>
      <c r="AG869" s="256" t="str">
        <f t="shared" si="400"/>
        <v/>
      </c>
      <c r="AH869" s="256" t="str">
        <f t="shared" si="401"/>
        <v/>
      </c>
      <c r="AI869" s="256" t="str">
        <f t="shared" si="402"/>
        <v/>
      </c>
      <c r="AJ869" s="111"/>
      <c r="AK869" s="255"/>
      <c r="AL869" s="259" t="str">
        <f>IF(AK869&lt;&gt;"",AK869/VLOOKUP($V869,Setup!$C$30:$D$41,2,0),"")</f>
        <v/>
      </c>
      <c r="AM869" s="266"/>
      <c r="AN869" s="258" t="str">
        <f t="shared" si="403"/>
        <v/>
      </c>
      <c r="AO869" s="266"/>
      <c r="AP869" s="258" t="str">
        <f t="shared" si="404"/>
        <v/>
      </c>
      <c r="AQ869" s="266"/>
      <c r="AR869" s="258" t="str">
        <f t="shared" si="405"/>
        <v/>
      </c>
      <c r="AS869" s="266"/>
      <c r="AT869" s="256" t="str">
        <f t="shared" si="406"/>
        <v/>
      </c>
      <c r="AU869" s="256" t="str">
        <f t="shared" si="407"/>
        <v/>
      </c>
      <c r="AV869" s="256" t="str">
        <f t="shared" si="408"/>
        <v/>
      </c>
      <c r="AW869" s="267"/>
      <c r="AX869" s="255"/>
      <c r="AY869" s="259" t="str">
        <f>IF(AX869&lt;&gt;"",AX869/VLOOKUP($V869,Setup!$C$30:$D$41,2,0),"")</f>
        <v/>
      </c>
      <c r="AZ869" s="268"/>
      <c r="BA869" s="258" t="str">
        <f t="shared" si="409"/>
        <v/>
      </c>
      <c r="BB869" s="268"/>
      <c r="BC869" s="258" t="str">
        <f t="shared" si="410"/>
        <v/>
      </c>
      <c r="BD869" s="268"/>
      <c r="BE869" s="258" t="str">
        <f t="shared" si="411"/>
        <v/>
      </c>
      <c r="BF869" s="268"/>
      <c r="BG869" s="256" t="str">
        <f t="shared" si="412"/>
        <v/>
      </c>
      <c r="BH869" s="256" t="str">
        <f t="shared" si="413"/>
        <v/>
      </c>
      <c r="BI869" s="256" t="str">
        <f t="shared" si="414"/>
        <v/>
      </c>
      <c r="BJ869" s="267"/>
      <c r="BK869" s="255"/>
      <c r="BL869" s="259" t="str">
        <f>IF(BK869&lt;&gt;"",BK869/VLOOKUP($V869,Setup!$C$30:$D$41,2,0),"")</f>
        <v/>
      </c>
      <c r="BM869" s="268"/>
      <c r="BN869" s="258" t="str">
        <f t="shared" si="415"/>
        <v/>
      </c>
      <c r="BO869" s="268"/>
      <c r="BP869" s="258" t="str">
        <f t="shared" si="416"/>
        <v/>
      </c>
      <c r="BQ869" s="268"/>
      <c r="BR869" s="258" t="str">
        <f t="shared" si="417"/>
        <v/>
      </c>
      <c r="BS869" s="268"/>
      <c r="BT869" s="256" t="str">
        <f t="shared" si="418"/>
        <v/>
      </c>
      <c r="BU869" s="256" t="str">
        <f t="shared" si="419"/>
        <v/>
      </c>
      <c r="BV869" s="256" t="str">
        <f t="shared" si="420"/>
        <v/>
      </c>
      <c r="BW869" s="267"/>
      <c r="BX869" s="256" t="str">
        <f t="shared" si="421"/>
        <v/>
      </c>
      <c r="BY869" s="256" t="str">
        <f t="shared" si="422"/>
        <v/>
      </c>
      <c r="BZ869" s="281"/>
      <c r="CA869" s="282"/>
      <c r="CF869" s="284"/>
      <c r="CG869" s="284"/>
      <c r="CH869" s="284"/>
      <c r="CI869" s="284"/>
      <c r="CL869" s="356" t="str">
        <f>IFERROR(VLOOKUP(C869,'Data Sheet'!$A$3:$B$26,2,FALSE),"")</f>
        <v/>
      </c>
    </row>
    <row r="870" spans="1:90" ht="15.75" x14ac:dyDescent="0.2">
      <c r="A870" s="97"/>
      <c r="B870" s="105" t="str">
        <f t="shared" si="425"/>
        <v>--</v>
      </c>
      <c r="C870" s="276"/>
      <c r="D870" s="101" t="str">
        <f>IFERROR(IF(VLOOKUP(C870,'Data Sheet'!$A$3:$D$26,4,FALSE)=0,"",VLOOKUP(C870,'Data Sheet'!$A$3:$D$26,4,FALSE)),"")</f>
        <v/>
      </c>
      <c r="E870" s="279"/>
      <c r="F870" s="103" t="str">
        <f>IFERROR(IF(VLOOKUP(E870,'Data Sheet'!$C$29:$E$174,3,FALSE)=0,"",VLOOKUP(E870,'Data Sheet'!$C$29:$E$174,3,FALSE)),"")</f>
        <v/>
      </c>
      <c r="G870" s="106" t="str">
        <f t="shared" si="423"/>
        <v>-</v>
      </c>
      <c r="H870" s="273"/>
      <c r="I870" s="107"/>
      <c r="J870" s="249" t="e">
        <f t="shared" si="424"/>
        <v>#VALUE!</v>
      </c>
      <c r="K870" s="101" t="str">
        <f>IFERROR(INDEX('Data Sheet'!$C$198:$C$275,MATCH(I870,'Data Sheet'!$F$198:$F$275,0)),"")</f>
        <v/>
      </c>
      <c r="L870" s="250" t="str">
        <f>IFERROR(INDEX('Data Sheet'!$G$198:$G$275,MATCH(I870,'Data Sheet'!$F$198:$F$275,0)),"")</f>
        <v/>
      </c>
      <c r="M870" s="194"/>
      <c r="N870" s="248"/>
      <c r="O870" s="248"/>
      <c r="P870" s="108" t="str">
        <f>IFERROR(INDEX(Setup!$D$44:$D$70,MATCH(M870,Setup!$K$44:$K$70,0))&amp;"","")</f>
        <v/>
      </c>
      <c r="Q870" s="108" t="str">
        <f>IFERROR(INDEX(Setup!$E$44:$E$70,MATCH(M870,Setup!$K$44:$K$70,0))&amp;"","")</f>
        <v/>
      </c>
      <c r="R870" s="108" t="str">
        <f>IFERROR(INDEX(Setup!$L$44:$L$70,MATCH(M870,Setup!$K$44:$K$70,0))&amp;"","")</f>
        <v/>
      </c>
      <c r="S870" s="108" t="str">
        <f>Setup!$C$30</f>
        <v>USD</v>
      </c>
      <c r="T870" s="109" t="str">
        <f>IFERROR(INDEX('Data Sheet'!$B$198:$B$275,MATCH(I870,'Data Sheet'!$F$198:$F$275,0)),"")</f>
        <v/>
      </c>
      <c r="U870" s="110" t="str">
        <f>IFERROR(INDEX('Data Sheet'!$D$198:$D$275,MATCH(I870,'Data Sheet'!$F$198:$F$275,0)),"")</f>
        <v/>
      </c>
      <c r="V870" s="99"/>
      <c r="W870" s="195" t="str">
        <f>IF(V870=Setup!$C$30,"Grant",IF(V870=Setup!$C$31,"Local",IF(V870=Setup!$C$32,"Other",IF(ISBLANK(V870),"","Other"))))</f>
        <v/>
      </c>
      <c r="X870" s="255"/>
      <c r="Y870" s="259" t="str">
        <f>IF(X870&lt;&gt;"",X870/VLOOKUP($V870,Setup!$C$30:$D$41,2,0),"")</f>
        <v/>
      </c>
      <c r="Z870" s="262"/>
      <c r="AA870" s="256" t="str">
        <f t="shared" si="397"/>
        <v/>
      </c>
      <c r="AB870" s="262"/>
      <c r="AC870" s="258" t="str">
        <f t="shared" si="398"/>
        <v/>
      </c>
      <c r="AD870" s="262"/>
      <c r="AE870" s="258" t="str">
        <f t="shared" si="399"/>
        <v/>
      </c>
      <c r="AF870" s="262"/>
      <c r="AG870" s="256" t="str">
        <f t="shared" si="400"/>
        <v/>
      </c>
      <c r="AH870" s="256" t="str">
        <f t="shared" si="401"/>
        <v/>
      </c>
      <c r="AI870" s="256" t="str">
        <f t="shared" si="402"/>
        <v/>
      </c>
      <c r="AJ870" s="111"/>
      <c r="AK870" s="255"/>
      <c r="AL870" s="259" t="str">
        <f>IF(AK870&lt;&gt;"",AK870/VLOOKUP($V870,Setup!$C$30:$D$41,2,0),"")</f>
        <v/>
      </c>
      <c r="AM870" s="266"/>
      <c r="AN870" s="258" t="str">
        <f t="shared" si="403"/>
        <v/>
      </c>
      <c r="AO870" s="266"/>
      <c r="AP870" s="258" t="str">
        <f t="shared" si="404"/>
        <v/>
      </c>
      <c r="AQ870" s="266"/>
      <c r="AR870" s="258" t="str">
        <f t="shared" si="405"/>
        <v/>
      </c>
      <c r="AS870" s="266"/>
      <c r="AT870" s="256" t="str">
        <f t="shared" si="406"/>
        <v/>
      </c>
      <c r="AU870" s="256" t="str">
        <f t="shared" si="407"/>
        <v/>
      </c>
      <c r="AV870" s="256" t="str">
        <f t="shared" si="408"/>
        <v/>
      </c>
      <c r="AW870" s="267"/>
      <c r="AX870" s="255"/>
      <c r="AY870" s="259" t="str">
        <f>IF(AX870&lt;&gt;"",AX870/VLOOKUP($V870,Setup!$C$30:$D$41,2,0),"")</f>
        <v/>
      </c>
      <c r="AZ870" s="268"/>
      <c r="BA870" s="258" t="str">
        <f t="shared" si="409"/>
        <v/>
      </c>
      <c r="BB870" s="268"/>
      <c r="BC870" s="258" t="str">
        <f t="shared" si="410"/>
        <v/>
      </c>
      <c r="BD870" s="268"/>
      <c r="BE870" s="258" t="str">
        <f t="shared" si="411"/>
        <v/>
      </c>
      <c r="BF870" s="268"/>
      <c r="BG870" s="256" t="str">
        <f t="shared" si="412"/>
        <v/>
      </c>
      <c r="BH870" s="256" t="str">
        <f t="shared" si="413"/>
        <v/>
      </c>
      <c r="BI870" s="256" t="str">
        <f t="shared" si="414"/>
        <v/>
      </c>
      <c r="BJ870" s="267"/>
      <c r="BK870" s="255"/>
      <c r="BL870" s="259" t="str">
        <f>IF(BK870&lt;&gt;"",BK870/VLOOKUP($V870,Setup!$C$30:$D$41,2,0),"")</f>
        <v/>
      </c>
      <c r="BM870" s="268"/>
      <c r="BN870" s="258" t="str">
        <f t="shared" si="415"/>
        <v/>
      </c>
      <c r="BO870" s="268"/>
      <c r="BP870" s="258" t="str">
        <f t="shared" si="416"/>
        <v/>
      </c>
      <c r="BQ870" s="268"/>
      <c r="BR870" s="258" t="str">
        <f t="shared" si="417"/>
        <v/>
      </c>
      <c r="BS870" s="268"/>
      <c r="BT870" s="256" t="str">
        <f t="shared" si="418"/>
        <v/>
      </c>
      <c r="BU870" s="256" t="str">
        <f t="shared" si="419"/>
        <v/>
      </c>
      <c r="BV870" s="256" t="str">
        <f t="shared" si="420"/>
        <v/>
      </c>
      <c r="BW870" s="267"/>
      <c r="BX870" s="256" t="str">
        <f t="shared" si="421"/>
        <v/>
      </c>
      <c r="BY870" s="256" t="str">
        <f t="shared" si="422"/>
        <v/>
      </c>
      <c r="BZ870" s="281"/>
      <c r="CA870" s="282"/>
      <c r="CF870" s="284"/>
      <c r="CG870" s="284"/>
      <c r="CH870" s="284"/>
      <c r="CI870" s="284"/>
      <c r="CL870" s="356" t="str">
        <f>IFERROR(VLOOKUP(C870,'Data Sheet'!$A$3:$B$26,2,FALSE),"")</f>
        <v/>
      </c>
    </row>
    <row r="871" spans="1:90" ht="15.75" x14ac:dyDescent="0.2">
      <c r="A871" s="97"/>
      <c r="B871" s="105" t="str">
        <f t="shared" si="425"/>
        <v>--</v>
      </c>
      <c r="C871" s="276"/>
      <c r="D871" s="101" t="str">
        <f>IFERROR(IF(VLOOKUP(C871,'Data Sheet'!$A$3:$D$26,4,FALSE)=0,"",VLOOKUP(C871,'Data Sheet'!$A$3:$D$26,4,FALSE)),"")</f>
        <v/>
      </c>
      <c r="E871" s="279"/>
      <c r="F871" s="103" t="str">
        <f>IFERROR(IF(VLOOKUP(E871,'Data Sheet'!$C$29:$E$174,3,FALSE)=0,"",VLOOKUP(E871,'Data Sheet'!$C$29:$E$174,3,FALSE)),"")</f>
        <v/>
      </c>
      <c r="G871" s="106" t="str">
        <f t="shared" si="423"/>
        <v>-</v>
      </c>
      <c r="H871" s="273"/>
      <c r="I871" s="107"/>
      <c r="J871" s="249" t="e">
        <f t="shared" si="424"/>
        <v>#VALUE!</v>
      </c>
      <c r="K871" s="101" t="str">
        <f>IFERROR(INDEX('Data Sheet'!$C$198:$C$275,MATCH(I871,'Data Sheet'!$F$198:$F$275,0)),"")</f>
        <v/>
      </c>
      <c r="L871" s="250" t="str">
        <f>IFERROR(INDEX('Data Sheet'!$G$198:$G$275,MATCH(I871,'Data Sheet'!$F$198:$F$275,0)),"")</f>
        <v/>
      </c>
      <c r="M871" s="194"/>
      <c r="N871" s="248"/>
      <c r="O871" s="248"/>
      <c r="P871" s="108" t="str">
        <f>IFERROR(INDEX(Setup!$D$44:$D$70,MATCH(M871,Setup!$K$44:$K$70,0))&amp;"","")</f>
        <v/>
      </c>
      <c r="Q871" s="108" t="str">
        <f>IFERROR(INDEX(Setup!$E$44:$E$70,MATCH(M871,Setup!$K$44:$K$70,0))&amp;"","")</f>
        <v/>
      </c>
      <c r="R871" s="108" t="str">
        <f>IFERROR(INDEX(Setup!$L$44:$L$70,MATCH(M871,Setup!$K$44:$K$70,0))&amp;"","")</f>
        <v/>
      </c>
      <c r="S871" s="108" t="str">
        <f>Setup!$C$30</f>
        <v>USD</v>
      </c>
      <c r="T871" s="109" t="str">
        <f>IFERROR(INDEX('Data Sheet'!$B$198:$B$275,MATCH(I871,'Data Sheet'!$F$198:$F$275,0)),"")</f>
        <v/>
      </c>
      <c r="U871" s="110" t="str">
        <f>IFERROR(INDEX('Data Sheet'!$D$198:$D$275,MATCH(I871,'Data Sheet'!$F$198:$F$275,0)),"")</f>
        <v/>
      </c>
      <c r="V871" s="99"/>
      <c r="W871" s="195" t="str">
        <f>IF(V871=Setup!$C$30,"Grant",IF(V871=Setup!$C$31,"Local",IF(V871=Setup!$C$32,"Other",IF(ISBLANK(V871),"","Other"))))</f>
        <v/>
      </c>
      <c r="X871" s="255"/>
      <c r="Y871" s="259" t="str">
        <f>IF(X871&lt;&gt;"",X871/VLOOKUP($V871,Setup!$C$30:$D$41,2,0),"")</f>
        <v/>
      </c>
      <c r="Z871" s="262"/>
      <c r="AA871" s="256" t="str">
        <f t="shared" si="397"/>
        <v/>
      </c>
      <c r="AB871" s="262"/>
      <c r="AC871" s="258" t="str">
        <f t="shared" si="398"/>
        <v/>
      </c>
      <c r="AD871" s="262"/>
      <c r="AE871" s="258" t="str">
        <f t="shared" si="399"/>
        <v/>
      </c>
      <c r="AF871" s="262"/>
      <c r="AG871" s="256" t="str">
        <f t="shared" si="400"/>
        <v/>
      </c>
      <c r="AH871" s="256" t="str">
        <f t="shared" si="401"/>
        <v/>
      </c>
      <c r="AI871" s="256" t="str">
        <f t="shared" si="402"/>
        <v/>
      </c>
      <c r="AJ871" s="111"/>
      <c r="AK871" s="255"/>
      <c r="AL871" s="259" t="str">
        <f>IF(AK871&lt;&gt;"",AK871/VLOOKUP($V871,Setup!$C$30:$D$41,2,0),"")</f>
        <v/>
      </c>
      <c r="AM871" s="266"/>
      <c r="AN871" s="258" t="str">
        <f t="shared" si="403"/>
        <v/>
      </c>
      <c r="AO871" s="266"/>
      <c r="AP871" s="258" t="str">
        <f t="shared" si="404"/>
        <v/>
      </c>
      <c r="AQ871" s="266"/>
      <c r="AR871" s="258" t="str">
        <f t="shared" si="405"/>
        <v/>
      </c>
      <c r="AS871" s="266"/>
      <c r="AT871" s="256" t="str">
        <f t="shared" si="406"/>
        <v/>
      </c>
      <c r="AU871" s="256" t="str">
        <f t="shared" si="407"/>
        <v/>
      </c>
      <c r="AV871" s="256" t="str">
        <f t="shared" si="408"/>
        <v/>
      </c>
      <c r="AW871" s="267"/>
      <c r="AX871" s="255"/>
      <c r="AY871" s="259" t="str">
        <f>IF(AX871&lt;&gt;"",AX871/VLOOKUP($V871,Setup!$C$30:$D$41,2,0),"")</f>
        <v/>
      </c>
      <c r="AZ871" s="268"/>
      <c r="BA871" s="258" t="str">
        <f t="shared" si="409"/>
        <v/>
      </c>
      <c r="BB871" s="268"/>
      <c r="BC871" s="258" t="str">
        <f t="shared" si="410"/>
        <v/>
      </c>
      <c r="BD871" s="268"/>
      <c r="BE871" s="258" t="str">
        <f t="shared" si="411"/>
        <v/>
      </c>
      <c r="BF871" s="268"/>
      <c r="BG871" s="256" t="str">
        <f t="shared" si="412"/>
        <v/>
      </c>
      <c r="BH871" s="256" t="str">
        <f t="shared" si="413"/>
        <v/>
      </c>
      <c r="BI871" s="256" t="str">
        <f t="shared" si="414"/>
        <v/>
      </c>
      <c r="BJ871" s="267"/>
      <c r="BK871" s="255"/>
      <c r="BL871" s="259" t="str">
        <f>IF(BK871&lt;&gt;"",BK871/VLOOKUP($V871,Setup!$C$30:$D$41,2,0),"")</f>
        <v/>
      </c>
      <c r="BM871" s="268"/>
      <c r="BN871" s="258" t="str">
        <f t="shared" si="415"/>
        <v/>
      </c>
      <c r="BO871" s="268"/>
      <c r="BP871" s="258" t="str">
        <f t="shared" si="416"/>
        <v/>
      </c>
      <c r="BQ871" s="268"/>
      <c r="BR871" s="258" t="str">
        <f t="shared" si="417"/>
        <v/>
      </c>
      <c r="BS871" s="268"/>
      <c r="BT871" s="256" t="str">
        <f t="shared" si="418"/>
        <v/>
      </c>
      <c r="BU871" s="256" t="str">
        <f t="shared" si="419"/>
        <v/>
      </c>
      <c r="BV871" s="256" t="str">
        <f t="shared" si="420"/>
        <v/>
      </c>
      <c r="BW871" s="267"/>
      <c r="BX871" s="256" t="str">
        <f t="shared" si="421"/>
        <v/>
      </c>
      <c r="BY871" s="256" t="str">
        <f t="shared" si="422"/>
        <v/>
      </c>
      <c r="BZ871" s="281"/>
      <c r="CA871" s="282"/>
      <c r="CF871" s="284"/>
      <c r="CG871" s="284"/>
      <c r="CH871" s="284"/>
      <c r="CI871" s="284"/>
      <c r="CL871" s="356" t="str">
        <f>IFERROR(VLOOKUP(C871,'Data Sheet'!$A$3:$B$26,2,FALSE),"")</f>
        <v/>
      </c>
    </row>
    <row r="872" spans="1:90" ht="15.75" x14ac:dyDescent="0.2">
      <c r="A872" s="97"/>
      <c r="B872" s="105" t="str">
        <f t="shared" si="425"/>
        <v>--</v>
      </c>
      <c r="C872" s="276"/>
      <c r="D872" s="101" t="str">
        <f>IFERROR(IF(VLOOKUP(C872,'Data Sheet'!$A$3:$D$26,4,FALSE)=0,"",VLOOKUP(C872,'Data Sheet'!$A$3:$D$26,4,FALSE)),"")</f>
        <v/>
      </c>
      <c r="E872" s="279"/>
      <c r="F872" s="103" t="str">
        <f>IFERROR(IF(VLOOKUP(E872,'Data Sheet'!$C$29:$E$174,3,FALSE)=0,"",VLOOKUP(E872,'Data Sheet'!$C$29:$E$174,3,FALSE)),"")</f>
        <v/>
      </c>
      <c r="G872" s="106" t="str">
        <f t="shared" si="423"/>
        <v>-</v>
      </c>
      <c r="H872" s="273"/>
      <c r="I872" s="107"/>
      <c r="J872" s="249" t="e">
        <f t="shared" si="424"/>
        <v>#VALUE!</v>
      </c>
      <c r="K872" s="101" t="str">
        <f>IFERROR(INDEX('Data Sheet'!$C$198:$C$275,MATCH(I872,'Data Sheet'!$F$198:$F$275,0)),"")</f>
        <v/>
      </c>
      <c r="L872" s="250" t="str">
        <f>IFERROR(INDEX('Data Sheet'!$G$198:$G$275,MATCH(I872,'Data Sheet'!$F$198:$F$275,0)),"")</f>
        <v/>
      </c>
      <c r="M872" s="194"/>
      <c r="N872" s="248"/>
      <c r="O872" s="248"/>
      <c r="P872" s="108" t="str">
        <f>IFERROR(INDEX(Setup!$D$44:$D$70,MATCH(M872,Setup!$K$44:$K$70,0))&amp;"","")</f>
        <v/>
      </c>
      <c r="Q872" s="108" t="str">
        <f>IFERROR(INDEX(Setup!$E$44:$E$70,MATCH(M872,Setup!$K$44:$K$70,0))&amp;"","")</f>
        <v/>
      </c>
      <c r="R872" s="108" t="str">
        <f>IFERROR(INDEX(Setup!$L$44:$L$70,MATCH(M872,Setup!$K$44:$K$70,0))&amp;"","")</f>
        <v/>
      </c>
      <c r="S872" s="108" t="str">
        <f>Setup!$C$30</f>
        <v>USD</v>
      </c>
      <c r="T872" s="109" t="str">
        <f>IFERROR(INDEX('Data Sheet'!$B$198:$B$275,MATCH(I872,'Data Sheet'!$F$198:$F$275,0)),"")</f>
        <v/>
      </c>
      <c r="U872" s="110" t="str">
        <f>IFERROR(INDEX('Data Sheet'!$D$198:$D$275,MATCH(I872,'Data Sheet'!$F$198:$F$275,0)),"")</f>
        <v/>
      </c>
      <c r="V872" s="99"/>
      <c r="W872" s="195" t="str">
        <f>IF(V872=Setup!$C$30,"Grant",IF(V872=Setup!$C$31,"Local",IF(V872=Setup!$C$32,"Other",IF(ISBLANK(V872),"","Other"))))</f>
        <v/>
      </c>
      <c r="X872" s="255"/>
      <c r="Y872" s="259" t="str">
        <f>IF(X872&lt;&gt;"",X872/VLOOKUP($V872,Setup!$C$30:$D$41,2,0),"")</f>
        <v/>
      </c>
      <c r="Z872" s="262"/>
      <c r="AA872" s="256" t="str">
        <f t="shared" si="397"/>
        <v/>
      </c>
      <c r="AB872" s="262"/>
      <c r="AC872" s="258" t="str">
        <f t="shared" si="398"/>
        <v/>
      </c>
      <c r="AD872" s="262"/>
      <c r="AE872" s="258" t="str">
        <f t="shared" si="399"/>
        <v/>
      </c>
      <c r="AF872" s="262"/>
      <c r="AG872" s="256" t="str">
        <f t="shared" si="400"/>
        <v/>
      </c>
      <c r="AH872" s="256" t="str">
        <f t="shared" si="401"/>
        <v/>
      </c>
      <c r="AI872" s="256" t="str">
        <f t="shared" si="402"/>
        <v/>
      </c>
      <c r="AJ872" s="111"/>
      <c r="AK872" s="255"/>
      <c r="AL872" s="259" t="str">
        <f>IF(AK872&lt;&gt;"",AK872/VLOOKUP($V872,Setup!$C$30:$D$41,2,0),"")</f>
        <v/>
      </c>
      <c r="AM872" s="266"/>
      <c r="AN872" s="258" t="str">
        <f t="shared" si="403"/>
        <v/>
      </c>
      <c r="AO872" s="266"/>
      <c r="AP872" s="258" t="str">
        <f t="shared" si="404"/>
        <v/>
      </c>
      <c r="AQ872" s="266"/>
      <c r="AR872" s="258" t="str">
        <f t="shared" si="405"/>
        <v/>
      </c>
      <c r="AS872" s="266"/>
      <c r="AT872" s="256" t="str">
        <f t="shared" si="406"/>
        <v/>
      </c>
      <c r="AU872" s="256" t="str">
        <f t="shared" si="407"/>
        <v/>
      </c>
      <c r="AV872" s="256" t="str">
        <f t="shared" si="408"/>
        <v/>
      </c>
      <c r="AW872" s="267"/>
      <c r="AX872" s="255"/>
      <c r="AY872" s="259" t="str">
        <f>IF(AX872&lt;&gt;"",AX872/VLOOKUP($V872,Setup!$C$30:$D$41,2,0),"")</f>
        <v/>
      </c>
      <c r="AZ872" s="268"/>
      <c r="BA872" s="258" t="str">
        <f t="shared" si="409"/>
        <v/>
      </c>
      <c r="BB872" s="268"/>
      <c r="BC872" s="258" t="str">
        <f t="shared" si="410"/>
        <v/>
      </c>
      <c r="BD872" s="268"/>
      <c r="BE872" s="258" t="str">
        <f t="shared" si="411"/>
        <v/>
      </c>
      <c r="BF872" s="268"/>
      <c r="BG872" s="256" t="str">
        <f t="shared" si="412"/>
        <v/>
      </c>
      <c r="BH872" s="256" t="str">
        <f t="shared" si="413"/>
        <v/>
      </c>
      <c r="BI872" s="256" t="str">
        <f t="shared" si="414"/>
        <v/>
      </c>
      <c r="BJ872" s="267"/>
      <c r="BK872" s="255"/>
      <c r="BL872" s="259" t="str">
        <f>IF(BK872&lt;&gt;"",BK872/VLOOKUP($V872,Setup!$C$30:$D$41,2,0),"")</f>
        <v/>
      </c>
      <c r="BM872" s="268"/>
      <c r="BN872" s="258" t="str">
        <f t="shared" si="415"/>
        <v/>
      </c>
      <c r="BO872" s="268"/>
      <c r="BP872" s="258" t="str">
        <f t="shared" si="416"/>
        <v/>
      </c>
      <c r="BQ872" s="268"/>
      <c r="BR872" s="258" t="str">
        <f t="shared" si="417"/>
        <v/>
      </c>
      <c r="BS872" s="268"/>
      <c r="BT872" s="256" t="str">
        <f t="shared" si="418"/>
        <v/>
      </c>
      <c r="BU872" s="256" t="str">
        <f t="shared" si="419"/>
        <v/>
      </c>
      <c r="BV872" s="256" t="str">
        <f t="shared" si="420"/>
        <v/>
      </c>
      <c r="BW872" s="267"/>
      <c r="BX872" s="256" t="str">
        <f t="shared" si="421"/>
        <v/>
      </c>
      <c r="BY872" s="256" t="str">
        <f t="shared" si="422"/>
        <v/>
      </c>
      <c r="BZ872" s="281"/>
      <c r="CA872" s="282"/>
      <c r="CF872" s="284"/>
      <c r="CG872" s="284"/>
      <c r="CH872" s="284"/>
      <c r="CI872" s="284"/>
      <c r="CL872" s="356" t="str">
        <f>IFERROR(VLOOKUP(C872,'Data Sheet'!$A$3:$B$26,2,FALSE),"")</f>
        <v/>
      </c>
    </row>
    <row r="873" spans="1:90" ht="15.75" x14ac:dyDescent="0.2">
      <c r="A873" s="97"/>
      <c r="B873" s="105" t="str">
        <f t="shared" si="425"/>
        <v>--</v>
      </c>
      <c r="C873" s="276"/>
      <c r="D873" s="101" t="str">
        <f>IFERROR(IF(VLOOKUP(C873,'Data Sheet'!$A$3:$D$26,4,FALSE)=0,"",VLOOKUP(C873,'Data Sheet'!$A$3:$D$26,4,FALSE)),"")</f>
        <v/>
      </c>
      <c r="E873" s="279"/>
      <c r="F873" s="103" t="str">
        <f>IFERROR(IF(VLOOKUP(E873,'Data Sheet'!$C$29:$E$174,3,FALSE)=0,"",VLOOKUP(E873,'Data Sheet'!$C$29:$E$174,3,FALSE)),"")</f>
        <v/>
      </c>
      <c r="G873" s="106" t="str">
        <f t="shared" si="423"/>
        <v>-</v>
      </c>
      <c r="H873" s="273"/>
      <c r="I873" s="107"/>
      <c r="J873" s="249" t="e">
        <f t="shared" si="424"/>
        <v>#VALUE!</v>
      </c>
      <c r="K873" s="101" t="str">
        <f>IFERROR(INDEX('Data Sheet'!$C$198:$C$275,MATCH(I873,'Data Sheet'!$F$198:$F$275,0)),"")</f>
        <v/>
      </c>
      <c r="L873" s="250" t="str">
        <f>IFERROR(INDEX('Data Sheet'!$G$198:$G$275,MATCH(I873,'Data Sheet'!$F$198:$F$275,0)),"")</f>
        <v/>
      </c>
      <c r="M873" s="194"/>
      <c r="N873" s="248"/>
      <c r="O873" s="248"/>
      <c r="P873" s="108" t="str">
        <f>IFERROR(INDEX(Setup!$D$44:$D$70,MATCH(M873,Setup!$K$44:$K$70,0))&amp;"","")</f>
        <v/>
      </c>
      <c r="Q873" s="108" t="str">
        <f>IFERROR(INDEX(Setup!$E$44:$E$70,MATCH(M873,Setup!$K$44:$K$70,0))&amp;"","")</f>
        <v/>
      </c>
      <c r="R873" s="108" t="str">
        <f>IFERROR(INDEX(Setup!$L$44:$L$70,MATCH(M873,Setup!$K$44:$K$70,0))&amp;"","")</f>
        <v/>
      </c>
      <c r="S873" s="108" t="str">
        <f>Setup!$C$30</f>
        <v>USD</v>
      </c>
      <c r="T873" s="109" t="str">
        <f>IFERROR(INDEX('Data Sheet'!$B$198:$B$275,MATCH(I873,'Data Sheet'!$F$198:$F$275,0)),"")</f>
        <v/>
      </c>
      <c r="U873" s="110" t="str">
        <f>IFERROR(INDEX('Data Sheet'!$D$198:$D$275,MATCH(I873,'Data Sheet'!$F$198:$F$275,0)),"")</f>
        <v/>
      </c>
      <c r="V873" s="99"/>
      <c r="W873" s="195" t="str">
        <f>IF(V873=Setup!$C$30,"Grant",IF(V873=Setup!$C$31,"Local",IF(V873=Setup!$C$32,"Other",IF(ISBLANK(V873),"","Other"))))</f>
        <v/>
      </c>
      <c r="X873" s="255"/>
      <c r="Y873" s="259" t="str">
        <f>IF(X873&lt;&gt;"",X873/VLOOKUP($V873,Setup!$C$30:$D$41,2,0),"")</f>
        <v/>
      </c>
      <c r="Z873" s="262"/>
      <c r="AA873" s="256" t="str">
        <f t="shared" si="397"/>
        <v/>
      </c>
      <c r="AB873" s="262"/>
      <c r="AC873" s="258" t="str">
        <f t="shared" si="398"/>
        <v/>
      </c>
      <c r="AD873" s="262"/>
      <c r="AE873" s="258" t="str">
        <f t="shared" si="399"/>
        <v/>
      </c>
      <c r="AF873" s="262"/>
      <c r="AG873" s="256" t="str">
        <f t="shared" si="400"/>
        <v/>
      </c>
      <c r="AH873" s="256" t="str">
        <f t="shared" si="401"/>
        <v/>
      </c>
      <c r="AI873" s="256" t="str">
        <f t="shared" si="402"/>
        <v/>
      </c>
      <c r="AJ873" s="111"/>
      <c r="AK873" s="255"/>
      <c r="AL873" s="259" t="str">
        <f>IF(AK873&lt;&gt;"",AK873/VLOOKUP($V873,Setup!$C$30:$D$41,2,0),"")</f>
        <v/>
      </c>
      <c r="AM873" s="266"/>
      <c r="AN873" s="258" t="str">
        <f t="shared" si="403"/>
        <v/>
      </c>
      <c r="AO873" s="266"/>
      <c r="AP873" s="258" t="str">
        <f t="shared" si="404"/>
        <v/>
      </c>
      <c r="AQ873" s="266"/>
      <c r="AR873" s="258" t="str">
        <f t="shared" si="405"/>
        <v/>
      </c>
      <c r="AS873" s="266"/>
      <c r="AT873" s="256" t="str">
        <f t="shared" si="406"/>
        <v/>
      </c>
      <c r="AU873" s="256" t="str">
        <f t="shared" si="407"/>
        <v/>
      </c>
      <c r="AV873" s="256" t="str">
        <f t="shared" si="408"/>
        <v/>
      </c>
      <c r="AW873" s="267"/>
      <c r="AX873" s="255"/>
      <c r="AY873" s="259" t="str">
        <f>IF(AX873&lt;&gt;"",AX873/VLOOKUP($V873,Setup!$C$30:$D$41,2,0),"")</f>
        <v/>
      </c>
      <c r="AZ873" s="268"/>
      <c r="BA873" s="258" t="str">
        <f t="shared" si="409"/>
        <v/>
      </c>
      <c r="BB873" s="268"/>
      <c r="BC873" s="258" t="str">
        <f t="shared" si="410"/>
        <v/>
      </c>
      <c r="BD873" s="268"/>
      <c r="BE873" s="258" t="str">
        <f t="shared" si="411"/>
        <v/>
      </c>
      <c r="BF873" s="268"/>
      <c r="BG873" s="256" t="str">
        <f t="shared" si="412"/>
        <v/>
      </c>
      <c r="BH873" s="256" t="str">
        <f t="shared" si="413"/>
        <v/>
      </c>
      <c r="BI873" s="256" t="str">
        <f t="shared" si="414"/>
        <v/>
      </c>
      <c r="BJ873" s="267"/>
      <c r="BK873" s="255"/>
      <c r="BL873" s="259" t="str">
        <f>IF(BK873&lt;&gt;"",BK873/VLOOKUP($V873,Setup!$C$30:$D$41,2,0),"")</f>
        <v/>
      </c>
      <c r="BM873" s="268"/>
      <c r="BN873" s="258" t="str">
        <f t="shared" si="415"/>
        <v/>
      </c>
      <c r="BO873" s="268"/>
      <c r="BP873" s="258" t="str">
        <f t="shared" si="416"/>
        <v/>
      </c>
      <c r="BQ873" s="268"/>
      <c r="BR873" s="258" t="str">
        <f t="shared" si="417"/>
        <v/>
      </c>
      <c r="BS873" s="268"/>
      <c r="BT873" s="256" t="str">
        <f t="shared" si="418"/>
        <v/>
      </c>
      <c r="BU873" s="256" t="str">
        <f t="shared" si="419"/>
        <v/>
      </c>
      <c r="BV873" s="256" t="str">
        <f t="shared" si="420"/>
        <v/>
      </c>
      <c r="BW873" s="267"/>
      <c r="BX873" s="256" t="str">
        <f t="shared" si="421"/>
        <v/>
      </c>
      <c r="BY873" s="256" t="str">
        <f t="shared" si="422"/>
        <v/>
      </c>
      <c r="BZ873" s="281"/>
      <c r="CA873" s="282"/>
      <c r="CF873" s="284"/>
      <c r="CG873" s="284"/>
      <c r="CH873" s="284"/>
      <c r="CI873" s="284"/>
      <c r="CL873" s="356" t="str">
        <f>IFERROR(VLOOKUP(C873,'Data Sheet'!$A$3:$B$26,2,FALSE),"")</f>
        <v/>
      </c>
    </row>
    <row r="874" spans="1:90" ht="15.75" x14ac:dyDescent="0.2">
      <c r="A874" s="97"/>
      <c r="B874" s="105" t="str">
        <f t="shared" si="425"/>
        <v>--</v>
      </c>
      <c r="C874" s="276"/>
      <c r="D874" s="101" t="str">
        <f>IFERROR(IF(VLOOKUP(C874,'Data Sheet'!$A$3:$D$26,4,FALSE)=0,"",VLOOKUP(C874,'Data Sheet'!$A$3:$D$26,4,FALSE)),"")</f>
        <v/>
      </c>
      <c r="E874" s="279"/>
      <c r="F874" s="103" t="str">
        <f>IFERROR(IF(VLOOKUP(E874,'Data Sheet'!$C$29:$E$174,3,FALSE)=0,"",VLOOKUP(E874,'Data Sheet'!$C$29:$E$174,3,FALSE)),"")</f>
        <v/>
      </c>
      <c r="G874" s="106" t="str">
        <f t="shared" si="423"/>
        <v>-</v>
      </c>
      <c r="H874" s="273"/>
      <c r="I874" s="107"/>
      <c r="J874" s="249" t="e">
        <f t="shared" si="424"/>
        <v>#VALUE!</v>
      </c>
      <c r="K874" s="101" t="str">
        <f>IFERROR(INDEX('Data Sheet'!$C$198:$C$275,MATCH(I874,'Data Sheet'!$F$198:$F$275,0)),"")</f>
        <v/>
      </c>
      <c r="L874" s="250" t="str">
        <f>IFERROR(INDEX('Data Sheet'!$G$198:$G$275,MATCH(I874,'Data Sheet'!$F$198:$F$275,0)),"")</f>
        <v/>
      </c>
      <c r="M874" s="194"/>
      <c r="N874" s="248"/>
      <c r="O874" s="248"/>
      <c r="P874" s="108" t="str">
        <f>IFERROR(INDEX(Setup!$D$44:$D$70,MATCH(M874,Setup!$K$44:$K$70,0))&amp;"","")</f>
        <v/>
      </c>
      <c r="Q874" s="108" t="str">
        <f>IFERROR(INDEX(Setup!$E$44:$E$70,MATCH(M874,Setup!$K$44:$K$70,0))&amp;"","")</f>
        <v/>
      </c>
      <c r="R874" s="108" t="str">
        <f>IFERROR(INDEX(Setup!$L$44:$L$70,MATCH(M874,Setup!$K$44:$K$70,0))&amp;"","")</f>
        <v/>
      </c>
      <c r="S874" s="108" t="str">
        <f>Setup!$C$30</f>
        <v>USD</v>
      </c>
      <c r="T874" s="109" t="str">
        <f>IFERROR(INDEX('Data Sheet'!$B$198:$B$275,MATCH(I874,'Data Sheet'!$F$198:$F$275,0)),"")</f>
        <v/>
      </c>
      <c r="U874" s="110" t="str">
        <f>IFERROR(INDEX('Data Sheet'!$D$198:$D$275,MATCH(I874,'Data Sheet'!$F$198:$F$275,0)),"")</f>
        <v/>
      </c>
      <c r="V874" s="99"/>
      <c r="W874" s="195" t="str">
        <f>IF(V874=Setup!$C$30,"Grant",IF(V874=Setup!$C$31,"Local",IF(V874=Setup!$C$32,"Other",IF(ISBLANK(V874),"","Other"))))</f>
        <v/>
      </c>
      <c r="X874" s="255"/>
      <c r="Y874" s="259" t="str">
        <f>IF(X874&lt;&gt;"",X874/VLOOKUP($V874,Setup!$C$30:$D$41,2,0),"")</f>
        <v/>
      </c>
      <c r="Z874" s="262"/>
      <c r="AA874" s="256" t="str">
        <f t="shared" si="397"/>
        <v/>
      </c>
      <c r="AB874" s="262"/>
      <c r="AC874" s="258" t="str">
        <f t="shared" si="398"/>
        <v/>
      </c>
      <c r="AD874" s="262"/>
      <c r="AE874" s="258" t="str">
        <f t="shared" si="399"/>
        <v/>
      </c>
      <c r="AF874" s="262"/>
      <c r="AG874" s="256" t="str">
        <f t="shared" si="400"/>
        <v/>
      </c>
      <c r="AH874" s="256" t="str">
        <f t="shared" si="401"/>
        <v/>
      </c>
      <c r="AI874" s="256" t="str">
        <f t="shared" si="402"/>
        <v/>
      </c>
      <c r="AJ874" s="111"/>
      <c r="AK874" s="255"/>
      <c r="AL874" s="259" t="str">
        <f>IF(AK874&lt;&gt;"",AK874/VLOOKUP($V874,Setup!$C$30:$D$41,2,0),"")</f>
        <v/>
      </c>
      <c r="AM874" s="266"/>
      <c r="AN874" s="258" t="str">
        <f t="shared" si="403"/>
        <v/>
      </c>
      <c r="AO874" s="266"/>
      <c r="AP874" s="258" t="str">
        <f t="shared" si="404"/>
        <v/>
      </c>
      <c r="AQ874" s="266"/>
      <c r="AR874" s="258" t="str">
        <f t="shared" si="405"/>
        <v/>
      </c>
      <c r="AS874" s="266"/>
      <c r="AT874" s="256" t="str">
        <f t="shared" si="406"/>
        <v/>
      </c>
      <c r="AU874" s="256" t="str">
        <f t="shared" si="407"/>
        <v/>
      </c>
      <c r="AV874" s="256" t="str">
        <f t="shared" si="408"/>
        <v/>
      </c>
      <c r="AW874" s="267"/>
      <c r="AX874" s="255"/>
      <c r="AY874" s="259" t="str">
        <f>IF(AX874&lt;&gt;"",AX874/VLOOKUP($V874,Setup!$C$30:$D$41,2,0),"")</f>
        <v/>
      </c>
      <c r="AZ874" s="268"/>
      <c r="BA874" s="258" t="str">
        <f t="shared" si="409"/>
        <v/>
      </c>
      <c r="BB874" s="268"/>
      <c r="BC874" s="258" t="str">
        <f t="shared" si="410"/>
        <v/>
      </c>
      <c r="BD874" s="268"/>
      <c r="BE874" s="258" t="str">
        <f t="shared" si="411"/>
        <v/>
      </c>
      <c r="BF874" s="268"/>
      <c r="BG874" s="256" t="str">
        <f t="shared" si="412"/>
        <v/>
      </c>
      <c r="BH874" s="256" t="str">
        <f t="shared" si="413"/>
        <v/>
      </c>
      <c r="BI874" s="256" t="str">
        <f t="shared" si="414"/>
        <v/>
      </c>
      <c r="BJ874" s="267"/>
      <c r="BK874" s="255"/>
      <c r="BL874" s="259" t="str">
        <f>IF(BK874&lt;&gt;"",BK874/VLOOKUP($V874,Setup!$C$30:$D$41,2,0),"")</f>
        <v/>
      </c>
      <c r="BM874" s="268"/>
      <c r="BN874" s="258" t="str">
        <f t="shared" si="415"/>
        <v/>
      </c>
      <c r="BO874" s="268"/>
      <c r="BP874" s="258" t="str">
        <f t="shared" si="416"/>
        <v/>
      </c>
      <c r="BQ874" s="268"/>
      <c r="BR874" s="258" t="str">
        <f t="shared" si="417"/>
        <v/>
      </c>
      <c r="BS874" s="268"/>
      <c r="BT874" s="256" t="str">
        <f t="shared" si="418"/>
        <v/>
      </c>
      <c r="BU874" s="256" t="str">
        <f t="shared" si="419"/>
        <v/>
      </c>
      <c r="BV874" s="256" t="str">
        <f t="shared" si="420"/>
        <v/>
      </c>
      <c r="BW874" s="267"/>
      <c r="BX874" s="256" t="str">
        <f t="shared" si="421"/>
        <v/>
      </c>
      <c r="BY874" s="256" t="str">
        <f t="shared" si="422"/>
        <v/>
      </c>
      <c r="BZ874" s="281"/>
      <c r="CA874" s="282"/>
      <c r="CF874" s="284"/>
      <c r="CG874" s="284"/>
      <c r="CH874" s="284"/>
      <c r="CI874" s="284"/>
      <c r="CL874" s="356" t="str">
        <f>IFERROR(VLOOKUP(C874,'Data Sheet'!$A$3:$B$26,2,FALSE),"")</f>
        <v/>
      </c>
    </row>
    <row r="875" spans="1:90" ht="15.75" x14ac:dyDescent="0.2">
      <c r="A875" s="97"/>
      <c r="B875" s="105" t="str">
        <f t="shared" si="425"/>
        <v>--</v>
      </c>
      <c r="C875" s="276"/>
      <c r="D875" s="101" t="str">
        <f>IFERROR(IF(VLOOKUP(C875,'Data Sheet'!$A$3:$D$26,4,FALSE)=0,"",VLOOKUP(C875,'Data Sheet'!$A$3:$D$26,4,FALSE)),"")</f>
        <v/>
      </c>
      <c r="E875" s="279"/>
      <c r="F875" s="103" t="str">
        <f>IFERROR(IF(VLOOKUP(E875,'Data Sheet'!$C$29:$E$174,3,FALSE)=0,"",VLOOKUP(E875,'Data Sheet'!$C$29:$E$174,3,FALSE)),"")</f>
        <v/>
      </c>
      <c r="G875" s="106" t="str">
        <f t="shared" si="423"/>
        <v>-</v>
      </c>
      <c r="H875" s="273"/>
      <c r="I875" s="107"/>
      <c r="J875" s="249" t="e">
        <f t="shared" si="424"/>
        <v>#VALUE!</v>
      </c>
      <c r="K875" s="101" t="str">
        <f>IFERROR(INDEX('Data Sheet'!$C$198:$C$275,MATCH(I875,'Data Sheet'!$F$198:$F$275,0)),"")</f>
        <v/>
      </c>
      <c r="L875" s="250" t="str">
        <f>IFERROR(INDEX('Data Sheet'!$G$198:$G$275,MATCH(I875,'Data Sheet'!$F$198:$F$275,0)),"")</f>
        <v/>
      </c>
      <c r="M875" s="194"/>
      <c r="N875" s="248"/>
      <c r="O875" s="248"/>
      <c r="P875" s="108" t="str">
        <f>IFERROR(INDEX(Setup!$D$44:$D$70,MATCH(M875,Setup!$K$44:$K$70,0))&amp;"","")</f>
        <v/>
      </c>
      <c r="Q875" s="108" t="str">
        <f>IFERROR(INDEX(Setup!$E$44:$E$70,MATCH(M875,Setup!$K$44:$K$70,0))&amp;"","")</f>
        <v/>
      </c>
      <c r="R875" s="108" t="str">
        <f>IFERROR(INDEX(Setup!$L$44:$L$70,MATCH(M875,Setup!$K$44:$K$70,0))&amp;"","")</f>
        <v/>
      </c>
      <c r="S875" s="108" t="str">
        <f>Setup!$C$30</f>
        <v>USD</v>
      </c>
      <c r="T875" s="109" t="str">
        <f>IFERROR(INDEX('Data Sheet'!$B$198:$B$275,MATCH(I875,'Data Sheet'!$F$198:$F$275,0)),"")</f>
        <v/>
      </c>
      <c r="U875" s="110" t="str">
        <f>IFERROR(INDEX('Data Sheet'!$D$198:$D$275,MATCH(I875,'Data Sheet'!$F$198:$F$275,0)),"")</f>
        <v/>
      </c>
      <c r="V875" s="99"/>
      <c r="W875" s="195" t="str">
        <f>IF(V875=Setup!$C$30,"Grant",IF(V875=Setup!$C$31,"Local",IF(V875=Setup!$C$32,"Other",IF(ISBLANK(V875),"","Other"))))</f>
        <v/>
      </c>
      <c r="X875" s="255"/>
      <c r="Y875" s="259" t="str">
        <f>IF(X875&lt;&gt;"",X875/VLOOKUP($V875,Setup!$C$30:$D$41,2,0),"")</f>
        <v/>
      </c>
      <c r="Z875" s="262"/>
      <c r="AA875" s="256" t="str">
        <f t="shared" si="397"/>
        <v/>
      </c>
      <c r="AB875" s="262"/>
      <c r="AC875" s="258" t="str">
        <f t="shared" si="398"/>
        <v/>
      </c>
      <c r="AD875" s="262"/>
      <c r="AE875" s="258" t="str">
        <f t="shared" si="399"/>
        <v/>
      </c>
      <c r="AF875" s="262"/>
      <c r="AG875" s="256" t="str">
        <f t="shared" si="400"/>
        <v/>
      </c>
      <c r="AH875" s="256" t="str">
        <f t="shared" si="401"/>
        <v/>
      </c>
      <c r="AI875" s="256" t="str">
        <f t="shared" si="402"/>
        <v/>
      </c>
      <c r="AJ875" s="111"/>
      <c r="AK875" s="255"/>
      <c r="AL875" s="259" t="str">
        <f>IF(AK875&lt;&gt;"",AK875/VLOOKUP($V875,Setup!$C$30:$D$41,2,0),"")</f>
        <v/>
      </c>
      <c r="AM875" s="266"/>
      <c r="AN875" s="258" t="str">
        <f t="shared" si="403"/>
        <v/>
      </c>
      <c r="AO875" s="266"/>
      <c r="AP875" s="258" t="str">
        <f t="shared" si="404"/>
        <v/>
      </c>
      <c r="AQ875" s="266"/>
      <c r="AR875" s="258" t="str">
        <f t="shared" si="405"/>
        <v/>
      </c>
      <c r="AS875" s="266"/>
      <c r="AT875" s="256" t="str">
        <f t="shared" si="406"/>
        <v/>
      </c>
      <c r="AU875" s="256" t="str">
        <f t="shared" si="407"/>
        <v/>
      </c>
      <c r="AV875" s="256" t="str">
        <f t="shared" si="408"/>
        <v/>
      </c>
      <c r="AW875" s="267"/>
      <c r="AX875" s="255"/>
      <c r="AY875" s="259" t="str">
        <f>IF(AX875&lt;&gt;"",AX875/VLOOKUP($V875,Setup!$C$30:$D$41,2,0),"")</f>
        <v/>
      </c>
      <c r="AZ875" s="268"/>
      <c r="BA875" s="258" t="str">
        <f t="shared" si="409"/>
        <v/>
      </c>
      <c r="BB875" s="268"/>
      <c r="BC875" s="258" t="str">
        <f t="shared" si="410"/>
        <v/>
      </c>
      <c r="BD875" s="268"/>
      <c r="BE875" s="258" t="str">
        <f t="shared" si="411"/>
        <v/>
      </c>
      <c r="BF875" s="268"/>
      <c r="BG875" s="256" t="str">
        <f t="shared" si="412"/>
        <v/>
      </c>
      <c r="BH875" s="256" t="str">
        <f t="shared" si="413"/>
        <v/>
      </c>
      <c r="BI875" s="256" t="str">
        <f t="shared" si="414"/>
        <v/>
      </c>
      <c r="BJ875" s="267"/>
      <c r="BK875" s="255"/>
      <c r="BL875" s="259" t="str">
        <f>IF(BK875&lt;&gt;"",BK875/VLOOKUP($V875,Setup!$C$30:$D$41,2,0),"")</f>
        <v/>
      </c>
      <c r="BM875" s="268"/>
      <c r="BN875" s="258" t="str">
        <f t="shared" si="415"/>
        <v/>
      </c>
      <c r="BO875" s="268"/>
      <c r="BP875" s="258" t="str">
        <f t="shared" si="416"/>
        <v/>
      </c>
      <c r="BQ875" s="268"/>
      <c r="BR875" s="258" t="str">
        <f t="shared" si="417"/>
        <v/>
      </c>
      <c r="BS875" s="268"/>
      <c r="BT875" s="256" t="str">
        <f t="shared" si="418"/>
        <v/>
      </c>
      <c r="BU875" s="256" t="str">
        <f t="shared" si="419"/>
        <v/>
      </c>
      <c r="BV875" s="256" t="str">
        <f t="shared" si="420"/>
        <v/>
      </c>
      <c r="BW875" s="267"/>
      <c r="BX875" s="256" t="str">
        <f t="shared" si="421"/>
        <v/>
      </c>
      <c r="BY875" s="256" t="str">
        <f t="shared" si="422"/>
        <v/>
      </c>
      <c r="BZ875" s="281"/>
      <c r="CA875" s="282"/>
      <c r="CF875" s="284"/>
      <c r="CG875" s="284"/>
      <c r="CH875" s="284"/>
      <c r="CI875" s="284"/>
      <c r="CL875" s="356" t="str">
        <f>IFERROR(VLOOKUP(C875,'Data Sheet'!$A$3:$B$26,2,FALSE),"")</f>
        <v/>
      </c>
    </row>
    <row r="876" spans="1:90" ht="15.75" x14ac:dyDescent="0.2">
      <c r="A876" s="97"/>
      <c r="B876" s="105" t="str">
        <f t="shared" si="425"/>
        <v>--</v>
      </c>
      <c r="C876" s="276"/>
      <c r="D876" s="101" t="str">
        <f>IFERROR(IF(VLOOKUP(C876,'Data Sheet'!$A$3:$D$26,4,FALSE)=0,"",VLOOKUP(C876,'Data Sheet'!$A$3:$D$26,4,FALSE)),"")</f>
        <v/>
      </c>
      <c r="E876" s="279"/>
      <c r="F876" s="103" t="str">
        <f>IFERROR(IF(VLOOKUP(E876,'Data Sheet'!$C$29:$E$174,3,FALSE)=0,"",VLOOKUP(E876,'Data Sheet'!$C$29:$E$174,3,FALSE)),"")</f>
        <v/>
      </c>
      <c r="G876" s="106" t="str">
        <f t="shared" si="423"/>
        <v>-</v>
      </c>
      <c r="H876" s="273"/>
      <c r="I876" s="107"/>
      <c r="J876" s="249" t="e">
        <f t="shared" si="424"/>
        <v>#VALUE!</v>
      </c>
      <c r="K876" s="101" t="str">
        <f>IFERROR(INDEX('Data Sheet'!$C$198:$C$275,MATCH(I876,'Data Sheet'!$F$198:$F$275,0)),"")</f>
        <v/>
      </c>
      <c r="L876" s="250" t="str">
        <f>IFERROR(INDEX('Data Sheet'!$G$198:$G$275,MATCH(I876,'Data Sheet'!$F$198:$F$275,0)),"")</f>
        <v/>
      </c>
      <c r="M876" s="194"/>
      <c r="N876" s="248"/>
      <c r="O876" s="248"/>
      <c r="P876" s="108" t="str">
        <f>IFERROR(INDEX(Setup!$D$44:$D$70,MATCH(M876,Setup!$K$44:$K$70,0))&amp;"","")</f>
        <v/>
      </c>
      <c r="Q876" s="108" t="str">
        <f>IFERROR(INDEX(Setup!$E$44:$E$70,MATCH(M876,Setup!$K$44:$K$70,0))&amp;"","")</f>
        <v/>
      </c>
      <c r="R876" s="108" t="str">
        <f>IFERROR(INDEX(Setup!$L$44:$L$70,MATCH(M876,Setup!$K$44:$K$70,0))&amp;"","")</f>
        <v/>
      </c>
      <c r="S876" s="108" t="str">
        <f>Setup!$C$30</f>
        <v>USD</v>
      </c>
      <c r="T876" s="109" t="str">
        <f>IFERROR(INDEX('Data Sheet'!$B$198:$B$275,MATCH(I876,'Data Sheet'!$F$198:$F$275,0)),"")</f>
        <v/>
      </c>
      <c r="U876" s="110" t="str">
        <f>IFERROR(INDEX('Data Sheet'!$D$198:$D$275,MATCH(I876,'Data Sheet'!$F$198:$F$275,0)),"")</f>
        <v/>
      </c>
      <c r="V876" s="99"/>
      <c r="W876" s="195" t="str">
        <f>IF(V876=Setup!$C$30,"Grant",IF(V876=Setup!$C$31,"Local",IF(V876=Setup!$C$32,"Other",IF(ISBLANK(V876),"","Other"))))</f>
        <v/>
      </c>
      <c r="X876" s="255"/>
      <c r="Y876" s="259" t="str">
        <f>IF(X876&lt;&gt;"",X876/VLOOKUP($V876,Setup!$C$30:$D$41,2,0),"")</f>
        <v/>
      </c>
      <c r="Z876" s="262"/>
      <c r="AA876" s="256" t="str">
        <f t="shared" si="397"/>
        <v/>
      </c>
      <c r="AB876" s="262"/>
      <c r="AC876" s="258" t="str">
        <f t="shared" si="398"/>
        <v/>
      </c>
      <c r="AD876" s="262"/>
      <c r="AE876" s="258" t="str">
        <f t="shared" si="399"/>
        <v/>
      </c>
      <c r="AF876" s="262"/>
      <c r="AG876" s="256" t="str">
        <f t="shared" si="400"/>
        <v/>
      </c>
      <c r="AH876" s="256" t="str">
        <f t="shared" si="401"/>
        <v/>
      </c>
      <c r="AI876" s="256" t="str">
        <f t="shared" si="402"/>
        <v/>
      </c>
      <c r="AJ876" s="111"/>
      <c r="AK876" s="255"/>
      <c r="AL876" s="259" t="str">
        <f>IF(AK876&lt;&gt;"",AK876/VLOOKUP($V876,Setup!$C$30:$D$41,2,0),"")</f>
        <v/>
      </c>
      <c r="AM876" s="266"/>
      <c r="AN876" s="258" t="str">
        <f t="shared" si="403"/>
        <v/>
      </c>
      <c r="AO876" s="266"/>
      <c r="AP876" s="258" t="str">
        <f t="shared" si="404"/>
        <v/>
      </c>
      <c r="AQ876" s="266"/>
      <c r="AR876" s="258" t="str">
        <f t="shared" si="405"/>
        <v/>
      </c>
      <c r="AS876" s="266"/>
      <c r="AT876" s="256" t="str">
        <f t="shared" si="406"/>
        <v/>
      </c>
      <c r="AU876" s="256" t="str">
        <f t="shared" si="407"/>
        <v/>
      </c>
      <c r="AV876" s="256" t="str">
        <f t="shared" si="408"/>
        <v/>
      </c>
      <c r="AW876" s="267"/>
      <c r="AX876" s="255"/>
      <c r="AY876" s="259" t="str">
        <f>IF(AX876&lt;&gt;"",AX876/VLOOKUP($V876,Setup!$C$30:$D$41,2,0),"")</f>
        <v/>
      </c>
      <c r="AZ876" s="268"/>
      <c r="BA876" s="258" t="str">
        <f t="shared" si="409"/>
        <v/>
      </c>
      <c r="BB876" s="268"/>
      <c r="BC876" s="258" t="str">
        <f t="shared" si="410"/>
        <v/>
      </c>
      <c r="BD876" s="268"/>
      <c r="BE876" s="258" t="str">
        <f t="shared" si="411"/>
        <v/>
      </c>
      <c r="BF876" s="268"/>
      <c r="BG876" s="256" t="str">
        <f t="shared" si="412"/>
        <v/>
      </c>
      <c r="BH876" s="256" t="str">
        <f t="shared" si="413"/>
        <v/>
      </c>
      <c r="BI876" s="256" t="str">
        <f t="shared" si="414"/>
        <v/>
      </c>
      <c r="BJ876" s="267"/>
      <c r="BK876" s="255"/>
      <c r="BL876" s="259" t="str">
        <f>IF(BK876&lt;&gt;"",BK876/VLOOKUP($V876,Setup!$C$30:$D$41,2,0),"")</f>
        <v/>
      </c>
      <c r="BM876" s="268"/>
      <c r="BN876" s="258" t="str">
        <f t="shared" si="415"/>
        <v/>
      </c>
      <c r="BO876" s="268"/>
      <c r="BP876" s="258" t="str">
        <f t="shared" si="416"/>
        <v/>
      </c>
      <c r="BQ876" s="268"/>
      <c r="BR876" s="258" t="str">
        <f t="shared" si="417"/>
        <v/>
      </c>
      <c r="BS876" s="268"/>
      <c r="BT876" s="256" t="str">
        <f t="shared" si="418"/>
        <v/>
      </c>
      <c r="BU876" s="256" t="str">
        <f t="shared" si="419"/>
        <v/>
      </c>
      <c r="BV876" s="256" t="str">
        <f t="shared" si="420"/>
        <v/>
      </c>
      <c r="BW876" s="267"/>
      <c r="BX876" s="256" t="str">
        <f t="shared" si="421"/>
        <v/>
      </c>
      <c r="BY876" s="256" t="str">
        <f t="shared" si="422"/>
        <v/>
      </c>
      <c r="BZ876" s="281"/>
      <c r="CA876" s="282"/>
      <c r="CF876" s="284"/>
      <c r="CG876" s="284"/>
      <c r="CH876" s="284"/>
      <c r="CI876" s="284"/>
      <c r="CL876" s="356" t="str">
        <f>IFERROR(VLOOKUP(C876,'Data Sheet'!$A$3:$B$26,2,FALSE),"")</f>
        <v/>
      </c>
    </row>
    <row r="877" spans="1:90" ht="15.75" x14ac:dyDescent="0.2">
      <c r="A877" s="97"/>
      <c r="B877" s="105" t="str">
        <f t="shared" si="425"/>
        <v>--</v>
      </c>
      <c r="C877" s="276"/>
      <c r="D877" s="101" t="str">
        <f>IFERROR(IF(VLOOKUP(C877,'Data Sheet'!$A$3:$D$26,4,FALSE)=0,"",VLOOKUP(C877,'Data Sheet'!$A$3:$D$26,4,FALSE)),"")</f>
        <v/>
      </c>
      <c r="E877" s="279"/>
      <c r="F877" s="103" t="str">
        <f>IFERROR(IF(VLOOKUP(E877,'Data Sheet'!$C$29:$E$174,3,FALSE)=0,"",VLOOKUP(E877,'Data Sheet'!$C$29:$E$174,3,FALSE)),"")</f>
        <v/>
      </c>
      <c r="G877" s="106" t="str">
        <f t="shared" si="423"/>
        <v>-</v>
      </c>
      <c r="H877" s="273"/>
      <c r="I877" s="107"/>
      <c r="J877" s="249" t="e">
        <f t="shared" si="424"/>
        <v>#VALUE!</v>
      </c>
      <c r="K877" s="101" t="str">
        <f>IFERROR(INDEX('Data Sheet'!$C$198:$C$275,MATCH(I877,'Data Sheet'!$F$198:$F$275,0)),"")</f>
        <v/>
      </c>
      <c r="L877" s="250" t="str">
        <f>IFERROR(INDEX('Data Sheet'!$G$198:$G$275,MATCH(I877,'Data Sheet'!$F$198:$F$275,0)),"")</f>
        <v/>
      </c>
      <c r="M877" s="194"/>
      <c r="N877" s="248"/>
      <c r="O877" s="248"/>
      <c r="P877" s="108" t="str">
        <f>IFERROR(INDEX(Setup!$D$44:$D$70,MATCH(M877,Setup!$K$44:$K$70,0))&amp;"","")</f>
        <v/>
      </c>
      <c r="Q877" s="108" t="str">
        <f>IFERROR(INDEX(Setup!$E$44:$E$70,MATCH(M877,Setup!$K$44:$K$70,0))&amp;"","")</f>
        <v/>
      </c>
      <c r="R877" s="108" t="str">
        <f>IFERROR(INDEX(Setup!$L$44:$L$70,MATCH(M877,Setup!$K$44:$K$70,0))&amp;"","")</f>
        <v/>
      </c>
      <c r="S877" s="108" t="str">
        <f>Setup!$C$30</f>
        <v>USD</v>
      </c>
      <c r="T877" s="109" t="str">
        <f>IFERROR(INDEX('Data Sheet'!$B$198:$B$275,MATCH(I877,'Data Sheet'!$F$198:$F$275,0)),"")</f>
        <v/>
      </c>
      <c r="U877" s="110" t="str">
        <f>IFERROR(INDEX('Data Sheet'!$D$198:$D$275,MATCH(I877,'Data Sheet'!$F$198:$F$275,0)),"")</f>
        <v/>
      </c>
      <c r="V877" s="99"/>
      <c r="W877" s="195" t="str">
        <f>IF(V877=Setup!$C$30,"Grant",IF(V877=Setup!$C$31,"Local",IF(V877=Setup!$C$32,"Other",IF(ISBLANK(V877),"","Other"))))</f>
        <v/>
      </c>
      <c r="X877" s="255"/>
      <c r="Y877" s="259" t="str">
        <f>IF(X877&lt;&gt;"",X877/VLOOKUP($V877,Setup!$C$30:$D$41,2,0),"")</f>
        <v/>
      </c>
      <c r="Z877" s="262"/>
      <c r="AA877" s="256" t="str">
        <f t="shared" si="397"/>
        <v/>
      </c>
      <c r="AB877" s="262"/>
      <c r="AC877" s="258" t="str">
        <f t="shared" si="398"/>
        <v/>
      </c>
      <c r="AD877" s="262"/>
      <c r="AE877" s="258" t="str">
        <f t="shared" si="399"/>
        <v/>
      </c>
      <c r="AF877" s="262"/>
      <c r="AG877" s="256" t="str">
        <f t="shared" si="400"/>
        <v/>
      </c>
      <c r="AH877" s="256" t="str">
        <f t="shared" si="401"/>
        <v/>
      </c>
      <c r="AI877" s="256" t="str">
        <f t="shared" si="402"/>
        <v/>
      </c>
      <c r="AJ877" s="111"/>
      <c r="AK877" s="255"/>
      <c r="AL877" s="259" t="str">
        <f>IF(AK877&lt;&gt;"",AK877/VLOOKUP($V877,Setup!$C$30:$D$41,2,0),"")</f>
        <v/>
      </c>
      <c r="AM877" s="266"/>
      <c r="AN877" s="258" t="str">
        <f t="shared" si="403"/>
        <v/>
      </c>
      <c r="AO877" s="266"/>
      <c r="AP877" s="258" t="str">
        <f t="shared" si="404"/>
        <v/>
      </c>
      <c r="AQ877" s="266"/>
      <c r="AR877" s="258" t="str">
        <f t="shared" si="405"/>
        <v/>
      </c>
      <c r="AS877" s="266"/>
      <c r="AT877" s="256" t="str">
        <f t="shared" si="406"/>
        <v/>
      </c>
      <c r="AU877" s="256" t="str">
        <f t="shared" si="407"/>
        <v/>
      </c>
      <c r="AV877" s="256" t="str">
        <f t="shared" si="408"/>
        <v/>
      </c>
      <c r="AW877" s="267"/>
      <c r="AX877" s="255"/>
      <c r="AY877" s="259" t="str">
        <f>IF(AX877&lt;&gt;"",AX877/VLOOKUP($V877,Setup!$C$30:$D$41,2,0),"")</f>
        <v/>
      </c>
      <c r="AZ877" s="268"/>
      <c r="BA877" s="258" t="str">
        <f t="shared" si="409"/>
        <v/>
      </c>
      <c r="BB877" s="268"/>
      <c r="BC877" s="258" t="str">
        <f t="shared" si="410"/>
        <v/>
      </c>
      <c r="BD877" s="268"/>
      <c r="BE877" s="258" t="str">
        <f t="shared" si="411"/>
        <v/>
      </c>
      <c r="BF877" s="268"/>
      <c r="BG877" s="256" t="str">
        <f t="shared" si="412"/>
        <v/>
      </c>
      <c r="BH877" s="256" t="str">
        <f t="shared" si="413"/>
        <v/>
      </c>
      <c r="BI877" s="256" t="str">
        <f t="shared" si="414"/>
        <v/>
      </c>
      <c r="BJ877" s="267"/>
      <c r="BK877" s="255"/>
      <c r="BL877" s="259" t="str">
        <f>IF(BK877&lt;&gt;"",BK877/VLOOKUP($V877,Setup!$C$30:$D$41,2,0),"")</f>
        <v/>
      </c>
      <c r="BM877" s="268"/>
      <c r="BN877" s="258" t="str">
        <f t="shared" si="415"/>
        <v/>
      </c>
      <c r="BO877" s="268"/>
      <c r="BP877" s="258" t="str">
        <f t="shared" si="416"/>
        <v/>
      </c>
      <c r="BQ877" s="268"/>
      <c r="BR877" s="258" t="str">
        <f t="shared" si="417"/>
        <v/>
      </c>
      <c r="BS877" s="268"/>
      <c r="BT877" s="256" t="str">
        <f t="shared" si="418"/>
        <v/>
      </c>
      <c r="BU877" s="256" t="str">
        <f t="shared" si="419"/>
        <v/>
      </c>
      <c r="BV877" s="256" t="str">
        <f t="shared" si="420"/>
        <v/>
      </c>
      <c r="BW877" s="267"/>
      <c r="BX877" s="256" t="str">
        <f t="shared" si="421"/>
        <v/>
      </c>
      <c r="BY877" s="256" t="str">
        <f t="shared" si="422"/>
        <v/>
      </c>
      <c r="BZ877" s="281"/>
      <c r="CA877" s="282"/>
      <c r="CF877" s="284"/>
      <c r="CG877" s="284"/>
      <c r="CH877" s="284"/>
      <c r="CI877" s="284"/>
      <c r="CL877" s="356" t="str">
        <f>IFERROR(VLOOKUP(C877,'Data Sheet'!$A$3:$B$26,2,FALSE),"")</f>
        <v/>
      </c>
    </row>
    <row r="878" spans="1:90" ht="15.75" x14ac:dyDescent="0.2">
      <c r="A878" s="97"/>
      <c r="B878" s="105" t="str">
        <f t="shared" si="425"/>
        <v>--</v>
      </c>
      <c r="C878" s="276"/>
      <c r="D878" s="101" t="str">
        <f>IFERROR(IF(VLOOKUP(C878,'Data Sheet'!$A$3:$D$26,4,FALSE)=0,"",VLOOKUP(C878,'Data Sheet'!$A$3:$D$26,4,FALSE)),"")</f>
        <v/>
      </c>
      <c r="E878" s="279"/>
      <c r="F878" s="103" t="str">
        <f>IFERROR(IF(VLOOKUP(E878,'Data Sheet'!$C$29:$E$174,3,FALSE)=0,"",VLOOKUP(E878,'Data Sheet'!$C$29:$E$174,3,FALSE)),"")</f>
        <v/>
      </c>
      <c r="G878" s="106" t="str">
        <f t="shared" si="423"/>
        <v>-</v>
      </c>
      <c r="H878" s="273"/>
      <c r="I878" s="107"/>
      <c r="J878" s="249" t="e">
        <f t="shared" si="424"/>
        <v>#VALUE!</v>
      </c>
      <c r="K878" s="101" t="str">
        <f>IFERROR(INDEX('Data Sheet'!$C$198:$C$275,MATCH(I878,'Data Sheet'!$F$198:$F$275,0)),"")</f>
        <v/>
      </c>
      <c r="L878" s="250" t="str">
        <f>IFERROR(INDEX('Data Sheet'!$G$198:$G$275,MATCH(I878,'Data Sheet'!$F$198:$F$275,0)),"")</f>
        <v/>
      </c>
      <c r="M878" s="194"/>
      <c r="N878" s="248"/>
      <c r="O878" s="248"/>
      <c r="P878" s="108" t="str">
        <f>IFERROR(INDEX(Setup!$D$44:$D$70,MATCH(M878,Setup!$K$44:$K$70,0))&amp;"","")</f>
        <v/>
      </c>
      <c r="Q878" s="108" t="str">
        <f>IFERROR(INDEX(Setup!$E$44:$E$70,MATCH(M878,Setup!$K$44:$K$70,0))&amp;"","")</f>
        <v/>
      </c>
      <c r="R878" s="108" t="str">
        <f>IFERROR(INDEX(Setup!$L$44:$L$70,MATCH(M878,Setup!$K$44:$K$70,0))&amp;"","")</f>
        <v/>
      </c>
      <c r="S878" s="108" t="str">
        <f>Setup!$C$30</f>
        <v>USD</v>
      </c>
      <c r="T878" s="109" t="str">
        <f>IFERROR(INDEX('Data Sheet'!$B$198:$B$275,MATCH(I878,'Data Sheet'!$F$198:$F$275,0)),"")</f>
        <v/>
      </c>
      <c r="U878" s="110" t="str">
        <f>IFERROR(INDEX('Data Sheet'!$D$198:$D$275,MATCH(I878,'Data Sheet'!$F$198:$F$275,0)),"")</f>
        <v/>
      </c>
      <c r="V878" s="99"/>
      <c r="W878" s="195" t="str">
        <f>IF(V878=Setup!$C$30,"Grant",IF(V878=Setup!$C$31,"Local",IF(V878=Setup!$C$32,"Other",IF(ISBLANK(V878),"","Other"))))</f>
        <v/>
      </c>
      <c r="X878" s="255"/>
      <c r="Y878" s="259" t="str">
        <f>IF(X878&lt;&gt;"",X878/VLOOKUP($V878,Setup!$C$30:$D$41,2,0),"")</f>
        <v/>
      </c>
      <c r="Z878" s="262"/>
      <c r="AA878" s="256" t="str">
        <f t="shared" si="397"/>
        <v/>
      </c>
      <c r="AB878" s="262"/>
      <c r="AC878" s="258" t="str">
        <f t="shared" si="398"/>
        <v/>
      </c>
      <c r="AD878" s="262"/>
      <c r="AE878" s="258" t="str">
        <f t="shared" si="399"/>
        <v/>
      </c>
      <c r="AF878" s="262"/>
      <c r="AG878" s="256" t="str">
        <f t="shared" si="400"/>
        <v/>
      </c>
      <c r="AH878" s="256" t="str">
        <f t="shared" si="401"/>
        <v/>
      </c>
      <c r="AI878" s="256" t="str">
        <f t="shared" si="402"/>
        <v/>
      </c>
      <c r="AJ878" s="111"/>
      <c r="AK878" s="255"/>
      <c r="AL878" s="259" t="str">
        <f>IF(AK878&lt;&gt;"",AK878/VLOOKUP($V878,Setup!$C$30:$D$41,2,0),"")</f>
        <v/>
      </c>
      <c r="AM878" s="266"/>
      <c r="AN878" s="258" t="str">
        <f t="shared" si="403"/>
        <v/>
      </c>
      <c r="AO878" s="266"/>
      <c r="AP878" s="258" t="str">
        <f t="shared" si="404"/>
        <v/>
      </c>
      <c r="AQ878" s="266"/>
      <c r="AR878" s="258" t="str">
        <f t="shared" si="405"/>
        <v/>
      </c>
      <c r="AS878" s="266"/>
      <c r="AT878" s="256" t="str">
        <f t="shared" si="406"/>
        <v/>
      </c>
      <c r="AU878" s="256" t="str">
        <f t="shared" si="407"/>
        <v/>
      </c>
      <c r="AV878" s="256" t="str">
        <f t="shared" si="408"/>
        <v/>
      </c>
      <c r="AW878" s="267"/>
      <c r="AX878" s="255"/>
      <c r="AY878" s="259" t="str">
        <f>IF(AX878&lt;&gt;"",AX878/VLOOKUP($V878,Setup!$C$30:$D$41,2,0),"")</f>
        <v/>
      </c>
      <c r="AZ878" s="268"/>
      <c r="BA878" s="258" t="str">
        <f t="shared" si="409"/>
        <v/>
      </c>
      <c r="BB878" s="268"/>
      <c r="BC878" s="258" t="str">
        <f t="shared" si="410"/>
        <v/>
      </c>
      <c r="BD878" s="268"/>
      <c r="BE878" s="258" t="str">
        <f t="shared" si="411"/>
        <v/>
      </c>
      <c r="BF878" s="268"/>
      <c r="BG878" s="256" t="str">
        <f t="shared" si="412"/>
        <v/>
      </c>
      <c r="BH878" s="256" t="str">
        <f t="shared" si="413"/>
        <v/>
      </c>
      <c r="BI878" s="256" t="str">
        <f t="shared" si="414"/>
        <v/>
      </c>
      <c r="BJ878" s="267"/>
      <c r="BK878" s="255"/>
      <c r="BL878" s="259" t="str">
        <f>IF(BK878&lt;&gt;"",BK878/VLOOKUP($V878,Setup!$C$30:$D$41,2,0),"")</f>
        <v/>
      </c>
      <c r="BM878" s="268"/>
      <c r="BN878" s="258" t="str">
        <f t="shared" si="415"/>
        <v/>
      </c>
      <c r="BO878" s="268"/>
      <c r="BP878" s="258" t="str">
        <f t="shared" si="416"/>
        <v/>
      </c>
      <c r="BQ878" s="268"/>
      <c r="BR878" s="258" t="str">
        <f t="shared" si="417"/>
        <v/>
      </c>
      <c r="BS878" s="268"/>
      <c r="BT878" s="256" t="str">
        <f t="shared" si="418"/>
        <v/>
      </c>
      <c r="BU878" s="256" t="str">
        <f t="shared" si="419"/>
        <v/>
      </c>
      <c r="BV878" s="256" t="str">
        <f t="shared" si="420"/>
        <v/>
      </c>
      <c r="BW878" s="267"/>
      <c r="BX878" s="256" t="str">
        <f t="shared" si="421"/>
        <v/>
      </c>
      <c r="BY878" s="256" t="str">
        <f t="shared" si="422"/>
        <v/>
      </c>
      <c r="BZ878" s="281"/>
      <c r="CA878" s="282"/>
      <c r="CF878" s="284"/>
      <c r="CG878" s="284"/>
      <c r="CH878" s="284"/>
      <c r="CI878" s="284"/>
      <c r="CL878" s="356" t="str">
        <f>IFERROR(VLOOKUP(C878,'Data Sheet'!$A$3:$B$26,2,FALSE),"")</f>
        <v/>
      </c>
    </row>
    <row r="879" spans="1:90" ht="15.75" x14ac:dyDescent="0.2">
      <c r="A879" s="97"/>
      <c r="B879" s="105" t="str">
        <f t="shared" si="425"/>
        <v>--</v>
      </c>
      <c r="C879" s="276"/>
      <c r="D879" s="101" t="str">
        <f>IFERROR(IF(VLOOKUP(C879,'Data Sheet'!$A$3:$D$26,4,FALSE)=0,"",VLOOKUP(C879,'Data Sheet'!$A$3:$D$26,4,FALSE)),"")</f>
        <v/>
      </c>
      <c r="E879" s="279"/>
      <c r="F879" s="103" t="str">
        <f>IFERROR(IF(VLOOKUP(E879,'Data Sheet'!$C$29:$E$174,3,FALSE)=0,"",VLOOKUP(E879,'Data Sheet'!$C$29:$E$174,3,FALSE)),"")</f>
        <v/>
      </c>
      <c r="G879" s="106" t="str">
        <f t="shared" si="423"/>
        <v>-</v>
      </c>
      <c r="H879" s="273"/>
      <c r="I879" s="107"/>
      <c r="J879" s="249" t="e">
        <f t="shared" si="424"/>
        <v>#VALUE!</v>
      </c>
      <c r="K879" s="101" t="str">
        <f>IFERROR(INDEX('Data Sheet'!$C$198:$C$275,MATCH(I879,'Data Sheet'!$F$198:$F$275,0)),"")</f>
        <v/>
      </c>
      <c r="L879" s="250" t="str">
        <f>IFERROR(INDEX('Data Sheet'!$G$198:$G$275,MATCH(I879,'Data Sheet'!$F$198:$F$275,0)),"")</f>
        <v/>
      </c>
      <c r="M879" s="194"/>
      <c r="N879" s="248"/>
      <c r="O879" s="248"/>
      <c r="P879" s="108" t="str">
        <f>IFERROR(INDEX(Setup!$D$44:$D$70,MATCH(M879,Setup!$K$44:$K$70,0))&amp;"","")</f>
        <v/>
      </c>
      <c r="Q879" s="108" t="str">
        <f>IFERROR(INDEX(Setup!$E$44:$E$70,MATCH(M879,Setup!$K$44:$K$70,0))&amp;"","")</f>
        <v/>
      </c>
      <c r="R879" s="108" t="str">
        <f>IFERROR(INDEX(Setup!$L$44:$L$70,MATCH(M879,Setup!$K$44:$K$70,0))&amp;"","")</f>
        <v/>
      </c>
      <c r="S879" s="108" t="str">
        <f>Setup!$C$30</f>
        <v>USD</v>
      </c>
      <c r="T879" s="109" t="str">
        <f>IFERROR(INDEX('Data Sheet'!$B$198:$B$275,MATCH(I879,'Data Sheet'!$F$198:$F$275,0)),"")</f>
        <v/>
      </c>
      <c r="U879" s="110" t="str">
        <f>IFERROR(INDEX('Data Sheet'!$D$198:$D$275,MATCH(I879,'Data Sheet'!$F$198:$F$275,0)),"")</f>
        <v/>
      </c>
      <c r="V879" s="99"/>
      <c r="W879" s="195" t="str">
        <f>IF(V879=Setup!$C$30,"Grant",IF(V879=Setup!$C$31,"Local",IF(V879=Setup!$C$32,"Other",IF(ISBLANK(V879),"","Other"))))</f>
        <v/>
      </c>
      <c r="X879" s="255"/>
      <c r="Y879" s="259" t="str">
        <f>IF(X879&lt;&gt;"",X879/VLOOKUP($V879,Setup!$C$30:$D$41,2,0),"")</f>
        <v/>
      </c>
      <c r="Z879" s="262"/>
      <c r="AA879" s="256" t="str">
        <f t="shared" si="397"/>
        <v/>
      </c>
      <c r="AB879" s="262"/>
      <c r="AC879" s="258" t="str">
        <f t="shared" si="398"/>
        <v/>
      </c>
      <c r="AD879" s="262"/>
      <c r="AE879" s="258" t="str">
        <f t="shared" si="399"/>
        <v/>
      </c>
      <c r="AF879" s="262"/>
      <c r="AG879" s="256" t="str">
        <f t="shared" si="400"/>
        <v/>
      </c>
      <c r="AH879" s="256" t="str">
        <f t="shared" si="401"/>
        <v/>
      </c>
      <c r="AI879" s="256" t="str">
        <f t="shared" si="402"/>
        <v/>
      </c>
      <c r="AJ879" s="111"/>
      <c r="AK879" s="255"/>
      <c r="AL879" s="259" t="str">
        <f>IF(AK879&lt;&gt;"",AK879/VLOOKUP($V879,Setup!$C$30:$D$41,2,0),"")</f>
        <v/>
      </c>
      <c r="AM879" s="266"/>
      <c r="AN879" s="258" t="str">
        <f t="shared" si="403"/>
        <v/>
      </c>
      <c r="AO879" s="266"/>
      <c r="AP879" s="258" t="str">
        <f t="shared" si="404"/>
        <v/>
      </c>
      <c r="AQ879" s="266"/>
      <c r="AR879" s="258" t="str">
        <f t="shared" si="405"/>
        <v/>
      </c>
      <c r="AS879" s="266"/>
      <c r="AT879" s="256" t="str">
        <f t="shared" si="406"/>
        <v/>
      </c>
      <c r="AU879" s="256" t="str">
        <f t="shared" si="407"/>
        <v/>
      </c>
      <c r="AV879" s="256" t="str">
        <f t="shared" si="408"/>
        <v/>
      </c>
      <c r="AW879" s="267"/>
      <c r="AX879" s="255"/>
      <c r="AY879" s="259" t="str">
        <f>IF(AX879&lt;&gt;"",AX879/VLOOKUP($V879,Setup!$C$30:$D$41,2,0),"")</f>
        <v/>
      </c>
      <c r="AZ879" s="268"/>
      <c r="BA879" s="258" t="str">
        <f t="shared" si="409"/>
        <v/>
      </c>
      <c r="BB879" s="268"/>
      <c r="BC879" s="258" t="str">
        <f t="shared" si="410"/>
        <v/>
      </c>
      <c r="BD879" s="268"/>
      <c r="BE879" s="258" t="str">
        <f t="shared" si="411"/>
        <v/>
      </c>
      <c r="BF879" s="268"/>
      <c r="BG879" s="256" t="str">
        <f t="shared" si="412"/>
        <v/>
      </c>
      <c r="BH879" s="256" t="str">
        <f t="shared" si="413"/>
        <v/>
      </c>
      <c r="BI879" s="256" t="str">
        <f t="shared" si="414"/>
        <v/>
      </c>
      <c r="BJ879" s="267"/>
      <c r="BK879" s="255"/>
      <c r="BL879" s="259" t="str">
        <f>IF(BK879&lt;&gt;"",BK879/VLOOKUP($V879,Setup!$C$30:$D$41,2,0),"")</f>
        <v/>
      </c>
      <c r="BM879" s="268"/>
      <c r="BN879" s="258" t="str">
        <f t="shared" si="415"/>
        <v/>
      </c>
      <c r="BO879" s="268"/>
      <c r="BP879" s="258" t="str">
        <f t="shared" si="416"/>
        <v/>
      </c>
      <c r="BQ879" s="268"/>
      <c r="BR879" s="258" t="str">
        <f t="shared" si="417"/>
        <v/>
      </c>
      <c r="BS879" s="268"/>
      <c r="BT879" s="256" t="str">
        <f t="shared" si="418"/>
        <v/>
      </c>
      <c r="BU879" s="256" t="str">
        <f t="shared" si="419"/>
        <v/>
      </c>
      <c r="BV879" s="256" t="str">
        <f t="shared" si="420"/>
        <v/>
      </c>
      <c r="BW879" s="267"/>
      <c r="BX879" s="256" t="str">
        <f t="shared" si="421"/>
        <v/>
      </c>
      <c r="BY879" s="256" t="str">
        <f t="shared" si="422"/>
        <v/>
      </c>
      <c r="BZ879" s="281"/>
      <c r="CA879" s="282"/>
      <c r="CF879" s="284"/>
      <c r="CG879" s="284"/>
      <c r="CH879" s="284"/>
      <c r="CI879" s="284"/>
      <c r="CL879" s="356" t="str">
        <f>IFERROR(VLOOKUP(C879,'Data Sheet'!$A$3:$B$26,2,FALSE),"")</f>
        <v/>
      </c>
    </row>
    <row r="880" spans="1:90" ht="15.75" x14ac:dyDescent="0.2">
      <c r="A880" s="97"/>
      <c r="B880" s="105" t="str">
        <f t="shared" si="425"/>
        <v>--</v>
      </c>
      <c r="C880" s="276"/>
      <c r="D880" s="101" t="str">
        <f>IFERROR(IF(VLOOKUP(C880,'Data Sheet'!$A$3:$D$26,4,FALSE)=0,"",VLOOKUP(C880,'Data Sheet'!$A$3:$D$26,4,FALSE)),"")</f>
        <v/>
      </c>
      <c r="E880" s="279"/>
      <c r="F880" s="103" t="str">
        <f>IFERROR(IF(VLOOKUP(E880,'Data Sheet'!$C$29:$E$174,3,FALSE)=0,"",VLOOKUP(E880,'Data Sheet'!$C$29:$E$174,3,FALSE)),"")</f>
        <v/>
      </c>
      <c r="G880" s="106" t="str">
        <f t="shared" si="423"/>
        <v>-</v>
      </c>
      <c r="H880" s="273"/>
      <c r="I880" s="107"/>
      <c r="J880" s="249" t="e">
        <f t="shared" si="424"/>
        <v>#VALUE!</v>
      </c>
      <c r="K880" s="101" t="str">
        <f>IFERROR(INDEX('Data Sheet'!$C$198:$C$275,MATCH(I880,'Data Sheet'!$F$198:$F$275,0)),"")</f>
        <v/>
      </c>
      <c r="L880" s="250" t="str">
        <f>IFERROR(INDEX('Data Sheet'!$G$198:$G$275,MATCH(I880,'Data Sheet'!$F$198:$F$275,0)),"")</f>
        <v/>
      </c>
      <c r="M880" s="194"/>
      <c r="N880" s="248"/>
      <c r="O880" s="248"/>
      <c r="P880" s="108" t="str">
        <f>IFERROR(INDEX(Setup!$D$44:$D$70,MATCH(M880,Setup!$K$44:$K$70,0))&amp;"","")</f>
        <v/>
      </c>
      <c r="Q880" s="108" t="str">
        <f>IFERROR(INDEX(Setup!$E$44:$E$70,MATCH(M880,Setup!$K$44:$K$70,0))&amp;"","")</f>
        <v/>
      </c>
      <c r="R880" s="108" t="str">
        <f>IFERROR(INDEX(Setup!$L$44:$L$70,MATCH(M880,Setup!$K$44:$K$70,0))&amp;"","")</f>
        <v/>
      </c>
      <c r="S880" s="108" t="str">
        <f>Setup!$C$30</f>
        <v>USD</v>
      </c>
      <c r="T880" s="109" t="str">
        <f>IFERROR(INDEX('Data Sheet'!$B$198:$B$275,MATCH(I880,'Data Sheet'!$F$198:$F$275,0)),"")</f>
        <v/>
      </c>
      <c r="U880" s="110" t="str">
        <f>IFERROR(INDEX('Data Sheet'!$D$198:$D$275,MATCH(I880,'Data Sheet'!$F$198:$F$275,0)),"")</f>
        <v/>
      </c>
      <c r="V880" s="99"/>
      <c r="W880" s="195" t="str">
        <f>IF(V880=Setup!$C$30,"Grant",IF(V880=Setup!$C$31,"Local",IF(V880=Setup!$C$32,"Other",IF(ISBLANK(V880),"","Other"))))</f>
        <v/>
      </c>
      <c r="X880" s="255"/>
      <c r="Y880" s="259" t="str">
        <f>IF(X880&lt;&gt;"",X880/VLOOKUP($V880,Setup!$C$30:$D$41,2,0),"")</f>
        <v/>
      </c>
      <c r="Z880" s="262"/>
      <c r="AA880" s="256" t="str">
        <f t="shared" si="397"/>
        <v/>
      </c>
      <c r="AB880" s="262"/>
      <c r="AC880" s="258" t="str">
        <f t="shared" si="398"/>
        <v/>
      </c>
      <c r="AD880" s="262"/>
      <c r="AE880" s="258" t="str">
        <f t="shared" si="399"/>
        <v/>
      </c>
      <c r="AF880" s="262"/>
      <c r="AG880" s="256" t="str">
        <f t="shared" si="400"/>
        <v/>
      </c>
      <c r="AH880" s="256" t="str">
        <f t="shared" si="401"/>
        <v/>
      </c>
      <c r="AI880" s="256" t="str">
        <f t="shared" si="402"/>
        <v/>
      </c>
      <c r="AJ880" s="111"/>
      <c r="AK880" s="255"/>
      <c r="AL880" s="259" t="str">
        <f>IF(AK880&lt;&gt;"",AK880/VLOOKUP($V880,Setup!$C$30:$D$41,2,0),"")</f>
        <v/>
      </c>
      <c r="AM880" s="266"/>
      <c r="AN880" s="258" t="str">
        <f t="shared" si="403"/>
        <v/>
      </c>
      <c r="AO880" s="266"/>
      <c r="AP880" s="258" t="str">
        <f t="shared" si="404"/>
        <v/>
      </c>
      <c r="AQ880" s="266"/>
      <c r="AR880" s="258" t="str">
        <f t="shared" si="405"/>
        <v/>
      </c>
      <c r="AS880" s="266"/>
      <c r="AT880" s="256" t="str">
        <f t="shared" si="406"/>
        <v/>
      </c>
      <c r="AU880" s="256" t="str">
        <f t="shared" si="407"/>
        <v/>
      </c>
      <c r="AV880" s="256" t="str">
        <f t="shared" si="408"/>
        <v/>
      </c>
      <c r="AW880" s="267"/>
      <c r="AX880" s="255"/>
      <c r="AY880" s="259" t="str">
        <f>IF(AX880&lt;&gt;"",AX880/VLOOKUP($V880,Setup!$C$30:$D$41,2,0),"")</f>
        <v/>
      </c>
      <c r="AZ880" s="268"/>
      <c r="BA880" s="258" t="str">
        <f t="shared" si="409"/>
        <v/>
      </c>
      <c r="BB880" s="268"/>
      <c r="BC880" s="258" t="str">
        <f t="shared" si="410"/>
        <v/>
      </c>
      <c r="BD880" s="268"/>
      <c r="BE880" s="258" t="str">
        <f t="shared" si="411"/>
        <v/>
      </c>
      <c r="BF880" s="268"/>
      <c r="BG880" s="256" t="str">
        <f t="shared" si="412"/>
        <v/>
      </c>
      <c r="BH880" s="256" t="str">
        <f t="shared" si="413"/>
        <v/>
      </c>
      <c r="BI880" s="256" t="str">
        <f t="shared" si="414"/>
        <v/>
      </c>
      <c r="BJ880" s="267"/>
      <c r="BK880" s="255"/>
      <c r="BL880" s="259" t="str">
        <f>IF(BK880&lt;&gt;"",BK880/VLOOKUP($V880,Setup!$C$30:$D$41,2,0),"")</f>
        <v/>
      </c>
      <c r="BM880" s="268"/>
      <c r="BN880" s="258" t="str">
        <f t="shared" si="415"/>
        <v/>
      </c>
      <c r="BO880" s="268"/>
      <c r="BP880" s="258" t="str">
        <f t="shared" si="416"/>
        <v/>
      </c>
      <c r="BQ880" s="268"/>
      <c r="BR880" s="258" t="str">
        <f t="shared" si="417"/>
        <v/>
      </c>
      <c r="BS880" s="268"/>
      <c r="BT880" s="256" t="str">
        <f t="shared" si="418"/>
        <v/>
      </c>
      <c r="BU880" s="256" t="str">
        <f t="shared" si="419"/>
        <v/>
      </c>
      <c r="BV880" s="256" t="str">
        <f t="shared" si="420"/>
        <v/>
      </c>
      <c r="BW880" s="267"/>
      <c r="BX880" s="256" t="str">
        <f t="shared" si="421"/>
        <v/>
      </c>
      <c r="BY880" s="256" t="str">
        <f t="shared" si="422"/>
        <v/>
      </c>
      <c r="BZ880" s="281"/>
      <c r="CA880" s="282"/>
      <c r="CF880" s="284"/>
      <c r="CG880" s="284"/>
      <c r="CH880" s="284"/>
      <c r="CI880" s="284"/>
      <c r="CL880" s="356" t="str">
        <f>IFERROR(VLOOKUP(C880,'Data Sheet'!$A$3:$B$26,2,FALSE),"")</f>
        <v/>
      </c>
    </row>
    <row r="881" spans="1:90" ht="15.75" x14ac:dyDescent="0.2">
      <c r="A881" s="97"/>
      <c r="B881" s="105" t="str">
        <f t="shared" si="425"/>
        <v>--</v>
      </c>
      <c r="C881" s="276"/>
      <c r="D881" s="101" t="str">
        <f>IFERROR(IF(VLOOKUP(C881,'Data Sheet'!$A$3:$D$26,4,FALSE)=0,"",VLOOKUP(C881,'Data Sheet'!$A$3:$D$26,4,FALSE)),"")</f>
        <v/>
      </c>
      <c r="E881" s="279"/>
      <c r="F881" s="103" t="str">
        <f>IFERROR(IF(VLOOKUP(E881,'Data Sheet'!$C$29:$E$174,3,FALSE)=0,"",VLOOKUP(E881,'Data Sheet'!$C$29:$E$174,3,FALSE)),"")</f>
        <v/>
      </c>
      <c r="G881" s="106" t="str">
        <f t="shared" si="423"/>
        <v>-</v>
      </c>
      <c r="H881" s="273"/>
      <c r="I881" s="107"/>
      <c r="J881" s="249" t="e">
        <f t="shared" si="424"/>
        <v>#VALUE!</v>
      </c>
      <c r="K881" s="101" t="str">
        <f>IFERROR(INDEX('Data Sheet'!$C$198:$C$275,MATCH(I881,'Data Sheet'!$F$198:$F$275,0)),"")</f>
        <v/>
      </c>
      <c r="L881" s="250" t="str">
        <f>IFERROR(INDEX('Data Sheet'!$G$198:$G$275,MATCH(I881,'Data Sheet'!$F$198:$F$275,0)),"")</f>
        <v/>
      </c>
      <c r="M881" s="194"/>
      <c r="N881" s="248"/>
      <c r="O881" s="248"/>
      <c r="P881" s="108" t="str">
        <f>IFERROR(INDEX(Setup!$D$44:$D$70,MATCH(M881,Setup!$K$44:$K$70,0))&amp;"","")</f>
        <v/>
      </c>
      <c r="Q881" s="108" t="str">
        <f>IFERROR(INDEX(Setup!$E$44:$E$70,MATCH(M881,Setup!$K$44:$K$70,0))&amp;"","")</f>
        <v/>
      </c>
      <c r="R881" s="108" t="str">
        <f>IFERROR(INDEX(Setup!$L$44:$L$70,MATCH(M881,Setup!$K$44:$K$70,0))&amp;"","")</f>
        <v/>
      </c>
      <c r="S881" s="108" t="str">
        <f>Setup!$C$30</f>
        <v>USD</v>
      </c>
      <c r="T881" s="109" t="str">
        <f>IFERROR(INDEX('Data Sheet'!$B$198:$B$275,MATCH(I881,'Data Sheet'!$F$198:$F$275,0)),"")</f>
        <v/>
      </c>
      <c r="U881" s="110" t="str">
        <f>IFERROR(INDEX('Data Sheet'!$D$198:$D$275,MATCH(I881,'Data Sheet'!$F$198:$F$275,0)),"")</f>
        <v/>
      </c>
      <c r="V881" s="99"/>
      <c r="W881" s="195" t="str">
        <f>IF(V881=Setup!$C$30,"Grant",IF(V881=Setup!$C$31,"Local",IF(V881=Setup!$C$32,"Other",IF(ISBLANK(V881),"","Other"))))</f>
        <v/>
      </c>
      <c r="X881" s="255"/>
      <c r="Y881" s="259" t="str">
        <f>IF(X881&lt;&gt;"",X881/VLOOKUP($V881,Setup!$C$30:$D$41,2,0),"")</f>
        <v/>
      </c>
      <c r="Z881" s="262"/>
      <c r="AA881" s="256" t="str">
        <f t="shared" si="397"/>
        <v/>
      </c>
      <c r="AB881" s="262"/>
      <c r="AC881" s="258" t="str">
        <f t="shared" si="398"/>
        <v/>
      </c>
      <c r="AD881" s="262"/>
      <c r="AE881" s="258" t="str">
        <f t="shared" si="399"/>
        <v/>
      </c>
      <c r="AF881" s="262"/>
      <c r="AG881" s="256" t="str">
        <f t="shared" si="400"/>
        <v/>
      </c>
      <c r="AH881" s="256" t="str">
        <f t="shared" si="401"/>
        <v/>
      </c>
      <c r="AI881" s="256" t="str">
        <f t="shared" si="402"/>
        <v/>
      </c>
      <c r="AJ881" s="111"/>
      <c r="AK881" s="255"/>
      <c r="AL881" s="259" t="str">
        <f>IF(AK881&lt;&gt;"",AK881/VLOOKUP($V881,Setup!$C$30:$D$41,2,0),"")</f>
        <v/>
      </c>
      <c r="AM881" s="266"/>
      <c r="AN881" s="258" t="str">
        <f t="shared" si="403"/>
        <v/>
      </c>
      <c r="AO881" s="266"/>
      <c r="AP881" s="258" t="str">
        <f t="shared" si="404"/>
        <v/>
      </c>
      <c r="AQ881" s="266"/>
      <c r="AR881" s="258" t="str">
        <f t="shared" si="405"/>
        <v/>
      </c>
      <c r="AS881" s="266"/>
      <c r="AT881" s="256" t="str">
        <f t="shared" si="406"/>
        <v/>
      </c>
      <c r="AU881" s="256" t="str">
        <f t="shared" si="407"/>
        <v/>
      </c>
      <c r="AV881" s="256" t="str">
        <f t="shared" si="408"/>
        <v/>
      </c>
      <c r="AW881" s="267"/>
      <c r="AX881" s="255"/>
      <c r="AY881" s="259" t="str">
        <f>IF(AX881&lt;&gt;"",AX881/VLOOKUP($V881,Setup!$C$30:$D$41,2,0),"")</f>
        <v/>
      </c>
      <c r="AZ881" s="268"/>
      <c r="BA881" s="258" t="str">
        <f t="shared" si="409"/>
        <v/>
      </c>
      <c r="BB881" s="268"/>
      <c r="BC881" s="258" t="str">
        <f t="shared" si="410"/>
        <v/>
      </c>
      <c r="BD881" s="268"/>
      <c r="BE881" s="258" t="str">
        <f t="shared" si="411"/>
        <v/>
      </c>
      <c r="BF881" s="268"/>
      <c r="BG881" s="256" t="str">
        <f t="shared" si="412"/>
        <v/>
      </c>
      <c r="BH881" s="256" t="str">
        <f t="shared" si="413"/>
        <v/>
      </c>
      <c r="BI881" s="256" t="str">
        <f t="shared" si="414"/>
        <v/>
      </c>
      <c r="BJ881" s="267"/>
      <c r="BK881" s="255"/>
      <c r="BL881" s="259" t="str">
        <f>IF(BK881&lt;&gt;"",BK881/VLOOKUP($V881,Setup!$C$30:$D$41,2,0),"")</f>
        <v/>
      </c>
      <c r="BM881" s="268"/>
      <c r="BN881" s="258" t="str">
        <f t="shared" si="415"/>
        <v/>
      </c>
      <c r="BO881" s="268"/>
      <c r="BP881" s="258" t="str">
        <f t="shared" si="416"/>
        <v/>
      </c>
      <c r="BQ881" s="268"/>
      <c r="BR881" s="258" t="str">
        <f t="shared" si="417"/>
        <v/>
      </c>
      <c r="BS881" s="268"/>
      <c r="BT881" s="256" t="str">
        <f t="shared" si="418"/>
        <v/>
      </c>
      <c r="BU881" s="256" t="str">
        <f t="shared" si="419"/>
        <v/>
      </c>
      <c r="BV881" s="256" t="str">
        <f t="shared" si="420"/>
        <v/>
      </c>
      <c r="BW881" s="267"/>
      <c r="BX881" s="256" t="str">
        <f t="shared" si="421"/>
        <v/>
      </c>
      <c r="BY881" s="256" t="str">
        <f t="shared" si="422"/>
        <v/>
      </c>
      <c r="BZ881" s="281"/>
      <c r="CA881" s="282"/>
      <c r="CF881" s="284"/>
      <c r="CG881" s="284"/>
      <c r="CH881" s="284"/>
      <c r="CI881" s="284"/>
      <c r="CL881" s="356" t="str">
        <f>IFERROR(VLOOKUP(C881,'Data Sheet'!$A$3:$B$26,2,FALSE),"")</f>
        <v/>
      </c>
    </row>
    <row r="882" spans="1:90" ht="15.75" x14ac:dyDescent="0.2">
      <c r="A882" s="97"/>
      <c r="B882" s="105" t="str">
        <f t="shared" si="425"/>
        <v>--</v>
      </c>
      <c r="C882" s="276"/>
      <c r="D882" s="101" t="str">
        <f>IFERROR(IF(VLOOKUP(C882,'Data Sheet'!$A$3:$D$26,4,FALSE)=0,"",VLOOKUP(C882,'Data Sheet'!$A$3:$D$26,4,FALSE)),"")</f>
        <v/>
      </c>
      <c r="E882" s="279"/>
      <c r="F882" s="103" t="str">
        <f>IFERROR(IF(VLOOKUP(E882,'Data Sheet'!$C$29:$E$174,3,FALSE)=0,"",VLOOKUP(E882,'Data Sheet'!$C$29:$E$174,3,FALSE)),"")</f>
        <v/>
      </c>
      <c r="G882" s="106" t="str">
        <f t="shared" si="423"/>
        <v>-</v>
      </c>
      <c r="H882" s="273"/>
      <c r="I882" s="107"/>
      <c r="J882" s="249" t="e">
        <f t="shared" si="424"/>
        <v>#VALUE!</v>
      </c>
      <c r="K882" s="101" t="str">
        <f>IFERROR(INDEX('Data Sheet'!$C$198:$C$275,MATCH(I882,'Data Sheet'!$F$198:$F$275,0)),"")</f>
        <v/>
      </c>
      <c r="L882" s="250" t="str">
        <f>IFERROR(INDEX('Data Sheet'!$G$198:$G$275,MATCH(I882,'Data Sheet'!$F$198:$F$275,0)),"")</f>
        <v/>
      </c>
      <c r="M882" s="194"/>
      <c r="N882" s="248"/>
      <c r="O882" s="248"/>
      <c r="P882" s="108" t="str">
        <f>IFERROR(INDEX(Setup!$D$44:$D$70,MATCH(M882,Setup!$K$44:$K$70,0))&amp;"","")</f>
        <v/>
      </c>
      <c r="Q882" s="108" t="str">
        <f>IFERROR(INDEX(Setup!$E$44:$E$70,MATCH(M882,Setup!$K$44:$K$70,0))&amp;"","")</f>
        <v/>
      </c>
      <c r="R882" s="108" t="str">
        <f>IFERROR(INDEX(Setup!$L$44:$L$70,MATCH(M882,Setup!$K$44:$K$70,0))&amp;"","")</f>
        <v/>
      </c>
      <c r="S882" s="108" t="str">
        <f>Setup!$C$30</f>
        <v>USD</v>
      </c>
      <c r="T882" s="109" t="str">
        <f>IFERROR(INDEX('Data Sheet'!$B$198:$B$275,MATCH(I882,'Data Sheet'!$F$198:$F$275,0)),"")</f>
        <v/>
      </c>
      <c r="U882" s="110" t="str">
        <f>IFERROR(INDEX('Data Sheet'!$D$198:$D$275,MATCH(I882,'Data Sheet'!$F$198:$F$275,0)),"")</f>
        <v/>
      </c>
      <c r="V882" s="99"/>
      <c r="W882" s="195" t="str">
        <f>IF(V882=Setup!$C$30,"Grant",IF(V882=Setup!$C$31,"Local",IF(V882=Setup!$C$32,"Other",IF(ISBLANK(V882),"","Other"))))</f>
        <v/>
      </c>
      <c r="X882" s="255"/>
      <c r="Y882" s="259" t="str">
        <f>IF(X882&lt;&gt;"",X882/VLOOKUP($V882,Setup!$C$30:$D$41,2,0),"")</f>
        <v/>
      </c>
      <c r="Z882" s="262"/>
      <c r="AA882" s="256" t="str">
        <f t="shared" si="397"/>
        <v/>
      </c>
      <c r="AB882" s="262"/>
      <c r="AC882" s="258" t="str">
        <f t="shared" si="398"/>
        <v/>
      </c>
      <c r="AD882" s="262"/>
      <c r="AE882" s="258" t="str">
        <f t="shared" si="399"/>
        <v/>
      </c>
      <c r="AF882" s="262"/>
      <c r="AG882" s="256" t="str">
        <f t="shared" si="400"/>
        <v/>
      </c>
      <c r="AH882" s="256" t="str">
        <f t="shared" si="401"/>
        <v/>
      </c>
      <c r="AI882" s="256" t="str">
        <f t="shared" si="402"/>
        <v/>
      </c>
      <c r="AJ882" s="111"/>
      <c r="AK882" s="255"/>
      <c r="AL882" s="259" t="str">
        <f>IF(AK882&lt;&gt;"",AK882/VLOOKUP($V882,Setup!$C$30:$D$41,2,0),"")</f>
        <v/>
      </c>
      <c r="AM882" s="266"/>
      <c r="AN882" s="258" t="str">
        <f t="shared" si="403"/>
        <v/>
      </c>
      <c r="AO882" s="266"/>
      <c r="AP882" s="258" t="str">
        <f t="shared" si="404"/>
        <v/>
      </c>
      <c r="AQ882" s="266"/>
      <c r="AR882" s="258" t="str">
        <f t="shared" si="405"/>
        <v/>
      </c>
      <c r="AS882" s="266"/>
      <c r="AT882" s="256" t="str">
        <f t="shared" si="406"/>
        <v/>
      </c>
      <c r="AU882" s="256" t="str">
        <f t="shared" si="407"/>
        <v/>
      </c>
      <c r="AV882" s="256" t="str">
        <f t="shared" si="408"/>
        <v/>
      </c>
      <c r="AW882" s="267"/>
      <c r="AX882" s="255"/>
      <c r="AY882" s="259" t="str">
        <f>IF(AX882&lt;&gt;"",AX882/VLOOKUP($V882,Setup!$C$30:$D$41,2,0),"")</f>
        <v/>
      </c>
      <c r="AZ882" s="268"/>
      <c r="BA882" s="258" t="str">
        <f t="shared" si="409"/>
        <v/>
      </c>
      <c r="BB882" s="268"/>
      <c r="BC882" s="258" t="str">
        <f t="shared" si="410"/>
        <v/>
      </c>
      <c r="BD882" s="268"/>
      <c r="BE882" s="258" t="str">
        <f t="shared" si="411"/>
        <v/>
      </c>
      <c r="BF882" s="268"/>
      <c r="BG882" s="256" t="str">
        <f t="shared" si="412"/>
        <v/>
      </c>
      <c r="BH882" s="256" t="str">
        <f t="shared" si="413"/>
        <v/>
      </c>
      <c r="BI882" s="256" t="str">
        <f t="shared" si="414"/>
        <v/>
      </c>
      <c r="BJ882" s="267"/>
      <c r="BK882" s="255"/>
      <c r="BL882" s="259" t="str">
        <f>IF(BK882&lt;&gt;"",BK882/VLOOKUP($V882,Setup!$C$30:$D$41,2,0),"")</f>
        <v/>
      </c>
      <c r="BM882" s="268"/>
      <c r="BN882" s="258" t="str">
        <f t="shared" si="415"/>
        <v/>
      </c>
      <c r="BO882" s="268"/>
      <c r="BP882" s="258" t="str">
        <f t="shared" si="416"/>
        <v/>
      </c>
      <c r="BQ882" s="268"/>
      <c r="BR882" s="258" t="str">
        <f t="shared" si="417"/>
        <v/>
      </c>
      <c r="BS882" s="268"/>
      <c r="BT882" s="256" t="str">
        <f t="shared" si="418"/>
        <v/>
      </c>
      <c r="BU882" s="256" t="str">
        <f t="shared" si="419"/>
        <v/>
      </c>
      <c r="BV882" s="256" t="str">
        <f t="shared" si="420"/>
        <v/>
      </c>
      <c r="BW882" s="267"/>
      <c r="BX882" s="256" t="str">
        <f t="shared" si="421"/>
        <v/>
      </c>
      <c r="BY882" s="256" t="str">
        <f t="shared" si="422"/>
        <v/>
      </c>
      <c r="BZ882" s="281"/>
      <c r="CA882" s="282"/>
      <c r="CF882" s="284"/>
      <c r="CG882" s="284"/>
      <c r="CH882" s="284"/>
      <c r="CI882" s="284"/>
      <c r="CL882" s="356" t="str">
        <f>IFERROR(VLOOKUP(C882,'Data Sheet'!$A$3:$B$26,2,FALSE),"")</f>
        <v/>
      </c>
    </row>
    <row r="883" spans="1:90" ht="15.75" x14ac:dyDescent="0.2">
      <c r="A883" s="97"/>
      <c r="B883" s="105" t="str">
        <f t="shared" si="425"/>
        <v>--</v>
      </c>
      <c r="C883" s="276"/>
      <c r="D883" s="101" t="str">
        <f>IFERROR(IF(VLOOKUP(C883,'Data Sheet'!$A$3:$D$26,4,FALSE)=0,"",VLOOKUP(C883,'Data Sheet'!$A$3:$D$26,4,FALSE)),"")</f>
        <v/>
      </c>
      <c r="E883" s="279"/>
      <c r="F883" s="103" t="str">
        <f>IFERROR(IF(VLOOKUP(E883,'Data Sheet'!$C$29:$E$174,3,FALSE)=0,"",VLOOKUP(E883,'Data Sheet'!$C$29:$E$174,3,FALSE)),"")</f>
        <v/>
      </c>
      <c r="G883" s="106" t="str">
        <f t="shared" si="423"/>
        <v>-</v>
      </c>
      <c r="H883" s="273"/>
      <c r="I883" s="107"/>
      <c r="J883" s="249" t="e">
        <f t="shared" si="424"/>
        <v>#VALUE!</v>
      </c>
      <c r="K883" s="101" t="str">
        <f>IFERROR(INDEX('Data Sheet'!$C$198:$C$275,MATCH(I883,'Data Sheet'!$F$198:$F$275,0)),"")</f>
        <v/>
      </c>
      <c r="L883" s="250" t="str">
        <f>IFERROR(INDEX('Data Sheet'!$G$198:$G$275,MATCH(I883,'Data Sheet'!$F$198:$F$275,0)),"")</f>
        <v/>
      </c>
      <c r="M883" s="194"/>
      <c r="N883" s="248"/>
      <c r="O883" s="248"/>
      <c r="P883" s="108" t="str">
        <f>IFERROR(INDEX(Setup!$D$44:$D$70,MATCH(M883,Setup!$K$44:$K$70,0))&amp;"","")</f>
        <v/>
      </c>
      <c r="Q883" s="108" t="str">
        <f>IFERROR(INDEX(Setup!$E$44:$E$70,MATCH(M883,Setup!$K$44:$K$70,0))&amp;"","")</f>
        <v/>
      </c>
      <c r="R883" s="108" t="str">
        <f>IFERROR(INDEX(Setup!$L$44:$L$70,MATCH(M883,Setup!$K$44:$K$70,0))&amp;"","")</f>
        <v/>
      </c>
      <c r="S883" s="108" t="str">
        <f>Setup!$C$30</f>
        <v>USD</v>
      </c>
      <c r="T883" s="109" t="str">
        <f>IFERROR(INDEX('Data Sheet'!$B$198:$B$275,MATCH(I883,'Data Sheet'!$F$198:$F$275,0)),"")</f>
        <v/>
      </c>
      <c r="U883" s="110" t="str">
        <f>IFERROR(INDEX('Data Sheet'!$D$198:$D$275,MATCH(I883,'Data Sheet'!$F$198:$F$275,0)),"")</f>
        <v/>
      </c>
      <c r="V883" s="99"/>
      <c r="W883" s="195" t="str">
        <f>IF(V883=Setup!$C$30,"Grant",IF(V883=Setup!$C$31,"Local",IF(V883=Setup!$C$32,"Other",IF(ISBLANK(V883),"","Other"))))</f>
        <v/>
      </c>
      <c r="X883" s="255"/>
      <c r="Y883" s="259" t="str">
        <f>IF(X883&lt;&gt;"",X883/VLOOKUP($V883,Setup!$C$30:$D$41,2,0),"")</f>
        <v/>
      </c>
      <c r="Z883" s="262"/>
      <c r="AA883" s="256" t="str">
        <f t="shared" si="397"/>
        <v/>
      </c>
      <c r="AB883" s="262"/>
      <c r="AC883" s="258" t="str">
        <f t="shared" si="398"/>
        <v/>
      </c>
      <c r="AD883" s="262"/>
      <c r="AE883" s="258" t="str">
        <f t="shared" si="399"/>
        <v/>
      </c>
      <c r="AF883" s="262"/>
      <c r="AG883" s="256" t="str">
        <f t="shared" si="400"/>
        <v/>
      </c>
      <c r="AH883" s="256" t="str">
        <f t="shared" si="401"/>
        <v/>
      </c>
      <c r="AI883" s="256" t="str">
        <f t="shared" si="402"/>
        <v/>
      </c>
      <c r="AJ883" s="111"/>
      <c r="AK883" s="255"/>
      <c r="AL883" s="259" t="str">
        <f>IF(AK883&lt;&gt;"",AK883/VLOOKUP($V883,Setup!$C$30:$D$41,2,0),"")</f>
        <v/>
      </c>
      <c r="AM883" s="266"/>
      <c r="AN883" s="258" t="str">
        <f t="shared" si="403"/>
        <v/>
      </c>
      <c r="AO883" s="266"/>
      <c r="AP883" s="258" t="str">
        <f t="shared" si="404"/>
        <v/>
      </c>
      <c r="AQ883" s="266"/>
      <c r="AR883" s="258" t="str">
        <f t="shared" si="405"/>
        <v/>
      </c>
      <c r="AS883" s="266"/>
      <c r="AT883" s="256" t="str">
        <f t="shared" si="406"/>
        <v/>
      </c>
      <c r="AU883" s="256" t="str">
        <f t="shared" si="407"/>
        <v/>
      </c>
      <c r="AV883" s="256" t="str">
        <f t="shared" si="408"/>
        <v/>
      </c>
      <c r="AW883" s="267"/>
      <c r="AX883" s="255"/>
      <c r="AY883" s="259" t="str">
        <f>IF(AX883&lt;&gt;"",AX883/VLOOKUP($V883,Setup!$C$30:$D$41,2,0),"")</f>
        <v/>
      </c>
      <c r="AZ883" s="268"/>
      <c r="BA883" s="258" t="str">
        <f t="shared" si="409"/>
        <v/>
      </c>
      <c r="BB883" s="268"/>
      <c r="BC883" s="258" t="str">
        <f t="shared" si="410"/>
        <v/>
      </c>
      <c r="BD883" s="268"/>
      <c r="BE883" s="258" t="str">
        <f t="shared" si="411"/>
        <v/>
      </c>
      <c r="BF883" s="268"/>
      <c r="BG883" s="256" t="str">
        <f t="shared" si="412"/>
        <v/>
      </c>
      <c r="BH883" s="256" t="str">
        <f t="shared" si="413"/>
        <v/>
      </c>
      <c r="BI883" s="256" t="str">
        <f t="shared" si="414"/>
        <v/>
      </c>
      <c r="BJ883" s="267"/>
      <c r="BK883" s="255"/>
      <c r="BL883" s="259" t="str">
        <f>IF(BK883&lt;&gt;"",BK883/VLOOKUP($V883,Setup!$C$30:$D$41,2,0),"")</f>
        <v/>
      </c>
      <c r="BM883" s="268"/>
      <c r="BN883" s="258" t="str">
        <f t="shared" si="415"/>
        <v/>
      </c>
      <c r="BO883" s="268"/>
      <c r="BP883" s="258" t="str">
        <f t="shared" si="416"/>
        <v/>
      </c>
      <c r="BQ883" s="268"/>
      <c r="BR883" s="258" t="str">
        <f t="shared" si="417"/>
        <v/>
      </c>
      <c r="BS883" s="268"/>
      <c r="BT883" s="256" t="str">
        <f t="shared" si="418"/>
        <v/>
      </c>
      <c r="BU883" s="256" t="str">
        <f t="shared" si="419"/>
        <v/>
      </c>
      <c r="BV883" s="256" t="str">
        <f t="shared" si="420"/>
        <v/>
      </c>
      <c r="BW883" s="267"/>
      <c r="BX883" s="256" t="str">
        <f t="shared" si="421"/>
        <v/>
      </c>
      <c r="BY883" s="256" t="str">
        <f t="shared" si="422"/>
        <v/>
      </c>
      <c r="BZ883" s="281"/>
      <c r="CA883" s="282"/>
      <c r="CF883" s="284"/>
      <c r="CG883" s="284"/>
      <c r="CH883" s="284"/>
      <c r="CI883" s="284"/>
      <c r="CL883" s="356" t="str">
        <f>IFERROR(VLOOKUP(C883,'Data Sheet'!$A$3:$B$26,2,FALSE),"")</f>
        <v/>
      </c>
    </row>
    <row r="884" spans="1:90" ht="15.75" x14ac:dyDescent="0.2">
      <c r="A884" s="97"/>
      <c r="B884" s="105" t="str">
        <f t="shared" si="425"/>
        <v>--</v>
      </c>
      <c r="C884" s="276"/>
      <c r="D884" s="101" t="str">
        <f>IFERROR(IF(VLOOKUP(C884,'Data Sheet'!$A$3:$D$26,4,FALSE)=0,"",VLOOKUP(C884,'Data Sheet'!$A$3:$D$26,4,FALSE)),"")</f>
        <v/>
      </c>
      <c r="E884" s="279"/>
      <c r="F884" s="103" t="str">
        <f>IFERROR(IF(VLOOKUP(E884,'Data Sheet'!$C$29:$E$174,3,FALSE)=0,"",VLOOKUP(E884,'Data Sheet'!$C$29:$E$174,3,FALSE)),"")</f>
        <v/>
      </c>
      <c r="G884" s="106" t="str">
        <f t="shared" si="423"/>
        <v>-</v>
      </c>
      <c r="H884" s="273"/>
      <c r="I884" s="107"/>
      <c r="J884" s="249" t="e">
        <f t="shared" si="424"/>
        <v>#VALUE!</v>
      </c>
      <c r="K884" s="101" t="str">
        <f>IFERROR(INDEX('Data Sheet'!$C$198:$C$275,MATCH(I884,'Data Sheet'!$F$198:$F$275,0)),"")</f>
        <v/>
      </c>
      <c r="L884" s="250" t="str">
        <f>IFERROR(INDEX('Data Sheet'!$G$198:$G$275,MATCH(I884,'Data Sheet'!$F$198:$F$275,0)),"")</f>
        <v/>
      </c>
      <c r="M884" s="194"/>
      <c r="N884" s="248"/>
      <c r="O884" s="248"/>
      <c r="P884" s="108" t="str">
        <f>IFERROR(INDEX(Setup!$D$44:$D$70,MATCH(M884,Setup!$K$44:$K$70,0))&amp;"","")</f>
        <v/>
      </c>
      <c r="Q884" s="108" t="str">
        <f>IFERROR(INDEX(Setup!$E$44:$E$70,MATCH(M884,Setup!$K$44:$K$70,0))&amp;"","")</f>
        <v/>
      </c>
      <c r="R884" s="108" t="str">
        <f>IFERROR(INDEX(Setup!$L$44:$L$70,MATCH(M884,Setup!$K$44:$K$70,0))&amp;"","")</f>
        <v/>
      </c>
      <c r="S884" s="108" t="str">
        <f>Setup!$C$30</f>
        <v>USD</v>
      </c>
      <c r="T884" s="109" t="str">
        <f>IFERROR(INDEX('Data Sheet'!$B$198:$B$275,MATCH(I884,'Data Sheet'!$F$198:$F$275,0)),"")</f>
        <v/>
      </c>
      <c r="U884" s="110" t="str">
        <f>IFERROR(INDEX('Data Sheet'!$D$198:$D$275,MATCH(I884,'Data Sheet'!$F$198:$F$275,0)),"")</f>
        <v/>
      </c>
      <c r="V884" s="99"/>
      <c r="W884" s="195" t="str">
        <f>IF(V884=Setup!$C$30,"Grant",IF(V884=Setup!$C$31,"Local",IF(V884=Setup!$C$32,"Other",IF(ISBLANK(V884),"","Other"))))</f>
        <v/>
      </c>
      <c r="X884" s="255"/>
      <c r="Y884" s="259" t="str">
        <f>IF(X884&lt;&gt;"",X884/VLOOKUP($V884,Setup!$C$30:$D$41,2,0),"")</f>
        <v/>
      </c>
      <c r="Z884" s="262"/>
      <c r="AA884" s="256" t="str">
        <f t="shared" si="397"/>
        <v/>
      </c>
      <c r="AB884" s="262"/>
      <c r="AC884" s="258" t="str">
        <f t="shared" si="398"/>
        <v/>
      </c>
      <c r="AD884" s="262"/>
      <c r="AE884" s="258" t="str">
        <f t="shared" si="399"/>
        <v/>
      </c>
      <c r="AF884" s="262"/>
      <c r="AG884" s="256" t="str">
        <f t="shared" si="400"/>
        <v/>
      </c>
      <c r="AH884" s="256" t="str">
        <f t="shared" si="401"/>
        <v/>
      </c>
      <c r="AI884" s="256" t="str">
        <f t="shared" si="402"/>
        <v/>
      </c>
      <c r="AJ884" s="111"/>
      <c r="AK884" s="255"/>
      <c r="AL884" s="259" t="str">
        <f>IF(AK884&lt;&gt;"",AK884/VLOOKUP($V884,Setup!$C$30:$D$41,2,0),"")</f>
        <v/>
      </c>
      <c r="AM884" s="266"/>
      <c r="AN884" s="258" t="str">
        <f t="shared" si="403"/>
        <v/>
      </c>
      <c r="AO884" s="266"/>
      <c r="AP884" s="258" t="str">
        <f t="shared" si="404"/>
        <v/>
      </c>
      <c r="AQ884" s="266"/>
      <c r="AR884" s="258" t="str">
        <f t="shared" si="405"/>
        <v/>
      </c>
      <c r="AS884" s="266"/>
      <c r="AT884" s="256" t="str">
        <f t="shared" si="406"/>
        <v/>
      </c>
      <c r="AU884" s="256" t="str">
        <f t="shared" si="407"/>
        <v/>
      </c>
      <c r="AV884" s="256" t="str">
        <f t="shared" si="408"/>
        <v/>
      </c>
      <c r="AW884" s="267"/>
      <c r="AX884" s="255"/>
      <c r="AY884" s="259" t="str">
        <f>IF(AX884&lt;&gt;"",AX884/VLOOKUP($V884,Setup!$C$30:$D$41,2,0),"")</f>
        <v/>
      </c>
      <c r="AZ884" s="268"/>
      <c r="BA884" s="258" t="str">
        <f t="shared" si="409"/>
        <v/>
      </c>
      <c r="BB884" s="268"/>
      <c r="BC884" s="258" t="str">
        <f t="shared" si="410"/>
        <v/>
      </c>
      <c r="BD884" s="268"/>
      <c r="BE884" s="258" t="str">
        <f t="shared" si="411"/>
        <v/>
      </c>
      <c r="BF884" s="268"/>
      <c r="BG884" s="256" t="str">
        <f t="shared" si="412"/>
        <v/>
      </c>
      <c r="BH884" s="256" t="str">
        <f t="shared" si="413"/>
        <v/>
      </c>
      <c r="BI884" s="256" t="str">
        <f t="shared" si="414"/>
        <v/>
      </c>
      <c r="BJ884" s="267"/>
      <c r="BK884" s="255"/>
      <c r="BL884" s="259" t="str">
        <f>IF(BK884&lt;&gt;"",BK884/VLOOKUP($V884,Setup!$C$30:$D$41,2,0),"")</f>
        <v/>
      </c>
      <c r="BM884" s="268"/>
      <c r="BN884" s="258" t="str">
        <f t="shared" si="415"/>
        <v/>
      </c>
      <c r="BO884" s="268"/>
      <c r="BP884" s="258" t="str">
        <f t="shared" si="416"/>
        <v/>
      </c>
      <c r="BQ884" s="268"/>
      <c r="BR884" s="258" t="str">
        <f t="shared" si="417"/>
        <v/>
      </c>
      <c r="BS884" s="268"/>
      <c r="BT884" s="256" t="str">
        <f t="shared" si="418"/>
        <v/>
      </c>
      <c r="BU884" s="256" t="str">
        <f t="shared" si="419"/>
        <v/>
      </c>
      <c r="BV884" s="256" t="str">
        <f t="shared" si="420"/>
        <v/>
      </c>
      <c r="BW884" s="267"/>
      <c r="BX884" s="256" t="str">
        <f t="shared" si="421"/>
        <v/>
      </c>
      <c r="BY884" s="256" t="str">
        <f t="shared" si="422"/>
        <v/>
      </c>
      <c r="BZ884" s="281"/>
      <c r="CA884" s="282"/>
      <c r="CF884" s="284"/>
      <c r="CG884" s="284"/>
      <c r="CH884" s="284"/>
      <c r="CI884" s="284"/>
      <c r="CL884" s="356" t="str">
        <f>IFERROR(VLOOKUP(C884,'Data Sheet'!$A$3:$B$26,2,FALSE),"")</f>
        <v/>
      </c>
    </row>
    <row r="885" spans="1:90" ht="15.75" x14ac:dyDescent="0.2">
      <c r="A885" s="97"/>
      <c r="B885" s="105" t="str">
        <f t="shared" si="425"/>
        <v>--</v>
      </c>
      <c r="C885" s="276"/>
      <c r="D885" s="101" t="str">
        <f>IFERROR(IF(VLOOKUP(C885,'Data Sheet'!$A$3:$D$26,4,FALSE)=0,"",VLOOKUP(C885,'Data Sheet'!$A$3:$D$26,4,FALSE)),"")</f>
        <v/>
      </c>
      <c r="E885" s="279"/>
      <c r="F885" s="103" t="str">
        <f>IFERROR(IF(VLOOKUP(E885,'Data Sheet'!$C$29:$E$174,3,FALSE)=0,"",VLOOKUP(E885,'Data Sheet'!$C$29:$E$174,3,FALSE)),"")</f>
        <v/>
      </c>
      <c r="G885" s="106" t="str">
        <f t="shared" si="423"/>
        <v>-</v>
      </c>
      <c r="H885" s="273"/>
      <c r="I885" s="107"/>
      <c r="J885" s="249" t="e">
        <f t="shared" si="424"/>
        <v>#VALUE!</v>
      </c>
      <c r="K885" s="101" t="str">
        <f>IFERROR(INDEX('Data Sheet'!$C$198:$C$275,MATCH(I885,'Data Sheet'!$F$198:$F$275,0)),"")</f>
        <v/>
      </c>
      <c r="L885" s="250" t="str">
        <f>IFERROR(INDEX('Data Sheet'!$G$198:$G$275,MATCH(I885,'Data Sheet'!$F$198:$F$275,0)),"")</f>
        <v/>
      </c>
      <c r="M885" s="194"/>
      <c r="N885" s="248"/>
      <c r="O885" s="248"/>
      <c r="P885" s="108" t="str">
        <f>IFERROR(INDEX(Setup!$D$44:$D$70,MATCH(M885,Setup!$K$44:$K$70,0))&amp;"","")</f>
        <v/>
      </c>
      <c r="Q885" s="108" t="str">
        <f>IFERROR(INDEX(Setup!$E$44:$E$70,MATCH(M885,Setup!$K$44:$K$70,0))&amp;"","")</f>
        <v/>
      </c>
      <c r="R885" s="108" t="str">
        <f>IFERROR(INDEX(Setup!$L$44:$L$70,MATCH(M885,Setup!$K$44:$K$70,0))&amp;"","")</f>
        <v/>
      </c>
      <c r="S885" s="108" t="str">
        <f>Setup!$C$30</f>
        <v>USD</v>
      </c>
      <c r="T885" s="109" t="str">
        <f>IFERROR(INDEX('Data Sheet'!$B$198:$B$275,MATCH(I885,'Data Sheet'!$F$198:$F$275,0)),"")</f>
        <v/>
      </c>
      <c r="U885" s="110" t="str">
        <f>IFERROR(INDEX('Data Sheet'!$D$198:$D$275,MATCH(I885,'Data Sheet'!$F$198:$F$275,0)),"")</f>
        <v/>
      </c>
      <c r="V885" s="99"/>
      <c r="W885" s="195" t="str">
        <f>IF(V885=Setup!$C$30,"Grant",IF(V885=Setup!$C$31,"Local",IF(V885=Setup!$C$32,"Other",IF(ISBLANK(V885),"","Other"))))</f>
        <v/>
      </c>
      <c r="X885" s="255"/>
      <c r="Y885" s="259" t="str">
        <f>IF(X885&lt;&gt;"",X885/VLOOKUP($V885,Setup!$C$30:$D$41,2,0),"")</f>
        <v/>
      </c>
      <c r="Z885" s="262"/>
      <c r="AA885" s="256" t="str">
        <f t="shared" si="397"/>
        <v/>
      </c>
      <c r="AB885" s="262"/>
      <c r="AC885" s="258" t="str">
        <f t="shared" si="398"/>
        <v/>
      </c>
      <c r="AD885" s="262"/>
      <c r="AE885" s="258" t="str">
        <f t="shared" si="399"/>
        <v/>
      </c>
      <c r="AF885" s="262"/>
      <c r="AG885" s="256" t="str">
        <f t="shared" si="400"/>
        <v/>
      </c>
      <c r="AH885" s="256" t="str">
        <f t="shared" si="401"/>
        <v/>
      </c>
      <c r="AI885" s="256" t="str">
        <f t="shared" si="402"/>
        <v/>
      </c>
      <c r="AJ885" s="111"/>
      <c r="AK885" s="255"/>
      <c r="AL885" s="259" t="str">
        <f>IF(AK885&lt;&gt;"",AK885/VLOOKUP($V885,Setup!$C$30:$D$41,2,0),"")</f>
        <v/>
      </c>
      <c r="AM885" s="266"/>
      <c r="AN885" s="258" t="str">
        <f t="shared" si="403"/>
        <v/>
      </c>
      <c r="AO885" s="266"/>
      <c r="AP885" s="258" t="str">
        <f t="shared" si="404"/>
        <v/>
      </c>
      <c r="AQ885" s="266"/>
      <c r="AR885" s="258" t="str">
        <f t="shared" si="405"/>
        <v/>
      </c>
      <c r="AS885" s="266"/>
      <c r="AT885" s="256" t="str">
        <f t="shared" si="406"/>
        <v/>
      </c>
      <c r="AU885" s="256" t="str">
        <f t="shared" si="407"/>
        <v/>
      </c>
      <c r="AV885" s="256" t="str">
        <f t="shared" si="408"/>
        <v/>
      </c>
      <c r="AW885" s="267"/>
      <c r="AX885" s="255"/>
      <c r="AY885" s="259" t="str">
        <f>IF(AX885&lt;&gt;"",AX885/VLOOKUP($V885,Setup!$C$30:$D$41,2,0),"")</f>
        <v/>
      </c>
      <c r="AZ885" s="268"/>
      <c r="BA885" s="258" t="str">
        <f t="shared" si="409"/>
        <v/>
      </c>
      <c r="BB885" s="268"/>
      <c r="BC885" s="258" t="str">
        <f t="shared" si="410"/>
        <v/>
      </c>
      <c r="BD885" s="268"/>
      <c r="BE885" s="258" t="str">
        <f t="shared" si="411"/>
        <v/>
      </c>
      <c r="BF885" s="268"/>
      <c r="BG885" s="256" t="str">
        <f t="shared" si="412"/>
        <v/>
      </c>
      <c r="BH885" s="256" t="str">
        <f t="shared" si="413"/>
        <v/>
      </c>
      <c r="BI885" s="256" t="str">
        <f t="shared" si="414"/>
        <v/>
      </c>
      <c r="BJ885" s="267"/>
      <c r="BK885" s="255"/>
      <c r="BL885" s="259" t="str">
        <f>IF(BK885&lt;&gt;"",BK885/VLOOKUP($V885,Setup!$C$30:$D$41,2,0),"")</f>
        <v/>
      </c>
      <c r="BM885" s="268"/>
      <c r="BN885" s="258" t="str">
        <f t="shared" si="415"/>
        <v/>
      </c>
      <c r="BO885" s="268"/>
      <c r="BP885" s="258" t="str">
        <f t="shared" si="416"/>
        <v/>
      </c>
      <c r="BQ885" s="268"/>
      <c r="BR885" s="258" t="str">
        <f t="shared" si="417"/>
        <v/>
      </c>
      <c r="BS885" s="268"/>
      <c r="BT885" s="256" t="str">
        <f t="shared" si="418"/>
        <v/>
      </c>
      <c r="BU885" s="256" t="str">
        <f t="shared" si="419"/>
        <v/>
      </c>
      <c r="BV885" s="256" t="str">
        <f t="shared" si="420"/>
        <v/>
      </c>
      <c r="BW885" s="267"/>
      <c r="BX885" s="256" t="str">
        <f t="shared" si="421"/>
        <v/>
      </c>
      <c r="BY885" s="256" t="str">
        <f t="shared" si="422"/>
        <v/>
      </c>
      <c r="BZ885" s="281"/>
      <c r="CA885" s="282"/>
      <c r="CF885" s="284"/>
      <c r="CG885" s="284"/>
      <c r="CH885" s="284"/>
      <c r="CI885" s="284"/>
      <c r="CL885" s="356" t="str">
        <f>IFERROR(VLOOKUP(C885,'Data Sheet'!$A$3:$B$26,2,FALSE),"")</f>
        <v/>
      </c>
    </row>
    <row r="886" spans="1:90" ht="15.75" x14ac:dyDescent="0.2">
      <c r="A886" s="97"/>
      <c r="B886" s="105" t="str">
        <f t="shared" si="425"/>
        <v>--</v>
      </c>
      <c r="C886" s="276"/>
      <c r="D886" s="101" t="str">
        <f>IFERROR(IF(VLOOKUP(C886,'Data Sheet'!$A$3:$D$26,4,FALSE)=0,"",VLOOKUP(C886,'Data Sheet'!$A$3:$D$26,4,FALSE)),"")</f>
        <v/>
      </c>
      <c r="E886" s="279"/>
      <c r="F886" s="103" t="str">
        <f>IFERROR(IF(VLOOKUP(E886,'Data Sheet'!$C$29:$E$174,3,FALSE)=0,"",VLOOKUP(E886,'Data Sheet'!$C$29:$E$174,3,FALSE)),"")</f>
        <v/>
      </c>
      <c r="G886" s="106" t="str">
        <f t="shared" si="423"/>
        <v>-</v>
      </c>
      <c r="H886" s="273"/>
      <c r="I886" s="107"/>
      <c r="J886" s="249" t="e">
        <f t="shared" si="424"/>
        <v>#VALUE!</v>
      </c>
      <c r="K886" s="101" t="str">
        <f>IFERROR(INDEX('Data Sheet'!$C$198:$C$275,MATCH(I886,'Data Sheet'!$F$198:$F$275,0)),"")</f>
        <v/>
      </c>
      <c r="L886" s="250" t="str">
        <f>IFERROR(INDEX('Data Sheet'!$G$198:$G$275,MATCH(I886,'Data Sheet'!$F$198:$F$275,0)),"")</f>
        <v/>
      </c>
      <c r="M886" s="194"/>
      <c r="N886" s="248"/>
      <c r="O886" s="248"/>
      <c r="P886" s="108" t="str">
        <f>IFERROR(INDEX(Setup!$D$44:$D$70,MATCH(M886,Setup!$K$44:$K$70,0))&amp;"","")</f>
        <v/>
      </c>
      <c r="Q886" s="108" t="str">
        <f>IFERROR(INDEX(Setup!$E$44:$E$70,MATCH(M886,Setup!$K$44:$K$70,0))&amp;"","")</f>
        <v/>
      </c>
      <c r="R886" s="108" t="str">
        <f>IFERROR(INDEX(Setup!$L$44:$L$70,MATCH(M886,Setup!$K$44:$K$70,0))&amp;"","")</f>
        <v/>
      </c>
      <c r="S886" s="108" t="str">
        <f>Setup!$C$30</f>
        <v>USD</v>
      </c>
      <c r="T886" s="109" t="str">
        <f>IFERROR(INDEX('Data Sheet'!$B$198:$B$275,MATCH(I886,'Data Sheet'!$F$198:$F$275,0)),"")</f>
        <v/>
      </c>
      <c r="U886" s="110" t="str">
        <f>IFERROR(INDEX('Data Sheet'!$D$198:$D$275,MATCH(I886,'Data Sheet'!$F$198:$F$275,0)),"")</f>
        <v/>
      </c>
      <c r="V886" s="99"/>
      <c r="W886" s="195" t="str">
        <f>IF(V886=Setup!$C$30,"Grant",IF(V886=Setup!$C$31,"Local",IF(V886=Setup!$C$32,"Other",IF(ISBLANK(V886),"","Other"))))</f>
        <v/>
      </c>
      <c r="X886" s="255"/>
      <c r="Y886" s="259" t="str">
        <f>IF(X886&lt;&gt;"",X886/VLOOKUP($V886,Setup!$C$30:$D$41,2,0),"")</f>
        <v/>
      </c>
      <c r="Z886" s="262"/>
      <c r="AA886" s="256" t="str">
        <f t="shared" si="397"/>
        <v/>
      </c>
      <c r="AB886" s="262"/>
      <c r="AC886" s="258" t="str">
        <f t="shared" si="398"/>
        <v/>
      </c>
      <c r="AD886" s="262"/>
      <c r="AE886" s="258" t="str">
        <f t="shared" si="399"/>
        <v/>
      </c>
      <c r="AF886" s="262"/>
      <c r="AG886" s="256" t="str">
        <f t="shared" si="400"/>
        <v/>
      </c>
      <c r="AH886" s="256" t="str">
        <f t="shared" si="401"/>
        <v/>
      </c>
      <c r="AI886" s="256" t="str">
        <f t="shared" si="402"/>
        <v/>
      </c>
      <c r="AJ886" s="111"/>
      <c r="AK886" s="255"/>
      <c r="AL886" s="259" t="str">
        <f>IF(AK886&lt;&gt;"",AK886/VLOOKUP($V886,Setup!$C$30:$D$41,2,0),"")</f>
        <v/>
      </c>
      <c r="AM886" s="266"/>
      <c r="AN886" s="258" t="str">
        <f t="shared" si="403"/>
        <v/>
      </c>
      <c r="AO886" s="266"/>
      <c r="AP886" s="258" t="str">
        <f t="shared" si="404"/>
        <v/>
      </c>
      <c r="AQ886" s="266"/>
      <c r="AR886" s="258" t="str">
        <f t="shared" si="405"/>
        <v/>
      </c>
      <c r="AS886" s="266"/>
      <c r="AT886" s="256" t="str">
        <f t="shared" si="406"/>
        <v/>
      </c>
      <c r="AU886" s="256" t="str">
        <f t="shared" si="407"/>
        <v/>
      </c>
      <c r="AV886" s="256" t="str">
        <f t="shared" si="408"/>
        <v/>
      </c>
      <c r="AW886" s="267"/>
      <c r="AX886" s="255"/>
      <c r="AY886" s="259" t="str">
        <f>IF(AX886&lt;&gt;"",AX886/VLOOKUP($V886,Setup!$C$30:$D$41,2,0),"")</f>
        <v/>
      </c>
      <c r="AZ886" s="268"/>
      <c r="BA886" s="258" t="str">
        <f t="shared" si="409"/>
        <v/>
      </c>
      <c r="BB886" s="268"/>
      <c r="BC886" s="258" t="str">
        <f t="shared" si="410"/>
        <v/>
      </c>
      <c r="BD886" s="268"/>
      <c r="BE886" s="258" t="str">
        <f t="shared" si="411"/>
        <v/>
      </c>
      <c r="BF886" s="268"/>
      <c r="BG886" s="256" t="str">
        <f t="shared" si="412"/>
        <v/>
      </c>
      <c r="BH886" s="256" t="str">
        <f t="shared" si="413"/>
        <v/>
      </c>
      <c r="BI886" s="256" t="str">
        <f t="shared" si="414"/>
        <v/>
      </c>
      <c r="BJ886" s="267"/>
      <c r="BK886" s="255"/>
      <c r="BL886" s="259" t="str">
        <f>IF(BK886&lt;&gt;"",BK886/VLOOKUP($V886,Setup!$C$30:$D$41,2,0),"")</f>
        <v/>
      </c>
      <c r="BM886" s="268"/>
      <c r="BN886" s="258" t="str">
        <f t="shared" si="415"/>
        <v/>
      </c>
      <c r="BO886" s="268"/>
      <c r="BP886" s="258" t="str">
        <f t="shared" si="416"/>
        <v/>
      </c>
      <c r="BQ886" s="268"/>
      <c r="BR886" s="258" t="str">
        <f t="shared" si="417"/>
        <v/>
      </c>
      <c r="BS886" s="268"/>
      <c r="BT886" s="256" t="str">
        <f t="shared" si="418"/>
        <v/>
      </c>
      <c r="BU886" s="256" t="str">
        <f t="shared" si="419"/>
        <v/>
      </c>
      <c r="BV886" s="256" t="str">
        <f t="shared" si="420"/>
        <v/>
      </c>
      <c r="BW886" s="267"/>
      <c r="BX886" s="256" t="str">
        <f t="shared" si="421"/>
        <v/>
      </c>
      <c r="BY886" s="256" t="str">
        <f t="shared" si="422"/>
        <v/>
      </c>
      <c r="BZ886" s="281"/>
      <c r="CA886" s="282"/>
      <c r="CF886" s="284"/>
      <c r="CG886" s="284"/>
      <c r="CH886" s="284"/>
      <c r="CI886" s="284"/>
      <c r="CL886" s="356" t="str">
        <f>IFERROR(VLOOKUP(C886,'Data Sheet'!$A$3:$B$26,2,FALSE),"")</f>
        <v/>
      </c>
    </row>
    <row r="887" spans="1:90" ht="15.75" x14ac:dyDescent="0.2">
      <c r="A887" s="97"/>
      <c r="B887" s="105" t="str">
        <f t="shared" si="425"/>
        <v>--</v>
      </c>
      <c r="C887" s="276"/>
      <c r="D887" s="101" t="str">
        <f>IFERROR(IF(VLOOKUP(C887,'Data Sheet'!$A$3:$D$26,4,FALSE)=0,"",VLOOKUP(C887,'Data Sheet'!$A$3:$D$26,4,FALSE)),"")</f>
        <v/>
      </c>
      <c r="E887" s="279"/>
      <c r="F887" s="103" t="str">
        <f>IFERROR(IF(VLOOKUP(E887,'Data Sheet'!$C$29:$E$174,3,FALSE)=0,"",VLOOKUP(E887,'Data Sheet'!$C$29:$E$174,3,FALSE)),"")</f>
        <v/>
      </c>
      <c r="G887" s="106" t="str">
        <f t="shared" si="423"/>
        <v>-</v>
      </c>
      <c r="H887" s="273"/>
      <c r="I887" s="107"/>
      <c r="J887" s="249" t="e">
        <f t="shared" si="424"/>
        <v>#VALUE!</v>
      </c>
      <c r="K887" s="101" t="str">
        <f>IFERROR(INDEX('Data Sheet'!$C$198:$C$275,MATCH(I887,'Data Sheet'!$F$198:$F$275,0)),"")</f>
        <v/>
      </c>
      <c r="L887" s="250" t="str">
        <f>IFERROR(INDEX('Data Sheet'!$G$198:$G$275,MATCH(I887,'Data Sheet'!$F$198:$F$275,0)),"")</f>
        <v/>
      </c>
      <c r="M887" s="194"/>
      <c r="N887" s="248"/>
      <c r="O887" s="248"/>
      <c r="P887" s="108" t="str">
        <f>IFERROR(INDEX(Setup!$D$44:$D$70,MATCH(M887,Setup!$K$44:$K$70,0))&amp;"","")</f>
        <v/>
      </c>
      <c r="Q887" s="108" t="str">
        <f>IFERROR(INDEX(Setup!$E$44:$E$70,MATCH(M887,Setup!$K$44:$K$70,0))&amp;"","")</f>
        <v/>
      </c>
      <c r="R887" s="108" t="str">
        <f>IFERROR(INDEX(Setup!$L$44:$L$70,MATCH(M887,Setup!$K$44:$K$70,0))&amp;"","")</f>
        <v/>
      </c>
      <c r="S887" s="108" t="str">
        <f>Setup!$C$30</f>
        <v>USD</v>
      </c>
      <c r="T887" s="109" t="str">
        <f>IFERROR(INDEX('Data Sheet'!$B$198:$B$275,MATCH(I887,'Data Sheet'!$F$198:$F$275,0)),"")</f>
        <v/>
      </c>
      <c r="U887" s="110" t="str">
        <f>IFERROR(INDEX('Data Sheet'!$D$198:$D$275,MATCH(I887,'Data Sheet'!$F$198:$F$275,0)),"")</f>
        <v/>
      </c>
      <c r="V887" s="99"/>
      <c r="W887" s="195" t="str">
        <f>IF(V887=Setup!$C$30,"Grant",IF(V887=Setup!$C$31,"Local",IF(V887=Setup!$C$32,"Other",IF(ISBLANK(V887),"","Other"))))</f>
        <v/>
      </c>
      <c r="X887" s="255"/>
      <c r="Y887" s="259" t="str">
        <f>IF(X887&lt;&gt;"",X887/VLOOKUP($V887,Setup!$C$30:$D$41,2,0),"")</f>
        <v/>
      </c>
      <c r="Z887" s="262"/>
      <c r="AA887" s="256" t="str">
        <f t="shared" si="397"/>
        <v/>
      </c>
      <c r="AB887" s="262"/>
      <c r="AC887" s="258" t="str">
        <f t="shared" si="398"/>
        <v/>
      </c>
      <c r="AD887" s="262"/>
      <c r="AE887" s="258" t="str">
        <f t="shared" si="399"/>
        <v/>
      </c>
      <c r="AF887" s="262"/>
      <c r="AG887" s="256" t="str">
        <f t="shared" si="400"/>
        <v/>
      </c>
      <c r="AH887" s="256" t="str">
        <f t="shared" si="401"/>
        <v/>
      </c>
      <c r="AI887" s="256" t="str">
        <f t="shared" si="402"/>
        <v/>
      </c>
      <c r="AJ887" s="111"/>
      <c r="AK887" s="255"/>
      <c r="AL887" s="259" t="str">
        <f>IF(AK887&lt;&gt;"",AK887/VLOOKUP($V887,Setup!$C$30:$D$41,2,0),"")</f>
        <v/>
      </c>
      <c r="AM887" s="266"/>
      <c r="AN887" s="258" t="str">
        <f t="shared" si="403"/>
        <v/>
      </c>
      <c r="AO887" s="266"/>
      <c r="AP887" s="258" t="str">
        <f t="shared" si="404"/>
        <v/>
      </c>
      <c r="AQ887" s="266"/>
      <c r="AR887" s="258" t="str">
        <f t="shared" si="405"/>
        <v/>
      </c>
      <c r="AS887" s="266"/>
      <c r="AT887" s="256" t="str">
        <f t="shared" si="406"/>
        <v/>
      </c>
      <c r="AU887" s="256" t="str">
        <f t="shared" si="407"/>
        <v/>
      </c>
      <c r="AV887" s="256" t="str">
        <f t="shared" si="408"/>
        <v/>
      </c>
      <c r="AW887" s="267"/>
      <c r="AX887" s="255"/>
      <c r="AY887" s="259" t="str">
        <f>IF(AX887&lt;&gt;"",AX887/VLOOKUP($V887,Setup!$C$30:$D$41,2,0),"")</f>
        <v/>
      </c>
      <c r="AZ887" s="268"/>
      <c r="BA887" s="258" t="str">
        <f t="shared" si="409"/>
        <v/>
      </c>
      <c r="BB887" s="268"/>
      <c r="BC887" s="258" t="str">
        <f t="shared" si="410"/>
        <v/>
      </c>
      <c r="BD887" s="268"/>
      <c r="BE887" s="258" t="str">
        <f t="shared" si="411"/>
        <v/>
      </c>
      <c r="BF887" s="268"/>
      <c r="BG887" s="256" t="str">
        <f t="shared" si="412"/>
        <v/>
      </c>
      <c r="BH887" s="256" t="str">
        <f t="shared" si="413"/>
        <v/>
      </c>
      <c r="BI887" s="256" t="str">
        <f t="shared" si="414"/>
        <v/>
      </c>
      <c r="BJ887" s="267"/>
      <c r="BK887" s="255"/>
      <c r="BL887" s="259" t="str">
        <f>IF(BK887&lt;&gt;"",BK887/VLOOKUP($V887,Setup!$C$30:$D$41,2,0),"")</f>
        <v/>
      </c>
      <c r="BM887" s="268"/>
      <c r="BN887" s="258" t="str">
        <f t="shared" si="415"/>
        <v/>
      </c>
      <c r="BO887" s="268"/>
      <c r="BP887" s="258" t="str">
        <f t="shared" si="416"/>
        <v/>
      </c>
      <c r="BQ887" s="268"/>
      <c r="BR887" s="258" t="str">
        <f t="shared" si="417"/>
        <v/>
      </c>
      <c r="BS887" s="268"/>
      <c r="BT887" s="256" t="str">
        <f t="shared" si="418"/>
        <v/>
      </c>
      <c r="BU887" s="256" t="str">
        <f t="shared" si="419"/>
        <v/>
      </c>
      <c r="BV887" s="256" t="str">
        <f t="shared" si="420"/>
        <v/>
      </c>
      <c r="BW887" s="267"/>
      <c r="BX887" s="256" t="str">
        <f t="shared" si="421"/>
        <v/>
      </c>
      <c r="BY887" s="256" t="str">
        <f t="shared" si="422"/>
        <v/>
      </c>
      <c r="BZ887" s="281"/>
      <c r="CA887" s="282"/>
      <c r="CF887" s="284"/>
      <c r="CG887" s="284"/>
      <c r="CH887" s="284"/>
      <c r="CI887" s="284"/>
      <c r="CL887" s="356" t="str">
        <f>IFERROR(VLOOKUP(C887,'Data Sheet'!$A$3:$B$26,2,FALSE),"")</f>
        <v/>
      </c>
    </row>
    <row r="888" spans="1:90" ht="15.75" x14ac:dyDescent="0.2">
      <c r="A888" s="97"/>
      <c r="B888" s="105" t="str">
        <f t="shared" si="425"/>
        <v>--</v>
      </c>
      <c r="C888" s="276"/>
      <c r="D888" s="101" t="str">
        <f>IFERROR(IF(VLOOKUP(C888,'Data Sheet'!$A$3:$D$26,4,FALSE)=0,"",VLOOKUP(C888,'Data Sheet'!$A$3:$D$26,4,FALSE)),"")</f>
        <v/>
      </c>
      <c r="E888" s="279"/>
      <c r="F888" s="103" t="str">
        <f>IFERROR(IF(VLOOKUP(E888,'Data Sheet'!$C$29:$E$174,3,FALSE)=0,"",VLOOKUP(E888,'Data Sheet'!$C$29:$E$174,3,FALSE)),"")</f>
        <v/>
      </c>
      <c r="G888" s="106" t="str">
        <f t="shared" si="423"/>
        <v>-</v>
      </c>
      <c r="H888" s="273"/>
      <c r="I888" s="107"/>
      <c r="J888" s="249" t="e">
        <f t="shared" si="424"/>
        <v>#VALUE!</v>
      </c>
      <c r="K888" s="101" t="str">
        <f>IFERROR(INDEX('Data Sheet'!$C$198:$C$275,MATCH(I888,'Data Sheet'!$F$198:$F$275,0)),"")</f>
        <v/>
      </c>
      <c r="L888" s="250" t="str">
        <f>IFERROR(INDEX('Data Sheet'!$G$198:$G$275,MATCH(I888,'Data Sheet'!$F$198:$F$275,0)),"")</f>
        <v/>
      </c>
      <c r="M888" s="194"/>
      <c r="N888" s="248"/>
      <c r="O888" s="248"/>
      <c r="P888" s="108" t="str">
        <f>IFERROR(INDEX(Setup!$D$44:$D$70,MATCH(M888,Setup!$K$44:$K$70,0))&amp;"","")</f>
        <v/>
      </c>
      <c r="Q888" s="108" t="str">
        <f>IFERROR(INDEX(Setup!$E$44:$E$70,MATCH(M888,Setup!$K$44:$K$70,0))&amp;"","")</f>
        <v/>
      </c>
      <c r="R888" s="108" t="str">
        <f>IFERROR(INDEX(Setup!$L$44:$L$70,MATCH(M888,Setup!$K$44:$K$70,0))&amp;"","")</f>
        <v/>
      </c>
      <c r="S888" s="108" t="str">
        <f>Setup!$C$30</f>
        <v>USD</v>
      </c>
      <c r="T888" s="109" t="str">
        <f>IFERROR(INDEX('Data Sheet'!$B$198:$B$275,MATCH(I888,'Data Sheet'!$F$198:$F$275,0)),"")</f>
        <v/>
      </c>
      <c r="U888" s="110" t="str">
        <f>IFERROR(INDEX('Data Sheet'!$D$198:$D$275,MATCH(I888,'Data Sheet'!$F$198:$F$275,0)),"")</f>
        <v/>
      </c>
      <c r="V888" s="99"/>
      <c r="W888" s="195" t="str">
        <f>IF(V888=Setup!$C$30,"Grant",IF(V888=Setup!$C$31,"Local",IF(V888=Setup!$C$32,"Other",IF(ISBLANK(V888),"","Other"))))</f>
        <v/>
      </c>
      <c r="X888" s="255"/>
      <c r="Y888" s="259" t="str">
        <f>IF(X888&lt;&gt;"",X888/VLOOKUP($V888,Setup!$C$30:$D$41,2,0),"")</f>
        <v/>
      </c>
      <c r="Z888" s="262"/>
      <c r="AA888" s="256" t="str">
        <f t="shared" si="397"/>
        <v/>
      </c>
      <c r="AB888" s="262"/>
      <c r="AC888" s="258" t="str">
        <f t="shared" si="398"/>
        <v/>
      </c>
      <c r="AD888" s="262"/>
      <c r="AE888" s="258" t="str">
        <f t="shared" si="399"/>
        <v/>
      </c>
      <c r="AF888" s="262"/>
      <c r="AG888" s="256" t="str">
        <f t="shared" si="400"/>
        <v/>
      </c>
      <c r="AH888" s="256" t="str">
        <f t="shared" si="401"/>
        <v/>
      </c>
      <c r="AI888" s="256" t="str">
        <f t="shared" si="402"/>
        <v/>
      </c>
      <c r="AJ888" s="111"/>
      <c r="AK888" s="255"/>
      <c r="AL888" s="259" t="str">
        <f>IF(AK888&lt;&gt;"",AK888/VLOOKUP($V888,Setup!$C$30:$D$41,2,0),"")</f>
        <v/>
      </c>
      <c r="AM888" s="266"/>
      <c r="AN888" s="258" t="str">
        <f t="shared" si="403"/>
        <v/>
      </c>
      <c r="AO888" s="266"/>
      <c r="AP888" s="258" t="str">
        <f t="shared" si="404"/>
        <v/>
      </c>
      <c r="AQ888" s="266"/>
      <c r="AR888" s="258" t="str">
        <f t="shared" si="405"/>
        <v/>
      </c>
      <c r="AS888" s="266"/>
      <c r="AT888" s="256" t="str">
        <f t="shared" si="406"/>
        <v/>
      </c>
      <c r="AU888" s="256" t="str">
        <f t="shared" si="407"/>
        <v/>
      </c>
      <c r="AV888" s="256" t="str">
        <f t="shared" si="408"/>
        <v/>
      </c>
      <c r="AW888" s="267"/>
      <c r="AX888" s="255"/>
      <c r="AY888" s="259" t="str">
        <f>IF(AX888&lt;&gt;"",AX888/VLOOKUP($V888,Setup!$C$30:$D$41,2,0),"")</f>
        <v/>
      </c>
      <c r="AZ888" s="268"/>
      <c r="BA888" s="258" t="str">
        <f t="shared" si="409"/>
        <v/>
      </c>
      <c r="BB888" s="268"/>
      <c r="BC888" s="258" t="str">
        <f t="shared" si="410"/>
        <v/>
      </c>
      <c r="BD888" s="268"/>
      <c r="BE888" s="258" t="str">
        <f t="shared" si="411"/>
        <v/>
      </c>
      <c r="BF888" s="268"/>
      <c r="BG888" s="256" t="str">
        <f t="shared" si="412"/>
        <v/>
      </c>
      <c r="BH888" s="256" t="str">
        <f t="shared" si="413"/>
        <v/>
      </c>
      <c r="BI888" s="256" t="str">
        <f t="shared" si="414"/>
        <v/>
      </c>
      <c r="BJ888" s="267"/>
      <c r="BK888" s="255"/>
      <c r="BL888" s="259" t="str">
        <f>IF(BK888&lt;&gt;"",BK888/VLOOKUP($V888,Setup!$C$30:$D$41,2,0),"")</f>
        <v/>
      </c>
      <c r="BM888" s="268"/>
      <c r="BN888" s="258" t="str">
        <f t="shared" si="415"/>
        <v/>
      </c>
      <c r="BO888" s="268"/>
      <c r="BP888" s="258" t="str">
        <f t="shared" si="416"/>
        <v/>
      </c>
      <c r="BQ888" s="268"/>
      <c r="BR888" s="258" t="str">
        <f t="shared" si="417"/>
        <v/>
      </c>
      <c r="BS888" s="268"/>
      <c r="BT888" s="256" t="str">
        <f t="shared" si="418"/>
        <v/>
      </c>
      <c r="BU888" s="256" t="str">
        <f t="shared" si="419"/>
        <v/>
      </c>
      <c r="BV888" s="256" t="str">
        <f t="shared" si="420"/>
        <v/>
      </c>
      <c r="BW888" s="267"/>
      <c r="BX888" s="256" t="str">
        <f t="shared" si="421"/>
        <v/>
      </c>
      <c r="BY888" s="256" t="str">
        <f t="shared" si="422"/>
        <v/>
      </c>
      <c r="BZ888" s="281"/>
      <c r="CA888" s="282"/>
      <c r="CF888" s="284"/>
      <c r="CG888" s="284"/>
      <c r="CH888" s="284"/>
      <c r="CI888" s="284"/>
      <c r="CL888" s="356" t="str">
        <f>IFERROR(VLOOKUP(C888,'Data Sheet'!$A$3:$B$26,2,FALSE),"")</f>
        <v/>
      </c>
    </row>
    <row r="889" spans="1:90" ht="15.75" x14ac:dyDescent="0.2">
      <c r="A889" s="97"/>
      <c r="B889" s="105" t="str">
        <f t="shared" si="425"/>
        <v>--</v>
      </c>
      <c r="C889" s="276"/>
      <c r="D889" s="101" t="str">
        <f>IFERROR(IF(VLOOKUP(C889,'Data Sheet'!$A$3:$D$26,4,FALSE)=0,"",VLOOKUP(C889,'Data Sheet'!$A$3:$D$26,4,FALSE)),"")</f>
        <v/>
      </c>
      <c r="E889" s="279"/>
      <c r="F889" s="103" t="str">
        <f>IFERROR(IF(VLOOKUP(E889,'Data Sheet'!$C$29:$E$174,3,FALSE)=0,"",VLOOKUP(E889,'Data Sheet'!$C$29:$E$174,3,FALSE)),"")</f>
        <v/>
      </c>
      <c r="G889" s="106" t="str">
        <f t="shared" si="423"/>
        <v>-</v>
      </c>
      <c r="H889" s="273"/>
      <c r="I889" s="107"/>
      <c r="J889" s="249" t="e">
        <f t="shared" si="424"/>
        <v>#VALUE!</v>
      </c>
      <c r="K889" s="101" t="str">
        <f>IFERROR(INDEX('Data Sheet'!$C$198:$C$275,MATCH(I889,'Data Sheet'!$F$198:$F$275,0)),"")</f>
        <v/>
      </c>
      <c r="L889" s="250" t="str">
        <f>IFERROR(INDEX('Data Sheet'!$G$198:$G$275,MATCH(I889,'Data Sheet'!$F$198:$F$275,0)),"")</f>
        <v/>
      </c>
      <c r="M889" s="194"/>
      <c r="N889" s="248"/>
      <c r="O889" s="248"/>
      <c r="P889" s="108" t="str">
        <f>IFERROR(INDEX(Setup!$D$44:$D$70,MATCH(M889,Setup!$K$44:$K$70,0))&amp;"","")</f>
        <v/>
      </c>
      <c r="Q889" s="108" t="str">
        <f>IFERROR(INDEX(Setup!$E$44:$E$70,MATCH(M889,Setup!$K$44:$K$70,0))&amp;"","")</f>
        <v/>
      </c>
      <c r="R889" s="108" t="str">
        <f>IFERROR(INDEX(Setup!$L$44:$L$70,MATCH(M889,Setup!$K$44:$K$70,0))&amp;"","")</f>
        <v/>
      </c>
      <c r="S889" s="108" t="str">
        <f>Setup!$C$30</f>
        <v>USD</v>
      </c>
      <c r="T889" s="109" t="str">
        <f>IFERROR(INDEX('Data Sheet'!$B$198:$B$275,MATCH(I889,'Data Sheet'!$F$198:$F$275,0)),"")</f>
        <v/>
      </c>
      <c r="U889" s="110" t="str">
        <f>IFERROR(INDEX('Data Sheet'!$D$198:$D$275,MATCH(I889,'Data Sheet'!$F$198:$F$275,0)),"")</f>
        <v/>
      </c>
      <c r="V889" s="99"/>
      <c r="W889" s="195" t="str">
        <f>IF(V889=Setup!$C$30,"Grant",IF(V889=Setup!$C$31,"Local",IF(V889=Setup!$C$32,"Other",IF(ISBLANK(V889),"","Other"))))</f>
        <v/>
      </c>
      <c r="X889" s="255"/>
      <c r="Y889" s="259" t="str">
        <f>IF(X889&lt;&gt;"",X889/VLOOKUP($V889,Setup!$C$30:$D$41,2,0),"")</f>
        <v/>
      </c>
      <c r="Z889" s="262"/>
      <c r="AA889" s="256" t="str">
        <f t="shared" si="397"/>
        <v/>
      </c>
      <c r="AB889" s="262"/>
      <c r="AC889" s="258" t="str">
        <f t="shared" si="398"/>
        <v/>
      </c>
      <c r="AD889" s="262"/>
      <c r="AE889" s="258" t="str">
        <f t="shared" si="399"/>
        <v/>
      </c>
      <c r="AF889" s="262"/>
      <c r="AG889" s="256" t="str">
        <f t="shared" si="400"/>
        <v/>
      </c>
      <c r="AH889" s="256" t="str">
        <f t="shared" si="401"/>
        <v/>
      </c>
      <c r="AI889" s="256" t="str">
        <f t="shared" si="402"/>
        <v/>
      </c>
      <c r="AJ889" s="111"/>
      <c r="AK889" s="255"/>
      <c r="AL889" s="259" t="str">
        <f>IF(AK889&lt;&gt;"",AK889/VLOOKUP($V889,Setup!$C$30:$D$41,2,0),"")</f>
        <v/>
      </c>
      <c r="AM889" s="266"/>
      <c r="AN889" s="258" t="str">
        <f t="shared" si="403"/>
        <v/>
      </c>
      <c r="AO889" s="266"/>
      <c r="AP889" s="258" t="str">
        <f t="shared" si="404"/>
        <v/>
      </c>
      <c r="AQ889" s="266"/>
      <c r="AR889" s="258" t="str">
        <f t="shared" si="405"/>
        <v/>
      </c>
      <c r="AS889" s="266"/>
      <c r="AT889" s="256" t="str">
        <f t="shared" si="406"/>
        <v/>
      </c>
      <c r="AU889" s="256" t="str">
        <f t="shared" si="407"/>
        <v/>
      </c>
      <c r="AV889" s="256" t="str">
        <f t="shared" si="408"/>
        <v/>
      </c>
      <c r="AW889" s="267"/>
      <c r="AX889" s="255"/>
      <c r="AY889" s="259" t="str">
        <f>IF(AX889&lt;&gt;"",AX889/VLOOKUP($V889,Setup!$C$30:$D$41,2,0),"")</f>
        <v/>
      </c>
      <c r="AZ889" s="268"/>
      <c r="BA889" s="258" t="str">
        <f t="shared" si="409"/>
        <v/>
      </c>
      <c r="BB889" s="268"/>
      <c r="BC889" s="258" t="str">
        <f t="shared" si="410"/>
        <v/>
      </c>
      <c r="BD889" s="268"/>
      <c r="BE889" s="258" t="str">
        <f t="shared" si="411"/>
        <v/>
      </c>
      <c r="BF889" s="268"/>
      <c r="BG889" s="256" t="str">
        <f t="shared" si="412"/>
        <v/>
      </c>
      <c r="BH889" s="256" t="str">
        <f t="shared" si="413"/>
        <v/>
      </c>
      <c r="BI889" s="256" t="str">
        <f t="shared" si="414"/>
        <v/>
      </c>
      <c r="BJ889" s="267"/>
      <c r="BK889" s="255"/>
      <c r="BL889" s="259" t="str">
        <f>IF(BK889&lt;&gt;"",BK889/VLOOKUP($V889,Setup!$C$30:$D$41,2,0),"")</f>
        <v/>
      </c>
      <c r="BM889" s="268"/>
      <c r="BN889" s="258" t="str">
        <f t="shared" si="415"/>
        <v/>
      </c>
      <c r="BO889" s="268"/>
      <c r="BP889" s="258" t="str">
        <f t="shared" si="416"/>
        <v/>
      </c>
      <c r="BQ889" s="268"/>
      <c r="BR889" s="258" t="str">
        <f t="shared" si="417"/>
        <v/>
      </c>
      <c r="BS889" s="268"/>
      <c r="BT889" s="256" t="str">
        <f t="shared" si="418"/>
        <v/>
      </c>
      <c r="BU889" s="256" t="str">
        <f t="shared" si="419"/>
        <v/>
      </c>
      <c r="BV889" s="256" t="str">
        <f t="shared" si="420"/>
        <v/>
      </c>
      <c r="BW889" s="267"/>
      <c r="BX889" s="256" t="str">
        <f t="shared" si="421"/>
        <v/>
      </c>
      <c r="BY889" s="256" t="str">
        <f t="shared" si="422"/>
        <v/>
      </c>
      <c r="BZ889" s="281"/>
      <c r="CA889" s="282"/>
      <c r="CF889" s="284"/>
      <c r="CG889" s="284"/>
      <c r="CH889" s="284"/>
      <c r="CI889" s="284"/>
      <c r="CL889" s="356" t="str">
        <f>IFERROR(VLOOKUP(C889,'Data Sheet'!$A$3:$B$26,2,FALSE),"")</f>
        <v/>
      </c>
    </row>
    <row r="890" spans="1:90" ht="15.75" x14ac:dyDescent="0.2">
      <c r="A890" s="97"/>
      <c r="B890" s="105" t="str">
        <f t="shared" si="425"/>
        <v>--</v>
      </c>
      <c r="C890" s="276"/>
      <c r="D890" s="101" t="str">
        <f>IFERROR(IF(VLOOKUP(C890,'Data Sheet'!$A$3:$D$26,4,FALSE)=0,"",VLOOKUP(C890,'Data Sheet'!$A$3:$D$26,4,FALSE)),"")</f>
        <v/>
      </c>
      <c r="E890" s="279"/>
      <c r="F890" s="103" t="str">
        <f>IFERROR(IF(VLOOKUP(E890,'Data Sheet'!$C$29:$E$174,3,FALSE)=0,"",VLOOKUP(E890,'Data Sheet'!$C$29:$E$174,3,FALSE)),"")</f>
        <v/>
      </c>
      <c r="G890" s="106" t="str">
        <f t="shared" si="423"/>
        <v>-</v>
      </c>
      <c r="H890" s="273"/>
      <c r="I890" s="107"/>
      <c r="J890" s="249" t="e">
        <f t="shared" si="424"/>
        <v>#VALUE!</v>
      </c>
      <c r="K890" s="101" t="str">
        <f>IFERROR(INDEX('Data Sheet'!$C$198:$C$275,MATCH(I890,'Data Sheet'!$F$198:$F$275,0)),"")</f>
        <v/>
      </c>
      <c r="L890" s="250" t="str">
        <f>IFERROR(INDEX('Data Sheet'!$G$198:$G$275,MATCH(I890,'Data Sheet'!$F$198:$F$275,0)),"")</f>
        <v/>
      </c>
      <c r="M890" s="194"/>
      <c r="N890" s="248"/>
      <c r="O890" s="248"/>
      <c r="P890" s="108" t="str">
        <f>IFERROR(INDEX(Setup!$D$44:$D$70,MATCH(M890,Setup!$K$44:$K$70,0))&amp;"","")</f>
        <v/>
      </c>
      <c r="Q890" s="108" t="str">
        <f>IFERROR(INDEX(Setup!$E$44:$E$70,MATCH(M890,Setup!$K$44:$K$70,0))&amp;"","")</f>
        <v/>
      </c>
      <c r="R890" s="108" t="str">
        <f>IFERROR(INDEX(Setup!$L$44:$L$70,MATCH(M890,Setup!$K$44:$K$70,0))&amp;"","")</f>
        <v/>
      </c>
      <c r="S890" s="108" t="str">
        <f>Setup!$C$30</f>
        <v>USD</v>
      </c>
      <c r="T890" s="109" t="str">
        <f>IFERROR(INDEX('Data Sheet'!$B$198:$B$275,MATCH(I890,'Data Sheet'!$F$198:$F$275,0)),"")</f>
        <v/>
      </c>
      <c r="U890" s="110" t="str">
        <f>IFERROR(INDEX('Data Sheet'!$D$198:$D$275,MATCH(I890,'Data Sheet'!$F$198:$F$275,0)),"")</f>
        <v/>
      </c>
      <c r="V890" s="99"/>
      <c r="W890" s="195" t="str">
        <f>IF(V890=Setup!$C$30,"Grant",IF(V890=Setup!$C$31,"Local",IF(V890=Setup!$C$32,"Other",IF(ISBLANK(V890),"","Other"))))</f>
        <v/>
      </c>
      <c r="X890" s="255"/>
      <c r="Y890" s="259" t="str">
        <f>IF(X890&lt;&gt;"",X890/VLOOKUP($V890,Setup!$C$30:$D$41,2,0),"")</f>
        <v/>
      </c>
      <c r="Z890" s="262"/>
      <c r="AA890" s="256" t="str">
        <f t="shared" si="397"/>
        <v/>
      </c>
      <c r="AB890" s="262"/>
      <c r="AC890" s="258" t="str">
        <f t="shared" si="398"/>
        <v/>
      </c>
      <c r="AD890" s="262"/>
      <c r="AE890" s="258" t="str">
        <f t="shared" si="399"/>
        <v/>
      </c>
      <c r="AF890" s="262"/>
      <c r="AG890" s="256" t="str">
        <f t="shared" si="400"/>
        <v/>
      </c>
      <c r="AH890" s="256" t="str">
        <f t="shared" si="401"/>
        <v/>
      </c>
      <c r="AI890" s="256" t="str">
        <f t="shared" si="402"/>
        <v/>
      </c>
      <c r="AJ890" s="111"/>
      <c r="AK890" s="255"/>
      <c r="AL890" s="259" t="str">
        <f>IF(AK890&lt;&gt;"",AK890/VLOOKUP($V890,Setup!$C$30:$D$41,2,0),"")</f>
        <v/>
      </c>
      <c r="AM890" s="266"/>
      <c r="AN890" s="258" t="str">
        <f t="shared" si="403"/>
        <v/>
      </c>
      <c r="AO890" s="266"/>
      <c r="AP890" s="258" t="str">
        <f t="shared" si="404"/>
        <v/>
      </c>
      <c r="AQ890" s="266"/>
      <c r="AR890" s="258" t="str">
        <f t="shared" si="405"/>
        <v/>
      </c>
      <c r="AS890" s="266"/>
      <c r="AT890" s="256" t="str">
        <f t="shared" si="406"/>
        <v/>
      </c>
      <c r="AU890" s="256" t="str">
        <f t="shared" si="407"/>
        <v/>
      </c>
      <c r="AV890" s="256" t="str">
        <f t="shared" si="408"/>
        <v/>
      </c>
      <c r="AW890" s="267"/>
      <c r="AX890" s="255"/>
      <c r="AY890" s="259" t="str">
        <f>IF(AX890&lt;&gt;"",AX890/VLOOKUP($V890,Setup!$C$30:$D$41,2,0),"")</f>
        <v/>
      </c>
      <c r="AZ890" s="268"/>
      <c r="BA890" s="258" t="str">
        <f t="shared" si="409"/>
        <v/>
      </c>
      <c r="BB890" s="268"/>
      <c r="BC890" s="258" t="str">
        <f t="shared" si="410"/>
        <v/>
      </c>
      <c r="BD890" s="268"/>
      <c r="BE890" s="258" t="str">
        <f t="shared" si="411"/>
        <v/>
      </c>
      <c r="BF890" s="268"/>
      <c r="BG890" s="256" t="str">
        <f t="shared" si="412"/>
        <v/>
      </c>
      <c r="BH890" s="256" t="str">
        <f t="shared" si="413"/>
        <v/>
      </c>
      <c r="BI890" s="256" t="str">
        <f t="shared" si="414"/>
        <v/>
      </c>
      <c r="BJ890" s="267"/>
      <c r="BK890" s="255"/>
      <c r="BL890" s="259" t="str">
        <f>IF(BK890&lt;&gt;"",BK890/VLOOKUP($V890,Setup!$C$30:$D$41,2,0),"")</f>
        <v/>
      </c>
      <c r="BM890" s="268"/>
      <c r="BN890" s="258" t="str">
        <f t="shared" si="415"/>
        <v/>
      </c>
      <c r="BO890" s="268"/>
      <c r="BP890" s="258" t="str">
        <f t="shared" si="416"/>
        <v/>
      </c>
      <c r="BQ890" s="268"/>
      <c r="BR890" s="258" t="str">
        <f t="shared" si="417"/>
        <v/>
      </c>
      <c r="BS890" s="268"/>
      <c r="BT890" s="256" t="str">
        <f t="shared" si="418"/>
        <v/>
      </c>
      <c r="BU890" s="256" t="str">
        <f t="shared" si="419"/>
        <v/>
      </c>
      <c r="BV890" s="256" t="str">
        <f t="shared" si="420"/>
        <v/>
      </c>
      <c r="BW890" s="267"/>
      <c r="BX890" s="256" t="str">
        <f t="shared" si="421"/>
        <v/>
      </c>
      <c r="BY890" s="256" t="str">
        <f t="shared" si="422"/>
        <v/>
      </c>
      <c r="BZ890" s="281"/>
      <c r="CA890" s="282"/>
      <c r="CF890" s="284"/>
      <c r="CG890" s="284"/>
      <c r="CH890" s="284"/>
      <c r="CI890" s="284"/>
      <c r="CL890" s="356" t="str">
        <f>IFERROR(VLOOKUP(C890,'Data Sheet'!$A$3:$B$26,2,FALSE),"")</f>
        <v/>
      </c>
    </row>
    <row r="891" spans="1:90" ht="15.75" x14ac:dyDescent="0.2">
      <c r="A891" s="97"/>
      <c r="B891" s="105" t="str">
        <f t="shared" si="425"/>
        <v>--</v>
      </c>
      <c r="C891" s="276"/>
      <c r="D891" s="101" t="str">
        <f>IFERROR(IF(VLOOKUP(C891,'Data Sheet'!$A$3:$D$26,4,FALSE)=0,"",VLOOKUP(C891,'Data Sheet'!$A$3:$D$26,4,FALSE)),"")</f>
        <v/>
      </c>
      <c r="E891" s="279"/>
      <c r="F891" s="103" t="str">
        <f>IFERROR(IF(VLOOKUP(E891,'Data Sheet'!$C$29:$E$174,3,FALSE)=0,"",VLOOKUP(E891,'Data Sheet'!$C$29:$E$174,3,FALSE)),"")</f>
        <v/>
      </c>
      <c r="G891" s="106" t="str">
        <f t="shared" si="423"/>
        <v>-</v>
      </c>
      <c r="H891" s="273"/>
      <c r="I891" s="107"/>
      <c r="J891" s="249" t="e">
        <f t="shared" si="424"/>
        <v>#VALUE!</v>
      </c>
      <c r="K891" s="101" t="str">
        <f>IFERROR(INDEX('Data Sheet'!$C$198:$C$275,MATCH(I891,'Data Sheet'!$F$198:$F$275,0)),"")</f>
        <v/>
      </c>
      <c r="L891" s="250" t="str">
        <f>IFERROR(INDEX('Data Sheet'!$G$198:$G$275,MATCH(I891,'Data Sheet'!$F$198:$F$275,0)),"")</f>
        <v/>
      </c>
      <c r="M891" s="194"/>
      <c r="N891" s="248"/>
      <c r="O891" s="248"/>
      <c r="P891" s="108" t="str">
        <f>IFERROR(INDEX(Setup!$D$44:$D$70,MATCH(M891,Setup!$K$44:$K$70,0))&amp;"","")</f>
        <v/>
      </c>
      <c r="Q891" s="108" t="str">
        <f>IFERROR(INDEX(Setup!$E$44:$E$70,MATCH(M891,Setup!$K$44:$K$70,0))&amp;"","")</f>
        <v/>
      </c>
      <c r="R891" s="108" t="str">
        <f>IFERROR(INDEX(Setup!$L$44:$L$70,MATCH(M891,Setup!$K$44:$K$70,0))&amp;"","")</f>
        <v/>
      </c>
      <c r="S891" s="108" t="str">
        <f>Setup!$C$30</f>
        <v>USD</v>
      </c>
      <c r="T891" s="109" t="str">
        <f>IFERROR(INDEX('Data Sheet'!$B$198:$B$275,MATCH(I891,'Data Sheet'!$F$198:$F$275,0)),"")</f>
        <v/>
      </c>
      <c r="U891" s="110" t="str">
        <f>IFERROR(INDEX('Data Sheet'!$D$198:$D$275,MATCH(I891,'Data Sheet'!$F$198:$F$275,0)),"")</f>
        <v/>
      </c>
      <c r="V891" s="99"/>
      <c r="W891" s="195" t="str">
        <f>IF(V891=Setup!$C$30,"Grant",IF(V891=Setup!$C$31,"Local",IF(V891=Setup!$C$32,"Other",IF(ISBLANK(V891),"","Other"))))</f>
        <v/>
      </c>
      <c r="X891" s="255"/>
      <c r="Y891" s="259" t="str">
        <f>IF(X891&lt;&gt;"",X891/VLOOKUP($V891,Setup!$C$30:$D$41,2,0),"")</f>
        <v/>
      </c>
      <c r="Z891" s="262"/>
      <c r="AA891" s="256" t="str">
        <f t="shared" si="397"/>
        <v/>
      </c>
      <c r="AB891" s="262"/>
      <c r="AC891" s="258" t="str">
        <f t="shared" si="398"/>
        <v/>
      </c>
      <c r="AD891" s="262"/>
      <c r="AE891" s="258" t="str">
        <f t="shared" si="399"/>
        <v/>
      </c>
      <c r="AF891" s="262"/>
      <c r="AG891" s="256" t="str">
        <f t="shared" si="400"/>
        <v/>
      </c>
      <c r="AH891" s="256" t="str">
        <f t="shared" si="401"/>
        <v/>
      </c>
      <c r="AI891" s="256" t="str">
        <f t="shared" si="402"/>
        <v/>
      </c>
      <c r="AJ891" s="111"/>
      <c r="AK891" s="255"/>
      <c r="AL891" s="259" t="str">
        <f>IF(AK891&lt;&gt;"",AK891/VLOOKUP($V891,Setup!$C$30:$D$41,2,0),"")</f>
        <v/>
      </c>
      <c r="AM891" s="266"/>
      <c r="AN891" s="258" t="str">
        <f t="shared" si="403"/>
        <v/>
      </c>
      <c r="AO891" s="266"/>
      <c r="AP891" s="258" t="str">
        <f t="shared" si="404"/>
        <v/>
      </c>
      <c r="AQ891" s="266"/>
      <c r="AR891" s="258" t="str">
        <f t="shared" si="405"/>
        <v/>
      </c>
      <c r="AS891" s="266"/>
      <c r="AT891" s="256" t="str">
        <f t="shared" si="406"/>
        <v/>
      </c>
      <c r="AU891" s="256" t="str">
        <f t="shared" si="407"/>
        <v/>
      </c>
      <c r="AV891" s="256" t="str">
        <f t="shared" si="408"/>
        <v/>
      </c>
      <c r="AW891" s="267"/>
      <c r="AX891" s="255"/>
      <c r="AY891" s="259" t="str">
        <f>IF(AX891&lt;&gt;"",AX891/VLOOKUP($V891,Setup!$C$30:$D$41,2,0),"")</f>
        <v/>
      </c>
      <c r="AZ891" s="268"/>
      <c r="BA891" s="258" t="str">
        <f t="shared" si="409"/>
        <v/>
      </c>
      <c r="BB891" s="268"/>
      <c r="BC891" s="258" t="str">
        <f t="shared" si="410"/>
        <v/>
      </c>
      <c r="BD891" s="268"/>
      <c r="BE891" s="258" t="str">
        <f t="shared" si="411"/>
        <v/>
      </c>
      <c r="BF891" s="268"/>
      <c r="BG891" s="256" t="str">
        <f t="shared" si="412"/>
        <v/>
      </c>
      <c r="BH891" s="256" t="str">
        <f t="shared" si="413"/>
        <v/>
      </c>
      <c r="BI891" s="256" t="str">
        <f t="shared" si="414"/>
        <v/>
      </c>
      <c r="BJ891" s="267"/>
      <c r="BK891" s="255"/>
      <c r="BL891" s="259" t="str">
        <f>IF(BK891&lt;&gt;"",BK891/VLOOKUP($V891,Setup!$C$30:$D$41,2,0),"")</f>
        <v/>
      </c>
      <c r="BM891" s="268"/>
      <c r="BN891" s="258" t="str">
        <f t="shared" si="415"/>
        <v/>
      </c>
      <c r="BO891" s="268"/>
      <c r="BP891" s="258" t="str">
        <f t="shared" si="416"/>
        <v/>
      </c>
      <c r="BQ891" s="268"/>
      <c r="BR891" s="258" t="str">
        <f t="shared" si="417"/>
        <v/>
      </c>
      <c r="BS891" s="268"/>
      <c r="BT891" s="256" t="str">
        <f t="shared" si="418"/>
        <v/>
      </c>
      <c r="BU891" s="256" t="str">
        <f t="shared" si="419"/>
        <v/>
      </c>
      <c r="BV891" s="256" t="str">
        <f t="shared" si="420"/>
        <v/>
      </c>
      <c r="BW891" s="267"/>
      <c r="BX891" s="256" t="str">
        <f t="shared" si="421"/>
        <v/>
      </c>
      <c r="BY891" s="256" t="str">
        <f t="shared" si="422"/>
        <v/>
      </c>
      <c r="BZ891" s="281"/>
      <c r="CA891" s="282"/>
      <c r="CF891" s="284"/>
      <c r="CG891" s="284"/>
      <c r="CH891" s="284"/>
      <c r="CI891" s="284"/>
      <c r="CL891" s="356" t="str">
        <f>IFERROR(VLOOKUP(C891,'Data Sheet'!$A$3:$B$26,2,FALSE),"")</f>
        <v/>
      </c>
    </row>
    <row r="892" spans="1:90" ht="15.75" x14ac:dyDescent="0.2">
      <c r="A892" s="97"/>
      <c r="B892" s="105" t="str">
        <f t="shared" si="425"/>
        <v>--</v>
      </c>
      <c r="C892" s="276"/>
      <c r="D892" s="101" t="str">
        <f>IFERROR(IF(VLOOKUP(C892,'Data Sheet'!$A$3:$D$26,4,FALSE)=0,"",VLOOKUP(C892,'Data Sheet'!$A$3:$D$26,4,FALSE)),"")</f>
        <v/>
      </c>
      <c r="E892" s="279"/>
      <c r="F892" s="103" t="str">
        <f>IFERROR(IF(VLOOKUP(E892,'Data Sheet'!$C$29:$E$174,3,FALSE)=0,"",VLOOKUP(E892,'Data Sheet'!$C$29:$E$174,3,FALSE)),"")</f>
        <v/>
      </c>
      <c r="G892" s="106" t="str">
        <f t="shared" si="423"/>
        <v>-</v>
      </c>
      <c r="H892" s="273"/>
      <c r="I892" s="107"/>
      <c r="J892" s="249" t="e">
        <f t="shared" si="424"/>
        <v>#VALUE!</v>
      </c>
      <c r="K892" s="101" t="str">
        <f>IFERROR(INDEX('Data Sheet'!$C$198:$C$275,MATCH(I892,'Data Sheet'!$F$198:$F$275,0)),"")</f>
        <v/>
      </c>
      <c r="L892" s="250" t="str">
        <f>IFERROR(INDEX('Data Sheet'!$G$198:$G$275,MATCH(I892,'Data Sheet'!$F$198:$F$275,0)),"")</f>
        <v/>
      </c>
      <c r="M892" s="194"/>
      <c r="N892" s="248"/>
      <c r="O892" s="248"/>
      <c r="P892" s="108" t="str">
        <f>IFERROR(INDEX(Setup!$D$44:$D$70,MATCH(M892,Setup!$K$44:$K$70,0))&amp;"","")</f>
        <v/>
      </c>
      <c r="Q892" s="108" t="str">
        <f>IFERROR(INDEX(Setup!$E$44:$E$70,MATCH(M892,Setup!$K$44:$K$70,0))&amp;"","")</f>
        <v/>
      </c>
      <c r="R892" s="108" t="str">
        <f>IFERROR(INDEX(Setup!$L$44:$L$70,MATCH(M892,Setup!$K$44:$K$70,0))&amp;"","")</f>
        <v/>
      </c>
      <c r="S892" s="108" t="str">
        <f>Setup!$C$30</f>
        <v>USD</v>
      </c>
      <c r="T892" s="109" t="str">
        <f>IFERROR(INDEX('Data Sheet'!$B$198:$B$275,MATCH(I892,'Data Sheet'!$F$198:$F$275,0)),"")</f>
        <v/>
      </c>
      <c r="U892" s="110" t="str">
        <f>IFERROR(INDEX('Data Sheet'!$D$198:$D$275,MATCH(I892,'Data Sheet'!$F$198:$F$275,0)),"")</f>
        <v/>
      </c>
      <c r="V892" s="99"/>
      <c r="W892" s="195" t="str">
        <f>IF(V892=Setup!$C$30,"Grant",IF(V892=Setup!$C$31,"Local",IF(V892=Setup!$C$32,"Other",IF(ISBLANK(V892),"","Other"))))</f>
        <v/>
      </c>
      <c r="X892" s="255"/>
      <c r="Y892" s="259" t="str">
        <f>IF(X892&lt;&gt;"",X892/VLOOKUP($V892,Setup!$C$30:$D$41,2,0),"")</f>
        <v/>
      </c>
      <c r="Z892" s="262"/>
      <c r="AA892" s="256" t="str">
        <f t="shared" si="397"/>
        <v/>
      </c>
      <c r="AB892" s="262"/>
      <c r="AC892" s="258" t="str">
        <f t="shared" si="398"/>
        <v/>
      </c>
      <c r="AD892" s="262"/>
      <c r="AE892" s="258" t="str">
        <f t="shared" si="399"/>
        <v/>
      </c>
      <c r="AF892" s="262"/>
      <c r="AG892" s="256" t="str">
        <f t="shared" si="400"/>
        <v/>
      </c>
      <c r="AH892" s="256" t="str">
        <f t="shared" si="401"/>
        <v/>
      </c>
      <c r="AI892" s="256" t="str">
        <f t="shared" si="402"/>
        <v/>
      </c>
      <c r="AJ892" s="111"/>
      <c r="AK892" s="255"/>
      <c r="AL892" s="259" t="str">
        <f>IF(AK892&lt;&gt;"",AK892/VLOOKUP($V892,Setup!$C$30:$D$41,2,0),"")</f>
        <v/>
      </c>
      <c r="AM892" s="266"/>
      <c r="AN892" s="258" t="str">
        <f t="shared" si="403"/>
        <v/>
      </c>
      <c r="AO892" s="266"/>
      <c r="AP892" s="258" t="str">
        <f t="shared" si="404"/>
        <v/>
      </c>
      <c r="AQ892" s="266"/>
      <c r="AR892" s="258" t="str">
        <f t="shared" si="405"/>
        <v/>
      </c>
      <c r="AS892" s="266"/>
      <c r="AT892" s="256" t="str">
        <f t="shared" si="406"/>
        <v/>
      </c>
      <c r="AU892" s="256" t="str">
        <f t="shared" si="407"/>
        <v/>
      </c>
      <c r="AV892" s="256" t="str">
        <f t="shared" si="408"/>
        <v/>
      </c>
      <c r="AW892" s="267"/>
      <c r="AX892" s="255"/>
      <c r="AY892" s="259" t="str">
        <f>IF(AX892&lt;&gt;"",AX892/VLOOKUP($V892,Setup!$C$30:$D$41,2,0),"")</f>
        <v/>
      </c>
      <c r="AZ892" s="268"/>
      <c r="BA892" s="258" t="str">
        <f t="shared" si="409"/>
        <v/>
      </c>
      <c r="BB892" s="268"/>
      <c r="BC892" s="258" t="str">
        <f t="shared" si="410"/>
        <v/>
      </c>
      <c r="BD892" s="268"/>
      <c r="BE892" s="258" t="str">
        <f t="shared" si="411"/>
        <v/>
      </c>
      <c r="BF892" s="268"/>
      <c r="BG892" s="256" t="str">
        <f t="shared" si="412"/>
        <v/>
      </c>
      <c r="BH892" s="256" t="str">
        <f t="shared" si="413"/>
        <v/>
      </c>
      <c r="BI892" s="256" t="str">
        <f t="shared" si="414"/>
        <v/>
      </c>
      <c r="BJ892" s="267"/>
      <c r="BK892" s="255"/>
      <c r="BL892" s="259" t="str">
        <f>IF(BK892&lt;&gt;"",BK892/VLOOKUP($V892,Setup!$C$30:$D$41,2,0),"")</f>
        <v/>
      </c>
      <c r="BM892" s="268"/>
      <c r="BN892" s="258" t="str">
        <f t="shared" si="415"/>
        <v/>
      </c>
      <c r="BO892" s="268"/>
      <c r="BP892" s="258" t="str">
        <f t="shared" si="416"/>
        <v/>
      </c>
      <c r="BQ892" s="268"/>
      <c r="BR892" s="258" t="str">
        <f t="shared" si="417"/>
        <v/>
      </c>
      <c r="BS892" s="268"/>
      <c r="BT892" s="256" t="str">
        <f t="shared" si="418"/>
        <v/>
      </c>
      <c r="BU892" s="256" t="str">
        <f t="shared" si="419"/>
        <v/>
      </c>
      <c r="BV892" s="256" t="str">
        <f t="shared" si="420"/>
        <v/>
      </c>
      <c r="BW892" s="267"/>
      <c r="BX892" s="256" t="str">
        <f t="shared" si="421"/>
        <v/>
      </c>
      <c r="BY892" s="256" t="str">
        <f t="shared" si="422"/>
        <v/>
      </c>
      <c r="BZ892" s="281"/>
      <c r="CA892" s="282"/>
      <c r="CF892" s="284"/>
      <c r="CG892" s="284"/>
      <c r="CH892" s="284"/>
      <c r="CI892" s="284"/>
      <c r="CL892" s="356" t="str">
        <f>IFERROR(VLOOKUP(C892,'Data Sheet'!$A$3:$B$26,2,FALSE),"")</f>
        <v/>
      </c>
    </row>
    <row r="893" spans="1:90" ht="15.75" x14ac:dyDescent="0.2">
      <c r="A893" s="97"/>
      <c r="B893" s="105" t="str">
        <f t="shared" si="425"/>
        <v>--</v>
      </c>
      <c r="C893" s="276"/>
      <c r="D893" s="101" t="str">
        <f>IFERROR(IF(VLOOKUP(C893,'Data Sheet'!$A$3:$D$26,4,FALSE)=0,"",VLOOKUP(C893,'Data Sheet'!$A$3:$D$26,4,FALSE)),"")</f>
        <v/>
      </c>
      <c r="E893" s="279"/>
      <c r="F893" s="103" t="str">
        <f>IFERROR(IF(VLOOKUP(E893,'Data Sheet'!$C$29:$E$174,3,FALSE)=0,"",VLOOKUP(E893,'Data Sheet'!$C$29:$E$174,3,FALSE)),"")</f>
        <v/>
      </c>
      <c r="G893" s="106" t="str">
        <f t="shared" si="423"/>
        <v>-</v>
      </c>
      <c r="H893" s="273"/>
      <c r="I893" s="107"/>
      <c r="J893" s="249" t="e">
        <f t="shared" si="424"/>
        <v>#VALUE!</v>
      </c>
      <c r="K893" s="101" t="str">
        <f>IFERROR(INDEX('Data Sheet'!$C$198:$C$275,MATCH(I893,'Data Sheet'!$F$198:$F$275,0)),"")</f>
        <v/>
      </c>
      <c r="L893" s="250" t="str">
        <f>IFERROR(INDEX('Data Sheet'!$G$198:$G$275,MATCH(I893,'Data Sheet'!$F$198:$F$275,0)),"")</f>
        <v/>
      </c>
      <c r="M893" s="194"/>
      <c r="N893" s="248"/>
      <c r="O893" s="248"/>
      <c r="P893" s="108" t="str">
        <f>IFERROR(INDEX(Setup!$D$44:$D$70,MATCH(M893,Setup!$K$44:$K$70,0))&amp;"","")</f>
        <v/>
      </c>
      <c r="Q893" s="108" t="str">
        <f>IFERROR(INDEX(Setup!$E$44:$E$70,MATCH(M893,Setup!$K$44:$K$70,0))&amp;"","")</f>
        <v/>
      </c>
      <c r="R893" s="108" t="str">
        <f>IFERROR(INDEX(Setup!$L$44:$L$70,MATCH(M893,Setup!$K$44:$K$70,0))&amp;"","")</f>
        <v/>
      </c>
      <c r="S893" s="108" t="str">
        <f>Setup!$C$30</f>
        <v>USD</v>
      </c>
      <c r="T893" s="109" t="str">
        <f>IFERROR(INDEX('Data Sheet'!$B$198:$B$275,MATCH(I893,'Data Sheet'!$F$198:$F$275,0)),"")</f>
        <v/>
      </c>
      <c r="U893" s="110" t="str">
        <f>IFERROR(INDEX('Data Sheet'!$D$198:$D$275,MATCH(I893,'Data Sheet'!$F$198:$F$275,0)),"")</f>
        <v/>
      </c>
      <c r="V893" s="99"/>
      <c r="W893" s="195" t="str">
        <f>IF(V893=Setup!$C$30,"Grant",IF(V893=Setup!$C$31,"Local",IF(V893=Setup!$C$32,"Other",IF(ISBLANK(V893),"","Other"))))</f>
        <v/>
      </c>
      <c r="X893" s="255"/>
      <c r="Y893" s="259" t="str">
        <f>IF(X893&lt;&gt;"",X893/VLOOKUP($V893,Setup!$C$30:$D$41,2,0),"")</f>
        <v/>
      </c>
      <c r="Z893" s="262"/>
      <c r="AA893" s="256" t="str">
        <f t="shared" si="397"/>
        <v/>
      </c>
      <c r="AB893" s="262"/>
      <c r="AC893" s="258" t="str">
        <f t="shared" si="398"/>
        <v/>
      </c>
      <c r="AD893" s="262"/>
      <c r="AE893" s="258" t="str">
        <f t="shared" si="399"/>
        <v/>
      </c>
      <c r="AF893" s="262"/>
      <c r="AG893" s="256" t="str">
        <f t="shared" si="400"/>
        <v/>
      </c>
      <c r="AH893" s="256" t="str">
        <f t="shared" si="401"/>
        <v/>
      </c>
      <c r="AI893" s="256" t="str">
        <f t="shared" si="402"/>
        <v/>
      </c>
      <c r="AJ893" s="111"/>
      <c r="AK893" s="255"/>
      <c r="AL893" s="259" t="str">
        <f>IF(AK893&lt;&gt;"",AK893/VLOOKUP($V893,Setup!$C$30:$D$41,2,0),"")</f>
        <v/>
      </c>
      <c r="AM893" s="266"/>
      <c r="AN893" s="258" t="str">
        <f t="shared" si="403"/>
        <v/>
      </c>
      <c r="AO893" s="266"/>
      <c r="AP893" s="258" t="str">
        <f t="shared" si="404"/>
        <v/>
      </c>
      <c r="AQ893" s="266"/>
      <c r="AR893" s="258" t="str">
        <f t="shared" si="405"/>
        <v/>
      </c>
      <c r="AS893" s="266"/>
      <c r="AT893" s="256" t="str">
        <f t="shared" si="406"/>
        <v/>
      </c>
      <c r="AU893" s="256" t="str">
        <f t="shared" si="407"/>
        <v/>
      </c>
      <c r="AV893" s="256" t="str">
        <f t="shared" si="408"/>
        <v/>
      </c>
      <c r="AW893" s="267"/>
      <c r="AX893" s="255"/>
      <c r="AY893" s="259" t="str">
        <f>IF(AX893&lt;&gt;"",AX893/VLOOKUP($V893,Setup!$C$30:$D$41,2,0),"")</f>
        <v/>
      </c>
      <c r="AZ893" s="268"/>
      <c r="BA893" s="258" t="str">
        <f t="shared" si="409"/>
        <v/>
      </c>
      <c r="BB893" s="268"/>
      <c r="BC893" s="258" t="str">
        <f t="shared" si="410"/>
        <v/>
      </c>
      <c r="BD893" s="268"/>
      <c r="BE893" s="258" t="str">
        <f t="shared" si="411"/>
        <v/>
      </c>
      <c r="BF893" s="268"/>
      <c r="BG893" s="256" t="str">
        <f t="shared" si="412"/>
        <v/>
      </c>
      <c r="BH893" s="256" t="str">
        <f t="shared" si="413"/>
        <v/>
      </c>
      <c r="BI893" s="256" t="str">
        <f t="shared" si="414"/>
        <v/>
      </c>
      <c r="BJ893" s="267"/>
      <c r="BK893" s="255"/>
      <c r="BL893" s="259" t="str">
        <f>IF(BK893&lt;&gt;"",BK893/VLOOKUP($V893,Setup!$C$30:$D$41,2,0),"")</f>
        <v/>
      </c>
      <c r="BM893" s="268"/>
      <c r="BN893" s="258" t="str">
        <f t="shared" si="415"/>
        <v/>
      </c>
      <c r="BO893" s="268"/>
      <c r="BP893" s="258" t="str">
        <f t="shared" si="416"/>
        <v/>
      </c>
      <c r="BQ893" s="268"/>
      <c r="BR893" s="258" t="str">
        <f t="shared" si="417"/>
        <v/>
      </c>
      <c r="BS893" s="268"/>
      <c r="BT893" s="256" t="str">
        <f t="shared" si="418"/>
        <v/>
      </c>
      <c r="BU893" s="256" t="str">
        <f t="shared" si="419"/>
        <v/>
      </c>
      <c r="BV893" s="256" t="str">
        <f t="shared" si="420"/>
        <v/>
      </c>
      <c r="BW893" s="267"/>
      <c r="BX893" s="256" t="str">
        <f t="shared" si="421"/>
        <v/>
      </c>
      <c r="BY893" s="256" t="str">
        <f t="shared" si="422"/>
        <v/>
      </c>
      <c r="BZ893" s="281"/>
      <c r="CA893" s="282"/>
      <c r="CF893" s="284"/>
      <c r="CG893" s="284"/>
      <c r="CH893" s="284"/>
      <c r="CI893" s="284"/>
      <c r="CL893" s="356" t="str">
        <f>IFERROR(VLOOKUP(C893,'Data Sheet'!$A$3:$B$26,2,FALSE),"")</f>
        <v/>
      </c>
    </row>
    <row r="894" spans="1:90" ht="15.75" x14ac:dyDescent="0.2">
      <c r="A894" s="97"/>
      <c r="B894" s="105" t="str">
        <f t="shared" si="425"/>
        <v>--</v>
      </c>
      <c r="C894" s="276"/>
      <c r="D894" s="101" t="str">
        <f>IFERROR(IF(VLOOKUP(C894,'Data Sheet'!$A$3:$D$26,4,FALSE)=0,"",VLOOKUP(C894,'Data Sheet'!$A$3:$D$26,4,FALSE)),"")</f>
        <v/>
      </c>
      <c r="E894" s="279"/>
      <c r="F894" s="103" t="str">
        <f>IFERROR(IF(VLOOKUP(E894,'Data Sheet'!$C$29:$E$174,3,FALSE)=0,"",VLOOKUP(E894,'Data Sheet'!$C$29:$E$174,3,FALSE)),"")</f>
        <v/>
      </c>
      <c r="G894" s="106" t="str">
        <f t="shared" si="423"/>
        <v>-</v>
      </c>
      <c r="H894" s="273"/>
      <c r="I894" s="107"/>
      <c r="J894" s="249" t="e">
        <f t="shared" si="424"/>
        <v>#VALUE!</v>
      </c>
      <c r="K894" s="101" t="str">
        <f>IFERROR(INDEX('Data Sheet'!$C$198:$C$275,MATCH(I894,'Data Sheet'!$F$198:$F$275,0)),"")</f>
        <v/>
      </c>
      <c r="L894" s="250" t="str">
        <f>IFERROR(INDEX('Data Sheet'!$G$198:$G$275,MATCH(I894,'Data Sheet'!$F$198:$F$275,0)),"")</f>
        <v/>
      </c>
      <c r="M894" s="194"/>
      <c r="N894" s="248"/>
      <c r="O894" s="248"/>
      <c r="P894" s="108" t="str">
        <f>IFERROR(INDEX(Setup!$D$44:$D$70,MATCH(M894,Setup!$K$44:$K$70,0))&amp;"","")</f>
        <v/>
      </c>
      <c r="Q894" s="108" t="str">
        <f>IFERROR(INDEX(Setup!$E$44:$E$70,MATCH(M894,Setup!$K$44:$K$70,0))&amp;"","")</f>
        <v/>
      </c>
      <c r="R894" s="108" t="str">
        <f>IFERROR(INDEX(Setup!$L$44:$L$70,MATCH(M894,Setup!$K$44:$K$70,0))&amp;"","")</f>
        <v/>
      </c>
      <c r="S894" s="108" t="str">
        <f>Setup!$C$30</f>
        <v>USD</v>
      </c>
      <c r="T894" s="109" t="str">
        <f>IFERROR(INDEX('Data Sheet'!$B$198:$B$275,MATCH(I894,'Data Sheet'!$F$198:$F$275,0)),"")</f>
        <v/>
      </c>
      <c r="U894" s="110" t="str">
        <f>IFERROR(INDEX('Data Sheet'!$D$198:$D$275,MATCH(I894,'Data Sheet'!$F$198:$F$275,0)),"")</f>
        <v/>
      </c>
      <c r="V894" s="99"/>
      <c r="W894" s="195" t="str">
        <f>IF(V894=Setup!$C$30,"Grant",IF(V894=Setup!$C$31,"Local",IF(V894=Setup!$C$32,"Other",IF(ISBLANK(V894),"","Other"))))</f>
        <v/>
      </c>
      <c r="X894" s="255"/>
      <c r="Y894" s="259" t="str">
        <f>IF(X894&lt;&gt;"",X894/VLOOKUP($V894,Setup!$C$30:$D$41,2,0),"")</f>
        <v/>
      </c>
      <c r="Z894" s="262"/>
      <c r="AA894" s="256" t="str">
        <f t="shared" si="397"/>
        <v/>
      </c>
      <c r="AB894" s="262"/>
      <c r="AC894" s="258" t="str">
        <f t="shared" si="398"/>
        <v/>
      </c>
      <c r="AD894" s="262"/>
      <c r="AE894" s="258" t="str">
        <f t="shared" si="399"/>
        <v/>
      </c>
      <c r="AF894" s="262"/>
      <c r="AG894" s="256" t="str">
        <f t="shared" si="400"/>
        <v/>
      </c>
      <c r="AH894" s="256" t="str">
        <f t="shared" si="401"/>
        <v/>
      </c>
      <c r="AI894" s="256" t="str">
        <f t="shared" si="402"/>
        <v/>
      </c>
      <c r="AJ894" s="111"/>
      <c r="AK894" s="255"/>
      <c r="AL894" s="259" t="str">
        <f>IF(AK894&lt;&gt;"",AK894/VLOOKUP($V894,Setup!$C$30:$D$41,2,0),"")</f>
        <v/>
      </c>
      <c r="AM894" s="266"/>
      <c r="AN894" s="258" t="str">
        <f t="shared" si="403"/>
        <v/>
      </c>
      <c r="AO894" s="266"/>
      <c r="AP894" s="258" t="str">
        <f t="shared" si="404"/>
        <v/>
      </c>
      <c r="AQ894" s="266"/>
      <c r="AR894" s="258" t="str">
        <f t="shared" si="405"/>
        <v/>
      </c>
      <c r="AS894" s="266"/>
      <c r="AT894" s="256" t="str">
        <f t="shared" si="406"/>
        <v/>
      </c>
      <c r="AU894" s="256" t="str">
        <f t="shared" si="407"/>
        <v/>
      </c>
      <c r="AV894" s="256" t="str">
        <f t="shared" si="408"/>
        <v/>
      </c>
      <c r="AW894" s="267"/>
      <c r="AX894" s="255"/>
      <c r="AY894" s="259" t="str">
        <f>IF(AX894&lt;&gt;"",AX894/VLOOKUP($V894,Setup!$C$30:$D$41,2,0),"")</f>
        <v/>
      </c>
      <c r="AZ894" s="268"/>
      <c r="BA894" s="258" t="str">
        <f t="shared" si="409"/>
        <v/>
      </c>
      <c r="BB894" s="268"/>
      <c r="BC894" s="258" t="str">
        <f t="shared" si="410"/>
        <v/>
      </c>
      <c r="BD894" s="268"/>
      <c r="BE894" s="258" t="str">
        <f t="shared" si="411"/>
        <v/>
      </c>
      <c r="BF894" s="268"/>
      <c r="BG894" s="256" t="str">
        <f t="shared" si="412"/>
        <v/>
      </c>
      <c r="BH894" s="256" t="str">
        <f t="shared" si="413"/>
        <v/>
      </c>
      <c r="BI894" s="256" t="str">
        <f t="shared" si="414"/>
        <v/>
      </c>
      <c r="BJ894" s="267"/>
      <c r="BK894" s="255"/>
      <c r="BL894" s="259" t="str">
        <f>IF(BK894&lt;&gt;"",BK894/VLOOKUP($V894,Setup!$C$30:$D$41,2,0),"")</f>
        <v/>
      </c>
      <c r="BM894" s="268"/>
      <c r="BN894" s="258" t="str">
        <f t="shared" si="415"/>
        <v/>
      </c>
      <c r="BO894" s="268"/>
      <c r="BP894" s="258" t="str">
        <f t="shared" si="416"/>
        <v/>
      </c>
      <c r="BQ894" s="268"/>
      <c r="BR894" s="258" t="str">
        <f t="shared" si="417"/>
        <v/>
      </c>
      <c r="BS894" s="268"/>
      <c r="BT894" s="256" t="str">
        <f t="shared" si="418"/>
        <v/>
      </c>
      <c r="BU894" s="256" t="str">
        <f t="shared" si="419"/>
        <v/>
      </c>
      <c r="BV894" s="256" t="str">
        <f t="shared" si="420"/>
        <v/>
      </c>
      <c r="BW894" s="267"/>
      <c r="BX894" s="256" t="str">
        <f t="shared" si="421"/>
        <v/>
      </c>
      <c r="BY894" s="256" t="str">
        <f t="shared" si="422"/>
        <v/>
      </c>
      <c r="BZ894" s="281"/>
      <c r="CA894" s="282"/>
      <c r="CF894" s="284"/>
      <c r="CG894" s="284"/>
      <c r="CH894" s="284"/>
      <c r="CI894" s="284"/>
      <c r="CL894" s="356" t="str">
        <f>IFERROR(VLOOKUP(C894,'Data Sheet'!$A$3:$B$26,2,FALSE),"")</f>
        <v/>
      </c>
    </row>
    <row r="895" spans="1:90" ht="15.75" x14ac:dyDescent="0.2">
      <c r="A895" s="97"/>
      <c r="B895" s="105" t="str">
        <f t="shared" si="425"/>
        <v>--</v>
      </c>
      <c r="C895" s="276"/>
      <c r="D895" s="101" t="str">
        <f>IFERROR(IF(VLOOKUP(C895,'Data Sheet'!$A$3:$D$26,4,FALSE)=0,"",VLOOKUP(C895,'Data Sheet'!$A$3:$D$26,4,FALSE)),"")</f>
        <v/>
      </c>
      <c r="E895" s="279"/>
      <c r="F895" s="103" t="str">
        <f>IFERROR(IF(VLOOKUP(E895,'Data Sheet'!$C$29:$E$174,3,FALSE)=0,"",VLOOKUP(E895,'Data Sheet'!$C$29:$E$174,3,FALSE)),"")</f>
        <v/>
      </c>
      <c r="G895" s="106" t="str">
        <f t="shared" si="423"/>
        <v>-</v>
      </c>
      <c r="H895" s="273"/>
      <c r="I895" s="107"/>
      <c r="J895" s="249" t="e">
        <f t="shared" si="424"/>
        <v>#VALUE!</v>
      </c>
      <c r="K895" s="101" t="str">
        <f>IFERROR(INDEX('Data Sheet'!$C$198:$C$275,MATCH(I895,'Data Sheet'!$F$198:$F$275,0)),"")</f>
        <v/>
      </c>
      <c r="L895" s="250" t="str">
        <f>IFERROR(INDEX('Data Sheet'!$G$198:$G$275,MATCH(I895,'Data Sheet'!$F$198:$F$275,0)),"")</f>
        <v/>
      </c>
      <c r="M895" s="194"/>
      <c r="N895" s="248"/>
      <c r="O895" s="248"/>
      <c r="P895" s="108" t="str">
        <f>IFERROR(INDEX(Setup!$D$44:$D$70,MATCH(M895,Setup!$K$44:$K$70,0))&amp;"","")</f>
        <v/>
      </c>
      <c r="Q895" s="108" t="str">
        <f>IFERROR(INDEX(Setup!$E$44:$E$70,MATCH(M895,Setup!$K$44:$K$70,0))&amp;"","")</f>
        <v/>
      </c>
      <c r="R895" s="108" t="str">
        <f>IFERROR(INDEX(Setup!$L$44:$L$70,MATCH(M895,Setup!$K$44:$K$70,0))&amp;"","")</f>
        <v/>
      </c>
      <c r="S895" s="108" t="str">
        <f>Setup!$C$30</f>
        <v>USD</v>
      </c>
      <c r="T895" s="109" t="str">
        <f>IFERROR(INDEX('Data Sheet'!$B$198:$B$275,MATCH(I895,'Data Sheet'!$F$198:$F$275,0)),"")</f>
        <v/>
      </c>
      <c r="U895" s="110" t="str">
        <f>IFERROR(INDEX('Data Sheet'!$D$198:$D$275,MATCH(I895,'Data Sheet'!$F$198:$F$275,0)),"")</f>
        <v/>
      </c>
      <c r="V895" s="99"/>
      <c r="W895" s="195" t="str">
        <f>IF(V895=Setup!$C$30,"Grant",IF(V895=Setup!$C$31,"Local",IF(V895=Setup!$C$32,"Other",IF(ISBLANK(V895),"","Other"))))</f>
        <v/>
      </c>
      <c r="X895" s="255"/>
      <c r="Y895" s="259" t="str">
        <f>IF(X895&lt;&gt;"",X895/VLOOKUP($V895,Setup!$C$30:$D$41,2,0),"")</f>
        <v/>
      </c>
      <c r="Z895" s="262"/>
      <c r="AA895" s="256" t="str">
        <f t="shared" si="397"/>
        <v/>
      </c>
      <c r="AB895" s="262"/>
      <c r="AC895" s="258" t="str">
        <f t="shared" si="398"/>
        <v/>
      </c>
      <c r="AD895" s="262"/>
      <c r="AE895" s="258" t="str">
        <f t="shared" si="399"/>
        <v/>
      </c>
      <c r="AF895" s="262"/>
      <c r="AG895" s="256" t="str">
        <f t="shared" si="400"/>
        <v/>
      </c>
      <c r="AH895" s="256" t="str">
        <f t="shared" si="401"/>
        <v/>
      </c>
      <c r="AI895" s="256" t="str">
        <f t="shared" si="402"/>
        <v/>
      </c>
      <c r="AJ895" s="111"/>
      <c r="AK895" s="255"/>
      <c r="AL895" s="259" t="str">
        <f>IF(AK895&lt;&gt;"",AK895/VLOOKUP($V895,Setup!$C$30:$D$41,2,0),"")</f>
        <v/>
      </c>
      <c r="AM895" s="266"/>
      <c r="AN895" s="258" t="str">
        <f t="shared" si="403"/>
        <v/>
      </c>
      <c r="AO895" s="266"/>
      <c r="AP895" s="258" t="str">
        <f t="shared" si="404"/>
        <v/>
      </c>
      <c r="AQ895" s="266"/>
      <c r="AR895" s="258" t="str">
        <f t="shared" si="405"/>
        <v/>
      </c>
      <c r="AS895" s="266"/>
      <c r="AT895" s="256" t="str">
        <f t="shared" si="406"/>
        <v/>
      </c>
      <c r="AU895" s="256" t="str">
        <f t="shared" si="407"/>
        <v/>
      </c>
      <c r="AV895" s="256" t="str">
        <f t="shared" si="408"/>
        <v/>
      </c>
      <c r="AW895" s="267"/>
      <c r="AX895" s="255"/>
      <c r="AY895" s="259" t="str">
        <f>IF(AX895&lt;&gt;"",AX895/VLOOKUP($V895,Setup!$C$30:$D$41,2,0),"")</f>
        <v/>
      </c>
      <c r="AZ895" s="268"/>
      <c r="BA895" s="258" t="str">
        <f t="shared" si="409"/>
        <v/>
      </c>
      <c r="BB895" s="268"/>
      <c r="BC895" s="258" t="str">
        <f t="shared" si="410"/>
        <v/>
      </c>
      <c r="BD895" s="268"/>
      <c r="BE895" s="258" t="str">
        <f t="shared" si="411"/>
        <v/>
      </c>
      <c r="BF895" s="268"/>
      <c r="BG895" s="256" t="str">
        <f t="shared" si="412"/>
        <v/>
      </c>
      <c r="BH895" s="256" t="str">
        <f t="shared" si="413"/>
        <v/>
      </c>
      <c r="BI895" s="256" t="str">
        <f t="shared" si="414"/>
        <v/>
      </c>
      <c r="BJ895" s="267"/>
      <c r="BK895" s="255"/>
      <c r="BL895" s="259" t="str">
        <f>IF(BK895&lt;&gt;"",BK895/VLOOKUP($V895,Setup!$C$30:$D$41,2,0),"")</f>
        <v/>
      </c>
      <c r="BM895" s="268"/>
      <c r="BN895" s="258" t="str">
        <f t="shared" si="415"/>
        <v/>
      </c>
      <c r="BO895" s="268"/>
      <c r="BP895" s="258" t="str">
        <f t="shared" si="416"/>
        <v/>
      </c>
      <c r="BQ895" s="268"/>
      <c r="BR895" s="258" t="str">
        <f t="shared" si="417"/>
        <v/>
      </c>
      <c r="BS895" s="268"/>
      <c r="BT895" s="256" t="str">
        <f t="shared" si="418"/>
        <v/>
      </c>
      <c r="BU895" s="256" t="str">
        <f t="shared" si="419"/>
        <v/>
      </c>
      <c r="BV895" s="256" t="str">
        <f t="shared" si="420"/>
        <v/>
      </c>
      <c r="BW895" s="267"/>
      <c r="BX895" s="256" t="str">
        <f t="shared" si="421"/>
        <v/>
      </c>
      <c r="BY895" s="256" t="str">
        <f t="shared" si="422"/>
        <v/>
      </c>
      <c r="BZ895" s="281"/>
      <c r="CA895" s="282"/>
      <c r="CF895" s="284"/>
      <c r="CG895" s="284"/>
      <c r="CH895" s="284"/>
      <c r="CI895" s="284"/>
      <c r="CL895" s="356" t="str">
        <f>IFERROR(VLOOKUP(C895,'Data Sheet'!$A$3:$B$26,2,FALSE),"")</f>
        <v/>
      </c>
    </row>
    <row r="896" spans="1:90" ht="15.75" x14ac:dyDescent="0.2">
      <c r="A896" s="97"/>
      <c r="B896" s="105" t="str">
        <f t="shared" si="425"/>
        <v>--</v>
      </c>
      <c r="C896" s="276"/>
      <c r="D896" s="101" t="str">
        <f>IFERROR(IF(VLOOKUP(C896,'Data Sheet'!$A$3:$D$26,4,FALSE)=0,"",VLOOKUP(C896,'Data Sheet'!$A$3:$D$26,4,FALSE)),"")</f>
        <v/>
      </c>
      <c r="E896" s="279"/>
      <c r="F896" s="103" t="str">
        <f>IFERROR(IF(VLOOKUP(E896,'Data Sheet'!$C$29:$E$174,3,FALSE)=0,"",VLOOKUP(E896,'Data Sheet'!$C$29:$E$174,3,FALSE)),"")</f>
        <v/>
      </c>
      <c r="G896" s="106" t="str">
        <f t="shared" si="423"/>
        <v>-</v>
      </c>
      <c r="H896" s="273"/>
      <c r="I896" s="107"/>
      <c r="J896" s="249" t="e">
        <f t="shared" si="424"/>
        <v>#VALUE!</v>
      </c>
      <c r="K896" s="101" t="str">
        <f>IFERROR(INDEX('Data Sheet'!$C$198:$C$275,MATCH(I896,'Data Sheet'!$F$198:$F$275,0)),"")</f>
        <v/>
      </c>
      <c r="L896" s="250" t="str">
        <f>IFERROR(INDEX('Data Sheet'!$G$198:$G$275,MATCH(I896,'Data Sheet'!$F$198:$F$275,0)),"")</f>
        <v/>
      </c>
      <c r="M896" s="194"/>
      <c r="N896" s="248"/>
      <c r="O896" s="248"/>
      <c r="P896" s="108" t="str">
        <f>IFERROR(INDEX(Setup!$D$44:$D$70,MATCH(M896,Setup!$K$44:$K$70,0))&amp;"","")</f>
        <v/>
      </c>
      <c r="Q896" s="108" t="str">
        <f>IFERROR(INDEX(Setup!$E$44:$E$70,MATCH(M896,Setup!$K$44:$K$70,0))&amp;"","")</f>
        <v/>
      </c>
      <c r="R896" s="108" t="str">
        <f>IFERROR(INDEX(Setup!$L$44:$L$70,MATCH(M896,Setup!$K$44:$K$70,0))&amp;"","")</f>
        <v/>
      </c>
      <c r="S896" s="108" t="str">
        <f>Setup!$C$30</f>
        <v>USD</v>
      </c>
      <c r="T896" s="109" t="str">
        <f>IFERROR(INDEX('Data Sheet'!$B$198:$B$275,MATCH(I896,'Data Sheet'!$F$198:$F$275,0)),"")</f>
        <v/>
      </c>
      <c r="U896" s="110" t="str">
        <f>IFERROR(INDEX('Data Sheet'!$D$198:$D$275,MATCH(I896,'Data Sheet'!$F$198:$F$275,0)),"")</f>
        <v/>
      </c>
      <c r="V896" s="99"/>
      <c r="W896" s="195" t="str">
        <f>IF(V896=Setup!$C$30,"Grant",IF(V896=Setup!$C$31,"Local",IF(V896=Setup!$C$32,"Other",IF(ISBLANK(V896),"","Other"))))</f>
        <v/>
      </c>
      <c r="X896" s="255"/>
      <c r="Y896" s="259" t="str">
        <f>IF(X896&lt;&gt;"",X896/VLOOKUP($V896,Setup!$C$30:$D$41,2,0),"")</f>
        <v/>
      </c>
      <c r="Z896" s="262"/>
      <c r="AA896" s="256" t="str">
        <f t="shared" si="397"/>
        <v/>
      </c>
      <c r="AB896" s="262"/>
      <c r="AC896" s="258" t="str">
        <f t="shared" si="398"/>
        <v/>
      </c>
      <c r="AD896" s="262"/>
      <c r="AE896" s="258" t="str">
        <f t="shared" si="399"/>
        <v/>
      </c>
      <c r="AF896" s="262"/>
      <c r="AG896" s="256" t="str">
        <f t="shared" si="400"/>
        <v/>
      </c>
      <c r="AH896" s="256" t="str">
        <f t="shared" si="401"/>
        <v/>
      </c>
      <c r="AI896" s="256" t="str">
        <f t="shared" si="402"/>
        <v/>
      </c>
      <c r="AJ896" s="111"/>
      <c r="AK896" s="255"/>
      <c r="AL896" s="259" t="str">
        <f>IF(AK896&lt;&gt;"",AK896/VLOOKUP($V896,Setup!$C$30:$D$41,2,0),"")</f>
        <v/>
      </c>
      <c r="AM896" s="266"/>
      <c r="AN896" s="258" t="str">
        <f t="shared" si="403"/>
        <v/>
      </c>
      <c r="AO896" s="266"/>
      <c r="AP896" s="258" t="str">
        <f t="shared" si="404"/>
        <v/>
      </c>
      <c r="AQ896" s="266"/>
      <c r="AR896" s="258" t="str">
        <f t="shared" si="405"/>
        <v/>
      </c>
      <c r="AS896" s="266"/>
      <c r="AT896" s="256" t="str">
        <f t="shared" si="406"/>
        <v/>
      </c>
      <c r="AU896" s="256" t="str">
        <f t="shared" si="407"/>
        <v/>
      </c>
      <c r="AV896" s="256" t="str">
        <f t="shared" si="408"/>
        <v/>
      </c>
      <c r="AW896" s="267"/>
      <c r="AX896" s="255"/>
      <c r="AY896" s="259" t="str">
        <f>IF(AX896&lt;&gt;"",AX896/VLOOKUP($V896,Setup!$C$30:$D$41,2,0),"")</f>
        <v/>
      </c>
      <c r="AZ896" s="268"/>
      <c r="BA896" s="258" t="str">
        <f t="shared" si="409"/>
        <v/>
      </c>
      <c r="BB896" s="268"/>
      <c r="BC896" s="258" t="str">
        <f t="shared" si="410"/>
        <v/>
      </c>
      <c r="BD896" s="268"/>
      <c r="BE896" s="258" t="str">
        <f t="shared" si="411"/>
        <v/>
      </c>
      <c r="BF896" s="268"/>
      <c r="BG896" s="256" t="str">
        <f t="shared" si="412"/>
        <v/>
      </c>
      <c r="BH896" s="256" t="str">
        <f t="shared" si="413"/>
        <v/>
      </c>
      <c r="BI896" s="256" t="str">
        <f t="shared" si="414"/>
        <v/>
      </c>
      <c r="BJ896" s="267"/>
      <c r="BK896" s="255"/>
      <c r="BL896" s="259" t="str">
        <f>IF(BK896&lt;&gt;"",BK896/VLOOKUP($V896,Setup!$C$30:$D$41,2,0),"")</f>
        <v/>
      </c>
      <c r="BM896" s="268"/>
      <c r="BN896" s="258" t="str">
        <f t="shared" si="415"/>
        <v/>
      </c>
      <c r="BO896" s="268"/>
      <c r="BP896" s="258" t="str">
        <f t="shared" si="416"/>
        <v/>
      </c>
      <c r="BQ896" s="268"/>
      <c r="BR896" s="258" t="str">
        <f t="shared" si="417"/>
        <v/>
      </c>
      <c r="BS896" s="268"/>
      <c r="BT896" s="256" t="str">
        <f t="shared" si="418"/>
        <v/>
      </c>
      <c r="BU896" s="256" t="str">
        <f t="shared" si="419"/>
        <v/>
      </c>
      <c r="BV896" s="256" t="str">
        <f t="shared" si="420"/>
        <v/>
      </c>
      <c r="BW896" s="267"/>
      <c r="BX896" s="256" t="str">
        <f t="shared" si="421"/>
        <v/>
      </c>
      <c r="BY896" s="256" t="str">
        <f t="shared" si="422"/>
        <v/>
      </c>
      <c r="BZ896" s="281"/>
      <c r="CA896" s="282"/>
      <c r="CF896" s="284"/>
      <c r="CG896" s="284"/>
      <c r="CH896" s="284"/>
      <c r="CI896" s="284"/>
      <c r="CL896" s="356" t="str">
        <f>IFERROR(VLOOKUP(C896,'Data Sheet'!$A$3:$B$26,2,FALSE),"")</f>
        <v/>
      </c>
    </row>
    <row r="897" spans="1:90" ht="15.75" x14ac:dyDescent="0.2">
      <c r="A897" s="97"/>
      <c r="B897" s="105" t="str">
        <f t="shared" si="425"/>
        <v>--</v>
      </c>
      <c r="C897" s="276"/>
      <c r="D897" s="101" t="str">
        <f>IFERROR(IF(VLOOKUP(C897,'Data Sheet'!$A$3:$D$26,4,FALSE)=0,"",VLOOKUP(C897,'Data Sheet'!$A$3:$D$26,4,FALSE)),"")</f>
        <v/>
      </c>
      <c r="E897" s="279"/>
      <c r="F897" s="103" t="str">
        <f>IFERROR(IF(VLOOKUP(E897,'Data Sheet'!$C$29:$E$174,3,FALSE)=0,"",VLOOKUP(E897,'Data Sheet'!$C$29:$E$174,3,FALSE)),"")</f>
        <v/>
      </c>
      <c r="G897" s="106" t="str">
        <f t="shared" si="423"/>
        <v>-</v>
      </c>
      <c r="H897" s="273"/>
      <c r="I897" s="107"/>
      <c r="J897" s="249" t="e">
        <f t="shared" si="424"/>
        <v>#VALUE!</v>
      </c>
      <c r="K897" s="101" t="str">
        <f>IFERROR(INDEX('Data Sheet'!$C$198:$C$275,MATCH(I897,'Data Sheet'!$F$198:$F$275,0)),"")</f>
        <v/>
      </c>
      <c r="L897" s="250" t="str">
        <f>IFERROR(INDEX('Data Sheet'!$G$198:$G$275,MATCH(I897,'Data Sheet'!$F$198:$F$275,0)),"")</f>
        <v/>
      </c>
      <c r="M897" s="194"/>
      <c r="N897" s="248"/>
      <c r="O897" s="248"/>
      <c r="P897" s="108" t="str">
        <f>IFERROR(INDEX(Setup!$D$44:$D$70,MATCH(M897,Setup!$K$44:$K$70,0))&amp;"","")</f>
        <v/>
      </c>
      <c r="Q897" s="108" t="str">
        <f>IFERROR(INDEX(Setup!$E$44:$E$70,MATCH(M897,Setup!$K$44:$K$70,0))&amp;"","")</f>
        <v/>
      </c>
      <c r="R897" s="108" t="str">
        <f>IFERROR(INDEX(Setup!$L$44:$L$70,MATCH(M897,Setup!$K$44:$K$70,0))&amp;"","")</f>
        <v/>
      </c>
      <c r="S897" s="108" t="str">
        <f>Setup!$C$30</f>
        <v>USD</v>
      </c>
      <c r="T897" s="109" t="str">
        <f>IFERROR(INDEX('Data Sheet'!$B$198:$B$275,MATCH(I897,'Data Sheet'!$F$198:$F$275,0)),"")</f>
        <v/>
      </c>
      <c r="U897" s="110" t="str">
        <f>IFERROR(INDEX('Data Sheet'!$D$198:$D$275,MATCH(I897,'Data Sheet'!$F$198:$F$275,0)),"")</f>
        <v/>
      </c>
      <c r="V897" s="99"/>
      <c r="W897" s="195" t="str">
        <f>IF(V897=Setup!$C$30,"Grant",IF(V897=Setup!$C$31,"Local",IF(V897=Setup!$C$32,"Other",IF(ISBLANK(V897),"","Other"))))</f>
        <v/>
      </c>
      <c r="X897" s="255"/>
      <c r="Y897" s="259" t="str">
        <f>IF(X897&lt;&gt;"",X897/VLOOKUP($V897,Setup!$C$30:$D$41,2,0),"")</f>
        <v/>
      </c>
      <c r="Z897" s="262"/>
      <c r="AA897" s="256" t="str">
        <f t="shared" si="397"/>
        <v/>
      </c>
      <c r="AB897" s="262"/>
      <c r="AC897" s="258" t="str">
        <f t="shared" si="398"/>
        <v/>
      </c>
      <c r="AD897" s="262"/>
      <c r="AE897" s="258" t="str">
        <f t="shared" si="399"/>
        <v/>
      </c>
      <c r="AF897" s="262"/>
      <c r="AG897" s="256" t="str">
        <f t="shared" si="400"/>
        <v/>
      </c>
      <c r="AH897" s="256" t="str">
        <f t="shared" si="401"/>
        <v/>
      </c>
      <c r="AI897" s="256" t="str">
        <f t="shared" si="402"/>
        <v/>
      </c>
      <c r="AJ897" s="111"/>
      <c r="AK897" s="255"/>
      <c r="AL897" s="259" t="str">
        <f>IF(AK897&lt;&gt;"",AK897/VLOOKUP($V897,Setup!$C$30:$D$41,2,0),"")</f>
        <v/>
      </c>
      <c r="AM897" s="266"/>
      <c r="AN897" s="258" t="str">
        <f t="shared" si="403"/>
        <v/>
      </c>
      <c r="AO897" s="266"/>
      <c r="AP897" s="258" t="str">
        <f t="shared" si="404"/>
        <v/>
      </c>
      <c r="AQ897" s="266"/>
      <c r="AR897" s="258" t="str">
        <f t="shared" si="405"/>
        <v/>
      </c>
      <c r="AS897" s="266"/>
      <c r="AT897" s="256" t="str">
        <f t="shared" si="406"/>
        <v/>
      </c>
      <c r="AU897" s="256" t="str">
        <f t="shared" si="407"/>
        <v/>
      </c>
      <c r="AV897" s="256" t="str">
        <f t="shared" si="408"/>
        <v/>
      </c>
      <c r="AW897" s="267"/>
      <c r="AX897" s="255"/>
      <c r="AY897" s="259" t="str">
        <f>IF(AX897&lt;&gt;"",AX897/VLOOKUP($V897,Setup!$C$30:$D$41,2,0),"")</f>
        <v/>
      </c>
      <c r="AZ897" s="268"/>
      <c r="BA897" s="258" t="str">
        <f t="shared" si="409"/>
        <v/>
      </c>
      <c r="BB897" s="268"/>
      <c r="BC897" s="258" t="str">
        <f t="shared" si="410"/>
        <v/>
      </c>
      <c r="BD897" s="268"/>
      <c r="BE897" s="258" t="str">
        <f t="shared" si="411"/>
        <v/>
      </c>
      <c r="BF897" s="268"/>
      <c r="BG897" s="256" t="str">
        <f t="shared" si="412"/>
        <v/>
      </c>
      <c r="BH897" s="256" t="str">
        <f t="shared" si="413"/>
        <v/>
      </c>
      <c r="BI897" s="256" t="str">
        <f t="shared" si="414"/>
        <v/>
      </c>
      <c r="BJ897" s="267"/>
      <c r="BK897" s="255"/>
      <c r="BL897" s="259" t="str">
        <f>IF(BK897&lt;&gt;"",BK897/VLOOKUP($V897,Setup!$C$30:$D$41,2,0),"")</f>
        <v/>
      </c>
      <c r="BM897" s="268"/>
      <c r="BN897" s="258" t="str">
        <f t="shared" si="415"/>
        <v/>
      </c>
      <c r="BO897" s="268"/>
      <c r="BP897" s="258" t="str">
        <f t="shared" si="416"/>
        <v/>
      </c>
      <c r="BQ897" s="268"/>
      <c r="BR897" s="258" t="str">
        <f t="shared" si="417"/>
        <v/>
      </c>
      <c r="BS897" s="268"/>
      <c r="BT897" s="256" t="str">
        <f t="shared" si="418"/>
        <v/>
      </c>
      <c r="BU897" s="256" t="str">
        <f t="shared" si="419"/>
        <v/>
      </c>
      <c r="BV897" s="256" t="str">
        <f t="shared" si="420"/>
        <v/>
      </c>
      <c r="BW897" s="267"/>
      <c r="BX897" s="256" t="str">
        <f t="shared" si="421"/>
        <v/>
      </c>
      <c r="BY897" s="256" t="str">
        <f t="shared" si="422"/>
        <v/>
      </c>
      <c r="BZ897" s="281"/>
      <c r="CA897" s="282"/>
      <c r="CF897" s="284"/>
      <c r="CG897" s="284"/>
      <c r="CH897" s="284"/>
      <c r="CI897" s="284"/>
      <c r="CL897" s="356" t="str">
        <f>IFERROR(VLOOKUP(C897,'Data Sheet'!$A$3:$B$26,2,FALSE),"")</f>
        <v/>
      </c>
    </row>
    <row r="898" spans="1:90" ht="15.75" x14ac:dyDescent="0.2">
      <c r="A898" s="97"/>
      <c r="B898" s="105" t="str">
        <f t="shared" si="425"/>
        <v>--</v>
      </c>
      <c r="C898" s="276"/>
      <c r="D898" s="101" t="str">
        <f>IFERROR(IF(VLOOKUP(C898,'Data Sheet'!$A$3:$D$26,4,FALSE)=0,"",VLOOKUP(C898,'Data Sheet'!$A$3:$D$26,4,FALSE)),"")</f>
        <v/>
      </c>
      <c r="E898" s="279"/>
      <c r="F898" s="103" t="str">
        <f>IFERROR(IF(VLOOKUP(E898,'Data Sheet'!$C$29:$E$174,3,FALSE)=0,"",VLOOKUP(E898,'Data Sheet'!$C$29:$E$174,3,FALSE)),"")</f>
        <v/>
      </c>
      <c r="G898" s="106" t="str">
        <f t="shared" si="423"/>
        <v>-</v>
      </c>
      <c r="H898" s="273"/>
      <c r="I898" s="107"/>
      <c r="J898" s="249" t="e">
        <f t="shared" si="424"/>
        <v>#VALUE!</v>
      </c>
      <c r="K898" s="101" t="str">
        <f>IFERROR(INDEX('Data Sheet'!$C$198:$C$275,MATCH(I898,'Data Sheet'!$F$198:$F$275,0)),"")</f>
        <v/>
      </c>
      <c r="L898" s="250" t="str">
        <f>IFERROR(INDEX('Data Sheet'!$G$198:$G$275,MATCH(I898,'Data Sheet'!$F$198:$F$275,0)),"")</f>
        <v/>
      </c>
      <c r="M898" s="194"/>
      <c r="N898" s="248"/>
      <c r="O898" s="248"/>
      <c r="P898" s="108" t="str">
        <f>IFERROR(INDEX(Setup!$D$44:$D$70,MATCH(M898,Setup!$K$44:$K$70,0))&amp;"","")</f>
        <v/>
      </c>
      <c r="Q898" s="108" t="str">
        <f>IFERROR(INDEX(Setup!$E$44:$E$70,MATCH(M898,Setup!$K$44:$K$70,0))&amp;"","")</f>
        <v/>
      </c>
      <c r="R898" s="108" t="str">
        <f>IFERROR(INDEX(Setup!$L$44:$L$70,MATCH(M898,Setup!$K$44:$K$70,0))&amp;"","")</f>
        <v/>
      </c>
      <c r="S898" s="108" t="str">
        <f>Setup!$C$30</f>
        <v>USD</v>
      </c>
      <c r="T898" s="109" t="str">
        <f>IFERROR(INDEX('Data Sheet'!$B$198:$B$275,MATCH(I898,'Data Sheet'!$F$198:$F$275,0)),"")</f>
        <v/>
      </c>
      <c r="U898" s="110" t="str">
        <f>IFERROR(INDEX('Data Sheet'!$D$198:$D$275,MATCH(I898,'Data Sheet'!$F$198:$F$275,0)),"")</f>
        <v/>
      </c>
      <c r="V898" s="99"/>
      <c r="W898" s="195" t="str">
        <f>IF(V898=Setup!$C$30,"Grant",IF(V898=Setup!$C$31,"Local",IF(V898=Setup!$C$32,"Other",IF(ISBLANK(V898),"","Other"))))</f>
        <v/>
      </c>
      <c r="X898" s="255"/>
      <c r="Y898" s="259" t="str">
        <f>IF(X898&lt;&gt;"",X898/VLOOKUP($V898,Setup!$C$30:$D$41,2,0),"")</f>
        <v/>
      </c>
      <c r="Z898" s="262"/>
      <c r="AA898" s="256" t="str">
        <f t="shared" si="397"/>
        <v/>
      </c>
      <c r="AB898" s="262"/>
      <c r="AC898" s="258" t="str">
        <f t="shared" si="398"/>
        <v/>
      </c>
      <c r="AD898" s="262"/>
      <c r="AE898" s="258" t="str">
        <f t="shared" si="399"/>
        <v/>
      </c>
      <c r="AF898" s="262"/>
      <c r="AG898" s="256" t="str">
        <f t="shared" si="400"/>
        <v/>
      </c>
      <c r="AH898" s="256" t="str">
        <f t="shared" si="401"/>
        <v/>
      </c>
      <c r="AI898" s="256" t="str">
        <f t="shared" si="402"/>
        <v/>
      </c>
      <c r="AJ898" s="111"/>
      <c r="AK898" s="255"/>
      <c r="AL898" s="259" t="str">
        <f>IF(AK898&lt;&gt;"",AK898/VLOOKUP($V898,Setup!$C$30:$D$41,2,0),"")</f>
        <v/>
      </c>
      <c r="AM898" s="266"/>
      <c r="AN898" s="258" t="str">
        <f t="shared" si="403"/>
        <v/>
      </c>
      <c r="AO898" s="266"/>
      <c r="AP898" s="258" t="str">
        <f t="shared" si="404"/>
        <v/>
      </c>
      <c r="AQ898" s="266"/>
      <c r="AR898" s="258" t="str">
        <f t="shared" si="405"/>
        <v/>
      </c>
      <c r="AS898" s="266"/>
      <c r="AT898" s="256" t="str">
        <f t="shared" si="406"/>
        <v/>
      </c>
      <c r="AU898" s="256" t="str">
        <f t="shared" si="407"/>
        <v/>
      </c>
      <c r="AV898" s="256" t="str">
        <f t="shared" si="408"/>
        <v/>
      </c>
      <c r="AW898" s="267"/>
      <c r="AX898" s="255"/>
      <c r="AY898" s="259" t="str">
        <f>IF(AX898&lt;&gt;"",AX898/VLOOKUP($V898,Setup!$C$30:$D$41,2,0),"")</f>
        <v/>
      </c>
      <c r="AZ898" s="268"/>
      <c r="BA898" s="258" t="str">
        <f t="shared" si="409"/>
        <v/>
      </c>
      <c r="BB898" s="268"/>
      <c r="BC898" s="258" t="str">
        <f t="shared" si="410"/>
        <v/>
      </c>
      <c r="BD898" s="268"/>
      <c r="BE898" s="258" t="str">
        <f t="shared" si="411"/>
        <v/>
      </c>
      <c r="BF898" s="268"/>
      <c r="BG898" s="256" t="str">
        <f t="shared" si="412"/>
        <v/>
      </c>
      <c r="BH898" s="256" t="str">
        <f t="shared" si="413"/>
        <v/>
      </c>
      <c r="BI898" s="256" t="str">
        <f t="shared" si="414"/>
        <v/>
      </c>
      <c r="BJ898" s="267"/>
      <c r="BK898" s="255"/>
      <c r="BL898" s="259" t="str">
        <f>IF(BK898&lt;&gt;"",BK898/VLOOKUP($V898,Setup!$C$30:$D$41,2,0),"")</f>
        <v/>
      </c>
      <c r="BM898" s="268"/>
      <c r="BN898" s="258" t="str">
        <f t="shared" si="415"/>
        <v/>
      </c>
      <c r="BO898" s="268"/>
      <c r="BP898" s="258" t="str">
        <f t="shared" si="416"/>
        <v/>
      </c>
      <c r="BQ898" s="268"/>
      <c r="BR898" s="258" t="str">
        <f t="shared" si="417"/>
        <v/>
      </c>
      <c r="BS898" s="268"/>
      <c r="BT898" s="256" t="str">
        <f t="shared" si="418"/>
        <v/>
      </c>
      <c r="BU898" s="256" t="str">
        <f t="shared" si="419"/>
        <v/>
      </c>
      <c r="BV898" s="256" t="str">
        <f t="shared" si="420"/>
        <v/>
      </c>
      <c r="BW898" s="267"/>
      <c r="BX898" s="256" t="str">
        <f t="shared" si="421"/>
        <v/>
      </c>
      <c r="BY898" s="256" t="str">
        <f t="shared" si="422"/>
        <v/>
      </c>
      <c r="BZ898" s="281"/>
      <c r="CA898" s="282"/>
      <c r="CF898" s="284"/>
      <c r="CG898" s="284"/>
      <c r="CH898" s="284"/>
      <c r="CI898" s="284"/>
      <c r="CL898" s="356" t="str">
        <f>IFERROR(VLOOKUP(C898,'Data Sheet'!$A$3:$B$26,2,FALSE),"")</f>
        <v/>
      </c>
    </row>
    <row r="899" spans="1:90" ht="15.75" x14ac:dyDescent="0.2">
      <c r="A899" s="97"/>
      <c r="B899" s="105" t="str">
        <f t="shared" si="425"/>
        <v>--</v>
      </c>
      <c r="C899" s="276"/>
      <c r="D899" s="101" t="str">
        <f>IFERROR(IF(VLOOKUP(C899,'Data Sheet'!$A$3:$D$26,4,FALSE)=0,"",VLOOKUP(C899,'Data Sheet'!$A$3:$D$26,4,FALSE)),"")</f>
        <v/>
      </c>
      <c r="E899" s="279"/>
      <c r="F899" s="103" t="str">
        <f>IFERROR(IF(VLOOKUP(E899,'Data Sheet'!$C$29:$E$174,3,FALSE)=0,"",VLOOKUP(E899,'Data Sheet'!$C$29:$E$174,3,FALSE)),"")</f>
        <v/>
      </c>
      <c r="G899" s="106" t="str">
        <f t="shared" si="423"/>
        <v>-</v>
      </c>
      <c r="H899" s="273"/>
      <c r="I899" s="107"/>
      <c r="J899" s="249" t="e">
        <f t="shared" si="424"/>
        <v>#VALUE!</v>
      </c>
      <c r="K899" s="101" t="str">
        <f>IFERROR(INDEX('Data Sheet'!$C$198:$C$275,MATCH(I899,'Data Sheet'!$F$198:$F$275,0)),"")</f>
        <v/>
      </c>
      <c r="L899" s="250" t="str">
        <f>IFERROR(INDEX('Data Sheet'!$G$198:$G$275,MATCH(I899,'Data Sheet'!$F$198:$F$275,0)),"")</f>
        <v/>
      </c>
      <c r="M899" s="194"/>
      <c r="N899" s="248"/>
      <c r="O899" s="248"/>
      <c r="P899" s="108" t="str">
        <f>IFERROR(INDEX(Setup!$D$44:$D$70,MATCH(M899,Setup!$K$44:$K$70,0))&amp;"","")</f>
        <v/>
      </c>
      <c r="Q899" s="108" t="str">
        <f>IFERROR(INDEX(Setup!$E$44:$E$70,MATCH(M899,Setup!$K$44:$K$70,0))&amp;"","")</f>
        <v/>
      </c>
      <c r="R899" s="108" t="str">
        <f>IFERROR(INDEX(Setup!$L$44:$L$70,MATCH(M899,Setup!$K$44:$K$70,0))&amp;"","")</f>
        <v/>
      </c>
      <c r="S899" s="108" t="str">
        <f>Setup!$C$30</f>
        <v>USD</v>
      </c>
      <c r="T899" s="109" t="str">
        <f>IFERROR(INDEX('Data Sheet'!$B$198:$B$275,MATCH(I899,'Data Sheet'!$F$198:$F$275,0)),"")</f>
        <v/>
      </c>
      <c r="U899" s="110" t="str">
        <f>IFERROR(INDEX('Data Sheet'!$D$198:$D$275,MATCH(I899,'Data Sheet'!$F$198:$F$275,0)),"")</f>
        <v/>
      </c>
      <c r="V899" s="99"/>
      <c r="W899" s="195" t="str">
        <f>IF(V899=Setup!$C$30,"Grant",IF(V899=Setup!$C$31,"Local",IF(V899=Setup!$C$32,"Other",IF(ISBLANK(V899),"","Other"))))</f>
        <v/>
      </c>
      <c r="X899" s="255"/>
      <c r="Y899" s="259" t="str">
        <f>IF(X899&lt;&gt;"",X899/VLOOKUP($V899,Setup!$C$30:$D$41,2,0),"")</f>
        <v/>
      </c>
      <c r="Z899" s="262"/>
      <c r="AA899" s="256" t="str">
        <f t="shared" si="397"/>
        <v/>
      </c>
      <c r="AB899" s="262"/>
      <c r="AC899" s="258" t="str">
        <f t="shared" si="398"/>
        <v/>
      </c>
      <c r="AD899" s="262"/>
      <c r="AE899" s="258" t="str">
        <f t="shared" si="399"/>
        <v/>
      </c>
      <c r="AF899" s="262"/>
      <c r="AG899" s="256" t="str">
        <f t="shared" si="400"/>
        <v/>
      </c>
      <c r="AH899" s="256" t="str">
        <f t="shared" si="401"/>
        <v/>
      </c>
      <c r="AI899" s="256" t="str">
        <f t="shared" si="402"/>
        <v/>
      </c>
      <c r="AJ899" s="111"/>
      <c r="AK899" s="255"/>
      <c r="AL899" s="259" t="str">
        <f>IF(AK899&lt;&gt;"",AK899/VLOOKUP($V899,Setup!$C$30:$D$41,2,0),"")</f>
        <v/>
      </c>
      <c r="AM899" s="266"/>
      <c r="AN899" s="258" t="str">
        <f t="shared" si="403"/>
        <v/>
      </c>
      <c r="AO899" s="266"/>
      <c r="AP899" s="258" t="str">
        <f t="shared" si="404"/>
        <v/>
      </c>
      <c r="AQ899" s="266"/>
      <c r="AR899" s="258" t="str">
        <f t="shared" si="405"/>
        <v/>
      </c>
      <c r="AS899" s="266"/>
      <c r="AT899" s="256" t="str">
        <f t="shared" si="406"/>
        <v/>
      </c>
      <c r="AU899" s="256" t="str">
        <f t="shared" si="407"/>
        <v/>
      </c>
      <c r="AV899" s="256" t="str">
        <f t="shared" si="408"/>
        <v/>
      </c>
      <c r="AW899" s="267"/>
      <c r="AX899" s="255"/>
      <c r="AY899" s="259" t="str">
        <f>IF(AX899&lt;&gt;"",AX899/VLOOKUP($V899,Setup!$C$30:$D$41,2,0),"")</f>
        <v/>
      </c>
      <c r="AZ899" s="268"/>
      <c r="BA899" s="258" t="str">
        <f t="shared" si="409"/>
        <v/>
      </c>
      <c r="BB899" s="268"/>
      <c r="BC899" s="258" t="str">
        <f t="shared" si="410"/>
        <v/>
      </c>
      <c r="BD899" s="268"/>
      <c r="BE899" s="258" t="str">
        <f t="shared" si="411"/>
        <v/>
      </c>
      <c r="BF899" s="268"/>
      <c r="BG899" s="256" t="str">
        <f t="shared" si="412"/>
        <v/>
      </c>
      <c r="BH899" s="256" t="str">
        <f t="shared" si="413"/>
        <v/>
      </c>
      <c r="BI899" s="256" t="str">
        <f t="shared" si="414"/>
        <v/>
      </c>
      <c r="BJ899" s="267"/>
      <c r="BK899" s="255"/>
      <c r="BL899" s="259" t="str">
        <f>IF(BK899&lt;&gt;"",BK899/VLOOKUP($V899,Setup!$C$30:$D$41,2,0),"")</f>
        <v/>
      </c>
      <c r="BM899" s="268"/>
      <c r="BN899" s="258" t="str">
        <f t="shared" si="415"/>
        <v/>
      </c>
      <c r="BO899" s="268"/>
      <c r="BP899" s="258" t="str">
        <f t="shared" si="416"/>
        <v/>
      </c>
      <c r="BQ899" s="268"/>
      <c r="BR899" s="258" t="str">
        <f t="shared" si="417"/>
        <v/>
      </c>
      <c r="BS899" s="268"/>
      <c r="BT899" s="256" t="str">
        <f t="shared" si="418"/>
        <v/>
      </c>
      <c r="BU899" s="256" t="str">
        <f t="shared" si="419"/>
        <v/>
      </c>
      <c r="BV899" s="256" t="str">
        <f t="shared" si="420"/>
        <v/>
      </c>
      <c r="BW899" s="267"/>
      <c r="BX899" s="256" t="str">
        <f t="shared" si="421"/>
        <v/>
      </c>
      <c r="BY899" s="256" t="str">
        <f t="shared" si="422"/>
        <v/>
      </c>
      <c r="BZ899" s="281"/>
      <c r="CA899" s="282"/>
      <c r="CF899" s="284"/>
      <c r="CG899" s="284"/>
      <c r="CH899" s="284"/>
      <c r="CI899" s="284"/>
      <c r="CL899" s="356" t="str">
        <f>IFERROR(VLOOKUP(C899,'Data Sheet'!$A$3:$B$26,2,FALSE),"")</f>
        <v/>
      </c>
    </row>
    <row r="900" spans="1:90" ht="15.75" x14ac:dyDescent="0.2">
      <c r="A900" s="97"/>
      <c r="B900" s="105" t="str">
        <f t="shared" si="425"/>
        <v>--</v>
      </c>
      <c r="C900" s="276"/>
      <c r="D900" s="101" t="str">
        <f>IFERROR(IF(VLOOKUP(C900,'Data Sheet'!$A$3:$D$26,4,FALSE)=0,"",VLOOKUP(C900,'Data Sheet'!$A$3:$D$26,4,FALSE)),"")</f>
        <v/>
      </c>
      <c r="E900" s="279"/>
      <c r="F900" s="103" t="str">
        <f>IFERROR(IF(VLOOKUP(E900,'Data Sheet'!$C$29:$E$174,3,FALSE)=0,"",VLOOKUP(E900,'Data Sheet'!$C$29:$E$174,3,FALSE)),"")</f>
        <v/>
      </c>
      <c r="G900" s="106" t="str">
        <f t="shared" si="423"/>
        <v>-</v>
      </c>
      <c r="H900" s="273"/>
      <c r="I900" s="107"/>
      <c r="J900" s="249" t="e">
        <f t="shared" si="424"/>
        <v>#VALUE!</v>
      </c>
      <c r="K900" s="101" t="str">
        <f>IFERROR(INDEX('Data Sheet'!$C$198:$C$275,MATCH(I900,'Data Sheet'!$F$198:$F$275,0)),"")</f>
        <v/>
      </c>
      <c r="L900" s="250" t="str">
        <f>IFERROR(INDEX('Data Sheet'!$G$198:$G$275,MATCH(I900,'Data Sheet'!$F$198:$F$275,0)),"")</f>
        <v/>
      </c>
      <c r="M900" s="194"/>
      <c r="N900" s="248"/>
      <c r="O900" s="248"/>
      <c r="P900" s="108" t="str">
        <f>IFERROR(INDEX(Setup!$D$44:$D$70,MATCH(M900,Setup!$K$44:$K$70,0))&amp;"","")</f>
        <v/>
      </c>
      <c r="Q900" s="108" t="str">
        <f>IFERROR(INDEX(Setup!$E$44:$E$70,MATCH(M900,Setup!$K$44:$K$70,0))&amp;"","")</f>
        <v/>
      </c>
      <c r="R900" s="108" t="str">
        <f>IFERROR(INDEX(Setup!$L$44:$L$70,MATCH(M900,Setup!$K$44:$K$70,0))&amp;"","")</f>
        <v/>
      </c>
      <c r="S900" s="108" t="str">
        <f>Setup!$C$30</f>
        <v>USD</v>
      </c>
      <c r="T900" s="109" t="str">
        <f>IFERROR(INDEX('Data Sheet'!$B$198:$B$275,MATCH(I900,'Data Sheet'!$F$198:$F$275,0)),"")</f>
        <v/>
      </c>
      <c r="U900" s="110" t="str">
        <f>IFERROR(INDEX('Data Sheet'!$D$198:$D$275,MATCH(I900,'Data Sheet'!$F$198:$F$275,0)),"")</f>
        <v/>
      </c>
      <c r="V900" s="99"/>
      <c r="W900" s="195" t="str">
        <f>IF(V900=Setup!$C$30,"Grant",IF(V900=Setup!$C$31,"Local",IF(V900=Setup!$C$32,"Other",IF(ISBLANK(V900),"","Other"))))</f>
        <v/>
      </c>
      <c r="X900" s="255"/>
      <c r="Y900" s="259" t="str">
        <f>IF(X900&lt;&gt;"",X900/VLOOKUP($V900,Setup!$C$30:$D$41,2,0),"")</f>
        <v/>
      </c>
      <c r="Z900" s="262"/>
      <c r="AA900" s="256" t="str">
        <f t="shared" si="397"/>
        <v/>
      </c>
      <c r="AB900" s="262"/>
      <c r="AC900" s="258" t="str">
        <f t="shared" si="398"/>
        <v/>
      </c>
      <c r="AD900" s="262"/>
      <c r="AE900" s="258" t="str">
        <f t="shared" si="399"/>
        <v/>
      </c>
      <c r="AF900" s="262"/>
      <c r="AG900" s="256" t="str">
        <f t="shared" si="400"/>
        <v/>
      </c>
      <c r="AH900" s="256" t="str">
        <f t="shared" si="401"/>
        <v/>
      </c>
      <c r="AI900" s="256" t="str">
        <f t="shared" si="402"/>
        <v/>
      </c>
      <c r="AJ900" s="111"/>
      <c r="AK900" s="255"/>
      <c r="AL900" s="259" t="str">
        <f>IF(AK900&lt;&gt;"",AK900/VLOOKUP($V900,Setup!$C$30:$D$41,2,0),"")</f>
        <v/>
      </c>
      <c r="AM900" s="266"/>
      <c r="AN900" s="258" t="str">
        <f t="shared" si="403"/>
        <v/>
      </c>
      <c r="AO900" s="266"/>
      <c r="AP900" s="258" t="str">
        <f t="shared" si="404"/>
        <v/>
      </c>
      <c r="AQ900" s="266"/>
      <c r="AR900" s="258" t="str">
        <f t="shared" si="405"/>
        <v/>
      </c>
      <c r="AS900" s="266"/>
      <c r="AT900" s="256" t="str">
        <f t="shared" si="406"/>
        <v/>
      </c>
      <c r="AU900" s="256" t="str">
        <f t="shared" si="407"/>
        <v/>
      </c>
      <c r="AV900" s="256" t="str">
        <f t="shared" si="408"/>
        <v/>
      </c>
      <c r="AW900" s="267"/>
      <c r="AX900" s="255"/>
      <c r="AY900" s="259" t="str">
        <f>IF(AX900&lt;&gt;"",AX900/VLOOKUP($V900,Setup!$C$30:$D$41,2,0),"")</f>
        <v/>
      </c>
      <c r="AZ900" s="268"/>
      <c r="BA900" s="258" t="str">
        <f t="shared" si="409"/>
        <v/>
      </c>
      <c r="BB900" s="268"/>
      <c r="BC900" s="258" t="str">
        <f t="shared" si="410"/>
        <v/>
      </c>
      <c r="BD900" s="268"/>
      <c r="BE900" s="258" t="str">
        <f t="shared" si="411"/>
        <v/>
      </c>
      <c r="BF900" s="268"/>
      <c r="BG900" s="256" t="str">
        <f t="shared" si="412"/>
        <v/>
      </c>
      <c r="BH900" s="256" t="str">
        <f t="shared" si="413"/>
        <v/>
      </c>
      <c r="BI900" s="256" t="str">
        <f t="shared" si="414"/>
        <v/>
      </c>
      <c r="BJ900" s="267"/>
      <c r="BK900" s="255"/>
      <c r="BL900" s="259" t="str">
        <f>IF(BK900&lt;&gt;"",BK900/VLOOKUP($V900,Setup!$C$30:$D$41,2,0),"")</f>
        <v/>
      </c>
      <c r="BM900" s="268"/>
      <c r="BN900" s="258" t="str">
        <f t="shared" si="415"/>
        <v/>
      </c>
      <c r="BO900" s="268"/>
      <c r="BP900" s="258" t="str">
        <f t="shared" si="416"/>
        <v/>
      </c>
      <c r="BQ900" s="268"/>
      <c r="BR900" s="258" t="str">
        <f t="shared" si="417"/>
        <v/>
      </c>
      <c r="BS900" s="268"/>
      <c r="BT900" s="256" t="str">
        <f t="shared" si="418"/>
        <v/>
      </c>
      <c r="BU900" s="256" t="str">
        <f t="shared" si="419"/>
        <v/>
      </c>
      <c r="BV900" s="256" t="str">
        <f t="shared" si="420"/>
        <v/>
      </c>
      <c r="BW900" s="267"/>
      <c r="BX900" s="256" t="str">
        <f t="shared" si="421"/>
        <v/>
      </c>
      <c r="BY900" s="256" t="str">
        <f t="shared" si="422"/>
        <v/>
      </c>
      <c r="BZ900" s="281"/>
      <c r="CA900" s="282"/>
      <c r="CF900" s="284"/>
      <c r="CG900" s="284"/>
      <c r="CH900" s="284"/>
      <c r="CI900" s="284"/>
      <c r="CL900" s="356" t="str">
        <f>IFERROR(VLOOKUP(C900,'Data Sheet'!$A$3:$B$26,2,FALSE),"")</f>
        <v/>
      </c>
    </row>
    <row r="901" spans="1:90" ht="15.75" x14ac:dyDescent="0.2">
      <c r="A901" s="97"/>
      <c r="B901" s="105" t="str">
        <f t="shared" si="425"/>
        <v>--</v>
      </c>
      <c r="C901" s="276"/>
      <c r="D901" s="101" t="str">
        <f>IFERROR(IF(VLOOKUP(C901,'Data Sheet'!$A$3:$D$26,4,FALSE)=0,"",VLOOKUP(C901,'Data Sheet'!$A$3:$D$26,4,FALSE)),"")</f>
        <v/>
      </c>
      <c r="E901" s="279"/>
      <c r="F901" s="103" t="str">
        <f>IFERROR(IF(VLOOKUP(E901,'Data Sheet'!$C$29:$E$174,3,FALSE)=0,"",VLOOKUP(E901,'Data Sheet'!$C$29:$E$174,3,FALSE)),"")</f>
        <v/>
      </c>
      <c r="G901" s="106" t="str">
        <f t="shared" si="423"/>
        <v>-</v>
      </c>
      <c r="H901" s="273"/>
      <c r="I901" s="107"/>
      <c r="J901" s="249" t="e">
        <f t="shared" si="424"/>
        <v>#VALUE!</v>
      </c>
      <c r="K901" s="101" t="str">
        <f>IFERROR(INDEX('Data Sheet'!$C$198:$C$275,MATCH(I901,'Data Sheet'!$F$198:$F$275,0)),"")</f>
        <v/>
      </c>
      <c r="L901" s="250" t="str">
        <f>IFERROR(INDEX('Data Sheet'!$G$198:$G$275,MATCH(I901,'Data Sheet'!$F$198:$F$275,0)),"")</f>
        <v/>
      </c>
      <c r="M901" s="194"/>
      <c r="N901" s="248"/>
      <c r="O901" s="248"/>
      <c r="P901" s="108" t="str">
        <f>IFERROR(INDEX(Setup!$D$44:$D$70,MATCH(M901,Setup!$K$44:$K$70,0))&amp;"","")</f>
        <v/>
      </c>
      <c r="Q901" s="108" t="str">
        <f>IFERROR(INDEX(Setup!$E$44:$E$70,MATCH(M901,Setup!$K$44:$K$70,0))&amp;"","")</f>
        <v/>
      </c>
      <c r="R901" s="108" t="str">
        <f>IFERROR(INDEX(Setup!$L$44:$L$70,MATCH(M901,Setup!$K$44:$K$70,0))&amp;"","")</f>
        <v/>
      </c>
      <c r="S901" s="108" t="str">
        <f>Setup!$C$30</f>
        <v>USD</v>
      </c>
      <c r="T901" s="109" t="str">
        <f>IFERROR(INDEX('Data Sheet'!$B$198:$B$275,MATCH(I901,'Data Sheet'!$F$198:$F$275,0)),"")</f>
        <v/>
      </c>
      <c r="U901" s="110" t="str">
        <f>IFERROR(INDEX('Data Sheet'!$D$198:$D$275,MATCH(I901,'Data Sheet'!$F$198:$F$275,0)),"")</f>
        <v/>
      </c>
      <c r="V901" s="99"/>
      <c r="W901" s="195" t="str">
        <f>IF(V901=Setup!$C$30,"Grant",IF(V901=Setup!$C$31,"Local",IF(V901=Setup!$C$32,"Other",IF(ISBLANK(V901),"","Other"))))</f>
        <v/>
      </c>
      <c r="X901" s="255"/>
      <c r="Y901" s="259" t="str">
        <f>IF(X901&lt;&gt;"",X901/VLOOKUP($V901,Setup!$C$30:$D$41,2,0),"")</f>
        <v/>
      </c>
      <c r="Z901" s="262"/>
      <c r="AA901" s="256" t="str">
        <f t="shared" ref="AA901:AA964" si="426">IFERROR(IF(AND(NOT(Z901=""),NOT(Y901="")),Z901*Y901,""),"")</f>
        <v/>
      </c>
      <c r="AB901" s="262"/>
      <c r="AC901" s="258" t="str">
        <f t="shared" ref="AC901:AC964" si="427">IFERROR(IF(AND(NOT(AB901=""),NOT(Y901="")),AB901*Y901,""),"")</f>
        <v/>
      </c>
      <c r="AD901" s="262"/>
      <c r="AE901" s="258" t="str">
        <f t="shared" ref="AE901:AE964" si="428">IFERROR(IF(AND(NOT(AD901=""),NOT(Y901="")),AD901*Y901,""),"")</f>
        <v/>
      </c>
      <c r="AF901" s="262"/>
      <c r="AG901" s="256" t="str">
        <f t="shared" ref="AG901:AG964" si="429">IFERROR(IF(AND(NOT(AF901=""),NOT(Y901="")),AF901*Y901,""),"")</f>
        <v/>
      </c>
      <c r="AH901" s="256" t="str">
        <f t="shared" ref="AH901:AH964" si="430">IFERROR(IF(OR(NOT(Z901=""),NOT(AF901=""),NOT(AB901=""),NOT(AD901="")),Z901+AF901+AB901+AD901,""),"")</f>
        <v/>
      </c>
      <c r="AI901" s="256" t="str">
        <f t="shared" ref="AI901:AI964" si="431">IF(SUM(AA901,AC901,AE901,AG901)&gt;0,SUM(AA901,AC901,AE901,AG901),"")</f>
        <v/>
      </c>
      <c r="AJ901" s="111"/>
      <c r="AK901" s="255"/>
      <c r="AL901" s="259" t="str">
        <f>IF(AK901&lt;&gt;"",AK901/VLOOKUP($V901,Setup!$C$30:$D$41,2,0),"")</f>
        <v/>
      </c>
      <c r="AM901" s="266"/>
      <c r="AN901" s="258" t="str">
        <f t="shared" ref="AN901:AN964" si="432">IFERROR(IF(AND(NOT(AM901=""),NOT(AL901="")),AM901*$AL901,""),"")</f>
        <v/>
      </c>
      <c r="AO901" s="266"/>
      <c r="AP901" s="258" t="str">
        <f t="shared" ref="AP901:AP964" si="433">IFERROR(IF(AND(NOT(AO901=""),NOT(AL901="")),AO901*$AL901,""),"")</f>
        <v/>
      </c>
      <c r="AQ901" s="266"/>
      <c r="AR901" s="258" t="str">
        <f t="shared" ref="AR901:AR964" si="434">IFERROR(IF(AND(NOT(AQ901=""),NOT(AL901="")),AQ901*$AL901,""),"")</f>
        <v/>
      </c>
      <c r="AS901" s="266"/>
      <c r="AT901" s="256" t="str">
        <f t="shared" ref="AT901:AT964" si="435">IFERROR(IF(AND(NOT(AS901=""),NOT(AL901="")),AS901*$AL901,""),"")</f>
        <v/>
      </c>
      <c r="AU901" s="256" t="str">
        <f t="shared" ref="AU901:AU964" si="436">IFERROR(IF(OR(NOT(AM901=""),NOT(AS901=""),NOT(AO901=""),NOT(AQ901="")),AM901+AS901+AO901+AQ901,""),"")</f>
        <v/>
      </c>
      <c r="AV901" s="256" t="str">
        <f t="shared" ref="AV901:AV964" si="437">IF(SUM(AN901,AT901,AP901,AR901)&gt;0,SUM(AN901,AT901,AP901,AR901),"")</f>
        <v/>
      </c>
      <c r="AW901" s="267"/>
      <c r="AX901" s="255"/>
      <c r="AY901" s="259" t="str">
        <f>IF(AX901&lt;&gt;"",AX901/VLOOKUP($V901,Setup!$C$30:$D$41,2,0),"")</f>
        <v/>
      </c>
      <c r="AZ901" s="268"/>
      <c r="BA901" s="258" t="str">
        <f t="shared" ref="BA901:BA964" si="438">IFERROR(IF(AND(NOT(AZ901=""),NOT(AY901="")),AZ901*$AY901,""),"")</f>
        <v/>
      </c>
      <c r="BB901" s="268"/>
      <c r="BC901" s="258" t="str">
        <f t="shared" ref="BC901:BC964" si="439">IFERROR(IF(AND(NOT(BB901=""),NOT(AY901="")),BB901*$AY901,""),"")</f>
        <v/>
      </c>
      <c r="BD901" s="268"/>
      <c r="BE901" s="258" t="str">
        <f t="shared" ref="BE901:BE964" si="440">IFERROR(IF(AND(NOT(BD901=""),NOT(AY901="")),BD901*$AY901,""),"")</f>
        <v/>
      </c>
      <c r="BF901" s="268"/>
      <c r="BG901" s="256" t="str">
        <f t="shared" ref="BG901:BG964" si="441">IFERROR(IF(AND(NOT(BF901=""),NOT(AY901="")),BF901*$AY901,""),"")</f>
        <v/>
      </c>
      <c r="BH901" s="256" t="str">
        <f t="shared" ref="BH901:BH964" si="442">IFERROR(IF(OR(NOT(AZ901=""),NOT(BF901=""),NOT(BB901=""),NOT(BD901="")),AZ901+BF901+BB901+BD901,""),"")</f>
        <v/>
      </c>
      <c r="BI901" s="256" t="str">
        <f t="shared" ref="BI901:BI964" si="443">IF(SUM(BA901,BG901,BC901,BE901)&gt;0,SUM(BA901,BG901,BC901,BE901),"")</f>
        <v/>
      </c>
      <c r="BJ901" s="267"/>
      <c r="BK901" s="255"/>
      <c r="BL901" s="259" t="str">
        <f>IF(BK901&lt;&gt;"",BK901/VLOOKUP($V901,Setup!$C$30:$D$41,2,0),"")</f>
        <v/>
      </c>
      <c r="BM901" s="268"/>
      <c r="BN901" s="258" t="str">
        <f t="shared" ref="BN901:BN964" si="444">IFERROR(IF(AND(NOT(BM901=""),NOT(BL901="")),BM901*$BL901,""),"")</f>
        <v/>
      </c>
      <c r="BO901" s="268"/>
      <c r="BP901" s="258" t="str">
        <f t="shared" ref="BP901:BP964" si="445">IFERROR(IF(AND(NOT(BO901=""),NOT(BL901="")),BO901*$BL901,""),"")</f>
        <v/>
      </c>
      <c r="BQ901" s="268"/>
      <c r="BR901" s="258" t="str">
        <f t="shared" ref="BR901:BR964" si="446">IFERROR(IF(AND(NOT(BQ901=""),NOT(BL901="")),BQ901*$BL901,""),"")</f>
        <v/>
      </c>
      <c r="BS901" s="268"/>
      <c r="BT901" s="256" t="str">
        <f t="shared" ref="BT901:BT964" si="447">IFERROR(IF(AND(NOT(BS901=""),NOT(BL901="")),BS901*$BL901,""),"")</f>
        <v/>
      </c>
      <c r="BU901" s="256" t="str">
        <f t="shared" ref="BU901:BU964" si="448">IFERROR(IF(OR(NOT(BM901=""),NOT(BS901=""),NOT(BO901=""),NOT(BQ901="")),BM901+BS901+BO901+BQ901,""),"")</f>
        <v/>
      </c>
      <c r="BV901" s="256" t="str">
        <f t="shared" ref="BV901:BV964" si="449">IF(SUM(BN901,BT901,BP901,BR901)&gt;0,SUM(BN901,BT901,BP901,BR901),"")</f>
        <v/>
      </c>
      <c r="BW901" s="267"/>
      <c r="BX901" s="256" t="str">
        <f t="shared" ref="BX901:BX964" si="450">IF(SUM(AH901,AU901,BH901,BU901)&gt;0,SUM(AH901,AU901,BH901,BU901),"")</f>
        <v/>
      </c>
      <c r="BY901" s="256" t="str">
        <f t="shared" ref="BY901:BY964" si="451">IF(SUM(AI901,AV901,BI901,BV901)&gt;0,SUM(AI901,AV901,BI901,BV901),"")</f>
        <v/>
      </c>
      <c r="BZ901" s="281"/>
      <c r="CA901" s="282"/>
      <c r="CF901" s="284"/>
      <c r="CG901" s="284"/>
      <c r="CH901" s="284"/>
      <c r="CI901" s="284"/>
      <c r="CL901" s="356" t="str">
        <f>IFERROR(VLOOKUP(C901,'Data Sheet'!$A$3:$B$26,2,FALSE),"")</f>
        <v/>
      </c>
    </row>
    <row r="902" spans="1:90" ht="15.75" x14ac:dyDescent="0.2">
      <c r="A902" s="97"/>
      <c r="B902" s="105" t="str">
        <f t="shared" si="425"/>
        <v>--</v>
      </c>
      <c r="C902" s="276"/>
      <c r="D902" s="101" t="str">
        <f>IFERROR(IF(VLOOKUP(C902,'Data Sheet'!$A$3:$D$26,4,FALSE)=0,"",VLOOKUP(C902,'Data Sheet'!$A$3:$D$26,4,FALSE)),"")</f>
        <v/>
      </c>
      <c r="E902" s="279"/>
      <c r="F902" s="103" t="str">
        <f>IFERROR(IF(VLOOKUP(E902,'Data Sheet'!$C$29:$E$174,3,FALSE)=0,"",VLOOKUP(E902,'Data Sheet'!$C$29:$E$174,3,FALSE)),"")</f>
        <v/>
      </c>
      <c r="G902" s="106" t="str">
        <f t="shared" ref="G902:G965" si="452">CONCATENATE(D902,"-",F902)</f>
        <v>-</v>
      </c>
      <c r="H902" s="273"/>
      <c r="I902" s="107"/>
      <c r="J902" s="249" t="e">
        <f t="shared" ref="J902:J965" si="453">LEFT(I902,SEARCH(".",I902,1)+1)</f>
        <v>#VALUE!</v>
      </c>
      <c r="K902" s="101" t="str">
        <f>IFERROR(INDEX('Data Sheet'!$C$198:$C$275,MATCH(I902,'Data Sheet'!$F$198:$F$275,0)),"")</f>
        <v/>
      </c>
      <c r="L902" s="250" t="str">
        <f>IFERROR(INDEX('Data Sheet'!$G$198:$G$275,MATCH(I902,'Data Sheet'!$F$198:$F$275,0)),"")</f>
        <v/>
      </c>
      <c r="M902" s="194"/>
      <c r="N902" s="248"/>
      <c r="O902" s="248"/>
      <c r="P902" s="108" t="str">
        <f>IFERROR(INDEX(Setup!$D$44:$D$70,MATCH(M902,Setup!$K$44:$K$70,0))&amp;"","")</f>
        <v/>
      </c>
      <c r="Q902" s="108" t="str">
        <f>IFERROR(INDEX(Setup!$E$44:$E$70,MATCH(M902,Setup!$K$44:$K$70,0))&amp;"","")</f>
        <v/>
      </c>
      <c r="R902" s="108" t="str">
        <f>IFERROR(INDEX(Setup!$L$44:$L$70,MATCH(M902,Setup!$K$44:$K$70,0))&amp;"","")</f>
        <v/>
      </c>
      <c r="S902" s="108" t="str">
        <f>Setup!$C$30</f>
        <v>USD</v>
      </c>
      <c r="T902" s="109" t="str">
        <f>IFERROR(INDEX('Data Sheet'!$B$198:$B$275,MATCH(I902,'Data Sheet'!$F$198:$F$275,0)),"")</f>
        <v/>
      </c>
      <c r="U902" s="110" t="str">
        <f>IFERROR(INDEX('Data Sheet'!$D$198:$D$275,MATCH(I902,'Data Sheet'!$F$198:$F$275,0)),"")</f>
        <v/>
      </c>
      <c r="V902" s="99"/>
      <c r="W902" s="195" t="str">
        <f>IF(V902=Setup!$C$30,"Grant",IF(V902=Setup!$C$31,"Local",IF(V902=Setup!$C$32,"Other",IF(ISBLANK(V902),"","Other"))))</f>
        <v/>
      </c>
      <c r="X902" s="255"/>
      <c r="Y902" s="259" t="str">
        <f>IF(X902&lt;&gt;"",X902/VLOOKUP($V902,Setup!$C$30:$D$41,2,0),"")</f>
        <v/>
      </c>
      <c r="Z902" s="262"/>
      <c r="AA902" s="256" t="str">
        <f t="shared" si="426"/>
        <v/>
      </c>
      <c r="AB902" s="262"/>
      <c r="AC902" s="258" t="str">
        <f t="shared" si="427"/>
        <v/>
      </c>
      <c r="AD902" s="262"/>
      <c r="AE902" s="258" t="str">
        <f t="shared" si="428"/>
        <v/>
      </c>
      <c r="AF902" s="262"/>
      <c r="AG902" s="256" t="str">
        <f t="shared" si="429"/>
        <v/>
      </c>
      <c r="AH902" s="256" t="str">
        <f t="shared" si="430"/>
        <v/>
      </c>
      <c r="AI902" s="256" t="str">
        <f t="shared" si="431"/>
        <v/>
      </c>
      <c r="AJ902" s="111"/>
      <c r="AK902" s="255"/>
      <c r="AL902" s="259" t="str">
        <f>IF(AK902&lt;&gt;"",AK902/VLOOKUP($V902,Setup!$C$30:$D$41,2,0),"")</f>
        <v/>
      </c>
      <c r="AM902" s="266"/>
      <c r="AN902" s="258" t="str">
        <f t="shared" si="432"/>
        <v/>
      </c>
      <c r="AO902" s="266"/>
      <c r="AP902" s="258" t="str">
        <f t="shared" si="433"/>
        <v/>
      </c>
      <c r="AQ902" s="266"/>
      <c r="AR902" s="258" t="str">
        <f t="shared" si="434"/>
        <v/>
      </c>
      <c r="AS902" s="266"/>
      <c r="AT902" s="256" t="str">
        <f t="shared" si="435"/>
        <v/>
      </c>
      <c r="AU902" s="256" t="str">
        <f t="shared" si="436"/>
        <v/>
      </c>
      <c r="AV902" s="256" t="str">
        <f t="shared" si="437"/>
        <v/>
      </c>
      <c r="AW902" s="267"/>
      <c r="AX902" s="255"/>
      <c r="AY902" s="259" t="str">
        <f>IF(AX902&lt;&gt;"",AX902/VLOOKUP($V902,Setup!$C$30:$D$41,2,0),"")</f>
        <v/>
      </c>
      <c r="AZ902" s="268"/>
      <c r="BA902" s="258" t="str">
        <f t="shared" si="438"/>
        <v/>
      </c>
      <c r="BB902" s="268"/>
      <c r="BC902" s="258" t="str">
        <f t="shared" si="439"/>
        <v/>
      </c>
      <c r="BD902" s="268"/>
      <c r="BE902" s="258" t="str">
        <f t="shared" si="440"/>
        <v/>
      </c>
      <c r="BF902" s="268"/>
      <c r="BG902" s="256" t="str">
        <f t="shared" si="441"/>
        <v/>
      </c>
      <c r="BH902" s="256" t="str">
        <f t="shared" si="442"/>
        <v/>
      </c>
      <c r="BI902" s="256" t="str">
        <f t="shared" si="443"/>
        <v/>
      </c>
      <c r="BJ902" s="267"/>
      <c r="BK902" s="255"/>
      <c r="BL902" s="259" t="str">
        <f>IF(BK902&lt;&gt;"",BK902/VLOOKUP($V902,Setup!$C$30:$D$41,2,0),"")</f>
        <v/>
      </c>
      <c r="BM902" s="268"/>
      <c r="BN902" s="258" t="str">
        <f t="shared" si="444"/>
        <v/>
      </c>
      <c r="BO902" s="268"/>
      <c r="BP902" s="258" t="str">
        <f t="shared" si="445"/>
        <v/>
      </c>
      <c r="BQ902" s="268"/>
      <c r="BR902" s="258" t="str">
        <f t="shared" si="446"/>
        <v/>
      </c>
      <c r="BS902" s="268"/>
      <c r="BT902" s="256" t="str">
        <f t="shared" si="447"/>
        <v/>
      </c>
      <c r="BU902" s="256" t="str">
        <f t="shared" si="448"/>
        <v/>
      </c>
      <c r="BV902" s="256" t="str">
        <f t="shared" si="449"/>
        <v/>
      </c>
      <c r="BW902" s="267"/>
      <c r="BX902" s="256" t="str">
        <f t="shared" si="450"/>
        <v/>
      </c>
      <c r="BY902" s="256" t="str">
        <f t="shared" si="451"/>
        <v/>
      </c>
      <c r="BZ902" s="281"/>
      <c r="CA902" s="282"/>
      <c r="CF902" s="284"/>
      <c r="CG902" s="284"/>
      <c r="CH902" s="284"/>
      <c r="CI902" s="284"/>
      <c r="CL902" s="356" t="str">
        <f>IFERROR(VLOOKUP(C902,'Data Sheet'!$A$3:$B$26,2,FALSE),"")</f>
        <v/>
      </c>
    </row>
    <row r="903" spans="1:90" ht="15.75" x14ac:dyDescent="0.2">
      <c r="A903" s="97"/>
      <c r="B903" s="105" t="str">
        <f t="shared" si="425"/>
        <v>--</v>
      </c>
      <c r="C903" s="276"/>
      <c r="D903" s="101" t="str">
        <f>IFERROR(IF(VLOOKUP(C903,'Data Sheet'!$A$3:$D$26,4,FALSE)=0,"",VLOOKUP(C903,'Data Sheet'!$A$3:$D$26,4,FALSE)),"")</f>
        <v/>
      </c>
      <c r="E903" s="279"/>
      <c r="F903" s="103" t="str">
        <f>IFERROR(IF(VLOOKUP(E903,'Data Sheet'!$C$29:$E$174,3,FALSE)=0,"",VLOOKUP(E903,'Data Sheet'!$C$29:$E$174,3,FALSE)),"")</f>
        <v/>
      </c>
      <c r="G903" s="106" t="str">
        <f t="shared" si="452"/>
        <v>-</v>
      </c>
      <c r="H903" s="273"/>
      <c r="I903" s="107"/>
      <c r="J903" s="249" t="e">
        <f t="shared" si="453"/>
        <v>#VALUE!</v>
      </c>
      <c r="K903" s="101" t="str">
        <f>IFERROR(INDEX('Data Sheet'!$C$198:$C$275,MATCH(I903,'Data Sheet'!$F$198:$F$275,0)),"")</f>
        <v/>
      </c>
      <c r="L903" s="250" t="str">
        <f>IFERROR(INDEX('Data Sheet'!$G$198:$G$275,MATCH(I903,'Data Sheet'!$F$198:$F$275,0)),"")</f>
        <v/>
      </c>
      <c r="M903" s="194"/>
      <c r="N903" s="248"/>
      <c r="O903" s="248"/>
      <c r="P903" s="108" t="str">
        <f>IFERROR(INDEX(Setup!$D$44:$D$70,MATCH(M903,Setup!$K$44:$K$70,0))&amp;"","")</f>
        <v/>
      </c>
      <c r="Q903" s="108" t="str">
        <f>IFERROR(INDEX(Setup!$E$44:$E$70,MATCH(M903,Setup!$K$44:$K$70,0))&amp;"","")</f>
        <v/>
      </c>
      <c r="R903" s="108" t="str">
        <f>IFERROR(INDEX(Setup!$L$44:$L$70,MATCH(M903,Setup!$K$44:$K$70,0))&amp;"","")</f>
        <v/>
      </c>
      <c r="S903" s="108" t="str">
        <f>Setup!$C$30</f>
        <v>USD</v>
      </c>
      <c r="T903" s="109" t="str">
        <f>IFERROR(INDEX('Data Sheet'!$B$198:$B$275,MATCH(I903,'Data Sheet'!$F$198:$F$275,0)),"")</f>
        <v/>
      </c>
      <c r="U903" s="110" t="str">
        <f>IFERROR(INDEX('Data Sheet'!$D$198:$D$275,MATCH(I903,'Data Sheet'!$F$198:$F$275,0)),"")</f>
        <v/>
      </c>
      <c r="V903" s="99"/>
      <c r="W903" s="195" t="str">
        <f>IF(V903=Setup!$C$30,"Grant",IF(V903=Setup!$C$31,"Local",IF(V903=Setup!$C$32,"Other",IF(ISBLANK(V903),"","Other"))))</f>
        <v/>
      </c>
      <c r="X903" s="255"/>
      <c r="Y903" s="259" t="str">
        <f>IF(X903&lt;&gt;"",X903/VLOOKUP($V903,Setup!$C$30:$D$41,2,0),"")</f>
        <v/>
      </c>
      <c r="Z903" s="262"/>
      <c r="AA903" s="256" t="str">
        <f t="shared" si="426"/>
        <v/>
      </c>
      <c r="AB903" s="262"/>
      <c r="AC903" s="258" t="str">
        <f t="shared" si="427"/>
        <v/>
      </c>
      <c r="AD903" s="262"/>
      <c r="AE903" s="258" t="str">
        <f t="shared" si="428"/>
        <v/>
      </c>
      <c r="AF903" s="262"/>
      <c r="AG903" s="256" t="str">
        <f t="shared" si="429"/>
        <v/>
      </c>
      <c r="AH903" s="256" t="str">
        <f t="shared" si="430"/>
        <v/>
      </c>
      <c r="AI903" s="256" t="str">
        <f t="shared" si="431"/>
        <v/>
      </c>
      <c r="AJ903" s="111"/>
      <c r="AK903" s="255"/>
      <c r="AL903" s="259" t="str">
        <f>IF(AK903&lt;&gt;"",AK903/VLOOKUP($V903,Setup!$C$30:$D$41,2,0),"")</f>
        <v/>
      </c>
      <c r="AM903" s="266"/>
      <c r="AN903" s="258" t="str">
        <f t="shared" si="432"/>
        <v/>
      </c>
      <c r="AO903" s="266"/>
      <c r="AP903" s="258" t="str">
        <f t="shared" si="433"/>
        <v/>
      </c>
      <c r="AQ903" s="266"/>
      <c r="AR903" s="258" t="str">
        <f t="shared" si="434"/>
        <v/>
      </c>
      <c r="AS903" s="266"/>
      <c r="AT903" s="256" t="str">
        <f t="shared" si="435"/>
        <v/>
      </c>
      <c r="AU903" s="256" t="str">
        <f t="shared" si="436"/>
        <v/>
      </c>
      <c r="AV903" s="256" t="str">
        <f t="shared" si="437"/>
        <v/>
      </c>
      <c r="AW903" s="267"/>
      <c r="AX903" s="255"/>
      <c r="AY903" s="259" t="str">
        <f>IF(AX903&lt;&gt;"",AX903/VLOOKUP($V903,Setup!$C$30:$D$41,2,0),"")</f>
        <v/>
      </c>
      <c r="AZ903" s="268"/>
      <c r="BA903" s="258" t="str">
        <f t="shared" si="438"/>
        <v/>
      </c>
      <c r="BB903" s="268"/>
      <c r="BC903" s="258" t="str">
        <f t="shared" si="439"/>
        <v/>
      </c>
      <c r="BD903" s="268"/>
      <c r="BE903" s="258" t="str">
        <f t="shared" si="440"/>
        <v/>
      </c>
      <c r="BF903" s="268"/>
      <c r="BG903" s="256" t="str">
        <f t="shared" si="441"/>
        <v/>
      </c>
      <c r="BH903" s="256" t="str">
        <f t="shared" si="442"/>
        <v/>
      </c>
      <c r="BI903" s="256" t="str">
        <f t="shared" si="443"/>
        <v/>
      </c>
      <c r="BJ903" s="267"/>
      <c r="BK903" s="255"/>
      <c r="BL903" s="259" t="str">
        <f>IF(BK903&lt;&gt;"",BK903/VLOOKUP($V903,Setup!$C$30:$D$41,2,0),"")</f>
        <v/>
      </c>
      <c r="BM903" s="268"/>
      <c r="BN903" s="258" t="str">
        <f t="shared" si="444"/>
        <v/>
      </c>
      <c r="BO903" s="268"/>
      <c r="BP903" s="258" t="str">
        <f t="shared" si="445"/>
        <v/>
      </c>
      <c r="BQ903" s="268"/>
      <c r="BR903" s="258" t="str">
        <f t="shared" si="446"/>
        <v/>
      </c>
      <c r="BS903" s="268"/>
      <c r="BT903" s="256" t="str">
        <f t="shared" si="447"/>
        <v/>
      </c>
      <c r="BU903" s="256" t="str">
        <f t="shared" si="448"/>
        <v/>
      </c>
      <c r="BV903" s="256" t="str">
        <f t="shared" si="449"/>
        <v/>
      </c>
      <c r="BW903" s="267"/>
      <c r="BX903" s="256" t="str">
        <f t="shared" si="450"/>
        <v/>
      </c>
      <c r="BY903" s="256" t="str">
        <f t="shared" si="451"/>
        <v/>
      </c>
      <c r="BZ903" s="281"/>
      <c r="CA903" s="282"/>
      <c r="CF903" s="284"/>
      <c r="CG903" s="284"/>
      <c r="CH903" s="284"/>
      <c r="CI903" s="284"/>
      <c r="CL903" s="356" t="str">
        <f>IFERROR(VLOOKUP(C903,'Data Sheet'!$A$3:$B$26,2,FALSE),"")</f>
        <v/>
      </c>
    </row>
    <row r="904" spans="1:90" ht="15.75" x14ac:dyDescent="0.2">
      <c r="A904" s="97"/>
      <c r="B904" s="105" t="str">
        <f t="shared" si="425"/>
        <v>--</v>
      </c>
      <c r="C904" s="276"/>
      <c r="D904" s="101" t="str">
        <f>IFERROR(IF(VLOOKUP(C904,'Data Sheet'!$A$3:$D$26,4,FALSE)=0,"",VLOOKUP(C904,'Data Sheet'!$A$3:$D$26,4,FALSE)),"")</f>
        <v/>
      </c>
      <c r="E904" s="279"/>
      <c r="F904" s="103" t="str">
        <f>IFERROR(IF(VLOOKUP(E904,'Data Sheet'!$C$29:$E$174,3,FALSE)=0,"",VLOOKUP(E904,'Data Sheet'!$C$29:$E$174,3,FALSE)),"")</f>
        <v/>
      </c>
      <c r="G904" s="106" t="str">
        <f t="shared" si="452"/>
        <v>-</v>
      </c>
      <c r="H904" s="273"/>
      <c r="I904" s="107"/>
      <c r="J904" s="249" t="e">
        <f t="shared" si="453"/>
        <v>#VALUE!</v>
      </c>
      <c r="K904" s="101" t="str">
        <f>IFERROR(INDEX('Data Sheet'!$C$198:$C$275,MATCH(I904,'Data Sheet'!$F$198:$F$275,0)),"")</f>
        <v/>
      </c>
      <c r="L904" s="250" t="str">
        <f>IFERROR(INDEX('Data Sheet'!$G$198:$G$275,MATCH(I904,'Data Sheet'!$F$198:$F$275,0)),"")</f>
        <v/>
      </c>
      <c r="M904" s="194"/>
      <c r="N904" s="248"/>
      <c r="O904" s="248"/>
      <c r="P904" s="108" t="str">
        <f>IFERROR(INDEX(Setup!$D$44:$D$70,MATCH(M904,Setup!$K$44:$K$70,0))&amp;"","")</f>
        <v/>
      </c>
      <c r="Q904" s="108" t="str">
        <f>IFERROR(INDEX(Setup!$E$44:$E$70,MATCH(M904,Setup!$K$44:$K$70,0))&amp;"","")</f>
        <v/>
      </c>
      <c r="R904" s="108" t="str">
        <f>IFERROR(INDEX(Setup!$L$44:$L$70,MATCH(M904,Setup!$K$44:$K$70,0))&amp;"","")</f>
        <v/>
      </c>
      <c r="S904" s="108" t="str">
        <f>Setup!$C$30</f>
        <v>USD</v>
      </c>
      <c r="T904" s="109" t="str">
        <f>IFERROR(INDEX('Data Sheet'!$B$198:$B$275,MATCH(I904,'Data Sheet'!$F$198:$F$275,0)),"")</f>
        <v/>
      </c>
      <c r="U904" s="110" t="str">
        <f>IFERROR(INDEX('Data Sheet'!$D$198:$D$275,MATCH(I904,'Data Sheet'!$F$198:$F$275,0)),"")</f>
        <v/>
      </c>
      <c r="V904" s="99"/>
      <c r="W904" s="195" t="str">
        <f>IF(V904=Setup!$C$30,"Grant",IF(V904=Setup!$C$31,"Local",IF(V904=Setup!$C$32,"Other",IF(ISBLANK(V904),"","Other"))))</f>
        <v/>
      </c>
      <c r="X904" s="255"/>
      <c r="Y904" s="259" t="str">
        <f>IF(X904&lt;&gt;"",X904/VLOOKUP($V904,Setup!$C$30:$D$41,2,0),"")</f>
        <v/>
      </c>
      <c r="Z904" s="262"/>
      <c r="AA904" s="256" t="str">
        <f t="shared" si="426"/>
        <v/>
      </c>
      <c r="AB904" s="262"/>
      <c r="AC904" s="258" t="str">
        <f t="shared" si="427"/>
        <v/>
      </c>
      <c r="AD904" s="262"/>
      <c r="AE904" s="258" t="str">
        <f t="shared" si="428"/>
        <v/>
      </c>
      <c r="AF904" s="262"/>
      <c r="AG904" s="256" t="str">
        <f t="shared" si="429"/>
        <v/>
      </c>
      <c r="AH904" s="256" t="str">
        <f t="shared" si="430"/>
        <v/>
      </c>
      <c r="AI904" s="256" t="str">
        <f t="shared" si="431"/>
        <v/>
      </c>
      <c r="AJ904" s="111"/>
      <c r="AK904" s="255"/>
      <c r="AL904" s="259" t="str">
        <f>IF(AK904&lt;&gt;"",AK904/VLOOKUP($V904,Setup!$C$30:$D$41,2,0),"")</f>
        <v/>
      </c>
      <c r="AM904" s="266"/>
      <c r="AN904" s="258" t="str">
        <f t="shared" si="432"/>
        <v/>
      </c>
      <c r="AO904" s="266"/>
      <c r="AP904" s="258" t="str">
        <f t="shared" si="433"/>
        <v/>
      </c>
      <c r="AQ904" s="266"/>
      <c r="AR904" s="258" t="str">
        <f t="shared" si="434"/>
        <v/>
      </c>
      <c r="AS904" s="266"/>
      <c r="AT904" s="256" t="str">
        <f t="shared" si="435"/>
        <v/>
      </c>
      <c r="AU904" s="256" t="str">
        <f t="shared" si="436"/>
        <v/>
      </c>
      <c r="AV904" s="256" t="str">
        <f t="shared" si="437"/>
        <v/>
      </c>
      <c r="AW904" s="267"/>
      <c r="AX904" s="255"/>
      <c r="AY904" s="259" t="str">
        <f>IF(AX904&lt;&gt;"",AX904/VLOOKUP($V904,Setup!$C$30:$D$41,2,0),"")</f>
        <v/>
      </c>
      <c r="AZ904" s="268"/>
      <c r="BA904" s="258" t="str">
        <f t="shared" si="438"/>
        <v/>
      </c>
      <c r="BB904" s="268"/>
      <c r="BC904" s="258" t="str">
        <f t="shared" si="439"/>
        <v/>
      </c>
      <c r="BD904" s="268"/>
      <c r="BE904" s="258" t="str">
        <f t="shared" si="440"/>
        <v/>
      </c>
      <c r="BF904" s="268"/>
      <c r="BG904" s="256" t="str">
        <f t="shared" si="441"/>
        <v/>
      </c>
      <c r="BH904" s="256" t="str">
        <f t="shared" si="442"/>
        <v/>
      </c>
      <c r="BI904" s="256" t="str">
        <f t="shared" si="443"/>
        <v/>
      </c>
      <c r="BJ904" s="267"/>
      <c r="BK904" s="255"/>
      <c r="BL904" s="259" t="str">
        <f>IF(BK904&lt;&gt;"",BK904/VLOOKUP($V904,Setup!$C$30:$D$41,2,0),"")</f>
        <v/>
      </c>
      <c r="BM904" s="268"/>
      <c r="BN904" s="258" t="str">
        <f t="shared" si="444"/>
        <v/>
      </c>
      <c r="BO904" s="268"/>
      <c r="BP904" s="258" t="str">
        <f t="shared" si="445"/>
        <v/>
      </c>
      <c r="BQ904" s="268"/>
      <c r="BR904" s="258" t="str">
        <f t="shared" si="446"/>
        <v/>
      </c>
      <c r="BS904" s="268"/>
      <c r="BT904" s="256" t="str">
        <f t="shared" si="447"/>
        <v/>
      </c>
      <c r="BU904" s="256" t="str">
        <f t="shared" si="448"/>
        <v/>
      </c>
      <c r="BV904" s="256" t="str">
        <f t="shared" si="449"/>
        <v/>
      </c>
      <c r="BW904" s="267"/>
      <c r="BX904" s="256" t="str">
        <f t="shared" si="450"/>
        <v/>
      </c>
      <c r="BY904" s="256" t="str">
        <f t="shared" si="451"/>
        <v/>
      </c>
      <c r="BZ904" s="281"/>
      <c r="CA904" s="282"/>
      <c r="CF904" s="284"/>
      <c r="CG904" s="284"/>
      <c r="CH904" s="284"/>
      <c r="CI904" s="284"/>
      <c r="CL904" s="356" t="str">
        <f>IFERROR(VLOOKUP(C904,'Data Sheet'!$A$3:$B$26,2,FALSE),"")</f>
        <v/>
      </c>
    </row>
    <row r="905" spans="1:90" ht="15.75" x14ac:dyDescent="0.2">
      <c r="A905" s="97"/>
      <c r="B905" s="105" t="str">
        <f t="shared" si="425"/>
        <v>--</v>
      </c>
      <c r="C905" s="276"/>
      <c r="D905" s="101" t="str">
        <f>IFERROR(IF(VLOOKUP(C905,'Data Sheet'!$A$3:$D$26,4,FALSE)=0,"",VLOOKUP(C905,'Data Sheet'!$A$3:$D$26,4,FALSE)),"")</f>
        <v/>
      </c>
      <c r="E905" s="279"/>
      <c r="F905" s="103" t="str">
        <f>IFERROR(IF(VLOOKUP(E905,'Data Sheet'!$C$29:$E$174,3,FALSE)=0,"",VLOOKUP(E905,'Data Sheet'!$C$29:$E$174,3,FALSE)),"")</f>
        <v/>
      </c>
      <c r="G905" s="106" t="str">
        <f t="shared" si="452"/>
        <v>-</v>
      </c>
      <c r="H905" s="273"/>
      <c r="I905" s="107"/>
      <c r="J905" s="249" t="e">
        <f t="shared" si="453"/>
        <v>#VALUE!</v>
      </c>
      <c r="K905" s="101" t="str">
        <f>IFERROR(INDEX('Data Sheet'!$C$198:$C$275,MATCH(I905,'Data Sheet'!$F$198:$F$275,0)),"")</f>
        <v/>
      </c>
      <c r="L905" s="250" t="str">
        <f>IFERROR(INDEX('Data Sheet'!$G$198:$G$275,MATCH(I905,'Data Sheet'!$F$198:$F$275,0)),"")</f>
        <v/>
      </c>
      <c r="M905" s="194"/>
      <c r="N905" s="248"/>
      <c r="O905" s="248"/>
      <c r="P905" s="108" t="str">
        <f>IFERROR(INDEX(Setup!$D$44:$D$70,MATCH(M905,Setup!$K$44:$K$70,0))&amp;"","")</f>
        <v/>
      </c>
      <c r="Q905" s="108" t="str">
        <f>IFERROR(INDEX(Setup!$E$44:$E$70,MATCH(M905,Setup!$K$44:$K$70,0))&amp;"","")</f>
        <v/>
      </c>
      <c r="R905" s="108" t="str">
        <f>IFERROR(INDEX(Setup!$L$44:$L$70,MATCH(M905,Setup!$K$44:$K$70,0))&amp;"","")</f>
        <v/>
      </c>
      <c r="S905" s="108" t="str">
        <f>Setup!$C$30</f>
        <v>USD</v>
      </c>
      <c r="T905" s="109" t="str">
        <f>IFERROR(INDEX('Data Sheet'!$B$198:$B$275,MATCH(I905,'Data Sheet'!$F$198:$F$275,0)),"")</f>
        <v/>
      </c>
      <c r="U905" s="110" t="str">
        <f>IFERROR(INDEX('Data Sheet'!$D$198:$D$275,MATCH(I905,'Data Sheet'!$F$198:$F$275,0)),"")</f>
        <v/>
      </c>
      <c r="V905" s="99"/>
      <c r="W905" s="195" t="str">
        <f>IF(V905=Setup!$C$30,"Grant",IF(V905=Setup!$C$31,"Local",IF(V905=Setup!$C$32,"Other",IF(ISBLANK(V905),"","Other"))))</f>
        <v/>
      </c>
      <c r="X905" s="255"/>
      <c r="Y905" s="259" t="str">
        <f>IF(X905&lt;&gt;"",X905/VLOOKUP($V905,Setup!$C$30:$D$41,2,0),"")</f>
        <v/>
      </c>
      <c r="Z905" s="262"/>
      <c r="AA905" s="256" t="str">
        <f t="shared" si="426"/>
        <v/>
      </c>
      <c r="AB905" s="262"/>
      <c r="AC905" s="258" t="str">
        <f t="shared" si="427"/>
        <v/>
      </c>
      <c r="AD905" s="262"/>
      <c r="AE905" s="258" t="str">
        <f t="shared" si="428"/>
        <v/>
      </c>
      <c r="AF905" s="262"/>
      <c r="AG905" s="256" t="str">
        <f t="shared" si="429"/>
        <v/>
      </c>
      <c r="AH905" s="256" t="str">
        <f t="shared" si="430"/>
        <v/>
      </c>
      <c r="AI905" s="256" t="str">
        <f t="shared" si="431"/>
        <v/>
      </c>
      <c r="AJ905" s="111"/>
      <c r="AK905" s="255"/>
      <c r="AL905" s="259" t="str">
        <f>IF(AK905&lt;&gt;"",AK905/VLOOKUP($V905,Setup!$C$30:$D$41,2,0),"")</f>
        <v/>
      </c>
      <c r="AM905" s="266"/>
      <c r="AN905" s="258" t="str">
        <f t="shared" si="432"/>
        <v/>
      </c>
      <c r="AO905" s="266"/>
      <c r="AP905" s="258" t="str">
        <f t="shared" si="433"/>
        <v/>
      </c>
      <c r="AQ905" s="266"/>
      <c r="AR905" s="258" t="str">
        <f t="shared" si="434"/>
        <v/>
      </c>
      <c r="AS905" s="266"/>
      <c r="AT905" s="256" t="str">
        <f t="shared" si="435"/>
        <v/>
      </c>
      <c r="AU905" s="256" t="str">
        <f t="shared" si="436"/>
        <v/>
      </c>
      <c r="AV905" s="256" t="str">
        <f t="shared" si="437"/>
        <v/>
      </c>
      <c r="AW905" s="267"/>
      <c r="AX905" s="255"/>
      <c r="AY905" s="259" t="str">
        <f>IF(AX905&lt;&gt;"",AX905/VLOOKUP($V905,Setup!$C$30:$D$41,2,0),"")</f>
        <v/>
      </c>
      <c r="AZ905" s="268"/>
      <c r="BA905" s="258" t="str">
        <f t="shared" si="438"/>
        <v/>
      </c>
      <c r="BB905" s="268"/>
      <c r="BC905" s="258" t="str">
        <f t="shared" si="439"/>
        <v/>
      </c>
      <c r="BD905" s="268"/>
      <c r="BE905" s="258" t="str">
        <f t="shared" si="440"/>
        <v/>
      </c>
      <c r="BF905" s="268"/>
      <c r="BG905" s="256" t="str">
        <f t="shared" si="441"/>
        <v/>
      </c>
      <c r="BH905" s="256" t="str">
        <f t="shared" si="442"/>
        <v/>
      </c>
      <c r="BI905" s="256" t="str">
        <f t="shared" si="443"/>
        <v/>
      </c>
      <c r="BJ905" s="267"/>
      <c r="BK905" s="255"/>
      <c r="BL905" s="259" t="str">
        <f>IF(BK905&lt;&gt;"",BK905/VLOOKUP($V905,Setup!$C$30:$D$41,2,0),"")</f>
        <v/>
      </c>
      <c r="BM905" s="268"/>
      <c r="BN905" s="258" t="str">
        <f t="shared" si="444"/>
        <v/>
      </c>
      <c r="BO905" s="268"/>
      <c r="BP905" s="258" t="str">
        <f t="shared" si="445"/>
        <v/>
      </c>
      <c r="BQ905" s="268"/>
      <c r="BR905" s="258" t="str">
        <f t="shared" si="446"/>
        <v/>
      </c>
      <c r="BS905" s="268"/>
      <c r="BT905" s="256" t="str">
        <f t="shared" si="447"/>
        <v/>
      </c>
      <c r="BU905" s="256" t="str">
        <f t="shared" si="448"/>
        <v/>
      </c>
      <c r="BV905" s="256" t="str">
        <f t="shared" si="449"/>
        <v/>
      </c>
      <c r="BW905" s="267"/>
      <c r="BX905" s="256" t="str">
        <f t="shared" si="450"/>
        <v/>
      </c>
      <c r="BY905" s="256" t="str">
        <f t="shared" si="451"/>
        <v/>
      </c>
      <c r="BZ905" s="281"/>
      <c r="CA905" s="282"/>
      <c r="CF905" s="284"/>
      <c r="CG905" s="284"/>
      <c r="CH905" s="284"/>
      <c r="CI905" s="284"/>
      <c r="CL905" s="356" t="str">
        <f>IFERROR(VLOOKUP(C905,'Data Sheet'!$A$3:$B$26,2,FALSE),"")</f>
        <v/>
      </c>
    </row>
    <row r="906" spans="1:90" ht="15.75" x14ac:dyDescent="0.2">
      <c r="A906" s="97"/>
      <c r="B906" s="105" t="str">
        <f t="shared" si="425"/>
        <v>--</v>
      </c>
      <c r="C906" s="276"/>
      <c r="D906" s="101" t="str">
        <f>IFERROR(IF(VLOOKUP(C906,'Data Sheet'!$A$3:$D$26,4,FALSE)=0,"",VLOOKUP(C906,'Data Sheet'!$A$3:$D$26,4,FALSE)),"")</f>
        <v/>
      </c>
      <c r="E906" s="279"/>
      <c r="F906" s="103" t="str">
        <f>IFERROR(IF(VLOOKUP(E906,'Data Sheet'!$C$29:$E$174,3,FALSE)=0,"",VLOOKUP(E906,'Data Sheet'!$C$29:$E$174,3,FALSE)),"")</f>
        <v/>
      </c>
      <c r="G906" s="106" t="str">
        <f t="shared" si="452"/>
        <v>-</v>
      </c>
      <c r="H906" s="273"/>
      <c r="I906" s="107"/>
      <c r="J906" s="249" t="e">
        <f t="shared" si="453"/>
        <v>#VALUE!</v>
      </c>
      <c r="K906" s="101" t="str">
        <f>IFERROR(INDEX('Data Sheet'!$C$198:$C$275,MATCH(I906,'Data Sheet'!$F$198:$F$275,0)),"")</f>
        <v/>
      </c>
      <c r="L906" s="250" t="str">
        <f>IFERROR(INDEX('Data Sheet'!$G$198:$G$275,MATCH(I906,'Data Sheet'!$F$198:$F$275,0)),"")</f>
        <v/>
      </c>
      <c r="M906" s="194"/>
      <c r="N906" s="248"/>
      <c r="O906" s="248"/>
      <c r="P906" s="108" t="str">
        <f>IFERROR(INDEX(Setup!$D$44:$D$70,MATCH(M906,Setup!$K$44:$K$70,0))&amp;"","")</f>
        <v/>
      </c>
      <c r="Q906" s="108" t="str">
        <f>IFERROR(INDEX(Setup!$E$44:$E$70,MATCH(M906,Setup!$K$44:$K$70,0))&amp;"","")</f>
        <v/>
      </c>
      <c r="R906" s="108" t="str">
        <f>IFERROR(INDEX(Setup!$L$44:$L$70,MATCH(M906,Setup!$K$44:$K$70,0))&amp;"","")</f>
        <v/>
      </c>
      <c r="S906" s="108" t="str">
        <f>Setup!$C$30</f>
        <v>USD</v>
      </c>
      <c r="T906" s="109" t="str">
        <f>IFERROR(INDEX('Data Sheet'!$B$198:$B$275,MATCH(I906,'Data Sheet'!$F$198:$F$275,0)),"")</f>
        <v/>
      </c>
      <c r="U906" s="110" t="str">
        <f>IFERROR(INDEX('Data Sheet'!$D$198:$D$275,MATCH(I906,'Data Sheet'!$F$198:$F$275,0)),"")</f>
        <v/>
      </c>
      <c r="V906" s="99"/>
      <c r="W906" s="195" t="str">
        <f>IF(V906=Setup!$C$30,"Grant",IF(V906=Setup!$C$31,"Local",IF(V906=Setup!$C$32,"Other",IF(ISBLANK(V906),"","Other"))))</f>
        <v/>
      </c>
      <c r="X906" s="255"/>
      <c r="Y906" s="259" t="str">
        <f>IF(X906&lt;&gt;"",X906/VLOOKUP($V906,Setup!$C$30:$D$41,2,0),"")</f>
        <v/>
      </c>
      <c r="Z906" s="262"/>
      <c r="AA906" s="256" t="str">
        <f t="shared" si="426"/>
        <v/>
      </c>
      <c r="AB906" s="262"/>
      <c r="AC906" s="258" t="str">
        <f t="shared" si="427"/>
        <v/>
      </c>
      <c r="AD906" s="262"/>
      <c r="AE906" s="258" t="str">
        <f t="shared" si="428"/>
        <v/>
      </c>
      <c r="AF906" s="262"/>
      <c r="AG906" s="256" t="str">
        <f t="shared" si="429"/>
        <v/>
      </c>
      <c r="AH906" s="256" t="str">
        <f t="shared" si="430"/>
        <v/>
      </c>
      <c r="AI906" s="256" t="str">
        <f t="shared" si="431"/>
        <v/>
      </c>
      <c r="AJ906" s="111"/>
      <c r="AK906" s="255"/>
      <c r="AL906" s="259" t="str">
        <f>IF(AK906&lt;&gt;"",AK906/VLOOKUP($V906,Setup!$C$30:$D$41,2,0),"")</f>
        <v/>
      </c>
      <c r="AM906" s="266"/>
      <c r="AN906" s="258" t="str">
        <f t="shared" si="432"/>
        <v/>
      </c>
      <c r="AO906" s="266"/>
      <c r="AP906" s="258" t="str">
        <f t="shared" si="433"/>
        <v/>
      </c>
      <c r="AQ906" s="266"/>
      <c r="AR906" s="258" t="str">
        <f t="shared" si="434"/>
        <v/>
      </c>
      <c r="AS906" s="266"/>
      <c r="AT906" s="256" t="str">
        <f t="shared" si="435"/>
        <v/>
      </c>
      <c r="AU906" s="256" t="str">
        <f t="shared" si="436"/>
        <v/>
      </c>
      <c r="AV906" s="256" t="str">
        <f t="shared" si="437"/>
        <v/>
      </c>
      <c r="AW906" s="267"/>
      <c r="AX906" s="255"/>
      <c r="AY906" s="259" t="str">
        <f>IF(AX906&lt;&gt;"",AX906/VLOOKUP($V906,Setup!$C$30:$D$41,2,0),"")</f>
        <v/>
      </c>
      <c r="AZ906" s="268"/>
      <c r="BA906" s="258" t="str">
        <f t="shared" si="438"/>
        <v/>
      </c>
      <c r="BB906" s="268"/>
      <c r="BC906" s="258" t="str">
        <f t="shared" si="439"/>
        <v/>
      </c>
      <c r="BD906" s="268"/>
      <c r="BE906" s="258" t="str">
        <f t="shared" si="440"/>
        <v/>
      </c>
      <c r="BF906" s="268"/>
      <c r="BG906" s="256" t="str">
        <f t="shared" si="441"/>
        <v/>
      </c>
      <c r="BH906" s="256" t="str">
        <f t="shared" si="442"/>
        <v/>
      </c>
      <c r="BI906" s="256" t="str">
        <f t="shared" si="443"/>
        <v/>
      </c>
      <c r="BJ906" s="267"/>
      <c r="BK906" s="255"/>
      <c r="BL906" s="259" t="str">
        <f>IF(BK906&lt;&gt;"",BK906/VLOOKUP($V906,Setup!$C$30:$D$41,2,0),"")</f>
        <v/>
      </c>
      <c r="BM906" s="268"/>
      <c r="BN906" s="258" t="str">
        <f t="shared" si="444"/>
        <v/>
      </c>
      <c r="BO906" s="268"/>
      <c r="BP906" s="258" t="str">
        <f t="shared" si="445"/>
        <v/>
      </c>
      <c r="BQ906" s="268"/>
      <c r="BR906" s="258" t="str">
        <f t="shared" si="446"/>
        <v/>
      </c>
      <c r="BS906" s="268"/>
      <c r="BT906" s="256" t="str">
        <f t="shared" si="447"/>
        <v/>
      </c>
      <c r="BU906" s="256" t="str">
        <f t="shared" si="448"/>
        <v/>
      </c>
      <c r="BV906" s="256" t="str">
        <f t="shared" si="449"/>
        <v/>
      </c>
      <c r="BW906" s="267"/>
      <c r="BX906" s="256" t="str">
        <f t="shared" si="450"/>
        <v/>
      </c>
      <c r="BY906" s="256" t="str">
        <f t="shared" si="451"/>
        <v/>
      </c>
      <c r="BZ906" s="281"/>
      <c r="CA906" s="282"/>
      <c r="CF906" s="284"/>
      <c r="CG906" s="284"/>
      <c r="CH906" s="284"/>
      <c r="CI906" s="284"/>
      <c r="CL906" s="356" t="str">
        <f>IFERROR(VLOOKUP(C906,'Data Sheet'!$A$3:$B$26,2,FALSE),"")</f>
        <v/>
      </c>
    </row>
    <row r="907" spans="1:90" ht="15.75" x14ac:dyDescent="0.2">
      <c r="A907" s="97"/>
      <c r="B907" s="105" t="str">
        <f t="shared" si="425"/>
        <v>--</v>
      </c>
      <c r="C907" s="276"/>
      <c r="D907" s="101" t="str">
        <f>IFERROR(IF(VLOOKUP(C907,'Data Sheet'!$A$3:$D$26,4,FALSE)=0,"",VLOOKUP(C907,'Data Sheet'!$A$3:$D$26,4,FALSE)),"")</f>
        <v/>
      </c>
      <c r="E907" s="279"/>
      <c r="F907" s="103" t="str">
        <f>IFERROR(IF(VLOOKUP(E907,'Data Sheet'!$C$29:$E$174,3,FALSE)=0,"",VLOOKUP(E907,'Data Sheet'!$C$29:$E$174,3,FALSE)),"")</f>
        <v/>
      </c>
      <c r="G907" s="106" t="str">
        <f t="shared" si="452"/>
        <v>-</v>
      </c>
      <c r="H907" s="273"/>
      <c r="I907" s="107"/>
      <c r="J907" s="249" t="e">
        <f t="shared" si="453"/>
        <v>#VALUE!</v>
      </c>
      <c r="K907" s="101" t="str">
        <f>IFERROR(INDEX('Data Sheet'!$C$198:$C$275,MATCH(I907,'Data Sheet'!$F$198:$F$275,0)),"")</f>
        <v/>
      </c>
      <c r="L907" s="250" t="str">
        <f>IFERROR(INDEX('Data Sheet'!$G$198:$G$275,MATCH(I907,'Data Sheet'!$F$198:$F$275,0)),"")</f>
        <v/>
      </c>
      <c r="M907" s="194"/>
      <c r="N907" s="248"/>
      <c r="O907" s="248"/>
      <c r="P907" s="108" t="str">
        <f>IFERROR(INDEX(Setup!$D$44:$D$70,MATCH(M907,Setup!$K$44:$K$70,0))&amp;"","")</f>
        <v/>
      </c>
      <c r="Q907" s="108" t="str">
        <f>IFERROR(INDEX(Setup!$E$44:$E$70,MATCH(M907,Setup!$K$44:$K$70,0))&amp;"","")</f>
        <v/>
      </c>
      <c r="R907" s="108" t="str">
        <f>IFERROR(INDEX(Setup!$L$44:$L$70,MATCH(M907,Setup!$K$44:$K$70,0))&amp;"","")</f>
        <v/>
      </c>
      <c r="S907" s="108" t="str">
        <f>Setup!$C$30</f>
        <v>USD</v>
      </c>
      <c r="T907" s="109" t="str">
        <f>IFERROR(INDEX('Data Sheet'!$B$198:$B$275,MATCH(I907,'Data Sheet'!$F$198:$F$275,0)),"")</f>
        <v/>
      </c>
      <c r="U907" s="110" t="str">
        <f>IFERROR(INDEX('Data Sheet'!$D$198:$D$275,MATCH(I907,'Data Sheet'!$F$198:$F$275,0)),"")</f>
        <v/>
      </c>
      <c r="V907" s="99"/>
      <c r="W907" s="195" t="str">
        <f>IF(V907=Setup!$C$30,"Grant",IF(V907=Setup!$C$31,"Local",IF(V907=Setup!$C$32,"Other",IF(ISBLANK(V907),"","Other"))))</f>
        <v/>
      </c>
      <c r="X907" s="255"/>
      <c r="Y907" s="259" t="str">
        <f>IF(X907&lt;&gt;"",X907/VLOOKUP($V907,Setup!$C$30:$D$41,2,0),"")</f>
        <v/>
      </c>
      <c r="Z907" s="262"/>
      <c r="AA907" s="256" t="str">
        <f t="shared" si="426"/>
        <v/>
      </c>
      <c r="AB907" s="262"/>
      <c r="AC907" s="258" t="str">
        <f t="shared" si="427"/>
        <v/>
      </c>
      <c r="AD907" s="262"/>
      <c r="AE907" s="258" t="str">
        <f t="shared" si="428"/>
        <v/>
      </c>
      <c r="AF907" s="262"/>
      <c r="AG907" s="256" t="str">
        <f t="shared" si="429"/>
        <v/>
      </c>
      <c r="AH907" s="256" t="str">
        <f t="shared" si="430"/>
        <v/>
      </c>
      <c r="AI907" s="256" t="str">
        <f t="shared" si="431"/>
        <v/>
      </c>
      <c r="AJ907" s="111"/>
      <c r="AK907" s="255"/>
      <c r="AL907" s="259" t="str">
        <f>IF(AK907&lt;&gt;"",AK907/VLOOKUP($V907,Setup!$C$30:$D$41,2,0),"")</f>
        <v/>
      </c>
      <c r="AM907" s="266"/>
      <c r="AN907" s="258" t="str">
        <f t="shared" si="432"/>
        <v/>
      </c>
      <c r="AO907" s="266"/>
      <c r="AP907" s="258" t="str">
        <f t="shared" si="433"/>
        <v/>
      </c>
      <c r="AQ907" s="266"/>
      <c r="AR907" s="258" t="str">
        <f t="shared" si="434"/>
        <v/>
      </c>
      <c r="AS907" s="266"/>
      <c r="AT907" s="256" t="str">
        <f t="shared" si="435"/>
        <v/>
      </c>
      <c r="AU907" s="256" t="str">
        <f t="shared" si="436"/>
        <v/>
      </c>
      <c r="AV907" s="256" t="str">
        <f t="shared" si="437"/>
        <v/>
      </c>
      <c r="AW907" s="267"/>
      <c r="AX907" s="255"/>
      <c r="AY907" s="259" t="str">
        <f>IF(AX907&lt;&gt;"",AX907/VLOOKUP($V907,Setup!$C$30:$D$41,2,0),"")</f>
        <v/>
      </c>
      <c r="AZ907" s="268"/>
      <c r="BA907" s="258" t="str">
        <f t="shared" si="438"/>
        <v/>
      </c>
      <c r="BB907" s="268"/>
      <c r="BC907" s="258" t="str">
        <f t="shared" si="439"/>
        <v/>
      </c>
      <c r="BD907" s="268"/>
      <c r="BE907" s="258" t="str">
        <f t="shared" si="440"/>
        <v/>
      </c>
      <c r="BF907" s="268"/>
      <c r="BG907" s="256" t="str">
        <f t="shared" si="441"/>
        <v/>
      </c>
      <c r="BH907" s="256" t="str">
        <f t="shared" si="442"/>
        <v/>
      </c>
      <c r="BI907" s="256" t="str">
        <f t="shared" si="443"/>
        <v/>
      </c>
      <c r="BJ907" s="267"/>
      <c r="BK907" s="255"/>
      <c r="BL907" s="259" t="str">
        <f>IF(BK907&lt;&gt;"",BK907/VLOOKUP($V907,Setup!$C$30:$D$41,2,0),"")</f>
        <v/>
      </c>
      <c r="BM907" s="268"/>
      <c r="BN907" s="258" t="str">
        <f t="shared" si="444"/>
        <v/>
      </c>
      <c r="BO907" s="268"/>
      <c r="BP907" s="258" t="str">
        <f t="shared" si="445"/>
        <v/>
      </c>
      <c r="BQ907" s="268"/>
      <c r="BR907" s="258" t="str">
        <f t="shared" si="446"/>
        <v/>
      </c>
      <c r="BS907" s="268"/>
      <c r="BT907" s="256" t="str">
        <f t="shared" si="447"/>
        <v/>
      </c>
      <c r="BU907" s="256" t="str">
        <f t="shared" si="448"/>
        <v/>
      </c>
      <c r="BV907" s="256" t="str">
        <f t="shared" si="449"/>
        <v/>
      </c>
      <c r="BW907" s="267"/>
      <c r="BX907" s="256" t="str">
        <f t="shared" si="450"/>
        <v/>
      </c>
      <c r="BY907" s="256" t="str">
        <f t="shared" si="451"/>
        <v/>
      </c>
      <c r="BZ907" s="281"/>
      <c r="CA907" s="282"/>
      <c r="CF907" s="284"/>
      <c r="CG907" s="284"/>
      <c r="CH907" s="284"/>
      <c r="CI907" s="284"/>
      <c r="CL907" s="356" t="str">
        <f>IFERROR(VLOOKUP(C907,'Data Sheet'!$A$3:$B$26,2,FALSE),"")</f>
        <v/>
      </c>
    </row>
    <row r="908" spans="1:90" ht="15.75" x14ac:dyDescent="0.2">
      <c r="A908" s="97"/>
      <c r="B908" s="105" t="str">
        <f t="shared" si="425"/>
        <v>--</v>
      </c>
      <c r="C908" s="276"/>
      <c r="D908" s="101" t="str">
        <f>IFERROR(IF(VLOOKUP(C908,'Data Sheet'!$A$3:$D$26,4,FALSE)=0,"",VLOOKUP(C908,'Data Sheet'!$A$3:$D$26,4,FALSE)),"")</f>
        <v/>
      </c>
      <c r="E908" s="279"/>
      <c r="F908" s="103" t="str">
        <f>IFERROR(IF(VLOOKUP(E908,'Data Sheet'!$C$29:$E$174,3,FALSE)=0,"",VLOOKUP(E908,'Data Sheet'!$C$29:$E$174,3,FALSE)),"")</f>
        <v/>
      </c>
      <c r="G908" s="106" t="str">
        <f t="shared" si="452"/>
        <v>-</v>
      </c>
      <c r="H908" s="273"/>
      <c r="I908" s="107"/>
      <c r="J908" s="249" t="e">
        <f t="shared" si="453"/>
        <v>#VALUE!</v>
      </c>
      <c r="K908" s="101" t="str">
        <f>IFERROR(INDEX('Data Sheet'!$C$198:$C$275,MATCH(I908,'Data Sheet'!$F$198:$F$275,0)),"")</f>
        <v/>
      </c>
      <c r="L908" s="250" t="str">
        <f>IFERROR(INDEX('Data Sheet'!$G$198:$G$275,MATCH(I908,'Data Sheet'!$F$198:$F$275,0)),"")</f>
        <v/>
      </c>
      <c r="M908" s="194"/>
      <c r="N908" s="248"/>
      <c r="O908" s="248"/>
      <c r="P908" s="108" t="str">
        <f>IFERROR(INDEX(Setup!$D$44:$D$70,MATCH(M908,Setup!$K$44:$K$70,0))&amp;"","")</f>
        <v/>
      </c>
      <c r="Q908" s="108" t="str">
        <f>IFERROR(INDEX(Setup!$E$44:$E$70,MATCH(M908,Setup!$K$44:$K$70,0))&amp;"","")</f>
        <v/>
      </c>
      <c r="R908" s="108" t="str">
        <f>IFERROR(INDEX(Setup!$L$44:$L$70,MATCH(M908,Setup!$K$44:$K$70,0))&amp;"","")</f>
        <v/>
      </c>
      <c r="S908" s="108" t="str">
        <f>Setup!$C$30</f>
        <v>USD</v>
      </c>
      <c r="T908" s="109" t="str">
        <f>IFERROR(INDEX('Data Sheet'!$B$198:$B$275,MATCH(I908,'Data Sheet'!$F$198:$F$275,0)),"")</f>
        <v/>
      </c>
      <c r="U908" s="110" t="str">
        <f>IFERROR(INDEX('Data Sheet'!$D$198:$D$275,MATCH(I908,'Data Sheet'!$F$198:$F$275,0)),"")</f>
        <v/>
      </c>
      <c r="V908" s="99"/>
      <c r="W908" s="195" t="str">
        <f>IF(V908=Setup!$C$30,"Grant",IF(V908=Setup!$C$31,"Local",IF(V908=Setup!$C$32,"Other",IF(ISBLANK(V908),"","Other"))))</f>
        <v/>
      </c>
      <c r="X908" s="255"/>
      <c r="Y908" s="259" t="str">
        <f>IF(X908&lt;&gt;"",X908/VLOOKUP($V908,Setup!$C$30:$D$41,2,0),"")</f>
        <v/>
      </c>
      <c r="Z908" s="262"/>
      <c r="AA908" s="256" t="str">
        <f t="shared" si="426"/>
        <v/>
      </c>
      <c r="AB908" s="262"/>
      <c r="AC908" s="258" t="str">
        <f t="shared" si="427"/>
        <v/>
      </c>
      <c r="AD908" s="262"/>
      <c r="AE908" s="258" t="str">
        <f t="shared" si="428"/>
        <v/>
      </c>
      <c r="AF908" s="262"/>
      <c r="AG908" s="256" t="str">
        <f t="shared" si="429"/>
        <v/>
      </c>
      <c r="AH908" s="256" t="str">
        <f t="shared" si="430"/>
        <v/>
      </c>
      <c r="AI908" s="256" t="str">
        <f t="shared" si="431"/>
        <v/>
      </c>
      <c r="AJ908" s="111"/>
      <c r="AK908" s="255"/>
      <c r="AL908" s="259" t="str">
        <f>IF(AK908&lt;&gt;"",AK908/VLOOKUP($V908,Setup!$C$30:$D$41,2,0),"")</f>
        <v/>
      </c>
      <c r="AM908" s="266"/>
      <c r="AN908" s="258" t="str">
        <f t="shared" si="432"/>
        <v/>
      </c>
      <c r="AO908" s="266"/>
      <c r="AP908" s="258" t="str">
        <f t="shared" si="433"/>
        <v/>
      </c>
      <c r="AQ908" s="266"/>
      <c r="AR908" s="258" t="str">
        <f t="shared" si="434"/>
        <v/>
      </c>
      <c r="AS908" s="266"/>
      <c r="AT908" s="256" t="str">
        <f t="shared" si="435"/>
        <v/>
      </c>
      <c r="AU908" s="256" t="str">
        <f t="shared" si="436"/>
        <v/>
      </c>
      <c r="AV908" s="256" t="str">
        <f t="shared" si="437"/>
        <v/>
      </c>
      <c r="AW908" s="267"/>
      <c r="AX908" s="255"/>
      <c r="AY908" s="259" t="str">
        <f>IF(AX908&lt;&gt;"",AX908/VLOOKUP($V908,Setup!$C$30:$D$41,2,0),"")</f>
        <v/>
      </c>
      <c r="AZ908" s="268"/>
      <c r="BA908" s="258" t="str">
        <f t="shared" si="438"/>
        <v/>
      </c>
      <c r="BB908" s="268"/>
      <c r="BC908" s="258" t="str">
        <f t="shared" si="439"/>
        <v/>
      </c>
      <c r="BD908" s="268"/>
      <c r="BE908" s="258" t="str">
        <f t="shared" si="440"/>
        <v/>
      </c>
      <c r="BF908" s="268"/>
      <c r="BG908" s="256" t="str">
        <f t="shared" si="441"/>
        <v/>
      </c>
      <c r="BH908" s="256" t="str">
        <f t="shared" si="442"/>
        <v/>
      </c>
      <c r="BI908" s="256" t="str">
        <f t="shared" si="443"/>
        <v/>
      </c>
      <c r="BJ908" s="267"/>
      <c r="BK908" s="255"/>
      <c r="BL908" s="259" t="str">
        <f>IF(BK908&lt;&gt;"",BK908/VLOOKUP($V908,Setup!$C$30:$D$41,2,0),"")</f>
        <v/>
      </c>
      <c r="BM908" s="268"/>
      <c r="BN908" s="258" t="str">
        <f t="shared" si="444"/>
        <v/>
      </c>
      <c r="BO908" s="268"/>
      <c r="BP908" s="258" t="str">
        <f t="shared" si="445"/>
        <v/>
      </c>
      <c r="BQ908" s="268"/>
      <c r="BR908" s="258" t="str">
        <f t="shared" si="446"/>
        <v/>
      </c>
      <c r="BS908" s="268"/>
      <c r="BT908" s="256" t="str">
        <f t="shared" si="447"/>
        <v/>
      </c>
      <c r="BU908" s="256" t="str">
        <f t="shared" si="448"/>
        <v/>
      </c>
      <c r="BV908" s="256" t="str">
        <f t="shared" si="449"/>
        <v/>
      </c>
      <c r="BW908" s="267"/>
      <c r="BX908" s="256" t="str">
        <f t="shared" si="450"/>
        <v/>
      </c>
      <c r="BY908" s="256" t="str">
        <f t="shared" si="451"/>
        <v/>
      </c>
      <c r="BZ908" s="281"/>
      <c r="CA908" s="282"/>
      <c r="CF908" s="284"/>
      <c r="CG908" s="284"/>
      <c r="CH908" s="284"/>
      <c r="CI908" s="284"/>
      <c r="CL908" s="356" t="str">
        <f>IFERROR(VLOOKUP(C908,'Data Sheet'!$A$3:$B$26,2,FALSE),"")</f>
        <v/>
      </c>
    </row>
    <row r="909" spans="1:90" ht="15.75" x14ac:dyDescent="0.2">
      <c r="A909" s="97"/>
      <c r="B909" s="105" t="str">
        <f t="shared" si="425"/>
        <v>--</v>
      </c>
      <c r="C909" s="276"/>
      <c r="D909" s="101" t="str">
        <f>IFERROR(IF(VLOOKUP(C909,'Data Sheet'!$A$3:$D$26,4,FALSE)=0,"",VLOOKUP(C909,'Data Sheet'!$A$3:$D$26,4,FALSE)),"")</f>
        <v/>
      </c>
      <c r="E909" s="279"/>
      <c r="F909" s="103" t="str">
        <f>IFERROR(IF(VLOOKUP(E909,'Data Sheet'!$C$29:$E$174,3,FALSE)=0,"",VLOOKUP(E909,'Data Sheet'!$C$29:$E$174,3,FALSE)),"")</f>
        <v/>
      </c>
      <c r="G909" s="106" t="str">
        <f t="shared" si="452"/>
        <v>-</v>
      </c>
      <c r="H909" s="273"/>
      <c r="I909" s="107"/>
      <c r="J909" s="249" t="e">
        <f t="shared" si="453"/>
        <v>#VALUE!</v>
      </c>
      <c r="K909" s="101" t="str">
        <f>IFERROR(INDEX('Data Sheet'!$C$198:$C$275,MATCH(I909,'Data Sheet'!$F$198:$F$275,0)),"")</f>
        <v/>
      </c>
      <c r="L909" s="250" t="str">
        <f>IFERROR(INDEX('Data Sheet'!$G$198:$G$275,MATCH(I909,'Data Sheet'!$F$198:$F$275,0)),"")</f>
        <v/>
      </c>
      <c r="M909" s="194"/>
      <c r="N909" s="248"/>
      <c r="O909" s="248"/>
      <c r="P909" s="108" t="str">
        <f>IFERROR(INDEX(Setup!$D$44:$D$70,MATCH(M909,Setup!$K$44:$K$70,0))&amp;"","")</f>
        <v/>
      </c>
      <c r="Q909" s="108" t="str">
        <f>IFERROR(INDEX(Setup!$E$44:$E$70,MATCH(M909,Setup!$K$44:$K$70,0))&amp;"","")</f>
        <v/>
      </c>
      <c r="R909" s="108" t="str">
        <f>IFERROR(INDEX(Setup!$L$44:$L$70,MATCH(M909,Setup!$K$44:$K$70,0))&amp;"","")</f>
        <v/>
      </c>
      <c r="S909" s="108" t="str">
        <f>Setup!$C$30</f>
        <v>USD</v>
      </c>
      <c r="T909" s="109" t="str">
        <f>IFERROR(INDEX('Data Sheet'!$B$198:$B$275,MATCH(I909,'Data Sheet'!$F$198:$F$275,0)),"")</f>
        <v/>
      </c>
      <c r="U909" s="110" t="str">
        <f>IFERROR(INDEX('Data Sheet'!$D$198:$D$275,MATCH(I909,'Data Sheet'!$F$198:$F$275,0)),"")</f>
        <v/>
      </c>
      <c r="V909" s="99"/>
      <c r="W909" s="195" t="str">
        <f>IF(V909=Setup!$C$30,"Grant",IF(V909=Setup!$C$31,"Local",IF(V909=Setup!$C$32,"Other",IF(ISBLANK(V909),"","Other"))))</f>
        <v/>
      </c>
      <c r="X909" s="255"/>
      <c r="Y909" s="259" t="str">
        <f>IF(X909&lt;&gt;"",X909/VLOOKUP($V909,Setup!$C$30:$D$41,2,0),"")</f>
        <v/>
      </c>
      <c r="Z909" s="262"/>
      <c r="AA909" s="256" t="str">
        <f t="shared" si="426"/>
        <v/>
      </c>
      <c r="AB909" s="262"/>
      <c r="AC909" s="258" t="str">
        <f t="shared" si="427"/>
        <v/>
      </c>
      <c r="AD909" s="262"/>
      <c r="AE909" s="258" t="str">
        <f t="shared" si="428"/>
        <v/>
      </c>
      <c r="AF909" s="262"/>
      <c r="AG909" s="256" t="str">
        <f t="shared" si="429"/>
        <v/>
      </c>
      <c r="AH909" s="256" t="str">
        <f t="shared" si="430"/>
        <v/>
      </c>
      <c r="AI909" s="256" t="str">
        <f t="shared" si="431"/>
        <v/>
      </c>
      <c r="AJ909" s="111"/>
      <c r="AK909" s="255"/>
      <c r="AL909" s="259" t="str">
        <f>IF(AK909&lt;&gt;"",AK909/VLOOKUP($V909,Setup!$C$30:$D$41,2,0),"")</f>
        <v/>
      </c>
      <c r="AM909" s="266"/>
      <c r="AN909" s="258" t="str">
        <f t="shared" si="432"/>
        <v/>
      </c>
      <c r="AO909" s="266"/>
      <c r="AP909" s="258" t="str">
        <f t="shared" si="433"/>
        <v/>
      </c>
      <c r="AQ909" s="266"/>
      <c r="AR909" s="258" t="str">
        <f t="shared" si="434"/>
        <v/>
      </c>
      <c r="AS909" s="266"/>
      <c r="AT909" s="256" t="str">
        <f t="shared" si="435"/>
        <v/>
      </c>
      <c r="AU909" s="256" t="str">
        <f t="shared" si="436"/>
        <v/>
      </c>
      <c r="AV909" s="256" t="str">
        <f t="shared" si="437"/>
        <v/>
      </c>
      <c r="AW909" s="267"/>
      <c r="AX909" s="255"/>
      <c r="AY909" s="259" t="str">
        <f>IF(AX909&lt;&gt;"",AX909/VLOOKUP($V909,Setup!$C$30:$D$41,2,0),"")</f>
        <v/>
      </c>
      <c r="AZ909" s="268"/>
      <c r="BA909" s="258" t="str">
        <f t="shared" si="438"/>
        <v/>
      </c>
      <c r="BB909" s="268"/>
      <c r="BC909" s="258" t="str">
        <f t="shared" si="439"/>
        <v/>
      </c>
      <c r="BD909" s="268"/>
      <c r="BE909" s="258" t="str">
        <f t="shared" si="440"/>
        <v/>
      </c>
      <c r="BF909" s="268"/>
      <c r="BG909" s="256" t="str">
        <f t="shared" si="441"/>
        <v/>
      </c>
      <c r="BH909" s="256" t="str">
        <f t="shared" si="442"/>
        <v/>
      </c>
      <c r="BI909" s="256" t="str">
        <f t="shared" si="443"/>
        <v/>
      </c>
      <c r="BJ909" s="267"/>
      <c r="BK909" s="255"/>
      <c r="BL909" s="259" t="str">
        <f>IF(BK909&lt;&gt;"",BK909/VLOOKUP($V909,Setup!$C$30:$D$41,2,0),"")</f>
        <v/>
      </c>
      <c r="BM909" s="268"/>
      <c r="BN909" s="258" t="str">
        <f t="shared" si="444"/>
        <v/>
      </c>
      <c r="BO909" s="268"/>
      <c r="BP909" s="258" t="str">
        <f t="shared" si="445"/>
        <v/>
      </c>
      <c r="BQ909" s="268"/>
      <c r="BR909" s="258" t="str">
        <f t="shared" si="446"/>
        <v/>
      </c>
      <c r="BS909" s="268"/>
      <c r="BT909" s="256" t="str">
        <f t="shared" si="447"/>
        <v/>
      </c>
      <c r="BU909" s="256" t="str">
        <f t="shared" si="448"/>
        <v/>
      </c>
      <c r="BV909" s="256" t="str">
        <f t="shared" si="449"/>
        <v/>
      </c>
      <c r="BW909" s="267"/>
      <c r="BX909" s="256" t="str">
        <f t="shared" si="450"/>
        <v/>
      </c>
      <c r="BY909" s="256" t="str">
        <f t="shared" si="451"/>
        <v/>
      </c>
      <c r="BZ909" s="281"/>
      <c r="CA909" s="282"/>
      <c r="CF909" s="284"/>
      <c r="CG909" s="284"/>
      <c r="CH909" s="284"/>
      <c r="CI909" s="284"/>
      <c r="CL909" s="356" t="str">
        <f>IFERROR(VLOOKUP(C909,'Data Sheet'!$A$3:$B$26,2,FALSE),"")</f>
        <v/>
      </c>
    </row>
    <row r="910" spans="1:90" ht="15.75" x14ac:dyDescent="0.2">
      <c r="A910" s="97"/>
      <c r="B910" s="105" t="str">
        <f t="shared" ref="B910:B973" si="454">CONCATENATE(D910,"-",F910,"-",N910)</f>
        <v>--</v>
      </c>
      <c r="C910" s="276"/>
      <c r="D910" s="101" t="str">
        <f>IFERROR(IF(VLOOKUP(C910,'Data Sheet'!$A$3:$D$26,4,FALSE)=0,"",VLOOKUP(C910,'Data Sheet'!$A$3:$D$26,4,FALSE)),"")</f>
        <v/>
      </c>
      <c r="E910" s="279"/>
      <c r="F910" s="103" t="str">
        <f>IFERROR(IF(VLOOKUP(E910,'Data Sheet'!$C$29:$E$174,3,FALSE)=0,"",VLOOKUP(E910,'Data Sheet'!$C$29:$E$174,3,FALSE)),"")</f>
        <v/>
      </c>
      <c r="G910" s="106" t="str">
        <f t="shared" si="452"/>
        <v>-</v>
      </c>
      <c r="H910" s="273"/>
      <c r="I910" s="107"/>
      <c r="J910" s="249" t="e">
        <f t="shared" si="453"/>
        <v>#VALUE!</v>
      </c>
      <c r="K910" s="101" t="str">
        <f>IFERROR(INDEX('Data Sheet'!$C$198:$C$275,MATCH(I910,'Data Sheet'!$F$198:$F$275,0)),"")</f>
        <v/>
      </c>
      <c r="L910" s="250" t="str">
        <f>IFERROR(INDEX('Data Sheet'!$G$198:$G$275,MATCH(I910,'Data Sheet'!$F$198:$F$275,0)),"")</f>
        <v/>
      </c>
      <c r="M910" s="194"/>
      <c r="N910" s="248"/>
      <c r="O910" s="248"/>
      <c r="P910" s="108" t="str">
        <f>IFERROR(INDEX(Setup!$D$44:$D$70,MATCH(M910,Setup!$K$44:$K$70,0))&amp;"","")</f>
        <v/>
      </c>
      <c r="Q910" s="108" t="str">
        <f>IFERROR(INDEX(Setup!$E$44:$E$70,MATCH(M910,Setup!$K$44:$K$70,0))&amp;"","")</f>
        <v/>
      </c>
      <c r="R910" s="108" t="str">
        <f>IFERROR(INDEX(Setup!$L$44:$L$70,MATCH(M910,Setup!$K$44:$K$70,0))&amp;"","")</f>
        <v/>
      </c>
      <c r="S910" s="108" t="str">
        <f>Setup!$C$30</f>
        <v>USD</v>
      </c>
      <c r="T910" s="109" t="str">
        <f>IFERROR(INDEX('Data Sheet'!$B$198:$B$275,MATCH(I910,'Data Sheet'!$F$198:$F$275,0)),"")</f>
        <v/>
      </c>
      <c r="U910" s="110" t="str">
        <f>IFERROR(INDEX('Data Sheet'!$D$198:$D$275,MATCH(I910,'Data Sheet'!$F$198:$F$275,0)),"")</f>
        <v/>
      </c>
      <c r="V910" s="99"/>
      <c r="W910" s="195" t="str">
        <f>IF(V910=Setup!$C$30,"Grant",IF(V910=Setup!$C$31,"Local",IF(V910=Setup!$C$32,"Other",IF(ISBLANK(V910),"","Other"))))</f>
        <v/>
      </c>
      <c r="X910" s="255"/>
      <c r="Y910" s="259" t="str">
        <f>IF(X910&lt;&gt;"",X910/VLOOKUP($V910,Setup!$C$30:$D$41,2,0),"")</f>
        <v/>
      </c>
      <c r="Z910" s="262"/>
      <c r="AA910" s="256" t="str">
        <f t="shared" si="426"/>
        <v/>
      </c>
      <c r="AB910" s="262"/>
      <c r="AC910" s="258" t="str">
        <f t="shared" si="427"/>
        <v/>
      </c>
      <c r="AD910" s="262"/>
      <c r="AE910" s="258" t="str">
        <f t="shared" si="428"/>
        <v/>
      </c>
      <c r="AF910" s="262"/>
      <c r="AG910" s="256" t="str">
        <f t="shared" si="429"/>
        <v/>
      </c>
      <c r="AH910" s="256" t="str">
        <f t="shared" si="430"/>
        <v/>
      </c>
      <c r="AI910" s="256" t="str">
        <f t="shared" si="431"/>
        <v/>
      </c>
      <c r="AJ910" s="111"/>
      <c r="AK910" s="255"/>
      <c r="AL910" s="259" t="str">
        <f>IF(AK910&lt;&gt;"",AK910/VLOOKUP($V910,Setup!$C$30:$D$41,2,0),"")</f>
        <v/>
      </c>
      <c r="AM910" s="266"/>
      <c r="AN910" s="258" t="str">
        <f t="shared" si="432"/>
        <v/>
      </c>
      <c r="AO910" s="266"/>
      <c r="AP910" s="258" t="str">
        <f t="shared" si="433"/>
        <v/>
      </c>
      <c r="AQ910" s="266"/>
      <c r="AR910" s="258" t="str">
        <f t="shared" si="434"/>
        <v/>
      </c>
      <c r="AS910" s="266"/>
      <c r="AT910" s="256" t="str">
        <f t="shared" si="435"/>
        <v/>
      </c>
      <c r="AU910" s="256" t="str">
        <f t="shared" si="436"/>
        <v/>
      </c>
      <c r="AV910" s="256" t="str">
        <f t="shared" si="437"/>
        <v/>
      </c>
      <c r="AW910" s="267"/>
      <c r="AX910" s="255"/>
      <c r="AY910" s="259" t="str">
        <f>IF(AX910&lt;&gt;"",AX910/VLOOKUP($V910,Setup!$C$30:$D$41,2,0),"")</f>
        <v/>
      </c>
      <c r="AZ910" s="268"/>
      <c r="BA910" s="258" t="str">
        <f t="shared" si="438"/>
        <v/>
      </c>
      <c r="BB910" s="268"/>
      <c r="BC910" s="258" t="str">
        <f t="shared" si="439"/>
        <v/>
      </c>
      <c r="BD910" s="268"/>
      <c r="BE910" s="258" t="str">
        <f t="shared" si="440"/>
        <v/>
      </c>
      <c r="BF910" s="268"/>
      <c r="BG910" s="256" t="str">
        <f t="shared" si="441"/>
        <v/>
      </c>
      <c r="BH910" s="256" t="str">
        <f t="shared" si="442"/>
        <v/>
      </c>
      <c r="BI910" s="256" t="str">
        <f t="shared" si="443"/>
        <v/>
      </c>
      <c r="BJ910" s="267"/>
      <c r="BK910" s="255"/>
      <c r="BL910" s="259" t="str">
        <f>IF(BK910&lt;&gt;"",BK910/VLOOKUP($V910,Setup!$C$30:$D$41,2,0),"")</f>
        <v/>
      </c>
      <c r="BM910" s="268"/>
      <c r="BN910" s="258" t="str">
        <f t="shared" si="444"/>
        <v/>
      </c>
      <c r="BO910" s="268"/>
      <c r="BP910" s="258" t="str">
        <f t="shared" si="445"/>
        <v/>
      </c>
      <c r="BQ910" s="268"/>
      <c r="BR910" s="258" t="str">
        <f t="shared" si="446"/>
        <v/>
      </c>
      <c r="BS910" s="268"/>
      <c r="BT910" s="256" t="str">
        <f t="shared" si="447"/>
        <v/>
      </c>
      <c r="BU910" s="256" t="str">
        <f t="shared" si="448"/>
        <v/>
      </c>
      <c r="BV910" s="256" t="str">
        <f t="shared" si="449"/>
        <v/>
      </c>
      <c r="BW910" s="267"/>
      <c r="BX910" s="256" t="str">
        <f t="shared" si="450"/>
        <v/>
      </c>
      <c r="BY910" s="256" t="str">
        <f t="shared" si="451"/>
        <v/>
      </c>
      <c r="BZ910" s="281"/>
      <c r="CA910" s="282"/>
      <c r="CF910" s="284"/>
      <c r="CG910" s="284"/>
      <c r="CH910" s="284"/>
      <c r="CI910" s="284"/>
      <c r="CL910" s="356" t="str">
        <f>IFERROR(VLOOKUP(C910,'Data Sheet'!$A$3:$B$26,2,FALSE),"")</f>
        <v/>
      </c>
    </row>
    <row r="911" spans="1:90" ht="15.75" x14ac:dyDescent="0.2">
      <c r="A911" s="97"/>
      <c r="B911" s="105" t="str">
        <f t="shared" si="454"/>
        <v>--</v>
      </c>
      <c r="C911" s="276"/>
      <c r="D911" s="101" t="str">
        <f>IFERROR(IF(VLOOKUP(C911,'Data Sheet'!$A$3:$D$26,4,FALSE)=0,"",VLOOKUP(C911,'Data Sheet'!$A$3:$D$26,4,FALSE)),"")</f>
        <v/>
      </c>
      <c r="E911" s="279"/>
      <c r="F911" s="103" t="str">
        <f>IFERROR(IF(VLOOKUP(E911,'Data Sheet'!$C$29:$E$174,3,FALSE)=0,"",VLOOKUP(E911,'Data Sheet'!$C$29:$E$174,3,FALSE)),"")</f>
        <v/>
      </c>
      <c r="G911" s="106" t="str">
        <f t="shared" si="452"/>
        <v>-</v>
      </c>
      <c r="H911" s="273"/>
      <c r="I911" s="107"/>
      <c r="J911" s="249" t="e">
        <f t="shared" si="453"/>
        <v>#VALUE!</v>
      </c>
      <c r="K911" s="101" t="str">
        <f>IFERROR(INDEX('Data Sheet'!$C$198:$C$275,MATCH(I911,'Data Sheet'!$F$198:$F$275,0)),"")</f>
        <v/>
      </c>
      <c r="L911" s="250" t="str">
        <f>IFERROR(INDEX('Data Sheet'!$G$198:$G$275,MATCH(I911,'Data Sheet'!$F$198:$F$275,0)),"")</f>
        <v/>
      </c>
      <c r="M911" s="194"/>
      <c r="N911" s="248"/>
      <c r="O911" s="248"/>
      <c r="P911" s="108" t="str">
        <f>IFERROR(INDEX(Setup!$D$44:$D$70,MATCH(M911,Setup!$K$44:$K$70,0))&amp;"","")</f>
        <v/>
      </c>
      <c r="Q911" s="108" t="str">
        <f>IFERROR(INDEX(Setup!$E$44:$E$70,MATCH(M911,Setup!$K$44:$K$70,0))&amp;"","")</f>
        <v/>
      </c>
      <c r="R911" s="108" t="str">
        <f>IFERROR(INDEX(Setup!$L$44:$L$70,MATCH(M911,Setup!$K$44:$K$70,0))&amp;"","")</f>
        <v/>
      </c>
      <c r="S911" s="108" t="str">
        <f>Setup!$C$30</f>
        <v>USD</v>
      </c>
      <c r="T911" s="109" t="str">
        <f>IFERROR(INDEX('Data Sheet'!$B$198:$B$275,MATCH(I911,'Data Sheet'!$F$198:$F$275,0)),"")</f>
        <v/>
      </c>
      <c r="U911" s="110" t="str">
        <f>IFERROR(INDEX('Data Sheet'!$D$198:$D$275,MATCH(I911,'Data Sheet'!$F$198:$F$275,0)),"")</f>
        <v/>
      </c>
      <c r="V911" s="99"/>
      <c r="W911" s="195" t="str">
        <f>IF(V911=Setup!$C$30,"Grant",IF(V911=Setup!$C$31,"Local",IF(V911=Setup!$C$32,"Other",IF(ISBLANK(V911),"","Other"))))</f>
        <v/>
      </c>
      <c r="X911" s="255"/>
      <c r="Y911" s="259" t="str">
        <f>IF(X911&lt;&gt;"",X911/VLOOKUP($V911,Setup!$C$30:$D$41,2,0),"")</f>
        <v/>
      </c>
      <c r="Z911" s="262"/>
      <c r="AA911" s="256" t="str">
        <f t="shared" si="426"/>
        <v/>
      </c>
      <c r="AB911" s="262"/>
      <c r="AC911" s="258" t="str">
        <f t="shared" si="427"/>
        <v/>
      </c>
      <c r="AD911" s="262"/>
      <c r="AE911" s="258" t="str">
        <f t="shared" si="428"/>
        <v/>
      </c>
      <c r="AF911" s="262"/>
      <c r="AG911" s="256" t="str">
        <f t="shared" si="429"/>
        <v/>
      </c>
      <c r="AH911" s="256" t="str">
        <f t="shared" si="430"/>
        <v/>
      </c>
      <c r="AI911" s="256" t="str">
        <f t="shared" si="431"/>
        <v/>
      </c>
      <c r="AJ911" s="111"/>
      <c r="AK911" s="255"/>
      <c r="AL911" s="259" t="str">
        <f>IF(AK911&lt;&gt;"",AK911/VLOOKUP($V911,Setup!$C$30:$D$41,2,0),"")</f>
        <v/>
      </c>
      <c r="AM911" s="266"/>
      <c r="AN911" s="258" t="str">
        <f t="shared" si="432"/>
        <v/>
      </c>
      <c r="AO911" s="266"/>
      <c r="AP911" s="258" t="str">
        <f t="shared" si="433"/>
        <v/>
      </c>
      <c r="AQ911" s="266"/>
      <c r="AR911" s="258" t="str">
        <f t="shared" si="434"/>
        <v/>
      </c>
      <c r="AS911" s="266"/>
      <c r="AT911" s="256" t="str">
        <f t="shared" si="435"/>
        <v/>
      </c>
      <c r="AU911" s="256" t="str">
        <f t="shared" si="436"/>
        <v/>
      </c>
      <c r="AV911" s="256" t="str">
        <f t="shared" si="437"/>
        <v/>
      </c>
      <c r="AW911" s="267"/>
      <c r="AX911" s="255"/>
      <c r="AY911" s="259" t="str">
        <f>IF(AX911&lt;&gt;"",AX911/VLOOKUP($V911,Setup!$C$30:$D$41,2,0),"")</f>
        <v/>
      </c>
      <c r="AZ911" s="268"/>
      <c r="BA911" s="258" t="str">
        <f t="shared" si="438"/>
        <v/>
      </c>
      <c r="BB911" s="268"/>
      <c r="BC911" s="258" t="str">
        <f t="shared" si="439"/>
        <v/>
      </c>
      <c r="BD911" s="268"/>
      <c r="BE911" s="258" t="str">
        <f t="shared" si="440"/>
        <v/>
      </c>
      <c r="BF911" s="268"/>
      <c r="BG911" s="256" t="str">
        <f t="shared" si="441"/>
        <v/>
      </c>
      <c r="BH911" s="256" t="str">
        <f t="shared" si="442"/>
        <v/>
      </c>
      <c r="BI911" s="256" t="str">
        <f t="shared" si="443"/>
        <v/>
      </c>
      <c r="BJ911" s="267"/>
      <c r="BK911" s="255"/>
      <c r="BL911" s="259" t="str">
        <f>IF(BK911&lt;&gt;"",BK911/VLOOKUP($V911,Setup!$C$30:$D$41,2,0),"")</f>
        <v/>
      </c>
      <c r="BM911" s="268"/>
      <c r="BN911" s="258" t="str">
        <f t="shared" si="444"/>
        <v/>
      </c>
      <c r="BO911" s="268"/>
      <c r="BP911" s="258" t="str">
        <f t="shared" si="445"/>
        <v/>
      </c>
      <c r="BQ911" s="268"/>
      <c r="BR911" s="258" t="str">
        <f t="shared" si="446"/>
        <v/>
      </c>
      <c r="BS911" s="268"/>
      <c r="BT911" s="256" t="str">
        <f t="shared" si="447"/>
        <v/>
      </c>
      <c r="BU911" s="256" t="str">
        <f t="shared" si="448"/>
        <v/>
      </c>
      <c r="BV911" s="256" t="str">
        <f t="shared" si="449"/>
        <v/>
      </c>
      <c r="BW911" s="267"/>
      <c r="BX911" s="256" t="str">
        <f t="shared" si="450"/>
        <v/>
      </c>
      <c r="BY911" s="256" t="str">
        <f t="shared" si="451"/>
        <v/>
      </c>
      <c r="BZ911" s="281"/>
      <c r="CA911" s="282"/>
      <c r="CF911" s="284"/>
      <c r="CG911" s="284"/>
      <c r="CH911" s="284"/>
      <c r="CI911" s="284"/>
      <c r="CL911" s="356" t="str">
        <f>IFERROR(VLOOKUP(C911,'Data Sheet'!$A$3:$B$26,2,FALSE),"")</f>
        <v/>
      </c>
    </row>
    <row r="912" spans="1:90" ht="15.75" x14ac:dyDescent="0.2">
      <c r="A912" s="97"/>
      <c r="B912" s="105" t="str">
        <f t="shared" si="454"/>
        <v>--</v>
      </c>
      <c r="C912" s="276"/>
      <c r="D912" s="101" t="str">
        <f>IFERROR(IF(VLOOKUP(C912,'Data Sheet'!$A$3:$D$26,4,FALSE)=0,"",VLOOKUP(C912,'Data Sheet'!$A$3:$D$26,4,FALSE)),"")</f>
        <v/>
      </c>
      <c r="E912" s="279"/>
      <c r="F912" s="103" t="str">
        <f>IFERROR(IF(VLOOKUP(E912,'Data Sheet'!$C$29:$E$174,3,FALSE)=0,"",VLOOKUP(E912,'Data Sheet'!$C$29:$E$174,3,FALSE)),"")</f>
        <v/>
      </c>
      <c r="G912" s="106" t="str">
        <f t="shared" si="452"/>
        <v>-</v>
      </c>
      <c r="H912" s="273"/>
      <c r="I912" s="107"/>
      <c r="J912" s="249" t="e">
        <f t="shared" si="453"/>
        <v>#VALUE!</v>
      </c>
      <c r="K912" s="101" t="str">
        <f>IFERROR(INDEX('Data Sheet'!$C$198:$C$275,MATCH(I912,'Data Sheet'!$F$198:$F$275,0)),"")</f>
        <v/>
      </c>
      <c r="L912" s="250" t="str">
        <f>IFERROR(INDEX('Data Sheet'!$G$198:$G$275,MATCH(I912,'Data Sheet'!$F$198:$F$275,0)),"")</f>
        <v/>
      </c>
      <c r="M912" s="194"/>
      <c r="N912" s="248"/>
      <c r="O912" s="248"/>
      <c r="P912" s="108" t="str">
        <f>IFERROR(INDEX(Setup!$D$44:$D$70,MATCH(M912,Setup!$K$44:$K$70,0))&amp;"","")</f>
        <v/>
      </c>
      <c r="Q912" s="108" t="str">
        <f>IFERROR(INDEX(Setup!$E$44:$E$70,MATCH(M912,Setup!$K$44:$K$70,0))&amp;"","")</f>
        <v/>
      </c>
      <c r="R912" s="108" t="str">
        <f>IFERROR(INDEX(Setup!$L$44:$L$70,MATCH(M912,Setup!$K$44:$K$70,0))&amp;"","")</f>
        <v/>
      </c>
      <c r="S912" s="108" t="str">
        <f>Setup!$C$30</f>
        <v>USD</v>
      </c>
      <c r="T912" s="109" t="str">
        <f>IFERROR(INDEX('Data Sheet'!$B$198:$B$275,MATCH(I912,'Data Sheet'!$F$198:$F$275,0)),"")</f>
        <v/>
      </c>
      <c r="U912" s="110" t="str">
        <f>IFERROR(INDEX('Data Sheet'!$D$198:$D$275,MATCH(I912,'Data Sheet'!$F$198:$F$275,0)),"")</f>
        <v/>
      </c>
      <c r="V912" s="99"/>
      <c r="W912" s="195" t="str">
        <f>IF(V912=Setup!$C$30,"Grant",IF(V912=Setup!$C$31,"Local",IF(V912=Setup!$C$32,"Other",IF(ISBLANK(V912),"","Other"))))</f>
        <v/>
      </c>
      <c r="X912" s="255"/>
      <c r="Y912" s="259" t="str">
        <f>IF(X912&lt;&gt;"",X912/VLOOKUP($V912,Setup!$C$30:$D$41,2,0),"")</f>
        <v/>
      </c>
      <c r="Z912" s="262"/>
      <c r="AA912" s="256" t="str">
        <f t="shared" si="426"/>
        <v/>
      </c>
      <c r="AB912" s="262"/>
      <c r="AC912" s="258" t="str">
        <f t="shared" si="427"/>
        <v/>
      </c>
      <c r="AD912" s="262"/>
      <c r="AE912" s="258" t="str">
        <f t="shared" si="428"/>
        <v/>
      </c>
      <c r="AF912" s="262"/>
      <c r="AG912" s="256" t="str">
        <f t="shared" si="429"/>
        <v/>
      </c>
      <c r="AH912" s="256" t="str">
        <f t="shared" si="430"/>
        <v/>
      </c>
      <c r="AI912" s="256" t="str">
        <f t="shared" si="431"/>
        <v/>
      </c>
      <c r="AJ912" s="111"/>
      <c r="AK912" s="255"/>
      <c r="AL912" s="259" t="str">
        <f>IF(AK912&lt;&gt;"",AK912/VLOOKUP($V912,Setup!$C$30:$D$41,2,0),"")</f>
        <v/>
      </c>
      <c r="AM912" s="266"/>
      <c r="AN912" s="258" t="str">
        <f t="shared" si="432"/>
        <v/>
      </c>
      <c r="AO912" s="266"/>
      <c r="AP912" s="258" t="str">
        <f t="shared" si="433"/>
        <v/>
      </c>
      <c r="AQ912" s="266"/>
      <c r="AR912" s="258" t="str">
        <f t="shared" si="434"/>
        <v/>
      </c>
      <c r="AS912" s="266"/>
      <c r="AT912" s="256" t="str">
        <f t="shared" si="435"/>
        <v/>
      </c>
      <c r="AU912" s="256" t="str">
        <f t="shared" si="436"/>
        <v/>
      </c>
      <c r="AV912" s="256" t="str">
        <f t="shared" si="437"/>
        <v/>
      </c>
      <c r="AW912" s="267"/>
      <c r="AX912" s="255"/>
      <c r="AY912" s="259" t="str">
        <f>IF(AX912&lt;&gt;"",AX912/VLOOKUP($V912,Setup!$C$30:$D$41,2,0),"")</f>
        <v/>
      </c>
      <c r="AZ912" s="268"/>
      <c r="BA912" s="258" t="str">
        <f t="shared" si="438"/>
        <v/>
      </c>
      <c r="BB912" s="268"/>
      <c r="BC912" s="258" t="str">
        <f t="shared" si="439"/>
        <v/>
      </c>
      <c r="BD912" s="268"/>
      <c r="BE912" s="258" t="str">
        <f t="shared" si="440"/>
        <v/>
      </c>
      <c r="BF912" s="268"/>
      <c r="BG912" s="256" t="str">
        <f t="shared" si="441"/>
        <v/>
      </c>
      <c r="BH912" s="256" t="str">
        <f t="shared" si="442"/>
        <v/>
      </c>
      <c r="BI912" s="256" t="str">
        <f t="shared" si="443"/>
        <v/>
      </c>
      <c r="BJ912" s="267"/>
      <c r="BK912" s="255"/>
      <c r="BL912" s="259" t="str">
        <f>IF(BK912&lt;&gt;"",BK912/VLOOKUP($V912,Setup!$C$30:$D$41,2,0),"")</f>
        <v/>
      </c>
      <c r="BM912" s="268"/>
      <c r="BN912" s="258" t="str">
        <f t="shared" si="444"/>
        <v/>
      </c>
      <c r="BO912" s="268"/>
      <c r="BP912" s="258" t="str">
        <f t="shared" si="445"/>
        <v/>
      </c>
      <c r="BQ912" s="268"/>
      <c r="BR912" s="258" t="str">
        <f t="shared" si="446"/>
        <v/>
      </c>
      <c r="BS912" s="268"/>
      <c r="BT912" s="256" t="str">
        <f t="shared" si="447"/>
        <v/>
      </c>
      <c r="BU912" s="256" t="str">
        <f t="shared" si="448"/>
        <v/>
      </c>
      <c r="BV912" s="256" t="str">
        <f t="shared" si="449"/>
        <v/>
      </c>
      <c r="BW912" s="267"/>
      <c r="BX912" s="256" t="str">
        <f t="shared" si="450"/>
        <v/>
      </c>
      <c r="BY912" s="256" t="str">
        <f t="shared" si="451"/>
        <v/>
      </c>
      <c r="BZ912" s="281"/>
      <c r="CA912" s="282"/>
      <c r="CF912" s="284"/>
      <c r="CG912" s="284"/>
      <c r="CH912" s="284"/>
      <c r="CI912" s="284"/>
      <c r="CL912" s="356" t="str">
        <f>IFERROR(VLOOKUP(C912,'Data Sheet'!$A$3:$B$26,2,FALSE),"")</f>
        <v/>
      </c>
    </row>
    <row r="913" spans="1:90" ht="15.75" x14ac:dyDescent="0.2">
      <c r="A913" s="97"/>
      <c r="B913" s="105" t="str">
        <f t="shared" si="454"/>
        <v>--</v>
      </c>
      <c r="C913" s="276"/>
      <c r="D913" s="101" t="str">
        <f>IFERROR(IF(VLOOKUP(C913,'Data Sheet'!$A$3:$D$26,4,FALSE)=0,"",VLOOKUP(C913,'Data Sheet'!$A$3:$D$26,4,FALSE)),"")</f>
        <v/>
      </c>
      <c r="E913" s="279"/>
      <c r="F913" s="103" t="str">
        <f>IFERROR(IF(VLOOKUP(E913,'Data Sheet'!$C$29:$E$174,3,FALSE)=0,"",VLOOKUP(E913,'Data Sheet'!$C$29:$E$174,3,FALSE)),"")</f>
        <v/>
      </c>
      <c r="G913" s="106" t="str">
        <f t="shared" si="452"/>
        <v>-</v>
      </c>
      <c r="H913" s="273"/>
      <c r="I913" s="107"/>
      <c r="J913" s="249" t="e">
        <f t="shared" si="453"/>
        <v>#VALUE!</v>
      </c>
      <c r="K913" s="101" t="str">
        <f>IFERROR(INDEX('Data Sheet'!$C$198:$C$275,MATCH(I913,'Data Sheet'!$F$198:$F$275,0)),"")</f>
        <v/>
      </c>
      <c r="L913" s="250" t="str">
        <f>IFERROR(INDEX('Data Sheet'!$G$198:$G$275,MATCH(I913,'Data Sheet'!$F$198:$F$275,0)),"")</f>
        <v/>
      </c>
      <c r="M913" s="194"/>
      <c r="N913" s="248"/>
      <c r="O913" s="248"/>
      <c r="P913" s="108" t="str">
        <f>IFERROR(INDEX(Setup!$D$44:$D$70,MATCH(M913,Setup!$K$44:$K$70,0))&amp;"","")</f>
        <v/>
      </c>
      <c r="Q913" s="108" t="str">
        <f>IFERROR(INDEX(Setup!$E$44:$E$70,MATCH(M913,Setup!$K$44:$K$70,0))&amp;"","")</f>
        <v/>
      </c>
      <c r="R913" s="108" t="str">
        <f>IFERROR(INDEX(Setup!$L$44:$L$70,MATCH(M913,Setup!$K$44:$K$70,0))&amp;"","")</f>
        <v/>
      </c>
      <c r="S913" s="108" t="str">
        <f>Setup!$C$30</f>
        <v>USD</v>
      </c>
      <c r="T913" s="109" t="str">
        <f>IFERROR(INDEX('Data Sheet'!$B$198:$B$275,MATCH(I913,'Data Sheet'!$F$198:$F$275,0)),"")</f>
        <v/>
      </c>
      <c r="U913" s="110" t="str">
        <f>IFERROR(INDEX('Data Sheet'!$D$198:$D$275,MATCH(I913,'Data Sheet'!$F$198:$F$275,0)),"")</f>
        <v/>
      </c>
      <c r="V913" s="99"/>
      <c r="W913" s="195" t="str">
        <f>IF(V913=Setup!$C$30,"Grant",IF(V913=Setup!$C$31,"Local",IF(V913=Setup!$C$32,"Other",IF(ISBLANK(V913),"","Other"))))</f>
        <v/>
      </c>
      <c r="X913" s="255"/>
      <c r="Y913" s="259" t="str">
        <f>IF(X913&lt;&gt;"",X913/VLOOKUP($V913,Setup!$C$30:$D$41,2,0),"")</f>
        <v/>
      </c>
      <c r="Z913" s="262"/>
      <c r="AA913" s="256" t="str">
        <f t="shared" si="426"/>
        <v/>
      </c>
      <c r="AB913" s="262"/>
      <c r="AC913" s="258" t="str">
        <f t="shared" si="427"/>
        <v/>
      </c>
      <c r="AD913" s="262"/>
      <c r="AE913" s="258" t="str">
        <f t="shared" si="428"/>
        <v/>
      </c>
      <c r="AF913" s="262"/>
      <c r="AG913" s="256" t="str">
        <f t="shared" si="429"/>
        <v/>
      </c>
      <c r="AH913" s="256" t="str">
        <f t="shared" si="430"/>
        <v/>
      </c>
      <c r="AI913" s="256" t="str">
        <f t="shared" si="431"/>
        <v/>
      </c>
      <c r="AJ913" s="111"/>
      <c r="AK913" s="255"/>
      <c r="AL913" s="259" t="str">
        <f>IF(AK913&lt;&gt;"",AK913/VLOOKUP($V913,Setup!$C$30:$D$41,2,0),"")</f>
        <v/>
      </c>
      <c r="AM913" s="266"/>
      <c r="AN913" s="258" t="str">
        <f t="shared" si="432"/>
        <v/>
      </c>
      <c r="AO913" s="266"/>
      <c r="AP913" s="258" t="str">
        <f t="shared" si="433"/>
        <v/>
      </c>
      <c r="AQ913" s="266"/>
      <c r="AR913" s="258" t="str">
        <f t="shared" si="434"/>
        <v/>
      </c>
      <c r="AS913" s="266"/>
      <c r="AT913" s="256" t="str">
        <f t="shared" si="435"/>
        <v/>
      </c>
      <c r="AU913" s="256" t="str">
        <f t="shared" si="436"/>
        <v/>
      </c>
      <c r="AV913" s="256" t="str">
        <f t="shared" si="437"/>
        <v/>
      </c>
      <c r="AW913" s="267"/>
      <c r="AX913" s="255"/>
      <c r="AY913" s="259" t="str">
        <f>IF(AX913&lt;&gt;"",AX913/VLOOKUP($V913,Setup!$C$30:$D$41,2,0),"")</f>
        <v/>
      </c>
      <c r="AZ913" s="268"/>
      <c r="BA913" s="258" t="str">
        <f t="shared" si="438"/>
        <v/>
      </c>
      <c r="BB913" s="268"/>
      <c r="BC913" s="258" t="str">
        <f t="shared" si="439"/>
        <v/>
      </c>
      <c r="BD913" s="268"/>
      <c r="BE913" s="258" t="str">
        <f t="shared" si="440"/>
        <v/>
      </c>
      <c r="BF913" s="268"/>
      <c r="BG913" s="256" t="str">
        <f t="shared" si="441"/>
        <v/>
      </c>
      <c r="BH913" s="256" t="str">
        <f t="shared" si="442"/>
        <v/>
      </c>
      <c r="BI913" s="256" t="str">
        <f t="shared" si="443"/>
        <v/>
      </c>
      <c r="BJ913" s="267"/>
      <c r="BK913" s="255"/>
      <c r="BL913" s="259" t="str">
        <f>IF(BK913&lt;&gt;"",BK913/VLOOKUP($V913,Setup!$C$30:$D$41,2,0),"")</f>
        <v/>
      </c>
      <c r="BM913" s="268"/>
      <c r="BN913" s="258" t="str">
        <f t="shared" si="444"/>
        <v/>
      </c>
      <c r="BO913" s="268"/>
      <c r="BP913" s="258" t="str">
        <f t="shared" si="445"/>
        <v/>
      </c>
      <c r="BQ913" s="268"/>
      <c r="BR913" s="258" t="str">
        <f t="shared" si="446"/>
        <v/>
      </c>
      <c r="BS913" s="268"/>
      <c r="BT913" s="256" t="str">
        <f t="shared" si="447"/>
        <v/>
      </c>
      <c r="BU913" s="256" t="str">
        <f t="shared" si="448"/>
        <v/>
      </c>
      <c r="BV913" s="256" t="str">
        <f t="shared" si="449"/>
        <v/>
      </c>
      <c r="BW913" s="267"/>
      <c r="BX913" s="256" t="str">
        <f t="shared" si="450"/>
        <v/>
      </c>
      <c r="BY913" s="256" t="str">
        <f t="shared" si="451"/>
        <v/>
      </c>
      <c r="BZ913" s="281"/>
      <c r="CA913" s="282"/>
      <c r="CF913" s="284"/>
      <c r="CG913" s="284"/>
      <c r="CH913" s="284"/>
      <c r="CI913" s="284"/>
      <c r="CL913" s="356" t="str">
        <f>IFERROR(VLOOKUP(C913,'Data Sheet'!$A$3:$B$26,2,FALSE),"")</f>
        <v/>
      </c>
    </row>
    <row r="914" spans="1:90" ht="15.75" x14ac:dyDescent="0.2">
      <c r="A914" s="97"/>
      <c r="B914" s="105" t="str">
        <f t="shared" si="454"/>
        <v>--</v>
      </c>
      <c r="C914" s="276"/>
      <c r="D914" s="101" t="str">
        <f>IFERROR(IF(VLOOKUP(C914,'Data Sheet'!$A$3:$D$26,4,FALSE)=0,"",VLOOKUP(C914,'Data Sheet'!$A$3:$D$26,4,FALSE)),"")</f>
        <v/>
      </c>
      <c r="E914" s="279"/>
      <c r="F914" s="103" t="str">
        <f>IFERROR(IF(VLOOKUP(E914,'Data Sheet'!$C$29:$E$174,3,FALSE)=0,"",VLOOKUP(E914,'Data Sheet'!$C$29:$E$174,3,FALSE)),"")</f>
        <v/>
      </c>
      <c r="G914" s="106" t="str">
        <f t="shared" si="452"/>
        <v>-</v>
      </c>
      <c r="H914" s="273"/>
      <c r="I914" s="107"/>
      <c r="J914" s="249" t="e">
        <f t="shared" si="453"/>
        <v>#VALUE!</v>
      </c>
      <c r="K914" s="101" t="str">
        <f>IFERROR(INDEX('Data Sheet'!$C$198:$C$275,MATCH(I914,'Data Sheet'!$F$198:$F$275,0)),"")</f>
        <v/>
      </c>
      <c r="L914" s="250" t="str">
        <f>IFERROR(INDEX('Data Sheet'!$G$198:$G$275,MATCH(I914,'Data Sheet'!$F$198:$F$275,0)),"")</f>
        <v/>
      </c>
      <c r="M914" s="194"/>
      <c r="N914" s="248"/>
      <c r="O914" s="248"/>
      <c r="P914" s="108" t="str">
        <f>IFERROR(INDEX(Setup!$D$44:$D$70,MATCH(M914,Setup!$K$44:$K$70,0))&amp;"","")</f>
        <v/>
      </c>
      <c r="Q914" s="108" t="str">
        <f>IFERROR(INDEX(Setup!$E$44:$E$70,MATCH(M914,Setup!$K$44:$K$70,0))&amp;"","")</f>
        <v/>
      </c>
      <c r="R914" s="108" t="str">
        <f>IFERROR(INDEX(Setup!$L$44:$L$70,MATCH(M914,Setup!$K$44:$K$70,0))&amp;"","")</f>
        <v/>
      </c>
      <c r="S914" s="108" t="str">
        <f>Setup!$C$30</f>
        <v>USD</v>
      </c>
      <c r="T914" s="109" t="str">
        <f>IFERROR(INDEX('Data Sheet'!$B$198:$B$275,MATCH(I914,'Data Sheet'!$F$198:$F$275,0)),"")</f>
        <v/>
      </c>
      <c r="U914" s="110" t="str">
        <f>IFERROR(INDEX('Data Sheet'!$D$198:$D$275,MATCH(I914,'Data Sheet'!$F$198:$F$275,0)),"")</f>
        <v/>
      </c>
      <c r="V914" s="99"/>
      <c r="W914" s="195" t="str">
        <f>IF(V914=Setup!$C$30,"Grant",IF(V914=Setup!$C$31,"Local",IF(V914=Setup!$C$32,"Other",IF(ISBLANK(V914),"","Other"))))</f>
        <v/>
      </c>
      <c r="X914" s="255"/>
      <c r="Y914" s="259" t="str">
        <f>IF(X914&lt;&gt;"",X914/VLOOKUP($V914,Setup!$C$30:$D$41,2,0),"")</f>
        <v/>
      </c>
      <c r="Z914" s="262"/>
      <c r="AA914" s="256" t="str">
        <f t="shared" si="426"/>
        <v/>
      </c>
      <c r="AB914" s="262"/>
      <c r="AC914" s="258" t="str">
        <f t="shared" si="427"/>
        <v/>
      </c>
      <c r="AD914" s="262"/>
      <c r="AE914" s="258" t="str">
        <f t="shared" si="428"/>
        <v/>
      </c>
      <c r="AF914" s="262"/>
      <c r="AG914" s="256" t="str">
        <f t="shared" si="429"/>
        <v/>
      </c>
      <c r="AH914" s="256" t="str">
        <f t="shared" si="430"/>
        <v/>
      </c>
      <c r="AI914" s="256" t="str">
        <f t="shared" si="431"/>
        <v/>
      </c>
      <c r="AJ914" s="111"/>
      <c r="AK914" s="255"/>
      <c r="AL914" s="259" t="str">
        <f>IF(AK914&lt;&gt;"",AK914/VLOOKUP($V914,Setup!$C$30:$D$41,2,0),"")</f>
        <v/>
      </c>
      <c r="AM914" s="266"/>
      <c r="AN914" s="258" t="str">
        <f t="shared" si="432"/>
        <v/>
      </c>
      <c r="AO914" s="266"/>
      <c r="AP914" s="258" t="str">
        <f t="shared" si="433"/>
        <v/>
      </c>
      <c r="AQ914" s="266"/>
      <c r="AR914" s="258" t="str">
        <f t="shared" si="434"/>
        <v/>
      </c>
      <c r="AS914" s="266"/>
      <c r="AT914" s="256" t="str">
        <f t="shared" si="435"/>
        <v/>
      </c>
      <c r="AU914" s="256" t="str">
        <f t="shared" si="436"/>
        <v/>
      </c>
      <c r="AV914" s="256" t="str">
        <f t="shared" si="437"/>
        <v/>
      </c>
      <c r="AW914" s="267"/>
      <c r="AX914" s="255"/>
      <c r="AY914" s="259" t="str">
        <f>IF(AX914&lt;&gt;"",AX914/VLOOKUP($V914,Setup!$C$30:$D$41,2,0),"")</f>
        <v/>
      </c>
      <c r="AZ914" s="268"/>
      <c r="BA914" s="258" t="str">
        <f t="shared" si="438"/>
        <v/>
      </c>
      <c r="BB914" s="268"/>
      <c r="BC914" s="258" t="str">
        <f t="shared" si="439"/>
        <v/>
      </c>
      <c r="BD914" s="268"/>
      <c r="BE914" s="258" t="str">
        <f t="shared" si="440"/>
        <v/>
      </c>
      <c r="BF914" s="268"/>
      <c r="BG914" s="256" t="str">
        <f t="shared" si="441"/>
        <v/>
      </c>
      <c r="BH914" s="256" t="str">
        <f t="shared" si="442"/>
        <v/>
      </c>
      <c r="BI914" s="256" t="str">
        <f t="shared" si="443"/>
        <v/>
      </c>
      <c r="BJ914" s="267"/>
      <c r="BK914" s="255"/>
      <c r="BL914" s="259" t="str">
        <f>IF(BK914&lt;&gt;"",BK914/VLOOKUP($V914,Setup!$C$30:$D$41,2,0),"")</f>
        <v/>
      </c>
      <c r="BM914" s="268"/>
      <c r="BN914" s="258" t="str">
        <f t="shared" si="444"/>
        <v/>
      </c>
      <c r="BO914" s="268"/>
      <c r="BP914" s="258" t="str">
        <f t="shared" si="445"/>
        <v/>
      </c>
      <c r="BQ914" s="268"/>
      <c r="BR914" s="258" t="str">
        <f t="shared" si="446"/>
        <v/>
      </c>
      <c r="BS914" s="268"/>
      <c r="BT914" s="256" t="str">
        <f t="shared" si="447"/>
        <v/>
      </c>
      <c r="BU914" s="256" t="str">
        <f t="shared" si="448"/>
        <v/>
      </c>
      <c r="BV914" s="256" t="str">
        <f t="shared" si="449"/>
        <v/>
      </c>
      <c r="BW914" s="267"/>
      <c r="BX914" s="256" t="str">
        <f t="shared" si="450"/>
        <v/>
      </c>
      <c r="BY914" s="256" t="str">
        <f t="shared" si="451"/>
        <v/>
      </c>
      <c r="BZ914" s="281"/>
      <c r="CA914" s="282"/>
      <c r="CF914" s="284"/>
      <c r="CG914" s="284"/>
      <c r="CH914" s="284"/>
      <c r="CI914" s="284"/>
      <c r="CL914" s="356" t="str">
        <f>IFERROR(VLOOKUP(C914,'Data Sheet'!$A$3:$B$26,2,FALSE),"")</f>
        <v/>
      </c>
    </row>
    <row r="915" spans="1:90" ht="15.75" x14ac:dyDescent="0.2">
      <c r="A915" s="97"/>
      <c r="B915" s="105" t="str">
        <f t="shared" si="454"/>
        <v>--</v>
      </c>
      <c r="C915" s="276"/>
      <c r="D915" s="101" t="str">
        <f>IFERROR(IF(VLOOKUP(C915,'Data Sheet'!$A$3:$D$26,4,FALSE)=0,"",VLOOKUP(C915,'Data Sheet'!$A$3:$D$26,4,FALSE)),"")</f>
        <v/>
      </c>
      <c r="E915" s="279"/>
      <c r="F915" s="103" t="str">
        <f>IFERROR(IF(VLOOKUP(E915,'Data Sheet'!$C$29:$E$174,3,FALSE)=0,"",VLOOKUP(E915,'Data Sheet'!$C$29:$E$174,3,FALSE)),"")</f>
        <v/>
      </c>
      <c r="G915" s="106" t="str">
        <f t="shared" si="452"/>
        <v>-</v>
      </c>
      <c r="H915" s="273"/>
      <c r="I915" s="107"/>
      <c r="J915" s="249" t="e">
        <f t="shared" si="453"/>
        <v>#VALUE!</v>
      </c>
      <c r="K915" s="101" t="str">
        <f>IFERROR(INDEX('Data Sheet'!$C$198:$C$275,MATCH(I915,'Data Sheet'!$F$198:$F$275,0)),"")</f>
        <v/>
      </c>
      <c r="L915" s="250" t="str">
        <f>IFERROR(INDEX('Data Sheet'!$G$198:$G$275,MATCH(I915,'Data Sheet'!$F$198:$F$275,0)),"")</f>
        <v/>
      </c>
      <c r="M915" s="194"/>
      <c r="N915" s="248"/>
      <c r="O915" s="248"/>
      <c r="P915" s="108" t="str">
        <f>IFERROR(INDEX(Setup!$D$44:$D$70,MATCH(M915,Setup!$K$44:$K$70,0))&amp;"","")</f>
        <v/>
      </c>
      <c r="Q915" s="108" t="str">
        <f>IFERROR(INDEX(Setup!$E$44:$E$70,MATCH(M915,Setup!$K$44:$K$70,0))&amp;"","")</f>
        <v/>
      </c>
      <c r="R915" s="108" t="str">
        <f>IFERROR(INDEX(Setup!$L$44:$L$70,MATCH(M915,Setup!$K$44:$K$70,0))&amp;"","")</f>
        <v/>
      </c>
      <c r="S915" s="108" t="str">
        <f>Setup!$C$30</f>
        <v>USD</v>
      </c>
      <c r="T915" s="109" t="str">
        <f>IFERROR(INDEX('Data Sheet'!$B$198:$B$275,MATCH(I915,'Data Sheet'!$F$198:$F$275,0)),"")</f>
        <v/>
      </c>
      <c r="U915" s="110" t="str">
        <f>IFERROR(INDEX('Data Sheet'!$D$198:$D$275,MATCH(I915,'Data Sheet'!$F$198:$F$275,0)),"")</f>
        <v/>
      </c>
      <c r="V915" s="99"/>
      <c r="W915" s="195" t="str">
        <f>IF(V915=Setup!$C$30,"Grant",IF(V915=Setup!$C$31,"Local",IF(V915=Setup!$C$32,"Other",IF(ISBLANK(V915),"","Other"))))</f>
        <v/>
      </c>
      <c r="X915" s="255"/>
      <c r="Y915" s="259" t="str">
        <f>IF(X915&lt;&gt;"",X915/VLOOKUP($V915,Setup!$C$30:$D$41,2,0),"")</f>
        <v/>
      </c>
      <c r="Z915" s="262"/>
      <c r="AA915" s="256" t="str">
        <f t="shared" si="426"/>
        <v/>
      </c>
      <c r="AB915" s="262"/>
      <c r="AC915" s="258" t="str">
        <f t="shared" si="427"/>
        <v/>
      </c>
      <c r="AD915" s="262"/>
      <c r="AE915" s="258" t="str">
        <f t="shared" si="428"/>
        <v/>
      </c>
      <c r="AF915" s="262"/>
      <c r="AG915" s="256" t="str">
        <f t="shared" si="429"/>
        <v/>
      </c>
      <c r="AH915" s="256" t="str">
        <f t="shared" si="430"/>
        <v/>
      </c>
      <c r="AI915" s="256" t="str">
        <f t="shared" si="431"/>
        <v/>
      </c>
      <c r="AJ915" s="111"/>
      <c r="AK915" s="255"/>
      <c r="AL915" s="259" t="str">
        <f>IF(AK915&lt;&gt;"",AK915/VLOOKUP($V915,Setup!$C$30:$D$41,2,0),"")</f>
        <v/>
      </c>
      <c r="AM915" s="266"/>
      <c r="AN915" s="258" t="str">
        <f t="shared" si="432"/>
        <v/>
      </c>
      <c r="AO915" s="266"/>
      <c r="AP915" s="258" t="str">
        <f t="shared" si="433"/>
        <v/>
      </c>
      <c r="AQ915" s="266"/>
      <c r="AR915" s="258" t="str">
        <f t="shared" si="434"/>
        <v/>
      </c>
      <c r="AS915" s="266"/>
      <c r="AT915" s="256" t="str">
        <f t="shared" si="435"/>
        <v/>
      </c>
      <c r="AU915" s="256" t="str">
        <f t="shared" si="436"/>
        <v/>
      </c>
      <c r="AV915" s="256" t="str">
        <f t="shared" si="437"/>
        <v/>
      </c>
      <c r="AW915" s="267"/>
      <c r="AX915" s="255"/>
      <c r="AY915" s="259" t="str">
        <f>IF(AX915&lt;&gt;"",AX915/VLOOKUP($V915,Setup!$C$30:$D$41,2,0),"")</f>
        <v/>
      </c>
      <c r="AZ915" s="268"/>
      <c r="BA915" s="258" t="str">
        <f t="shared" si="438"/>
        <v/>
      </c>
      <c r="BB915" s="268"/>
      <c r="BC915" s="258" t="str">
        <f t="shared" si="439"/>
        <v/>
      </c>
      <c r="BD915" s="268"/>
      <c r="BE915" s="258" t="str">
        <f t="shared" si="440"/>
        <v/>
      </c>
      <c r="BF915" s="268"/>
      <c r="BG915" s="256" t="str">
        <f t="shared" si="441"/>
        <v/>
      </c>
      <c r="BH915" s="256" t="str">
        <f t="shared" si="442"/>
        <v/>
      </c>
      <c r="BI915" s="256" t="str">
        <f t="shared" si="443"/>
        <v/>
      </c>
      <c r="BJ915" s="267"/>
      <c r="BK915" s="255"/>
      <c r="BL915" s="259" t="str">
        <f>IF(BK915&lt;&gt;"",BK915/VLOOKUP($V915,Setup!$C$30:$D$41,2,0),"")</f>
        <v/>
      </c>
      <c r="BM915" s="268"/>
      <c r="BN915" s="258" t="str">
        <f t="shared" si="444"/>
        <v/>
      </c>
      <c r="BO915" s="268"/>
      <c r="BP915" s="258" t="str">
        <f t="shared" si="445"/>
        <v/>
      </c>
      <c r="BQ915" s="268"/>
      <c r="BR915" s="258" t="str">
        <f t="shared" si="446"/>
        <v/>
      </c>
      <c r="BS915" s="268"/>
      <c r="BT915" s="256" t="str">
        <f t="shared" si="447"/>
        <v/>
      </c>
      <c r="BU915" s="256" t="str">
        <f t="shared" si="448"/>
        <v/>
      </c>
      <c r="BV915" s="256" t="str">
        <f t="shared" si="449"/>
        <v/>
      </c>
      <c r="BW915" s="267"/>
      <c r="BX915" s="256" t="str">
        <f t="shared" si="450"/>
        <v/>
      </c>
      <c r="BY915" s="256" t="str">
        <f t="shared" si="451"/>
        <v/>
      </c>
      <c r="BZ915" s="281"/>
      <c r="CA915" s="282"/>
      <c r="CF915" s="284"/>
      <c r="CG915" s="284"/>
      <c r="CH915" s="284"/>
      <c r="CI915" s="284"/>
      <c r="CL915" s="356" t="str">
        <f>IFERROR(VLOOKUP(C915,'Data Sheet'!$A$3:$B$26,2,FALSE),"")</f>
        <v/>
      </c>
    </row>
    <row r="916" spans="1:90" ht="15.75" x14ac:dyDescent="0.2">
      <c r="A916" s="97"/>
      <c r="B916" s="105" t="str">
        <f t="shared" si="454"/>
        <v>--</v>
      </c>
      <c r="C916" s="276"/>
      <c r="D916" s="101" t="str">
        <f>IFERROR(IF(VLOOKUP(C916,'Data Sheet'!$A$3:$D$26,4,FALSE)=0,"",VLOOKUP(C916,'Data Sheet'!$A$3:$D$26,4,FALSE)),"")</f>
        <v/>
      </c>
      <c r="E916" s="279"/>
      <c r="F916" s="103" t="str">
        <f>IFERROR(IF(VLOOKUP(E916,'Data Sheet'!$C$29:$E$174,3,FALSE)=0,"",VLOOKUP(E916,'Data Sheet'!$C$29:$E$174,3,FALSE)),"")</f>
        <v/>
      </c>
      <c r="G916" s="106" t="str">
        <f t="shared" si="452"/>
        <v>-</v>
      </c>
      <c r="H916" s="273"/>
      <c r="I916" s="107"/>
      <c r="J916" s="249" t="e">
        <f t="shared" si="453"/>
        <v>#VALUE!</v>
      </c>
      <c r="K916" s="101" t="str">
        <f>IFERROR(INDEX('Data Sheet'!$C$198:$C$275,MATCH(I916,'Data Sheet'!$F$198:$F$275,0)),"")</f>
        <v/>
      </c>
      <c r="L916" s="250" t="str">
        <f>IFERROR(INDEX('Data Sheet'!$G$198:$G$275,MATCH(I916,'Data Sheet'!$F$198:$F$275,0)),"")</f>
        <v/>
      </c>
      <c r="M916" s="194"/>
      <c r="N916" s="248"/>
      <c r="O916" s="248"/>
      <c r="P916" s="108" t="str">
        <f>IFERROR(INDEX(Setup!$D$44:$D$70,MATCH(M916,Setup!$K$44:$K$70,0))&amp;"","")</f>
        <v/>
      </c>
      <c r="Q916" s="108" t="str">
        <f>IFERROR(INDEX(Setup!$E$44:$E$70,MATCH(M916,Setup!$K$44:$K$70,0))&amp;"","")</f>
        <v/>
      </c>
      <c r="R916" s="108" t="str">
        <f>IFERROR(INDEX(Setup!$L$44:$L$70,MATCH(M916,Setup!$K$44:$K$70,0))&amp;"","")</f>
        <v/>
      </c>
      <c r="S916" s="108" t="str">
        <f>Setup!$C$30</f>
        <v>USD</v>
      </c>
      <c r="T916" s="109" t="str">
        <f>IFERROR(INDEX('Data Sheet'!$B$198:$B$275,MATCH(I916,'Data Sheet'!$F$198:$F$275,0)),"")</f>
        <v/>
      </c>
      <c r="U916" s="110" t="str">
        <f>IFERROR(INDEX('Data Sheet'!$D$198:$D$275,MATCH(I916,'Data Sheet'!$F$198:$F$275,0)),"")</f>
        <v/>
      </c>
      <c r="V916" s="99"/>
      <c r="W916" s="195" t="str">
        <f>IF(V916=Setup!$C$30,"Grant",IF(V916=Setup!$C$31,"Local",IF(V916=Setup!$C$32,"Other",IF(ISBLANK(V916),"","Other"))))</f>
        <v/>
      </c>
      <c r="X916" s="255"/>
      <c r="Y916" s="259" t="str">
        <f>IF(X916&lt;&gt;"",X916/VLOOKUP($V916,Setup!$C$30:$D$41,2,0),"")</f>
        <v/>
      </c>
      <c r="Z916" s="262"/>
      <c r="AA916" s="256" t="str">
        <f t="shared" si="426"/>
        <v/>
      </c>
      <c r="AB916" s="262"/>
      <c r="AC916" s="258" t="str">
        <f t="shared" si="427"/>
        <v/>
      </c>
      <c r="AD916" s="262"/>
      <c r="AE916" s="258" t="str">
        <f t="shared" si="428"/>
        <v/>
      </c>
      <c r="AF916" s="262"/>
      <c r="AG916" s="256" t="str">
        <f t="shared" si="429"/>
        <v/>
      </c>
      <c r="AH916" s="256" t="str">
        <f t="shared" si="430"/>
        <v/>
      </c>
      <c r="AI916" s="256" t="str">
        <f t="shared" si="431"/>
        <v/>
      </c>
      <c r="AJ916" s="111"/>
      <c r="AK916" s="255"/>
      <c r="AL916" s="259" t="str">
        <f>IF(AK916&lt;&gt;"",AK916/VLOOKUP($V916,Setup!$C$30:$D$41,2,0),"")</f>
        <v/>
      </c>
      <c r="AM916" s="266"/>
      <c r="AN916" s="258" t="str">
        <f t="shared" si="432"/>
        <v/>
      </c>
      <c r="AO916" s="266"/>
      <c r="AP916" s="258" t="str">
        <f t="shared" si="433"/>
        <v/>
      </c>
      <c r="AQ916" s="266"/>
      <c r="AR916" s="258" t="str">
        <f t="shared" si="434"/>
        <v/>
      </c>
      <c r="AS916" s="266"/>
      <c r="AT916" s="256" t="str">
        <f t="shared" si="435"/>
        <v/>
      </c>
      <c r="AU916" s="256" t="str">
        <f t="shared" si="436"/>
        <v/>
      </c>
      <c r="AV916" s="256" t="str">
        <f t="shared" si="437"/>
        <v/>
      </c>
      <c r="AW916" s="267"/>
      <c r="AX916" s="255"/>
      <c r="AY916" s="259" t="str">
        <f>IF(AX916&lt;&gt;"",AX916/VLOOKUP($V916,Setup!$C$30:$D$41,2,0),"")</f>
        <v/>
      </c>
      <c r="AZ916" s="268"/>
      <c r="BA916" s="258" t="str">
        <f t="shared" si="438"/>
        <v/>
      </c>
      <c r="BB916" s="268"/>
      <c r="BC916" s="258" t="str">
        <f t="shared" si="439"/>
        <v/>
      </c>
      <c r="BD916" s="268"/>
      <c r="BE916" s="258" t="str">
        <f t="shared" si="440"/>
        <v/>
      </c>
      <c r="BF916" s="268"/>
      <c r="BG916" s="256" t="str">
        <f t="shared" si="441"/>
        <v/>
      </c>
      <c r="BH916" s="256" t="str">
        <f t="shared" si="442"/>
        <v/>
      </c>
      <c r="BI916" s="256" t="str">
        <f t="shared" si="443"/>
        <v/>
      </c>
      <c r="BJ916" s="267"/>
      <c r="BK916" s="255"/>
      <c r="BL916" s="259" t="str">
        <f>IF(BK916&lt;&gt;"",BK916/VLOOKUP($V916,Setup!$C$30:$D$41,2,0),"")</f>
        <v/>
      </c>
      <c r="BM916" s="268"/>
      <c r="BN916" s="258" t="str">
        <f t="shared" si="444"/>
        <v/>
      </c>
      <c r="BO916" s="268"/>
      <c r="BP916" s="258" t="str">
        <f t="shared" si="445"/>
        <v/>
      </c>
      <c r="BQ916" s="268"/>
      <c r="BR916" s="258" t="str">
        <f t="shared" si="446"/>
        <v/>
      </c>
      <c r="BS916" s="268"/>
      <c r="BT916" s="256" t="str">
        <f t="shared" si="447"/>
        <v/>
      </c>
      <c r="BU916" s="256" t="str">
        <f t="shared" si="448"/>
        <v/>
      </c>
      <c r="BV916" s="256" t="str">
        <f t="shared" si="449"/>
        <v/>
      </c>
      <c r="BW916" s="267"/>
      <c r="BX916" s="256" t="str">
        <f t="shared" si="450"/>
        <v/>
      </c>
      <c r="BY916" s="256" t="str">
        <f t="shared" si="451"/>
        <v/>
      </c>
      <c r="BZ916" s="281"/>
      <c r="CA916" s="282"/>
      <c r="CF916" s="284"/>
      <c r="CG916" s="284"/>
      <c r="CH916" s="284"/>
      <c r="CI916" s="284"/>
      <c r="CL916" s="356" t="str">
        <f>IFERROR(VLOOKUP(C916,'Data Sheet'!$A$3:$B$26,2,FALSE),"")</f>
        <v/>
      </c>
    </row>
    <row r="917" spans="1:90" ht="15.75" x14ac:dyDescent="0.2">
      <c r="A917" s="97"/>
      <c r="B917" s="105" t="str">
        <f t="shared" si="454"/>
        <v>--</v>
      </c>
      <c r="C917" s="276"/>
      <c r="D917" s="101" t="str">
        <f>IFERROR(IF(VLOOKUP(C917,'Data Sheet'!$A$3:$D$26,4,FALSE)=0,"",VLOOKUP(C917,'Data Sheet'!$A$3:$D$26,4,FALSE)),"")</f>
        <v/>
      </c>
      <c r="E917" s="279"/>
      <c r="F917" s="103" t="str">
        <f>IFERROR(IF(VLOOKUP(E917,'Data Sheet'!$C$29:$E$174,3,FALSE)=0,"",VLOOKUP(E917,'Data Sheet'!$C$29:$E$174,3,FALSE)),"")</f>
        <v/>
      </c>
      <c r="G917" s="106" t="str">
        <f t="shared" si="452"/>
        <v>-</v>
      </c>
      <c r="H917" s="273"/>
      <c r="I917" s="107"/>
      <c r="J917" s="249" t="e">
        <f t="shared" si="453"/>
        <v>#VALUE!</v>
      </c>
      <c r="K917" s="101" t="str">
        <f>IFERROR(INDEX('Data Sheet'!$C$198:$C$275,MATCH(I917,'Data Sheet'!$F$198:$F$275,0)),"")</f>
        <v/>
      </c>
      <c r="L917" s="250" t="str">
        <f>IFERROR(INDEX('Data Sheet'!$G$198:$G$275,MATCH(I917,'Data Sheet'!$F$198:$F$275,0)),"")</f>
        <v/>
      </c>
      <c r="M917" s="194"/>
      <c r="N917" s="248"/>
      <c r="O917" s="248"/>
      <c r="P917" s="108" t="str">
        <f>IFERROR(INDEX(Setup!$D$44:$D$70,MATCH(M917,Setup!$K$44:$K$70,0))&amp;"","")</f>
        <v/>
      </c>
      <c r="Q917" s="108" t="str">
        <f>IFERROR(INDEX(Setup!$E$44:$E$70,MATCH(M917,Setup!$K$44:$K$70,0))&amp;"","")</f>
        <v/>
      </c>
      <c r="R917" s="108" t="str">
        <f>IFERROR(INDEX(Setup!$L$44:$L$70,MATCH(M917,Setup!$K$44:$K$70,0))&amp;"","")</f>
        <v/>
      </c>
      <c r="S917" s="108" t="str">
        <f>Setup!$C$30</f>
        <v>USD</v>
      </c>
      <c r="T917" s="109" t="str">
        <f>IFERROR(INDEX('Data Sheet'!$B$198:$B$275,MATCH(I917,'Data Sheet'!$F$198:$F$275,0)),"")</f>
        <v/>
      </c>
      <c r="U917" s="110" t="str">
        <f>IFERROR(INDEX('Data Sheet'!$D$198:$D$275,MATCH(I917,'Data Sheet'!$F$198:$F$275,0)),"")</f>
        <v/>
      </c>
      <c r="V917" s="99"/>
      <c r="W917" s="195" t="str">
        <f>IF(V917=Setup!$C$30,"Grant",IF(V917=Setup!$C$31,"Local",IF(V917=Setup!$C$32,"Other",IF(ISBLANK(V917),"","Other"))))</f>
        <v/>
      </c>
      <c r="X917" s="255"/>
      <c r="Y917" s="259" t="str">
        <f>IF(X917&lt;&gt;"",X917/VLOOKUP($V917,Setup!$C$30:$D$41,2,0),"")</f>
        <v/>
      </c>
      <c r="Z917" s="262"/>
      <c r="AA917" s="256" t="str">
        <f t="shared" si="426"/>
        <v/>
      </c>
      <c r="AB917" s="262"/>
      <c r="AC917" s="258" t="str">
        <f t="shared" si="427"/>
        <v/>
      </c>
      <c r="AD917" s="262"/>
      <c r="AE917" s="258" t="str">
        <f t="shared" si="428"/>
        <v/>
      </c>
      <c r="AF917" s="262"/>
      <c r="AG917" s="256" t="str">
        <f t="shared" si="429"/>
        <v/>
      </c>
      <c r="AH917" s="256" t="str">
        <f t="shared" si="430"/>
        <v/>
      </c>
      <c r="AI917" s="256" t="str">
        <f t="shared" si="431"/>
        <v/>
      </c>
      <c r="AJ917" s="111"/>
      <c r="AK917" s="255"/>
      <c r="AL917" s="259" t="str">
        <f>IF(AK917&lt;&gt;"",AK917/VLOOKUP($V917,Setup!$C$30:$D$41,2,0),"")</f>
        <v/>
      </c>
      <c r="AM917" s="266"/>
      <c r="AN917" s="258" t="str">
        <f t="shared" si="432"/>
        <v/>
      </c>
      <c r="AO917" s="266"/>
      <c r="AP917" s="258" t="str">
        <f t="shared" si="433"/>
        <v/>
      </c>
      <c r="AQ917" s="266"/>
      <c r="AR917" s="258" t="str">
        <f t="shared" si="434"/>
        <v/>
      </c>
      <c r="AS917" s="266"/>
      <c r="AT917" s="256" t="str">
        <f t="shared" si="435"/>
        <v/>
      </c>
      <c r="AU917" s="256" t="str">
        <f t="shared" si="436"/>
        <v/>
      </c>
      <c r="AV917" s="256" t="str">
        <f t="shared" si="437"/>
        <v/>
      </c>
      <c r="AW917" s="267"/>
      <c r="AX917" s="255"/>
      <c r="AY917" s="259" t="str">
        <f>IF(AX917&lt;&gt;"",AX917/VLOOKUP($V917,Setup!$C$30:$D$41,2,0),"")</f>
        <v/>
      </c>
      <c r="AZ917" s="268"/>
      <c r="BA917" s="258" t="str">
        <f t="shared" si="438"/>
        <v/>
      </c>
      <c r="BB917" s="268"/>
      <c r="BC917" s="258" t="str">
        <f t="shared" si="439"/>
        <v/>
      </c>
      <c r="BD917" s="268"/>
      <c r="BE917" s="258" t="str">
        <f t="shared" si="440"/>
        <v/>
      </c>
      <c r="BF917" s="268"/>
      <c r="BG917" s="256" t="str">
        <f t="shared" si="441"/>
        <v/>
      </c>
      <c r="BH917" s="256" t="str">
        <f t="shared" si="442"/>
        <v/>
      </c>
      <c r="BI917" s="256" t="str">
        <f t="shared" si="443"/>
        <v/>
      </c>
      <c r="BJ917" s="267"/>
      <c r="BK917" s="255"/>
      <c r="BL917" s="259" t="str">
        <f>IF(BK917&lt;&gt;"",BK917/VLOOKUP($V917,Setup!$C$30:$D$41,2,0),"")</f>
        <v/>
      </c>
      <c r="BM917" s="268"/>
      <c r="BN917" s="258" t="str">
        <f t="shared" si="444"/>
        <v/>
      </c>
      <c r="BO917" s="268"/>
      <c r="BP917" s="258" t="str">
        <f t="shared" si="445"/>
        <v/>
      </c>
      <c r="BQ917" s="268"/>
      <c r="BR917" s="258" t="str">
        <f t="shared" si="446"/>
        <v/>
      </c>
      <c r="BS917" s="268"/>
      <c r="BT917" s="256" t="str">
        <f t="shared" si="447"/>
        <v/>
      </c>
      <c r="BU917" s="256" t="str">
        <f t="shared" si="448"/>
        <v/>
      </c>
      <c r="BV917" s="256" t="str">
        <f t="shared" si="449"/>
        <v/>
      </c>
      <c r="BW917" s="267"/>
      <c r="BX917" s="256" t="str">
        <f t="shared" si="450"/>
        <v/>
      </c>
      <c r="BY917" s="256" t="str">
        <f t="shared" si="451"/>
        <v/>
      </c>
      <c r="BZ917" s="281"/>
      <c r="CA917" s="282"/>
      <c r="CF917" s="284"/>
      <c r="CG917" s="284"/>
      <c r="CH917" s="284"/>
      <c r="CI917" s="284"/>
      <c r="CL917" s="356" t="str">
        <f>IFERROR(VLOOKUP(C917,'Data Sheet'!$A$3:$B$26,2,FALSE),"")</f>
        <v/>
      </c>
    </row>
    <row r="918" spans="1:90" ht="15.75" x14ac:dyDescent="0.2">
      <c r="A918" s="97"/>
      <c r="B918" s="105" t="str">
        <f t="shared" si="454"/>
        <v>--</v>
      </c>
      <c r="C918" s="276"/>
      <c r="D918" s="101" t="str">
        <f>IFERROR(IF(VLOOKUP(C918,'Data Sheet'!$A$3:$D$26,4,FALSE)=0,"",VLOOKUP(C918,'Data Sheet'!$A$3:$D$26,4,FALSE)),"")</f>
        <v/>
      </c>
      <c r="E918" s="279"/>
      <c r="F918" s="103" t="str">
        <f>IFERROR(IF(VLOOKUP(E918,'Data Sheet'!$C$29:$E$174,3,FALSE)=0,"",VLOOKUP(E918,'Data Sheet'!$C$29:$E$174,3,FALSE)),"")</f>
        <v/>
      </c>
      <c r="G918" s="106" t="str">
        <f t="shared" si="452"/>
        <v>-</v>
      </c>
      <c r="H918" s="273"/>
      <c r="I918" s="107"/>
      <c r="J918" s="249" t="e">
        <f t="shared" si="453"/>
        <v>#VALUE!</v>
      </c>
      <c r="K918" s="101" t="str">
        <f>IFERROR(INDEX('Data Sheet'!$C$198:$C$275,MATCH(I918,'Data Sheet'!$F$198:$F$275,0)),"")</f>
        <v/>
      </c>
      <c r="L918" s="250" t="str">
        <f>IFERROR(INDEX('Data Sheet'!$G$198:$G$275,MATCH(I918,'Data Sheet'!$F$198:$F$275,0)),"")</f>
        <v/>
      </c>
      <c r="M918" s="194"/>
      <c r="N918" s="248"/>
      <c r="O918" s="248"/>
      <c r="P918" s="108" t="str">
        <f>IFERROR(INDEX(Setup!$D$44:$D$70,MATCH(M918,Setup!$K$44:$K$70,0))&amp;"","")</f>
        <v/>
      </c>
      <c r="Q918" s="108" t="str">
        <f>IFERROR(INDEX(Setup!$E$44:$E$70,MATCH(M918,Setup!$K$44:$K$70,0))&amp;"","")</f>
        <v/>
      </c>
      <c r="R918" s="108" t="str">
        <f>IFERROR(INDEX(Setup!$L$44:$L$70,MATCH(M918,Setup!$K$44:$K$70,0))&amp;"","")</f>
        <v/>
      </c>
      <c r="S918" s="108" t="str">
        <f>Setup!$C$30</f>
        <v>USD</v>
      </c>
      <c r="T918" s="109" t="str">
        <f>IFERROR(INDEX('Data Sheet'!$B$198:$B$275,MATCH(I918,'Data Sheet'!$F$198:$F$275,0)),"")</f>
        <v/>
      </c>
      <c r="U918" s="110" t="str">
        <f>IFERROR(INDEX('Data Sheet'!$D$198:$D$275,MATCH(I918,'Data Sheet'!$F$198:$F$275,0)),"")</f>
        <v/>
      </c>
      <c r="V918" s="99"/>
      <c r="W918" s="195" t="str">
        <f>IF(V918=Setup!$C$30,"Grant",IF(V918=Setup!$C$31,"Local",IF(V918=Setup!$C$32,"Other",IF(ISBLANK(V918),"","Other"))))</f>
        <v/>
      </c>
      <c r="X918" s="255"/>
      <c r="Y918" s="259" t="str">
        <f>IF(X918&lt;&gt;"",X918/VLOOKUP($V918,Setup!$C$30:$D$41,2,0),"")</f>
        <v/>
      </c>
      <c r="Z918" s="262"/>
      <c r="AA918" s="256" t="str">
        <f t="shared" si="426"/>
        <v/>
      </c>
      <c r="AB918" s="262"/>
      <c r="AC918" s="258" t="str">
        <f t="shared" si="427"/>
        <v/>
      </c>
      <c r="AD918" s="262"/>
      <c r="AE918" s="258" t="str">
        <f t="shared" si="428"/>
        <v/>
      </c>
      <c r="AF918" s="262"/>
      <c r="AG918" s="256" t="str">
        <f t="shared" si="429"/>
        <v/>
      </c>
      <c r="AH918" s="256" t="str">
        <f t="shared" si="430"/>
        <v/>
      </c>
      <c r="AI918" s="256" t="str">
        <f t="shared" si="431"/>
        <v/>
      </c>
      <c r="AJ918" s="111"/>
      <c r="AK918" s="255"/>
      <c r="AL918" s="259" t="str">
        <f>IF(AK918&lt;&gt;"",AK918/VLOOKUP($V918,Setup!$C$30:$D$41,2,0),"")</f>
        <v/>
      </c>
      <c r="AM918" s="266"/>
      <c r="AN918" s="258" t="str">
        <f t="shared" si="432"/>
        <v/>
      </c>
      <c r="AO918" s="266"/>
      <c r="AP918" s="258" t="str">
        <f t="shared" si="433"/>
        <v/>
      </c>
      <c r="AQ918" s="266"/>
      <c r="AR918" s="258" t="str">
        <f t="shared" si="434"/>
        <v/>
      </c>
      <c r="AS918" s="266"/>
      <c r="AT918" s="256" t="str">
        <f t="shared" si="435"/>
        <v/>
      </c>
      <c r="AU918" s="256" t="str">
        <f t="shared" si="436"/>
        <v/>
      </c>
      <c r="AV918" s="256" t="str">
        <f t="shared" si="437"/>
        <v/>
      </c>
      <c r="AW918" s="267"/>
      <c r="AX918" s="255"/>
      <c r="AY918" s="259" t="str">
        <f>IF(AX918&lt;&gt;"",AX918/VLOOKUP($V918,Setup!$C$30:$D$41,2,0),"")</f>
        <v/>
      </c>
      <c r="AZ918" s="268"/>
      <c r="BA918" s="258" t="str">
        <f t="shared" si="438"/>
        <v/>
      </c>
      <c r="BB918" s="268"/>
      <c r="BC918" s="258" t="str">
        <f t="shared" si="439"/>
        <v/>
      </c>
      <c r="BD918" s="268"/>
      <c r="BE918" s="258" t="str">
        <f t="shared" si="440"/>
        <v/>
      </c>
      <c r="BF918" s="268"/>
      <c r="BG918" s="256" t="str">
        <f t="shared" si="441"/>
        <v/>
      </c>
      <c r="BH918" s="256" t="str">
        <f t="shared" si="442"/>
        <v/>
      </c>
      <c r="BI918" s="256" t="str">
        <f t="shared" si="443"/>
        <v/>
      </c>
      <c r="BJ918" s="267"/>
      <c r="BK918" s="255"/>
      <c r="BL918" s="259" t="str">
        <f>IF(BK918&lt;&gt;"",BK918/VLOOKUP($V918,Setup!$C$30:$D$41,2,0),"")</f>
        <v/>
      </c>
      <c r="BM918" s="268"/>
      <c r="BN918" s="258" t="str">
        <f t="shared" si="444"/>
        <v/>
      </c>
      <c r="BO918" s="268"/>
      <c r="BP918" s="258" t="str">
        <f t="shared" si="445"/>
        <v/>
      </c>
      <c r="BQ918" s="268"/>
      <c r="BR918" s="258" t="str">
        <f t="shared" si="446"/>
        <v/>
      </c>
      <c r="BS918" s="268"/>
      <c r="BT918" s="256" t="str">
        <f t="shared" si="447"/>
        <v/>
      </c>
      <c r="BU918" s="256" t="str">
        <f t="shared" si="448"/>
        <v/>
      </c>
      <c r="BV918" s="256" t="str">
        <f t="shared" si="449"/>
        <v/>
      </c>
      <c r="BW918" s="267"/>
      <c r="BX918" s="256" t="str">
        <f t="shared" si="450"/>
        <v/>
      </c>
      <c r="BY918" s="256" t="str">
        <f t="shared" si="451"/>
        <v/>
      </c>
      <c r="BZ918" s="281"/>
      <c r="CA918" s="282"/>
      <c r="CF918" s="284"/>
      <c r="CG918" s="284"/>
      <c r="CH918" s="284"/>
      <c r="CI918" s="284"/>
      <c r="CL918" s="356" t="str">
        <f>IFERROR(VLOOKUP(C918,'Data Sheet'!$A$3:$B$26,2,FALSE),"")</f>
        <v/>
      </c>
    </row>
    <row r="919" spans="1:90" ht="15.75" x14ac:dyDescent="0.2">
      <c r="A919" s="97"/>
      <c r="B919" s="105" t="str">
        <f t="shared" si="454"/>
        <v>--</v>
      </c>
      <c r="C919" s="276"/>
      <c r="D919" s="101" t="str">
        <f>IFERROR(IF(VLOOKUP(C919,'Data Sheet'!$A$3:$D$26,4,FALSE)=0,"",VLOOKUP(C919,'Data Sheet'!$A$3:$D$26,4,FALSE)),"")</f>
        <v/>
      </c>
      <c r="E919" s="279"/>
      <c r="F919" s="103" t="str">
        <f>IFERROR(IF(VLOOKUP(E919,'Data Sheet'!$C$29:$E$174,3,FALSE)=0,"",VLOOKUP(E919,'Data Sheet'!$C$29:$E$174,3,FALSE)),"")</f>
        <v/>
      </c>
      <c r="G919" s="106" t="str">
        <f t="shared" si="452"/>
        <v>-</v>
      </c>
      <c r="H919" s="273"/>
      <c r="I919" s="107"/>
      <c r="J919" s="249" t="e">
        <f t="shared" si="453"/>
        <v>#VALUE!</v>
      </c>
      <c r="K919" s="101" t="str">
        <f>IFERROR(INDEX('Data Sheet'!$C$198:$C$275,MATCH(I919,'Data Sheet'!$F$198:$F$275,0)),"")</f>
        <v/>
      </c>
      <c r="L919" s="250" t="str">
        <f>IFERROR(INDEX('Data Sheet'!$G$198:$G$275,MATCH(I919,'Data Sheet'!$F$198:$F$275,0)),"")</f>
        <v/>
      </c>
      <c r="M919" s="194"/>
      <c r="N919" s="248"/>
      <c r="O919" s="248"/>
      <c r="P919" s="108" t="str">
        <f>IFERROR(INDEX(Setup!$D$44:$D$70,MATCH(M919,Setup!$K$44:$K$70,0))&amp;"","")</f>
        <v/>
      </c>
      <c r="Q919" s="108" t="str">
        <f>IFERROR(INDEX(Setup!$E$44:$E$70,MATCH(M919,Setup!$K$44:$K$70,0))&amp;"","")</f>
        <v/>
      </c>
      <c r="R919" s="108" t="str">
        <f>IFERROR(INDEX(Setup!$L$44:$L$70,MATCH(M919,Setup!$K$44:$K$70,0))&amp;"","")</f>
        <v/>
      </c>
      <c r="S919" s="108" t="str">
        <f>Setup!$C$30</f>
        <v>USD</v>
      </c>
      <c r="T919" s="109" t="str">
        <f>IFERROR(INDEX('Data Sheet'!$B$198:$B$275,MATCH(I919,'Data Sheet'!$F$198:$F$275,0)),"")</f>
        <v/>
      </c>
      <c r="U919" s="110" t="str">
        <f>IFERROR(INDEX('Data Sheet'!$D$198:$D$275,MATCH(I919,'Data Sheet'!$F$198:$F$275,0)),"")</f>
        <v/>
      </c>
      <c r="V919" s="99"/>
      <c r="W919" s="195" t="str">
        <f>IF(V919=Setup!$C$30,"Grant",IF(V919=Setup!$C$31,"Local",IF(V919=Setup!$C$32,"Other",IF(ISBLANK(V919),"","Other"))))</f>
        <v/>
      </c>
      <c r="X919" s="255"/>
      <c r="Y919" s="259" t="str">
        <f>IF(X919&lt;&gt;"",X919/VLOOKUP($V919,Setup!$C$30:$D$41,2,0),"")</f>
        <v/>
      </c>
      <c r="Z919" s="262"/>
      <c r="AA919" s="256" t="str">
        <f t="shared" si="426"/>
        <v/>
      </c>
      <c r="AB919" s="262"/>
      <c r="AC919" s="258" t="str">
        <f t="shared" si="427"/>
        <v/>
      </c>
      <c r="AD919" s="262"/>
      <c r="AE919" s="258" t="str">
        <f t="shared" si="428"/>
        <v/>
      </c>
      <c r="AF919" s="262"/>
      <c r="AG919" s="256" t="str">
        <f t="shared" si="429"/>
        <v/>
      </c>
      <c r="AH919" s="256" t="str">
        <f t="shared" si="430"/>
        <v/>
      </c>
      <c r="AI919" s="256" t="str">
        <f t="shared" si="431"/>
        <v/>
      </c>
      <c r="AJ919" s="111"/>
      <c r="AK919" s="255"/>
      <c r="AL919" s="259" t="str">
        <f>IF(AK919&lt;&gt;"",AK919/VLOOKUP($V919,Setup!$C$30:$D$41,2,0),"")</f>
        <v/>
      </c>
      <c r="AM919" s="266"/>
      <c r="AN919" s="258" t="str">
        <f t="shared" si="432"/>
        <v/>
      </c>
      <c r="AO919" s="266"/>
      <c r="AP919" s="258" t="str">
        <f t="shared" si="433"/>
        <v/>
      </c>
      <c r="AQ919" s="266"/>
      <c r="AR919" s="258" t="str">
        <f t="shared" si="434"/>
        <v/>
      </c>
      <c r="AS919" s="266"/>
      <c r="AT919" s="256" t="str">
        <f t="shared" si="435"/>
        <v/>
      </c>
      <c r="AU919" s="256" t="str">
        <f t="shared" si="436"/>
        <v/>
      </c>
      <c r="AV919" s="256" t="str">
        <f t="shared" si="437"/>
        <v/>
      </c>
      <c r="AW919" s="267"/>
      <c r="AX919" s="255"/>
      <c r="AY919" s="259" t="str">
        <f>IF(AX919&lt;&gt;"",AX919/VLOOKUP($V919,Setup!$C$30:$D$41,2,0),"")</f>
        <v/>
      </c>
      <c r="AZ919" s="268"/>
      <c r="BA919" s="258" t="str">
        <f t="shared" si="438"/>
        <v/>
      </c>
      <c r="BB919" s="268"/>
      <c r="BC919" s="258" t="str">
        <f t="shared" si="439"/>
        <v/>
      </c>
      <c r="BD919" s="268"/>
      <c r="BE919" s="258" t="str">
        <f t="shared" si="440"/>
        <v/>
      </c>
      <c r="BF919" s="268"/>
      <c r="BG919" s="256" t="str">
        <f t="shared" si="441"/>
        <v/>
      </c>
      <c r="BH919" s="256" t="str">
        <f t="shared" si="442"/>
        <v/>
      </c>
      <c r="BI919" s="256" t="str">
        <f t="shared" si="443"/>
        <v/>
      </c>
      <c r="BJ919" s="267"/>
      <c r="BK919" s="255"/>
      <c r="BL919" s="259" t="str">
        <f>IF(BK919&lt;&gt;"",BK919/VLOOKUP($V919,Setup!$C$30:$D$41,2,0),"")</f>
        <v/>
      </c>
      <c r="BM919" s="268"/>
      <c r="BN919" s="258" t="str">
        <f t="shared" si="444"/>
        <v/>
      </c>
      <c r="BO919" s="268"/>
      <c r="BP919" s="258" t="str">
        <f t="shared" si="445"/>
        <v/>
      </c>
      <c r="BQ919" s="268"/>
      <c r="BR919" s="258" t="str">
        <f t="shared" si="446"/>
        <v/>
      </c>
      <c r="BS919" s="268"/>
      <c r="BT919" s="256" t="str">
        <f t="shared" si="447"/>
        <v/>
      </c>
      <c r="BU919" s="256" t="str">
        <f t="shared" si="448"/>
        <v/>
      </c>
      <c r="BV919" s="256" t="str">
        <f t="shared" si="449"/>
        <v/>
      </c>
      <c r="BW919" s="267"/>
      <c r="BX919" s="256" t="str">
        <f t="shared" si="450"/>
        <v/>
      </c>
      <c r="BY919" s="256" t="str">
        <f t="shared" si="451"/>
        <v/>
      </c>
      <c r="BZ919" s="281"/>
      <c r="CA919" s="282"/>
      <c r="CF919" s="284"/>
      <c r="CG919" s="284"/>
      <c r="CH919" s="284"/>
      <c r="CI919" s="284"/>
      <c r="CL919" s="356" t="str">
        <f>IFERROR(VLOOKUP(C919,'Data Sheet'!$A$3:$B$26,2,FALSE),"")</f>
        <v/>
      </c>
    </row>
    <row r="920" spans="1:90" ht="15.75" x14ac:dyDescent="0.2">
      <c r="A920" s="97"/>
      <c r="B920" s="105" t="str">
        <f t="shared" si="454"/>
        <v>--</v>
      </c>
      <c r="C920" s="276"/>
      <c r="D920" s="101" t="str">
        <f>IFERROR(IF(VLOOKUP(C920,'Data Sheet'!$A$3:$D$26,4,FALSE)=0,"",VLOOKUP(C920,'Data Sheet'!$A$3:$D$26,4,FALSE)),"")</f>
        <v/>
      </c>
      <c r="E920" s="279"/>
      <c r="F920" s="103" t="str">
        <f>IFERROR(IF(VLOOKUP(E920,'Data Sheet'!$C$29:$E$174,3,FALSE)=0,"",VLOOKUP(E920,'Data Sheet'!$C$29:$E$174,3,FALSE)),"")</f>
        <v/>
      </c>
      <c r="G920" s="106" t="str">
        <f t="shared" si="452"/>
        <v>-</v>
      </c>
      <c r="H920" s="273"/>
      <c r="I920" s="107"/>
      <c r="J920" s="249" t="e">
        <f t="shared" si="453"/>
        <v>#VALUE!</v>
      </c>
      <c r="K920" s="101" t="str">
        <f>IFERROR(INDEX('Data Sheet'!$C$198:$C$275,MATCH(I920,'Data Sheet'!$F$198:$F$275,0)),"")</f>
        <v/>
      </c>
      <c r="L920" s="250" t="str">
        <f>IFERROR(INDEX('Data Sheet'!$G$198:$G$275,MATCH(I920,'Data Sheet'!$F$198:$F$275,0)),"")</f>
        <v/>
      </c>
      <c r="M920" s="194"/>
      <c r="N920" s="248"/>
      <c r="O920" s="248"/>
      <c r="P920" s="108" t="str">
        <f>IFERROR(INDEX(Setup!$D$44:$D$70,MATCH(M920,Setup!$K$44:$K$70,0))&amp;"","")</f>
        <v/>
      </c>
      <c r="Q920" s="108" t="str">
        <f>IFERROR(INDEX(Setup!$E$44:$E$70,MATCH(M920,Setup!$K$44:$K$70,0))&amp;"","")</f>
        <v/>
      </c>
      <c r="R920" s="108" t="str">
        <f>IFERROR(INDEX(Setup!$L$44:$L$70,MATCH(M920,Setup!$K$44:$K$70,0))&amp;"","")</f>
        <v/>
      </c>
      <c r="S920" s="108" t="str">
        <f>Setup!$C$30</f>
        <v>USD</v>
      </c>
      <c r="T920" s="109" t="str">
        <f>IFERROR(INDEX('Data Sheet'!$B$198:$B$275,MATCH(I920,'Data Sheet'!$F$198:$F$275,0)),"")</f>
        <v/>
      </c>
      <c r="U920" s="110" t="str">
        <f>IFERROR(INDEX('Data Sheet'!$D$198:$D$275,MATCH(I920,'Data Sheet'!$F$198:$F$275,0)),"")</f>
        <v/>
      </c>
      <c r="V920" s="99"/>
      <c r="W920" s="195" t="str">
        <f>IF(V920=Setup!$C$30,"Grant",IF(V920=Setup!$C$31,"Local",IF(V920=Setup!$C$32,"Other",IF(ISBLANK(V920),"","Other"))))</f>
        <v/>
      </c>
      <c r="X920" s="255"/>
      <c r="Y920" s="259" t="str">
        <f>IF(X920&lt;&gt;"",X920/VLOOKUP($V920,Setup!$C$30:$D$41,2,0),"")</f>
        <v/>
      </c>
      <c r="Z920" s="262"/>
      <c r="AA920" s="256" t="str">
        <f t="shared" si="426"/>
        <v/>
      </c>
      <c r="AB920" s="262"/>
      <c r="AC920" s="258" t="str">
        <f t="shared" si="427"/>
        <v/>
      </c>
      <c r="AD920" s="262"/>
      <c r="AE920" s="258" t="str">
        <f t="shared" si="428"/>
        <v/>
      </c>
      <c r="AF920" s="262"/>
      <c r="AG920" s="256" t="str">
        <f t="shared" si="429"/>
        <v/>
      </c>
      <c r="AH920" s="256" t="str">
        <f t="shared" si="430"/>
        <v/>
      </c>
      <c r="AI920" s="256" t="str">
        <f t="shared" si="431"/>
        <v/>
      </c>
      <c r="AJ920" s="111"/>
      <c r="AK920" s="255"/>
      <c r="AL920" s="259" t="str">
        <f>IF(AK920&lt;&gt;"",AK920/VLOOKUP($V920,Setup!$C$30:$D$41,2,0),"")</f>
        <v/>
      </c>
      <c r="AM920" s="266"/>
      <c r="AN920" s="258" t="str">
        <f t="shared" si="432"/>
        <v/>
      </c>
      <c r="AO920" s="266"/>
      <c r="AP920" s="258" t="str">
        <f t="shared" si="433"/>
        <v/>
      </c>
      <c r="AQ920" s="266"/>
      <c r="AR920" s="258" t="str">
        <f t="shared" si="434"/>
        <v/>
      </c>
      <c r="AS920" s="266"/>
      <c r="AT920" s="256" t="str">
        <f t="shared" si="435"/>
        <v/>
      </c>
      <c r="AU920" s="256" t="str">
        <f t="shared" si="436"/>
        <v/>
      </c>
      <c r="AV920" s="256" t="str">
        <f t="shared" si="437"/>
        <v/>
      </c>
      <c r="AW920" s="267"/>
      <c r="AX920" s="255"/>
      <c r="AY920" s="259" t="str">
        <f>IF(AX920&lt;&gt;"",AX920/VLOOKUP($V920,Setup!$C$30:$D$41,2,0),"")</f>
        <v/>
      </c>
      <c r="AZ920" s="268"/>
      <c r="BA920" s="258" t="str">
        <f t="shared" si="438"/>
        <v/>
      </c>
      <c r="BB920" s="268"/>
      <c r="BC920" s="258" t="str">
        <f t="shared" si="439"/>
        <v/>
      </c>
      <c r="BD920" s="268"/>
      <c r="BE920" s="258" t="str">
        <f t="shared" si="440"/>
        <v/>
      </c>
      <c r="BF920" s="268"/>
      <c r="BG920" s="256" t="str">
        <f t="shared" si="441"/>
        <v/>
      </c>
      <c r="BH920" s="256" t="str">
        <f t="shared" si="442"/>
        <v/>
      </c>
      <c r="BI920" s="256" t="str">
        <f t="shared" si="443"/>
        <v/>
      </c>
      <c r="BJ920" s="267"/>
      <c r="BK920" s="255"/>
      <c r="BL920" s="259" t="str">
        <f>IF(BK920&lt;&gt;"",BK920/VLOOKUP($V920,Setup!$C$30:$D$41,2,0),"")</f>
        <v/>
      </c>
      <c r="BM920" s="268"/>
      <c r="BN920" s="258" t="str">
        <f t="shared" si="444"/>
        <v/>
      </c>
      <c r="BO920" s="268"/>
      <c r="BP920" s="258" t="str">
        <f t="shared" si="445"/>
        <v/>
      </c>
      <c r="BQ920" s="268"/>
      <c r="BR920" s="258" t="str">
        <f t="shared" si="446"/>
        <v/>
      </c>
      <c r="BS920" s="268"/>
      <c r="BT920" s="256" t="str">
        <f t="shared" si="447"/>
        <v/>
      </c>
      <c r="BU920" s="256" t="str">
        <f t="shared" si="448"/>
        <v/>
      </c>
      <c r="BV920" s="256" t="str">
        <f t="shared" si="449"/>
        <v/>
      </c>
      <c r="BW920" s="267"/>
      <c r="BX920" s="256" t="str">
        <f t="shared" si="450"/>
        <v/>
      </c>
      <c r="BY920" s="256" t="str">
        <f t="shared" si="451"/>
        <v/>
      </c>
      <c r="BZ920" s="281"/>
      <c r="CA920" s="282"/>
      <c r="CF920" s="284"/>
      <c r="CG920" s="284"/>
      <c r="CH920" s="284"/>
      <c r="CI920" s="284"/>
      <c r="CL920" s="356" t="str">
        <f>IFERROR(VLOOKUP(C920,'Data Sheet'!$A$3:$B$26,2,FALSE),"")</f>
        <v/>
      </c>
    </row>
    <row r="921" spans="1:90" ht="15.75" x14ac:dyDescent="0.2">
      <c r="A921" s="97"/>
      <c r="B921" s="105" t="str">
        <f t="shared" si="454"/>
        <v>--</v>
      </c>
      <c r="C921" s="276"/>
      <c r="D921" s="101" t="str">
        <f>IFERROR(IF(VLOOKUP(C921,'Data Sheet'!$A$3:$D$26,4,FALSE)=0,"",VLOOKUP(C921,'Data Sheet'!$A$3:$D$26,4,FALSE)),"")</f>
        <v/>
      </c>
      <c r="E921" s="279"/>
      <c r="F921" s="103" t="str">
        <f>IFERROR(IF(VLOOKUP(E921,'Data Sheet'!$C$29:$E$174,3,FALSE)=0,"",VLOOKUP(E921,'Data Sheet'!$C$29:$E$174,3,FALSE)),"")</f>
        <v/>
      </c>
      <c r="G921" s="106" t="str">
        <f t="shared" si="452"/>
        <v>-</v>
      </c>
      <c r="H921" s="273"/>
      <c r="I921" s="107"/>
      <c r="J921" s="249" t="e">
        <f t="shared" si="453"/>
        <v>#VALUE!</v>
      </c>
      <c r="K921" s="101" t="str">
        <f>IFERROR(INDEX('Data Sheet'!$C$198:$C$275,MATCH(I921,'Data Sheet'!$F$198:$F$275,0)),"")</f>
        <v/>
      </c>
      <c r="L921" s="250" t="str">
        <f>IFERROR(INDEX('Data Sheet'!$G$198:$G$275,MATCH(I921,'Data Sheet'!$F$198:$F$275,0)),"")</f>
        <v/>
      </c>
      <c r="M921" s="194"/>
      <c r="N921" s="248"/>
      <c r="O921" s="248"/>
      <c r="P921" s="108" t="str">
        <f>IFERROR(INDEX(Setup!$D$44:$D$70,MATCH(M921,Setup!$K$44:$K$70,0))&amp;"","")</f>
        <v/>
      </c>
      <c r="Q921" s="108" t="str">
        <f>IFERROR(INDEX(Setup!$E$44:$E$70,MATCH(M921,Setup!$K$44:$K$70,0))&amp;"","")</f>
        <v/>
      </c>
      <c r="R921" s="108" t="str">
        <f>IFERROR(INDEX(Setup!$L$44:$L$70,MATCH(M921,Setup!$K$44:$K$70,0))&amp;"","")</f>
        <v/>
      </c>
      <c r="S921" s="108" t="str">
        <f>Setup!$C$30</f>
        <v>USD</v>
      </c>
      <c r="T921" s="109" t="str">
        <f>IFERROR(INDEX('Data Sheet'!$B$198:$B$275,MATCH(I921,'Data Sheet'!$F$198:$F$275,0)),"")</f>
        <v/>
      </c>
      <c r="U921" s="110" t="str">
        <f>IFERROR(INDEX('Data Sheet'!$D$198:$D$275,MATCH(I921,'Data Sheet'!$F$198:$F$275,0)),"")</f>
        <v/>
      </c>
      <c r="V921" s="99"/>
      <c r="W921" s="195" t="str">
        <f>IF(V921=Setup!$C$30,"Grant",IF(V921=Setup!$C$31,"Local",IF(V921=Setup!$C$32,"Other",IF(ISBLANK(V921),"","Other"))))</f>
        <v/>
      </c>
      <c r="X921" s="255"/>
      <c r="Y921" s="259" t="str">
        <f>IF(X921&lt;&gt;"",X921/VLOOKUP($V921,Setup!$C$30:$D$41,2,0),"")</f>
        <v/>
      </c>
      <c r="Z921" s="262"/>
      <c r="AA921" s="256" t="str">
        <f t="shared" si="426"/>
        <v/>
      </c>
      <c r="AB921" s="262"/>
      <c r="AC921" s="258" t="str">
        <f t="shared" si="427"/>
        <v/>
      </c>
      <c r="AD921" s="262"/>
      <c r="AE921" s="258" t="str">
        <f t="shared" si="428"/>
        <v/>
      </c>
      <c r="AF921" s="262"/>
      <c r="AG921" s="256" t="str">
        <f t="shared" si="429"/>
        <v/>
      </c>
      <c r="AH921" s="256" t="str">
        <f t="shared" si="430"/>
        <v/>
      </c>
      <c r="AI921" s="256" t="str">
        <f t="shared" si="431"/>
        <v/>
      </c>
      <c r="AJ921" s="111"/>
      <c r="AK921" s="255"/>
      <c r="AL921" s="259" t="str">
        <f>IF(AK921&lt;&gt;"",AK921/VLOOKUP($V921,Setup!$C$30:$D$41,2,0),"")</f>
        <v/>
      </c>
      <c r="AM921" s="266"/>
      <c r="AN921" s="258" t="str">
        <f t="shared" si="432"/>
        <v/>
      </c>
      <c r="AO921" s="266"/>
      <c r="AP921" s="258" t="str">
        <f t="shared" si="433"/>
        <v/>
      </c>
      <c r="AQ921" s="266"/>
      <c r="AR921" s="258" t="str">
        <f t="shared" si="434"/>
        <v/>
      </c>
      <c r="AS921" s="266"/>
      <c r="AT921" s="256" t="str">
        <f t="shared" si="435"/>
        <v/>
      </c>
      <c r="AU921" s="256" t="str">
        <f t="shared" si="436"/>
        <v/>
      </c>
      <c r="AV921" s="256" t="str">
        <f t="shared" si="437"/>
        <v/>
      </c>
      <c r="AW921" s="267"/>
      <c r="AX921" s="255"/>
      <c r="AY921" s="259" t="str">
        <f>IF(AX921&lt;&gt;"",AX921/VLOOKUP($V921,Setup!$C$30:$D$41,2,0),"")</f>
        <v/>
      </c>
      <c r="AZ921" s="268"/>
      <c r="BA921" s="258" t="str">
        <f t="shared" si="438"/>
        <v/>
      </c>
      <c r="BB921" s="268"/>
      <c r="BC921" s="258" t="str">
        <f t="shared" si="439"/>
        <v/>
      </c>
      <c r="BD921" s="268"/>
      <c r="BE921" s="258" t="str">
        <f t="shared" si="440"/>
        <v/>
      </c>
      <c r="BF921" s="268"/>
      <c r="BG921" s="256" t="str">
        <f t="shared" si="441"/>
        <v/>
      </c>
      <c r="BH921" s="256" t="str">
        <f t="shared" si="442"/>
        <v/>
      </c>
      <c r="BI921" s="256" t="str">
        <f t="shared" si="443"/>
        <v/>
      </c>
      <c r="BJ921" s="267"/>
      <c r="BK921" s="255"/>
      <c r="BL921" s="259" t="str">
        <f>IF(BK921&lt;&gt;"",BK921/VLOOKUP($V921,Setup!$C$30:$D$41,2,0),"")</f>
        <v/>
      </c>
      <c r="BM921" s="268"/>
      <c r="BN921" s="258" t="str">
        <f t="shared" si="444"/>
        <v/>
      </c>
      <c r="BO921" s="268"/>
      <c r="BP921" s="258" t="str">
        <f t="shared" si="445"/>
        <v/>
      </c>
      <c r="BQ921" s="268"/>
      <c r="BR921" s="258" t="str">
        <f t="shared" si="446"/>
        <v/>
      </c>
      <c r="BS921" s="268"/>
      <c r="BT921" s="256" t="str">
        <f t="shared" si="447"/>
        <v/>
      </c>
      <c r="BU921" s="256" t="str">
        <f t="shared" si="448"/>
        <v/>
      </c>
      <c r="BV921" s="256" t="str">
        <f t="shared" si="449"/>
        <v/>
      </c>
      <c r="BW921" s="267"/>
      <c r="BX921" s="256" t="str">
        <f t="shared" si="450"/>
        <v/>
      </c>
      <c r="BY921" s="256" t="str">
        <f t="shared" si="451"/>
        <v/>
      </c>
      <c r="BZ921" s="281"/>
      <c r="CA921" s="282"/>
      <c r="CF921" s="284"/>
      <c r="CG921" s="284"/>
      <c r="CH921" s="284"/>
      <c r="CI921" s="284"/>
      <c r="CL921" s="356" t="str">
        <f>IFERROR(VLOOKUP(C921,'Data Sheet'!$A$3:$B$26,2,FALSE),"")</f>
        <v/>
      </c>
    </row>
    <row r="922" spans="1:90" ht="15.75" x14ac:dyDescent="0.2">
      <c r="A922" s="97"/>
      <c r="B922" s="105" t="str">
        <f t="shared" si="454"/>
        <v>--</v>
      </c>
      <c r="C922" s="276"/>
      <c r="D922" s="101" t="str">
        <f>IFERROR(IF(VLOOKUP(C922,'Data Sheet'!$A$3:$D$26,4,FALSE)=0,"",VLOOKUP(C922,'Data Sheet'!$A$3:$D$26,4,FALSE)),"")</f>
        <v/>
      </c>
      <c r="E922" s="279"/>
      <c r="F922" s="103" t="str">
        <f>IFERROR(IF(VLOOKUP(E922,'Data Sheet'!$C$29:$E$174,3,FALSE)=0,"",VLOOKUP(E922,'Data Sheet'!$C$29:$E$174,3,FALSE)),"")</f>
        <v/>
      </c>
      <c r="G922" s="106" t="str">
        <f t="shared" si="452"/>
        <v>-</v>
      </c>
      <c r="H922" s="273"/>
      <c r="I922" s="107"/>
      <c r="J922" s="249" t="e">
        <f t="shared" si="453"/>
        <v>#VALUE!</v>
      </c>
      <c r="K922" s="101" t="str">
        <f>IFERROR(INDEX('Data Sheet'!$C$198:$C$275,MATCH(I922,'Data Sheet'!$F$198:$F$275,0)),"")</f>
        <v/>
      </c>
      <c r="L922" s="250" t="str">
        <f>IFERROR(INDEX('Data Sheet'!$G$198:$G$275,MATCH(I922,'Data Sheet'!$F$198:$F$275,0)),"")</f>
        <v/>
      </c>
      <c r="M922" s="194"/>
      <c r="N922" s="248"/>
      <c r="O922" s="248"/>
      <c r="P922" s="108" t="str">
        <f>IFERROR(INDEX(Setup!$D$44:$D$70,MATCH(M922,Setup!$K$44:$K$70,0))&amp;"","")</f>
        <v/>
      </c>
      <c r="Q922" s="108" t="str">
        <f>IFERROR(INDEX(Setup!$E$44:$E$70,MATCH(M922,Setup!$K$44:$K$70,0))&amp;"","")</f>
        <v/>
      </c>
      <c r="R922" s="108" t="str">
        <f>IFERROR(INDEX(Setup!$L$44:$L$70,MATCH(M922,Setup!$K$44:$K$70,0))&amp;"","")</f>
        <v/>
      </c>
      <c r="S922" s="108" t="str">
        <f>Setup!$C$30</f>
        <v>USD</v>
      </c>
      <c r="T922" s="109" t="str">
        <f>IFERROR(INDEX('Data Sheet'!$B$198:$B$275,MATCH(I922,'Data Sheet'!$F$198:$F$275,0)),"")</f>
        <v/>
      </c>
      <c r="U922" s="110" t="str">
        <f>IFERROR(INDEX('Data Sheet'!$D$198:$D$275,MATCH(I922,'Data Sheet'!$F$198:$F$275,0)),"")</f>
        <v/>
      </c>
      <c r="V922" s="99"/>
      <c r="W922" s="195" t="str">
        <f>IF(V922=Setup!$C$30,"Grant",IF(V922=Setup!$C$31,"Local",IF(V922=Setup!$C$32,"Other",IF(ISBLANK(V922),"","Other"))))</f>
        <v/>
      </c>
      <c r="X922" s="255"/>
      <c r="Y922" s="259" t="str">
        <f>IF(X922&lt;&gt;"",X922/VLOOKUP($V922,Setup!$C$30:$D$41,2,0),"")</f>
        <v/>
      </c>
      <c r="Z922" s="262"/>
      <c r="AA922" s="256" t="str">
        <f t="shared" si="426"/>
        <v/>
      </c>
      <c r="AB922" s="262"/>
      <c r="AC922" s="258" t="str">
        <f t="shared" si="427"/>
        <v/>
      </c>
      <c r="AD922" s="262"/>
      <c r="AE922" s="258" t="str">
        <f t="shared" si="428"/>
        <v/>
      </c>
      <c r="AF922" s="262"/>
      <c r="AG922" s="256" t="str">
        <f t="shared" si="429"/>
        <v/>
      </c>
      <c r="AH922" s="256" t="str">
        <f t="shared" si="430"/>
        <v/>
      </c>
      <c r="AI922" s="256" t="str">
        <f t="shared" si="431"/>
        <v/>
      </c>
      <c r="AJ922" s="111"/>
      <c r="AK922" s="255"/>
      <c r="AL922" s="259" t="str">
        <f>IF(AK922&lt;&gt;"",AK922/VLOOKUP($V922,Setup!$C$30:$D$41,2,0),"")</f>
        <v/>
      </c>
      <c r="AM922" s="266"/>
      <c r="AN922" s="258" t="str">
        <f t="shared" si="432"/>
        <v/>
      </c>
      <c r="AO922" s="266"/>
      <c r="AP922" s="258" t="str">
        <f t="shared" si="433"/>
        <v/>
      </c>
      <c r="AQ922" s="266"/>
      <c r="AR922" s="258" t="str">
        <f t="shared" si="434"/>
        <v/>
      </c>
      <c r="AS922" s="266"/>
      <c r="AT922" s="256" t="str">
        <f t="shared" si="435"/>
        <v/>
      </c>
      <c r="AU922" s="256" t="str">
        <f t="shared" si="436"/>
        <v/>
      </c>
      <c r="AV922" s="256" t="str">
        <f t="shared" si="437"/>
        <v/>
      </c>
      <c r="AW922" s="267"/>
      <c r="AX922" s="255"/>
      <c r="AY922" s="259" t="str">
        <f>IF(AX922&lt;&gt;"",AX922/VLOOKUP($V922,Setup!$C$30:$D$41,2,0),"")</f>
        <v/>
      </c>
      <c r="AZ922" s="268"/>
      <c r="BA922" s="258" t="str">
        <f t="shared" si="438"/>
        <v/>
      </c>
      <c r="BB922" s="268"/>
      <c r="BC922" s="258" t="str">
        <f t="shared" si="439"/>
        <v/>
      </c>
      <c r="BD922" s="268"/>
      <c r="BE922" s="258" t="str">
        <f t="shared" si="440"/>
        <v/>
      </c>
      <c r="BF922" s="268"/>
      <c r="BG922" s="256" t="str">
        <f t="shared" si="441"/>
        <v/>
      </c>
      <c r="BH922" s="256" t="str">
        <f t="shared" si="442"/>
        <v/>
      </c>
      <c r="BI922" s="256" t="str">
        <f t="shared" si="443"/>
        <v/>
      </c>
      <c r="BJ922" s="267"/>
      <c r="BK922" s="255"/>
      <c r="BL922" s="259" t="str">
        <f>IF(BK922&lt;&gt;"",BK922/VLOOKUP($V922,Setup!$C$30:$D$41,2,0),"")</f>
        <v/>
      </c>
      <c r="BM922" s="268"/>
      <c r="BN922" s="258" t="str">
        <f t="shared" si="444"/>
        <v/>
      </c>
      <c r="BO922" s="268"/>
      <c r="BP922" s="258" t="str">
        <f t="shared" si="445"/>
        <v/>
      </c>
      <c r="BQ922" s="268"/>
      <c r="BR922" s="258" t="str">
        <f t="shared" si="446"/>
        <v/>
      </c>
      <c r="BS922" s="268"/>
      <c r="BT922" s="256" t="str">
        <f t="shared" si="447"/>
        <v/>
      </c>
      <c r="BU922" s="256" t="str">
        <f t="shared" si="448"/>
        <v/>
      </c>
      <c r="BV922" s="256" t="str">
        <f t="shared" si="449"/>
        <v/>
      </c>
      <c r="BW922" s="267"/>
      <c r="BX922" s="256" t="str">
        <f t="shared" si="450"/>
        <v/>
      </c>
      <c r="BY922" s="256" t="str">
        <f t="shared" si="451"/>
        <v/>
      </c>
      <c r="BZ922" s="281"/>
      <c r="CA922" s="282"/>
      <c r="CF922" s="284"/>
      <c r="CG922" s="284"/>
      <c r="CH922" s="284"/>
      <c r="CI922" s="284"/>
      <c r="CL922" s="356" t="str">
        <f>IFERROR(VLOOKUP(C922,'Data Sheet'!$A$3:$B$26,2,FALSE),"")</f>
        <v/>
      </c>
    </row>
    <row r="923" spans="1:90" ht="15.75" x14ac:dyDescent="0.2">
      <c r="A923" s="97"/>
      <c r="B923" s="105" t="str">
        <f t="shared" si="454"/>
        <v>--</v>
      </c>
      <c r="C923" s="276"/>
      <c r="D923" s="101" t="str">
        <f>IFERROR(IF(VLOOKUP(C923,'Data Sheet'!$A$3:$D$26,4,FALSE)=0,"",VLOOKUP(C923,'Data Sheet'!$A$3:$D$26,4,FALSE)),"")</f>
        <v/>
      </c>
      <c r="E923" s="279"/>
      <c r="F923" s="103" t="str">
        <f>IFERROR(IF(VLOOKUP(E923,'Data Sheet'!$C$29:$E$174,3,FALSE)=0,"",VLOOKUP(E923,'Data Sheet'!$C$29:$E$174,3,FALSE)),"")</f>
        <v/>
      </c>
      <c r="G923" s="106" t="str">
        <f t="shared" si="452"/>
        <v>-</v>
      </c>
      <c r="H923" s="273"/>
      <c r="I923" s="107"/>
      <c r="J923" s="249" t="e">
        <f t="shared" si="453"/>
        <v>#VALUE!</v>
      </c>
      <c r="K923" s="101" t="str">
        <f>IFERROR(INDEX('Data Sheet'!$C$198:$C$275,MATCH(I923,'Data Sheet'!$F$198:$F$275,0)),"")</f>
        <v/>
      </c>
      <c r="L923" s="250" t="str">
        <f>IFERROR(INDEX('Data Sheet'!$G$198:$G$275,MATCH(I923,'Data Sheet'!$F$198:$F$275,0)),"")</f>
        <v/>
      </c>
      <c r="M923" s="194"/>
      <c r="N923" s="248"/>
      <c r="O923" s="248"/>
      <c r="P923" s="108" t="str">
        <f>IFERROR(INDEX(Setup!$D$44:$D$70,MATCH(M923,Setup!$K$44:$K$70,0))&amp;"","")</f>
        <v/>
      </c>
      <c r="Q923" s="108" t="str">
        <f>IFERROR(INDEX(Setup!$E$44:$E$70,MATCH(M923,Setup!$K$44:$K$70,0))&amp;"","")</f>
        <v/>
      </c>
      <c r="R923" s="108" t="str">
        <f>IFERROR(INDEX(Setup!$L$44:$L$70,MATCH(M923,Setup!$K$44:$K$70,0))&amp;"","")</f>
        <v/>
      </c>
      <c r="S923" s="108" t="str">
        <f>Setup!$C$30</f>
        <v>USD</v>
      </c>
      <c r="T923" s="109" t="str">
        <f>IFERROR(INDEX('Data Sheet'!$B$198:$B$275,MATCH(I923,'Data Sheet'!$F$198:$F$275,0)),"")</f>
        <v/>
      </c>
      <c r="U923" s="110" t="str">
        <f>IFERROR(INDEX('Data Sheet'!$D$198:$D$275,MATCH(I923,'Data Sheet'!$F$198:$F$275,0)),"")</f>
        <v/>
      </c>
      <c r="V923" s="99"/>
      <c r="W923" s="195" t="str">
        <f>IF(V923=Setup!$C$30,"Grant",IF(V923=Setup!$C$31,"Local",IF(V923=Setup!$C$32,"Other",IF(ISBLANK(V923),"","Other"))))</f>
        <v/>
      </c>
      <c r="X923" s="255"/>
      <c r="Y923" s="259" t="str">
        <f>IF(X923&lt;&gt;"",X923/VLOOKUP($V923,Setup!$C$30:$D$41,2,0),"")</f>
        <v/>
      </c>
      <c r="Z923" s="262"/>
      <c r="AA923" s="256" t="str">
        <f t="shared" si="426"/>
        <v/>
      </c>
      <c r="AB923" s="262"/>
      <c r="AC923" s="258" t="str">
        <f t="shared" si="427"/>
        <v/>
      </c>
      <c r="AD923" s="262"/>
      <c r="AE923" s="258" t="str">
        <f t="shared" si="428"/>
        <v/>
      </c>
      <c r="AF923" s="262"/>
      <c r="AG923" s="256" t="str">
        <f t="shared" si="429"/>
        <v/>
      </c>
      <c r="AH923" s="256" t="str">
        <f t="shared" si="430"/>
        <v/>
      </c>
      <c r="AI923" s="256" t="str">
        <f t="shared" si="431"/>
        <v/>
      </c>
      <c r="AJ923" s="111"/>
      <c r="AK923" s="255"/>
      <c r="AL923" s="259" t="str">
        <f>IF(AK923&lt;&gt;"",AK923/VLOOKUP($V923,Setup!$C$30:$D$41,2,0),"")</f>
        <v/>
      </c>
      <c r="AM923" s="266"/>
      <c r="AN923" s="258" t="str">
        <f t="shared" si="432"/>
        <v/>
      </c>
      <c r="AO923" s="266"/>
      <c r="AP923" s="258" t="str">
        <f t="shared" si="433"/>
        <v/>
      </c>
      <c r="AQ923" s="266"/>
      <c r="AR923" s="258" t="str">
        <f t="shared" si="434"/>
        <v/>
      </c>
      <c r="AS923" s="266"/>
      <c r="AT923" s="256" t="str">
        <f t="shared" si="435"/>
        <v/>
      </c>
      <c r="AU923" s="256" t="str">
        <f t="shared" si="436"/>
        <v/>
      </c>
      <c r="AV923" s="256" t="str">
        <f t="shared" si="437"/>
        <v/>
      </c>
      <c r="AW923" s="267"/>
      <c r="AX923" s="255"/>
      <c r="AY923" s="259" t="str">
        <f>IF(AX923&lt;&gt;"",AX923/VLOOKUP($V923,Setup!$C$30:$D$41,2,0),"")</f>
        <v/>
      </c>
      <c r="AZ923" s="268"/>
      <c r="BA923" s="258" t="str">
        <f t="shared" si="438"/>
        <v/>
      </c>
      <c r="BB923" s="268"/>
      <c r="BC923" s="258" t="str">
        <f t="shared" si="439"/>
        <v/>
      </c>
      <c r="BD923" s="268"/>
      <c r="BE923" s="258" t="str">
        <f t="shared" si="440"/>
        <v/>
      </c>
      <c r="BF923" s="268"/>
      <c r="BG923" s="256" t="str">
        <f t="shared" si="441"/>
        <v/>
      </c>
      <c r="BH923" s="256" t="str">
        <f t="shared" si="442"/>
        <v/>
      </c>
      <c r="BI923" s="256" t="str">
        <f t="shared" si="443"/>
        <v/>
      </c>
      <c r="BJ923" s="267"/>
      <c r="BK923" s="255"/>
      <c r="BL923" s="259" t="str">
        <f>IF(BK923&lt;&gt;"",BK923/VLOOKUP($V923,Setup!$C$30:$D$41,2,0),"")</f>
        <v/>
      </c>
      <c r="BM923" s="268"/>
      <c r="BN923" s="258" t="str">
        <f t="shared" si="444"/>
        <v/>
      </c>
      <c r="BO923" s="268"/>
      <c r="BP923" s="258" t="str">
        <f t="shared" si="445"/>
        <v/>
      </c>
      <c r="BQ923" s="268"/>
      <c r="BR923" s="258" t="str">
        <f t="shared" si="446"/>
        <v/>
      </c>
      <c r="BS923" s="268"/>
      <c r="BT923" s="256" t="str">
        <f t="shared" si="447"/>
        <v/>
      </c>
      <c r="BU923" s="256" t="str">
        <f t="shared" si="448"/>
        <v/>
      </c>
      <c r="BV923" s="256" t="str">
        <f t="shared" si="449"/>
        <v/>
      </c>
      <c r="BW923" s="267"/>
      <c r="BX923" s="256" t="str">
        <f t="shared" si="450"/>
        <v/>
      </c>
      <c r="BY923" s="256" t="str">
        <f t="shared" si="451"/>
        <v/>
      </c>
      <c r="BZ923" s="281"/>
      <c r="CA923" s="282"/>
      <c r="CF923" s="284"/>
      <c r="CG923" s="284"/>
      <c r="CH923" s="284"/>
      <c r="CI923" s="284"/>
      <c r="CL923" s="356" t="str">
        <f>IFERROR(VLOOKUP(C923,'Data Sheet'!$A$3:$B$26,2,FALSE),"")</f>
        <v/>
      </c>
    </row>
    <row r="924" spans="1:90" ht="15.75" x14ac:dyDescent="0.2">
      <c r="A924" s="97"/>
      <c r="B924" s="105" t="str">
        <f t="shared" si="454"/>
        <v>--</v>
      </c>
      <c r="C924" s="276"/>
      <c r="D924" s="101" t="str">
        <f>IFERROR(IF(VLOOKUP(C924,'Data Sheet'!$A$3:$D$26,4,FALSE)=0,"",VLOOKUP(C924,'Data Sheet'!$A$3:$D$26,4,FALSE)),"")</f>
        <v/>
      </c>
      <c r="E924" s="279"/>
      <c r="F924" s="103" t="str">
        <f>IFERROR(IF(VLOOKUP(E924,'Data Sheet'!$C$29:$E$174,3,FALSE)=0,"",VLOOKUP(E924,'Data Sheet'!$C$29:$E$174,3,FALSE)),"")</f>
        <v/>
      </c>
      <c r="G924" s="106" t="str">
        <f t="shared" si="452"/>
        <v>-</v>
      </c>
      <c r="H924" s="273"/>
      <c r="I924" s="107"/>
      <c r="J924" s="249" t="e">
        <f t="shared" si="453"/>
        <v>#VALUE!</v>
      </c>
      <c r="K924" s="101" t="str">
        <f>IFERROR(INDEX('Data Sheet'!$C$198:$C$275,MATCH(I924,'Data Sheet'!$F$198:$F$275,0)),"")</f>
        <v/>
      </c>
      <c r="L924" s="250" t="str">
        <f>IFERROR(INDEX('Data Sheet'!$G$198:$G$275,MATCH(I924,'Data Sheet'!$F$198:$F$275,0)),"")</f>
        <v/>
      </c>
      <c r="M924" s="194"/>
      <c r="N924" s="248"/>
      <c r="O924" s="248"/>
      <c r="P924" s="108" t="str">
        <f>IFERROR(INDEX(Setup!$D$44:$D$70,MATCH(M924,Setup!$K$44:$K$70,0))&amp;"","")</f>
        <v/>
      </c>
      <c r="Q924" s="108" t="str">
        <f>IFERROR(INDEX(Setup!$E$44:$E$70,MATCH(M924,Setup!$K$44:$K$70,0))&amp;"","")</f>
        <v/>
      </c>
      <c r="R924" s="108" t="str">
        <f>IFERROR(INDEX(Setup!$L$44:$L$70,MATCH(M924,Setup!$K$44:$K$70,0))&amp;"","")</f>
        <v/>
      </c>
      <c r="S924" s="108" t="str">
        <f>Setup!$C$30</f>
        <v>USD</v>
      </c>
      <c r="T924" s="109" t="str">
        <f>IFERROR(INDEX('Data Sheet'!$B$198:$B$275,MATCH(I924,'Data Sheet'!$F$198:$F$275,0)),"")</f>
        <v/>
      </c>
      <c r="U924" s="110" t="str">
        <f>IFERROR(INDEX('Data Sheet'!$D$198:$D$275,MATCH(I924,'Data Sheet'!$F$198:$F$275,0)),"")</f>
        <v/>
      </c>
      <c r="V924" s="99"/>
      <c r="W924" s="195" t="str">
        <f>IF(V924=Setup!$C$30,"Grant",IF(V924=Setup!$C$31,"Local",IF(V924=Setup!$C$32,"Other",IF(ISBLANK(V924),"","Other"))))</f>
        <v/>
      </c>
      <c r="X924" s="255"/>
      <c r="Y924" s="259" t="str">
        <f>IF(X924&lt;&gt;"",X924/VLOOKUP($V924,Setup!$C$30:$D$41,2,0),"")</f>
        <v/>
      </c>
      <c r="Z924" s="262"/>
      <c r="AA924" s="256" t="str">
        <f t="shared" si="426"/>
        <v/>
      </c>
      <c r="AB924" s="262"/>
      <c r="AC924" s="258" t="str">
        <f t="shared" si="427"/>
        <v/>
      </c>
      <c r="AD924" s="262"/>
      <c r="AE924" s="258" t="str">
        <f t="shared" si="428"/>
        <v/>
      </c>
      <c r="AF924" s="262"/>
      <c r="AG924" s="256" t="str">
        <f t="shared" si="429"/>
        <v/>
      </c>
      <c r="AH924" s="256" t="str">
        <f t="shared" si="430"/>
        <v/>
      </c>
      <c r="AI924" s="256" t="str">
        <f t="shared" si="431"/>
        <v/>
      </c>
      <c r="AJ924" s="111"/>
      <c r="AK924" s="255"/>
      <c r="AL924" s="259" t="str">
        <f>IF(AK924&lt;&gt;"",AK924/VLOOKUP($V924,Setup!$C$30:$D$41,2,0),"")</f>
        <v/>
      </c>
      <c r="AM924" s="266"/>
      <c r="AN924" s="258" t="str">
        <f t="shared" si="432"/>
        <v/>
      </c>
      <c r="AO924" s="266"/>
      <c r="AP924" s="258" t="str">
        <f t="shared" si="433"/>
        <v/>
      </c>
      <c r="AQ924" s="266"/>
      <c r="AR924" s="258" t="str">
        <f t="shared" si="434"/>
        <v/>
      </c>
      <c r="AS924" s="266"/>
      <c r="AT924" s="256" t="str">
        <f t="shared" si="435"/>
        <v/>
      </c>
      <c r="AU924" s="256" t="str">
        <f t="shared" si="436"/>
        <v/>
      </c>
      <c r="AV924" s="256" t="str">
        <f t="shared" si="437"/>
        <v/>
      </c>
      <c r="AW924" s="267"/>
      <c r="AX924" s="255"/>
      <c r="AY924" s="259" t="str">
        <f>IF(AX924&lt;&gt;"",AX924/VLOOKUP($V924,Setup!$C$30:$D$41,2,0),"")</f>
        <v/>
      </c>
      <c r="AZ924" s="268"/>
      <c r="BA924" s="258" t="str">
        <f t="shared" si="438"/>
        <v/>
      </c>
      <c r="BB924" s="268"/>
      <c r="BC924" s="258" t="str">
        <f t="shared" si="439"/>
        <v/>
      </c>
      <c r="BD924" s="268"/>
      <c r="BE924" s="258" t="str">
        <f t="shared" si="440"/>
        <v/>
      </c>
      <c r="BF924" s="268"/>
      <c r="BG924" s="256" t="str">
        <f t="shared" si="441"/>
        <v/>
      </c>
      <c r="BH924" s="256" t="str">
        <f t="shared" si="442"/>
        <v/>
      </c>
      <c r="BI924" s="256" t="str">
        <f t="shared" si="443"/>
        <v/>
      </c>
      <c r="BJ924" s="267"/>
      <c r="BK924" s="255"/>
      <c r="BL924" s="259" t="str">
        <f>IF(BK924&lt;&gt;"",BK924/VLOOKUP($V924,Setup!$C$30:$D$41,2,0),"")</f>
        <v/>
      </c>
      <c r="BM924" s="268"/>
      <c r="BN924" s="258" t="str">
        <f t="shared" si="444"/>
        <v/>
      </c>
      <c r="BO924" s="268"/>
      <c r="BP924" s="258" t="str">
        <f t="shared" si="445"/>
        <v/>
      </c>
      <c r="BQ924" s="268"/>
      <c r="BR924" s="258" t="str">
        <f t="shared" si="446"/>
        <v/>
      </c>
      <c r="BS924" s="268"/>
      <c r="BT924" s="256" t="str">
        <f t="shared" si="447"/>
        <v/>
      </c>
      <c r="BU924" s="256" t="str">
        <f t="shared" si="448"/>
        <v/>
      </c>
      <c r="BV924" s="256" t="str">
        <f t="shared" si="449"/>
        <v/>
      </c>
      <c r="BW924" s="267"/>
      <c r="BX924" s="256" t="str">
        <f t="shared" si="450"/>
        <v/>
      </c>
      <c r="BY924" s="256" t="str">
        <f t="shared" si="451"/>
        <v/>
      </c>
      <c r="BZ924" s="281"/>
      <c r="CA924" s="282"/>
      <c r="CF924" s="284"/>
      <c r="CG924" s="284"/>
      <c r="CH924" s="284"/>
      <c r="CI924" s="284"/>
      <c r="CL924" s="356" t="str">
        <f>IFERROR(VLOOKUP(C924,'Data Sheet'!$A$3:$B$26,2,FALSE),"")</f>
        <v/>
      </c>
    </row>
    <row r="925" spans="1:90" ht="15.75" x14ac:dyDescent="0.2">
      <c r="A925" s="97"/>
      <c r="B925" s="105" t="str">
        <f t="shared" si="454"/>
        <v>--</v>
      </c>
      <c r="C925" s="276"/>
      <c r="D925" s="101" t="str">
        <f>IFERROR(IF(VLOOKUP(C925,'Data Sheet'!$A$3:$D$26,4,FALSE)=0,"",VLOOKUP(C925,'Data Sheet'!$A$3:$D$26,4,FALSE)),"")</f>
        <v/>
      </c>
      <c r="E925" s="279"/>
      <c r="F925" s="103" t="str">
        <f>IFERROR(IF(VLOOKUP(E925,'Data Sheet'!$C$29:$E$174,3,FALSE)=0,"",VLOOKUP(E925,'Data Sheet'!$C$29:$E$174,3,FALSE)),"")</f>
        <v/>
      </c>
      <c r="G925" s="106" t="str">
        <f t="shared" si="452"/>
        <v>-</v>
      </c>
      <c r="H925" s="273"/>
      <c r="I925" s="107"/>
      <c r="J925" s="249" t="e">
        <f t="shared" si="453"/>
        <v>#VALUE!</v>
      </c>
      <c r="K925" s="101" t="str">
        <f>IFERROR(INDEX('Data Sheet'!$C$198:$C$275,MATCH(I925,'Data Sheet'!$F$198:$F$275,0)),"")</f>
        <v/>
      </c>
      <c r="L925" s="250" t="str">
        <f>IFERROR(INDEX('Data Sheet'!$G$198:$G$275,MATCH(I925,'Data Sheet'!$F$198:$F$275,0)),"")</f>
        <v/>
      </c>
      <c r="M925" s="194"/>
      <c r="N925" s="248"/>
      <c r="O925" s="248"/>
      <c r="P925" s="108" t="str">
        <f>IFERROR(INDEX(Setup!$D$44:$D$70,MATCH(M925,Setup!$K$44:$K$70,0))&amp;"","")</f>
        <v/>
      </c>
      <c r="Q925" s="108" t="str">
        <f>IFERROR(INDEX(Setup!$E$44:$E$70,MATCH(M925,Setup!$K$44:$K$70,0))&amp;"","")</f>
        <v/>
      </c>
      <c r="R925" s="108" t="str">
        <f>IFERROR(INDEX(Setup!$L$44:$L$70,MATCH(M925,Setup!$K$44:$K$70,0))&amp;"","")</f>
        <v/>
      </c>
      <c r="S925" s="108" t="str">
        <f>Setup!$C$30</f>
        <v>USD</v>
      </c>
      <c r="T925" s="109" t="str">
        <f>IFERROR(INDEX('Data Sheet'!$B$198:$B$275,MATCH(I925,'Data Sheet'!$F$198:$F$275,0)),"")</f>
        <v/>
      </c>
      <c r="U925" s="110" t="str">
        <f>IFERROR(INDEX('Data Sheet'!$D$198:$D$275,MATCH(I925,'Data Sheet'!$F$198:$F$275,0)),"")</f>
        <v/>
      </c>
      <c r="V925" s="99"/>
      <c r="W925" s="195" t="str">
        <f>IF(V925=Setup!$C$30,"Grant",IF(V925=Setup!$C$31,"Local",IF(V925=Setup!$C$32,"Other",IF(ISBLANK(V925),"","Other"))))</f>
        <v/>
      </c>
      <c r="X925" s="255"/>
      <c r="Y925" s="259" t="str">
        <f>IF(X925&lt;&gt;"",X925/VLOOKUP($V925,Setup!$C$30:$D$41,2,0),"")</f>
        <v/>
      </c>
      <c r="Z925" s="262"/>
      <c r="AA925" s="256" t="str">
        <f t="shared" si="426"/>
        <v/>
      </c>
      <c r="AB925" s="262"/>
      <c r="AC925" s="258" t="str">
        <f t="shared" si="427"/>
        <v/>
      </c>
      <c r="AD925" s="262"/>
      <c r="AE925" s="258" t="str">
        <f t="shared" si="428"/>
        <v/>
      </c>
      <c r="AF925" s="262"/>
      <c r="AG925" s="256" t="str">
        <f t="shared" si="429"/>
        <v/>
      </c>
      <c r="AH925" s="256" t="str">
        <f t="shared" si="430"/>
        <v/>
      </c>
      <c r="AI925" s="256" t="str">
        <f t="shared" si="431"/>
        <v/>
      </c>
      <c r="AJ925" s="111"/>
      <c r="AK925" s="255"/>
      <c r="AL925" s="259" t="str">
        <f>IF(AK925&lt;&gt;"",AK925/VLOOKUP($V925,Setup!$C$30:$D$41,2,0),"")</f>
        <v/>
      </c>
      <c r="AM925" s="266"/>
      <c r="AN925" s="258" t="str">
        <f t="shared" si="432"/>
        <v/>
      </c>
      <c r="AO925" s="266"/>
      <c r="AP925" s="258" t="str">
        <f t="shared" si="433"/>
        <v/>
      </c>
      <c r="AQ925" s="266"/>
      <c r="AR925" s="258" t="str">
        <f t="shared" si="434"/>
        <v/>
      </c>
      <c r="AS925" s="266"/>
      <c r="AT925" s="256" t="str">
        <f t="shared" si="435"/>
        <v/>
      </c>
      <c r="AU925" s="256" t="str">
        <f t="shared" si="436"/>
        <v/>
      </c>
      <c r="AV925" s="256" t="str">
        <f t="shared" si="437"/>
        <v/>
      </c>
      <c r="AW925" s="267"/>
      <c r="AX925" s="255"/>
      <c r="AY925" s="259" t="str">
        <f>IF(AX925&lt;&gt;"",AX925/VLOOKUP($V925,Setup!$C$30:$D$41,2,0),"")</f>
        <v/>
      </c>
      <c r="AZ925" s="268"/>
      <c r="BA925" s="258" t="str">
        <f t="shared" si="438"/>
        <v/>
      </c>
      <c r="BB925" s="268"/>
      <c r="BC925" s="258" t="str">
        <f t="shared" si="439"/>
        <v/>
      </c>
      <c r="BD925" s="268"/>
      <c r="BE925" s="258" t="str">
        <f t="shared" si="440"/>
        <v/>
      </c>
      <c r="BF925" s="268"/>
      <c r="BG925" s="256" t="str">
        <f t="shared" si="441"/>
        <v/>
      </c>
      <c r="BH925" s="256" t="str">
        <f t="shared" si="442"/>
        <v/>
      </c>
      <c r="BI925" s="256" t="str">
        <f t="shared" si="443"/>
        <v/>
      </c>
      <c r="BJ925" s="267"/>
      <c r="BK925" s="255"/>
      <c r="BL925" s="259" t="str">
        <f>IF(BK925&lt;&gt;"",BK925/VLOOKUP($V925,Setup!$C$30:$D$41,2,0),"")</f>
        <v/>
      </c>
      <c r="BM925" s="268"/>
      <c r="BN925" s="258" t="str">
        <f t="shared" si="444"/>
        <v/>
      </c>
      <c r="BO925" s="268"/>
      <c r="BP925" s="258" t="str">
        <f t="shared" si="445"/>
        <v/>
      </c>
      <c r="BQ925" s="268"/>
      <c r="BR925" s="258" t="str">
        <f t="shared" si="446"/>
        <v/>
      </c>
      <c r="BS925" s="268"/>
      <c r="BT925" s="256" t="str">
        <f t="shared" si="447"/>
        <v/>
      </c>
      <c r="BU925" s="256" t="str">
        <f t="shared" si="448"/>
        <v/>
      </c>
      <c r="BV925" s="256" t="str">
        <f t="shared" si="449"/>
        <v/>
      </c>
      <c r="BW925" s="267"/>
      <c r="BX925" s="256" t="str">
        <f t="shared" si="450"/>
        <v/>
      </c>
      <c r="BY925" s="256" t="str">
        <f t="shared" si="451"/>
        <v/>
      </c>
      <c r="BZ925" s="281"/>
      <c r="CA925" s="282"/>
      <c r="CF925" s="284"/>
      <c r="CG925" s="284"/>
      <c r="CH925" s="284"/>
      <c r="CI925" s="284"/>
      <c r="CL925" s="356" t="str">
        <f>IFERROR(VLOOKUP(C925,'Data Sheet'!$A$3:$B$26,2,FALSE),"")</f>
        <v/>
      </c>
    </row>
    <row r="926" spans="1:90" ht="15.75" x14ac:dyDescent="0.2">
      <c r="A926" s="97"/>
      <c r="B926" s="105" t="str">
        <f t="shared" si="454"/>
        <v>--</v>
      </c>
      <c r="C926" s="276"/>
      <c r="D926" s="101" t="str">
        <f>IFERROR(IF(VLOOKUP(C926,'Data Sheet'!$A$3:$D$26,4,FALSE)=0,"",VLOOKUP(C926,'Data Sheet'!$A$3:$D$26,4,FALSE)),"")</f>
        <v/>
      </c>
      <c r="E926" s="279"/>
      <c r="F926" s="103" t="str">
        <f>IFERROR(IF(VLOOKUP(E926,'Data Sheet'!$C$29:$E$174,3,FALSE)=0,"",VLOOKUP(E926,'Data Sheet'!$C$29:$E$174,3,FALSE)),"")</f>
        <v/>
      </c>
      <c r="G926" s="106" t="str">
        <f t="shared" si="452"/>
        <v>-</v>
      </c>
      <c r="H926" s="273"/>
      <c r="I926" s="107"/>
      <c r="J926" s="249" t="e">
        <f t="shared" si="453"/>
        <v>#VALUE!</v>
      </c>
      <c r="K926" s="101" t="str">
        <f>IFERROR(INDEX('Data Sheet'!$C$198:$C$275,MATCH(I926,'Data Sheet'!$F$198:$F$275,0)),"")</f>
        <v/>
      </c>
      <c r="L926" s="250" t="str">
        <f>IFERROR(INDEX('Data Sheet'!$G$198:$G$275,MATCH(I926,'Data Sheet'!$F$198:$F$275,0)),"")</f>
        <v/>
      </c>
      <c r="M926" s="194"/>
      <c r="N926" s="248"/>
      <c r="O926" s="248"/>
      <c r="P926" s="108" t="str">
        <f>IFERROR(INDEX(Setup!$D$44:$D$70,MATCH(M926,Setup!$K$44:$K$70,0))&amp;"","")</f>
        <v/>
      </c>
      <c r="Q926" s="108" t="str">
        <f>IFERROR(INDEX(Setup!$E$44:$E$70,MATCH(M926,Setup!$K$44:$K$70,0))&amp;"","")</f>
        <v/>
      </c>
      <c r="R926" s="108" t="str">
        <f>IFERROR(INDEX(Setup!$L$44:$L$70,MATCH(M926,Setup!$K$44:$K$70,0))&amp;"","")</f>
        <v/>
      </c>
      <c r="S926" s="108" t="str">
        <f>Setup!$C$30</f>
        <v>USD</v>
      </c>
      <c r="T926" s="109" t="str">
        <f>IFERROR(INDEX('Data Sheet'!$B$198:$B$275,MATCH(I926,'Data Sheet'!$F$198:$F$275,0)),"")</f>
        <v/>
      </c>
      <c r="U926" s="110" t="str">
        <f>IFERROR(INDEX('Data Sheet'!$D$198:$D$275,MATCH(I926,'Data Sheet'!$F$198:$F$275,0)),"")</f>
        <v/>
      </c>
      <c r="V926" s="99"/>
      <c r="W926" s="195" t="str">
        <f>IF(V926=Setup!$C$30,"Grant",IF(V926=Setup!$C$31,"Local",IF(V926=Setup!$C$32,"Other",IF(ISBLANK(V926),"","Other"))))</f>
        <v/>
      </c>
      <c r="X926" s="255"/>
      <c r="Y926" s="259" t="str">
        <f>IF(X926&lt;&gt;"",X926/VLOOKUP($V926,Setup!$C$30:$D$41,2,0),"")</f>
        <v/>
      </c>
      <c r="Z926" s="262"/>
      <c r="AA926" s="256" t="str">
        <f t="shared" si="426"/>
        <v/>
      </c>
      <c r="AB926" s="262"/>
      <c r="AC926" s="258" t="str">
        <f t="shared" si="427"/>
        <v/>
      </c>
      <c r="AD926" s="262"/>
      <c r="AE926" s="258" t="str">
        <f t="shared" si="428"/>
        <v/>
      </c>
      <c r="AF926" s="262"/>
      <c r="AG926" s="256" t="str">
        <f t="shared" si="429"/>
        <v/>
      </c>
      <c r="AH926" s="256" t="str">
        <f t="shared" si="430"/>
        <v/>
      </c>
      <c r="AI926" s="256" t="str">
        <f t="shared" si="431"/>
        <v/>
      </c>
      <c r="AJ926" s="111"/>
      <c r="AK926" s="255"/>
      <c r="AL926" s="259" t="str">
        <f>IF(AK926&lt;&gt;"",AK926/VLOOKUP($V926,Setup!$C$30:$D$41,2,0),"")</f>
        <v/>
      </c>
      <c r="AM926" s="266"/>
      <c r="AN926" s="258" t="str">
        <f t="shared" si="432"/>
        <v/>
      </c>
      <c r="AO926" s="266"/>
      <c r="AP926" s="258" t="str">
        <f t="shared" si="433"/>
        <v/>
      </c>
      <c r="AQ926" s="266"/>
      <c r="AR926" s="258" t="str">
        <f t="shared" si="434"/>
        <v/>
      </c>
      <c r="AS926" s="266"/>
      <c r="AT926" s="256" t="str">
        <f t="shared" si="435"/>
        <v/>
      </c>
      <c r="AU926" s="256" t="str">
        <f t="shared" si="436"/>
        <v/>
      </c>
      <c r="AV926" s="256" t="str">
        <f t="shared" si="437"/>
        <v/>
      </c>
      <c r="AW926" s="267"/>
      <c r="AX926" s="255"/>
      <c r="AY926" s="259" t="str">
        <f>IF(AX926&lt;&gt;"",AX926/VLOOKUP($V926,Setup!$C$30:$D$41,2,0),"")</f>
        <v/>
      </c>
      <c r="AZ926" s="268"/>
      <c r="BA926" s="258" t="str">
        <f t="shared" si="438"/>
        <v/>
      </c>
      <c r="BB926" s="268"/>
      <c r="BC926" s="258" t="str">
        <f t="shared" si="439"/>
        <v/>
      </c>
      <c r="BD926" s="268"/>
      <c r="BE926" s="258" t="str">
        <f t="shared" si="440"/>
        <v/>
      </c>
      <c r="BF926" s="268"/>
      <c r="BG926" s="256" t="str">
        <f t="shared" si="441"/>
        <v/>
      </c>
      <c r="BH926" s="256" t="str">
        <f t="shared" si="442"/>
        <v/>
      </c>
      <c r="BI926" s="256" t="str">
        <f t="shared" si="443"/>
        <v/>
      </c>
      <c r="BJ926" s="267"/>
      <c r="BK926" s="255"/>
      <c r="BL926" s="259" t="str">
        <f>IF(BK926&lt;&gt;"",BK926/VLOOKUP($V926,Setup!$C$30:$D$41,2,0),"")</f>
        <v/>
      </c>
      <c r="BM926" s="268"/>
      <c r="BN926" s="258" t="str">
        <f t="shared" si="444"/>
        <v/>
      </c>
      <c r="BO926" s="268"/>
      <c r="BP926" s="258" t="str">
        <f t="shared" si="445"/>
        <v/>
      </c>
      <c r="BQ926" s="268"/>
      <c r="BR926" s="258" t="str">
        <f t="shared" si="446"/>
        <v/>
      </c>
      <c r="BS926" s="268"/>
      <c r="BT926" s="256" t="str">
        <f t="shared" si="447"/>
        <v/>
      </c>
      <c r="BU926" s="256" t="str">
        <f t="shared" si="448"/>
        <v/>
      </c>
      <c r="BV926" s="256" t="str">
        <f t="shared" si="449"/>
        <v/>
      </c>
      <c r="BW926" s="267"/>
      <c r="BX926" s="256" t="str">
        <f t="shared" si="450"/>
        <v/>
      </c>
      <c r="BY926" s="256" t="str">
        <f t="shared" si="451"/>
        <v/>
      </c>
      <c r="BZ926" s="281"/>
      <c r="CA926" s="282"/>
      <c r="CF926" s="284"/>
      <c r="CG926" s="284"/>
      <c r="CH926" s="284"/>
      <c r="CI926" s="284"/>
      <c r="CL926" s="356" t="str">
        <f>IFERROR(VLOOKUP(C926,'Data Sheet'!$A$3:$B$26,2,FALSE),"")</f>
        <v/>
      </c>
    </row>
    <row r="927" spans="1:90" ht="15.75" x14ac:dyDescent="0.2">
      <c r="A927" s="97"/>
      <c r="B927" s="105" t="str">
        <f t="shared" si="454"/>
        <v>--</v>
      </c>
      <c r="C927" s="276"/>
      <c r="D927" s="101" t="str">
        <f>IFERROR(IF(VLOOKUP(C927,'Data Sheet'!$A$3:$D$26,4,FALSE)=0,"",VLOOKUP(C927,'Data Sheet'!$A$3:$D$26,4,FALSE)),"")</f>
        <v/>
      </c>
      <c r="E927" s="279"/>
      <c r="F927" s="103" t="str">
        <f>IFERROR(IF(VLOOKUP(E927,'Data Sheet'!$C$29:$E$174,3,FALSE)=0,"",VLOOKUP(E927,'Data Sheet'!$C$29:$E$174,3,FALSE)),"")</f>
        <v/>
      </c>
      <c r="G927" s="106" t="str">
        <f t="shared" si="452"/>
        <v>-</v>
      </c>
      <c r="H927" s="273"/>
      <c r="I927" s="107"/>
      <c r="J927" s="249" t="e">
        <f t="shared" si="453"/>
        <v>#VALUE!</v>
      </c>
      <c r="K927" s="101" t="str">
        <f>IFERROR(INDEX('Data Sheet'!$C$198:$C$275,MATCH(I927,'Data Sheet'!$F$198:$F$275,0)),"")</f>
        <v/>
      </c>
      <c r="L927" s="250" t="str">
        <f>IFERROR(INDEX('Data Sheet'!$G$198:$G$275,MATCH(I927,'Data Sheet'!$F$198:$F$275,0)),"")</f>
        <v/>
      </c>
      <c r="M927" s="194"/>
      <c r="N927" s="248"/>
      <c r="O927" s="248"/>
      <c r="P927" s="108" t="str">
        <f>IFERROR(INDEX(Setup!$D$44:$D$70,MATCH(M927,Setup!$K$44:$K$70,0))&amp;"","")</f>
        <v/>
      </c>
      <c r="Q927" s="108" t="str">
        <f>IFERROR(INDEX(Setup!$E$44:$E$70,MATCH(M927,Setup!$K$44:$K$70,0))&amp;"","")</f>
        <v/>
      </c>
      <c r="R927" s="108" t="str">
        <f>IFERROR(INDEX(Setup!$L$44:$L$70,MATCH(M927,Setup!$K$44:$K$70,0))&amp;"","")</f>
        <v/>
      </c>
      <c r="S927" s="108" t="str">
        <f>Setup!$C$30</f>
        <v>USD</v>
      </c>
      <c r="T927" s="109" t="str">
        <f>IFERROR(INDEX('Data Sheet'!$B$198:$B$275,MATCH(I927,'Data Sheet'!$F$198:$F$275,0)),"")</f>
        <v/>
      </c>
      <c r="U927" s="110" t="str">
        <f>IFERROR(INDEX('Data Sheet'!$D$198:$D$275,MATCH(I927,'Data Sheet'!$F$198:$F$275,0)),"")</f>
        <v/>
      </c>
      <c r="V927" s="99"/>
      <c r="W927" s="195" t="str">
        <f>IF(V927=Setup!$C$30,"Grant",IF(V927=Setup!$C$31,"Local",IF(V927=Setup!$C$32,"Other",IF(ISBLANK(V927),"","Other"))))</f>
        <v/>
      </c>
      <c r="X927" s="255"/>
      <c r="Y927" s="259" t="str">
        <f>IF(X927&lt;&gt;"",X927/VLOOKUP($V927,Setup!$C$30:$D$41,2,0),"")</f>
        <v/>
      </c>
      <c r="Z927" s="262"/>
      <c r="AA927" s="256" t="str">
        <f t="shared" si="426"/>
        <v/>
      </c>
      <c r="AB927" s="262"/>
      <c r="AC927" s="258" t="str">
        <f t="shared" si="427"/>
        <v/>
      </c>
      <c r="AD927" s="262"/>
      <c r="AE927" s="258" t="str">
        <f t="shared" si="428"/>
        <v/>
      </c>
      <c r="AF927" s="262"/>
      <c r="AG927" s="256" t="str">
        <f t="shared" si="429"/>
        <v/>
      </c>
      <c r="AH927" s="256" t="str">
        <f t="shared" si="430"/>
        <v/>
      </c>
      <c r="AI927" s="256" t="str">
        <f t="shared" si="431"/>
        <v/>
      </c>
      <c r="AJ927" s="111"/>
      <c r="AK927" s="255"/>
      <c r="AL927" s="259" t="str">
        <f>IF(AK927&lt;&gt;"",AK927/VLOOKUP($V927,Setup!$C$30:$D$41,2,0),"")</f>
        <v/>
      </c>
      <c r="AM927" s="266"/>
      <c r="AN927" s="258" t="str">
        <f t="shared" si="432"/>
        <v/>
      </c>
      <c r="AO927" s="266"/>
      <c r="AP927" s="258" t="str">
        <f t="shared" si="433"/>
        <v/>
      </c>
      <c r="AQ927" s="266"/>
      <c r="AR927" s="258" t="str">
        <f t="shared" si="434"/>
        <v/>
      </c>
      <c r="AS927" s="266"/>
      <c r="AT927" s="256" t="str">
        <f t="shared" si="435"/>
        <v/>
      </c>
      <c r="AU927" s="256" t="str">
        <f t="shared" si="436"/>
        <v/>
      </c>
      <c r="AV927" s="256" t="str">
        <f t="shared" si="437"/>
        <v/>
      </c>
      <c r="AW927" s="267"/>
      <c r="AX927" s="255"/>
      <c r="AY927" s="259" t="str">
        <f>IF(AX927&lt;&gt;"",AX927/VLOOKUP($V927,Setup!$C$30:$D$41,2,0),"")</f>
        <v/>
      </c>
      <c r="AZ927" s="268"/>
      <c r="BA927" s="258" t="str">
        <f t="shared" si="438"/>
        <v/>
      </c>
      <c r="BB927" s="268"/>
      <c r="BC927" s="258" t="str">
        <f t="shared" si="439"/>
        <v/>
      </c>
      <c r="BD927" s="268"/>
      <c r="BE927" s="258" t="str">
        <f t="shared" si="440"/>
        <v/>
      </c>
      <c r="BF927" s="268"/>
      <c r="BG927" s="256" t="str">
        <f t="shared" si="441"/>
        <v/>
      </c>
      <c r="BH927" s="256" t="str">
        <f t="shared" si="442"/>
        <v/>
      </c>
      <c r="BI927" s="256" t="str">
        <f t="shared" si="443"/>
        <v/>
      </c>
      <c r="BJ927" s="267"/>
      <c r="BK927" s="255"/>
      <c r="BL927" s="259" t="str">
        <f>IF(BK927&lt;&gt;"",BK927/VLOOKUP($V927,Setup!$C$30:$D$41,2,0),"")</f>
        <v/>
      </c>
      <c r="BM927" s="268"/>
      <c r="BN927" s="258" t="str">
        <f t="shared" si="444"/>
        <v/>
      </c>
      <c r="BO927" s="268"/>
      <c r="BP927" s="258" t="str">
        <f t="shared" si="445"/>
        <v/>
      </c>
      <c r="BQ927" s="268"/>
      <c r="BR927" s="258" t="str">
        <f t="shared" si="446"/>
        <v/>
      </c>
      <c r="BS927" s="268"/>
      <c r="BT927" s="256" t="str">
        <f t="shared" si="447"/>
        <v/>
      </c>
      <c r="BU927" s="256" t="str">
        <f t="shared" si="448"/>
        <v/>
      </c>
      <c r="BV927" s="256" t="str">
        <f t="shared" si="449"/>
        <v/>
      </c>
      <c r="BW927" s="267"/>
      <c r="BX927" s="256" t="str">
        <f t="shared" si="450"/>
        <v/>
      </c>
      <c r="BY927" s="256" t="str">
        <f t="shared" si="451"/>
        <v/>
      </c>
      <c r="BZ927" s="281"/>
      <c r="CA927" s="282"/>
      <c r="CF927" s="284"/>
      <c r="CG927" s="284"/>
      <c r="CH927" s="284"/>
      <c r="CI927" s="284"/>
      <c r="CL927" s="356" t="str">
        <f>IFERROR(VLOOKUP(C927,'Data Sheet'!$A$3:$B$26,2,FALSE),"")</f>
        <v/>
      </c>
    </row>
    <row r="928" spans="1:90" ht="15.75" x14ac:dyDescent="0.2">
      <c r="A928" s="97"/>
      <c r="B928" s="105" t="str">
        <f t="shared" si="454"/>
        <v>--</v>
      </c>
      <c r="C928" s="276"/>
      <c r="D928" s="101" t="str">
        <f>IFERROR(IF(VLOOKUP(C928,'Data Sheet'!$A$3:$D$26,4,FALSE)=0,"",VLOOKUP(C928,'Data Sheet'!$A$3:$D$26,4,FALSE)),"")</f>
        <v/>
      </c>
      <c r="E928" s="279"/>
      <c r="F928" s="103" t="str">
        <f>IFERROR(IF(VLOOKUP(E928,'Data Sheet'!$C$29:$E$174,3,FALSE)=0,"",VLOOKUP(E928,'Data Sheet'!$C$29:$E$174,3,FALSE)),"")</f>
        <v/>
      </c>
      <c r="G928" s="106" t="str">
        <f t="shared" si="452"/>
        <v>-</v>
      </c>
      <c r="H928" s="273"/>
      <c r="I928" s="107"/>
      <c r="J928" s="249" t="e">
        <f t="shared" si="453"/>
        <v>#VALUE!</v>
      </c>
      <c r="K928" s="101" t="str">
        <f>IFERROR(INDEX('Data Sheet'!$C$198:$C$275,MATCH(I928,'Data Sheet'!$F$198:$F$275,0)),"")</f>
        <v/>
      </c>
      <c r="L928" s="250" t="str">
        <f>IFERROR(INDEX('Data Sheet'!$G$198:$G$275,MATCH(I928,'Data Sheet'!$F$198:$F$275,0)),"")</f>
        <v/>
      </c>
      <c r="M928" s="194"/>
      <c r="N928" s="248"/>
      <c r="O928" s="248"/>
      <c r="P928" s="108" t="str">
        <f>IFERROR(INDEX(Setup!$D$44:$D$70,MATCH(M928,Setup!$K$44:$K$70,0))&amp;"","")</f>
        <v/>
      </c>
      <c r="Q928" s="108" t="str">
        <f>IFERROR(INDEX(Setup!$E$44:$E$70,MATCH(M928,Setup!$K$44:$K$70,0))&amp;"","")</f>
        <v/>
      </c>
      <c r="R928" s="108" t="str">
        <f>IFERROR(INDEX(Setup!$L$44:$L$70,MATCH(M928,Setup!$K$44:$K$70,0))&amp;"","")</f>
        <v/>
      </c>
      <c r="S928" s="108" t="str">
        <f>Setup!$C$30</f>
        <v>USD</v>
      </c>
      <c r="T928" s="109" t="str">
        <f>IFERROR(INDEX('Data Sheet'!$B$198:$B$275,MATCH(I928,'Data Sheet'!$F$198:$F$275,0)),"")</f>
        <v/>
      </c>
      <c r="U928" s="110" t="str">
        <f>IFERROR(INDEX('Data Sheet'!$D$198:$D$275,MATCH(I928,'Data Sheet'!$F$198:$F$275,0)),"")</f>
        <v/>
      </c>
      <c r="V928" s="99"/>
      <c r="W928" s="195" t="str">
        <f>IF(V928=Setup!$C$30,"Grant",IF(V928=Setup!$C$31,"Local",IF(V928=Setup!$C$32,"Other",IF(ISBLANK(V928),"","Other"))))</f>
        <v/>
      </c>
      <c r="X928" s="255"/>
      <c r="Y928" s="259" t="str">
        <f>IF(X928&lt;&gt;"",X928/VLOOKUP($V928,Setup!$C$30:$D$41,2,0),"")</f>
        <v/>
      </c>
      <c r="Z928" s="262"/>
      <c r="AA928" s="256" t="str">
        <f t="shared" si="426"/>
        <v/>
      </c>
      <c r="AB928" s="262"/>
      <c r="AC928" s="258" t="str">
        <f t="shared" si="427"/>
        <v/>
      </c>
      <c r="AD928" s="262"/>
      <c r="AE928" s="258" t="str">
        <f t="shared" si="428"/>
        <v/>
      </c>
      <c r="AF928" s="262"/>
      <c r="AG928" s="256" t="str">
        <f t="shared" si="429"/>
        <v/>
      </c>
      <c r="AH928" s="256" t="str">
        <f t="shared" si="430"/>
        <v/>
      </c>
      <c r="AI928" s="256" t="str">
        <f t="shared" si="431"/>
        <v/>
      </c>
      <c r="AJ928" s="111"/>
      <c r="AK928" s="255"/>
      <c r="AL928" s="259" t="str">
        <f>IF(AK928&lt;&gt;"",AK928/VLOOKUP($V928,Setup!$C$30:$D$41,2,0),"")</f>
        <v/>
      </c>
      <c r="AM928" s="266"/>
      <c r="AN928" s="258" t="str">
        <f t="shared" si="432"/>
        <v/>
      </c>
      <c r="AO928" s="266"/>
      <c r="AP928" s="258" t="str">
        <f t="shared" si="433"/>
        <v/>
      </c>
      <c r="AQ928" s="266"/>
      <c r="AR928" s="258" t="str">
        <f t="shared" si="434"/>
        <v/>
      </c>
      <c r="AS928" s="266"/>
      <c r="AT928" s="256" t="str">
        <f t="shared" si="435"/>
        <v/>
      </c>
      <c r="AU928" s="256" t="str">
        <f t="shared" si="436"/>
        <v/>
      </c>
      <c r="AV928" s="256" t="str">
        <f t="shared" si="437"/>
        <v/>
      </c>
      <c r="AW928" s="267"/>
      <c r="AX928" s="255"/>
      <c r="AY928" s="259" t="str">
        <f>IF(AX928&lt;&gt;"",AX928/VLOOKUP($V928,Setup!$C$30:$D$41,2,0),"")</f>
        <v/>
      </c>
      <c r="AZ928" s="268"/>
      <c r="BA928" s="258" t="str">
        <f t="shared" si="438"/>
        <v/>
      </c>
      <c r="BB928" s="268"/>
      <c r="BC928" s="258" t="str">
        <f t="shared" si="439"/>
        <v/>
      </c>
      <c r="BD928" s="268"/>
      <c r="BE928" s="258" t="str">
        <f t="shared" si="440"/>
        <v/>
      </c>
      <c r="BF928" s="268"/>
      <c r="BG928" s="256" t="str">
        <f t="shared" si="441"/>
        <v/>
      </c>
      <c r="BH928" s="256" t="str">
        <f t="shared" si="442"/>
        <v/>
      </c>
      <c r="BI928" s="256" t="str">
        <f t="shared" si="443"/>
        <v/>
      </c>
      <c r="BJ928" s="267"/>
      <c r="BK928" s="255"/>
      <c r="BL928" s="259" t="str">
        <f>IF(BK928&lt;&gt;"",BK928/VLOOKUP($V928,Setup!$C$30:$D$41,2,0),"")</f>
        <v/>
      </c>
      <c r="BM928" s="268"/>
      <c r="BN928" s="258" t="str">
        <f t="shared" si="444"/>
        <v/>
      </c>
      <c r="BO928" s="268"/>
      <c r="BP928" s="258" t="str">
        <f t="shared" si="445"/>
        <v/>
      </c>
      <c r="BQ928" s="268"/>
      <c r="BR928" s="258" t="str">
        <f t="shared" si="446"/>
        <v/>
      </c>
      <c r="BS928" s="268"/>
      <c r="BT928" s="256" t="str">
        <f t="shared" si="447"/>
        <v/>
      </c>
      <c r="BU928" s="256" t="str">
        <f t="shared" si="448"/>
        <v/>
      </c>
      <c r="BV928" s="256" t="str">
        <f t="shared" si="449"/>
        <v/>
      </c>
      <c r="BW928" s="267"/>
      <c r="BX928" s="256" t="str">
        <f t="shared" si="450"/>
        <v/>
      </c>
      <c r="BY928" s="256" t="str">
        <f t="shared" si="451"/>
        <v/>
      </c>
      <c r="BZ928" s="281"/>
      <c r="CA928" s="282"/>
      <c r="CF928" s="284"/>
      <c r="CG928" s="284"/>
      <c r="CH928" s="284"/>
      <c r="CI928" s="284"/>
      <c r="CL928" s="356" t="str">
        <f>IFERROR(VLOOKUP(C928,'Data Sheet'!$A$3:$B$26,2,FALSE),"")</f>
        <v/>
      </c>
    </row>
    <row r="929" spans="1:90" ht="15.75" x14ac:dyDescent="0.2">
      <c r="A929" s="97"/>
      <c r="B929" s="105" t="str">
        <f t="shared" si="454"/>
        <v>--</v>
      </c>
      <c r="C929" s="276"/>
      <c r="D929" s="101" t="str">
        <f>IFERROR(IF(VLOOKUP(C929,'Data Sheet'!$A$3:$D$26,4,FALSE)=0,"",VLOOKUP(C929,'Data Sheet'!$A$3:$D$26,4,FALSE)),"")</f>
        <v/>
      </c>
      <c r="E929" s="279"/>
      <c r="F929" s="103" t="str">
        <f>IFERROR(IF(VLOOKUP(E929,'Data Sheet'!$C$29:$E$174,3,FALSE)=0,"",VLOOKUP(E929,'Data Sheet'!$C$29:$E$174,3,FALSE)),"")</f>
        <v/>
      </c>
      <c r="G929" s="106" t="str">
        <f t="shared" si="452"/>
        <v>-</v>
      </c>
      <c r="H929" s="273"/>
      <c r="I929" s="107"/>
      <c r="J929" s="249" t="e">
        <f t="shared" si="453"/>
        <v>#VALUE!</v>
      </c>
      <c r="K929" s="101" t="str">
        <f>IFERROR(INDEX('Data Sheet'!$C$198:$C$275,MATCH(I929,'Data Sheet'!$F$198:$F$275,0)),"")</f>
        <v/>
      </c>
      <c r="L929" s="250" t="str">
        <f>IFERROR(INDEX('Data Sheet'!$G$198:$G$275,MATCH(I929,'Data Sheet'!$F$198:$F$275,0)),"")</f>
        <v/>
      </c>
      <c r="M929" s="194"/>
      <c r="N929" s="248"/>
      <c r="O929" s="248"/>
      <c r="P929" s="108" t="str">
        <f>IFERROR(INDEX(Setup!$D$44:$D$70,MATCH(M929,Setup!$K$44:$K$70,0))&amp;"","")</f>
        <v/>
      </c>
      <c r="Q929" s="108" t="str">
        <f>IFERROR(INDEX(Setup!$E$44:$E$70,MATCH(M929,Setup!$K$44:$K$70,0))&amp;"","")</f>
        <v/>
      </c>
      <c r="R929" s="108" t="str">
        <f>IFERROR(INDEX(Setup!$L$44:$L$70,MATCH(M929,Setup!$K$44:$K$70,0))&amp;"","")</f>
        <v/>
      </c>
      <c r="S929" s="108" t="str">
        <f>Setup!$C$30</f>
        <v>USD</v>
      </c>
      <c r="T929" s="109" t="str">
        <f>IFERROR(INDEX('Data Sheet'!$B$198:$B$275,MATCH(I929,'Data Sheet'!$F$198:$F$275,0)),"")</f>
        <v/>
      </c>
      <c r="U929" s="110" t="str">
        <f>IFERROR(INDEX('Data Sheet'!$D$198:$D$275,MATCH(I929,'Data Sheet'!$F$198:$F$275,0)),"")</f>
        <v/>
      </c>
      <c r="V929" s="99"/>
      <c r="W929" s="195" t="str">
        <f>IF(V929=Setup!$C$30,"Grant",IF(V929=Setup!$C$31,"Local",IF(V929=Setup!$C$32,"Other",IF(ISBLANK(V929),"","Other"))))</f>
        <v/>
      </c>
      <c r="X929" s="255"/>
      <c r="Y929" s="259" t="str">
        <f>IF(X929&lt;&gt;"",X929/VLOOKUP($V929,Setup!$C$30:$D$41,2,0),"")</f>
        <v/>
      </c>
      <c r="Z929" s="262"/>
      <c r="AA929" s="256" t="str">
        <f t="shared" si="426"/>
        <v/>
      </c>
      <c r="AB929" s="262"/>
      <c r="AC929" s="258" t="str">
        <f t="shared" si="427"/>
        <v/>
      </c>
      <c r="AD929" s="262"/>
      <c r="AE929" s="258" t="str">
        <f t="shared" si="428"/>
        <v/>
      </c>
      <c r="AF929" s="262"/>
      <c r="AG929" s="256" t="str">
        <f t="shared" si="429"/>
        <v/>
      </c>
      <c r="AH929" s="256" t="str">
        <f t="shared" si="430"/>
        <v/>
      </c>
      <c r="AI929" s="256" t="str">
        <f t="shared" si="431"/>
        <v/>
      </c>
      <c r="AJ929" s="111"/>
      <c r="AK929" s="255"/>
      <c r="AL929" s="259" t="str">
        <f>IF(AK929&lt;&gt;"",AK929/VLOOKUP($V929,Setup!$C$30:$D$41,2,0),"")</f>
        <v/>
      </c>
      <c r="AM929" s="266"/>
      <c r="AN929" s="258" t="str">
        <f t="shared" si="432"/>
        <v/>
      </c>
      <c r="AO929" s="266"/>
      <c r="AP929" s="258" t="str">
        <f t="shared" si="433"/>
        <v/>
      </c>
      <c r="AQ929" s="266"/>
      <c r="AR929" s="258" t="str">
        <f t="shared" si="434"/>
        <v/>
      </c>
      <c r="AS929" s="266"/>
      <c r="AT929" s="256" t="str">
        <f t="shared" si="435"/>
        <v/>
      </c>
      <c r="AU929" s="256" t="str">
        <f t="shared" si="436"/>
        <v/>
      </c>
      <c r="AV929" s="256" t="str">
        <f t="shared" si="437"/>
        <v/>
      </c>
      <c r="AW929" s="267"/>
      <c r="AX929" s="255"/>
      <c r="AY929" s="259" t="str">
        <f>IF(AX929&lt;&gt;"",AX929/VLOOKUP($V929,Setup!$C$30:$D$41,2,0),"")</f>
        <v/>
      </c>
      <c r="AZ929" s="268"/>
      <c r="BA929" s="258" t="str">
        <f t="shared" si="438"/>
        <v/>
      </c>
      <c r="BB929" s="268"/>
      <c r="BC929" s="258" t="str">
        <f t="shared" si="439"/>
        <v/>
      </c>
      <c r="BD929" s="268"/>
      <c r="BE929" s="258" t="str">
        <f t="shared" si="440"/>
        <v/>
      </c>
      <c r="BF929" s="268"/>
      <c r="BG929" s="256" t="str">
        <f t="shared" si="441"/>
        <v/>
      </c>
      <c r="BH929" s="256" t="str">
        <f t="shared" si="442"/>
        <v/>
      </c>
      <c r="BI929" s="256" t="str">
        <f t="shared" si="443"/>
        <v/>
      </c>
      <c r="BJ929" s="267"/>
      <c r="BK929" s="255"/>
      <c r="BL929" s="259" t="str">
        <f>IF(BK929&lt;&gt;"",BK929/VLOOKUP($V929,Setup!$C$30:$D$41,2,0),"")</f>
        <v/>
      </c>
      <c r="BM929" s="268"/>
      <c r="BN929" s="258" t="str">
        <f t="shared" si="444"/>
        <v/>
      </c>
      <c r="BO929" s="268"/>
      <c r="BP929" s="258" t="str">
        <f t="shared" si="445"/>
        <v/>
      </c>
      <c r="BQ929" s="268"/>
      <c r="BR929" s="258" t="str">
        <f t="shared" si="446"/>
        <v/>
      </c>
      <c r="BS929" s="268"/>
      <c r="BT929" s="256" t="str">
        <f t="shared" si="447"/>
        <v/>
      </c>
      <c r="BU929" s="256" t="str">
        <f t="shared" si="448"/>
        <v/>
      </c>
      <c r="BV929" s="256" t="str">
        <f t="shared" si="449"/>
        <v/>
      </c>
      <c r="BW929" s="267"/>
      <c r="BX929" s="256" t="str">
        <f t="shared" si="450"/>
        <v/>
      </c>
      <c r="BY929" s="256" t="str">
        <f t="shared" si="451"/>
        <v/>
      </c>
      <c r="BZ929" s="281"/>
      <c r="CA929" s="282"/>
      <c r="CF929" s="284"/>
      <c r="CG929" s="284"/>
      <c r="CH929" s="284"/>
      <c r="CI929" s="284"/>
      <c r="CL929" s="356" t="str">
        <f>IFERROR(VLOOKUP(C929,'Data Sheet'!$A$3:$B$26,2,FALSE),"")</f>
        <v/>
      </c>
    </row>
    <row r="930" spans="1:90" ht="15.75" x14ac:dyDescent="0.2">
      <c r="A930" s="97"/>
      <c r="B930" s="105" t="str">
        <f t="shared" si="454"/>
        <v>--</v>
      </c>
      <c r="C930" s="276"/>
      <c r="D930" s="101" t="str">
        <f>IFERROR(IF(VLOOKUP(C930,'Data Sheet'!$A$3:$D$26,4,FALSE)=0,"",VLOOKUP(C930,'Data Sheet'!$A$3:$D$26,4,FALSE)),"")</f>
        <v/>
      </c>
      <c r="E930" s="279"/>
      <c r="F930" s="103" t="str">
        <f>IFERROR(IF(VLOOKUP(E930,'Data Sheet'!$C$29:$E$174,3,FALSE)=0,"",VLOOKUP(E930,'Data Sheet'!$C$29:$E$174,3,FALSE)),"")</f>
        <v/>
      </c>
      <c r="G930" s="106" t="str">
        <f t="shared" si="452"/>
        <v>-</v>
      </c>
      <c r="H930" s="273"/>
      <c r="I930" s="107"/>
      <c r="J930" s="249" t="e">
        <f t="shared" si="453"/>
        <v>#VALUE!</v>
      </c>
      <c r="K930" s="101" t="str">
        <f>IFERROR(INDEX('Data Sheet'!$C$198:$C$275,MATCH(I930,'Data Sheet'!$F$198:$F$275,0)),"")</f>
        <v/>
      </c>
      <c r="L930" s="250" t="str">
        <f>IFERROR(INDEX('Data Sheet'!$G$198:$G$275,MATCH(I930,'Data Sheet'!$F$198:$F$275,0)),"")</f>
        <v/>
      </c>
      <c r="M930" s="194"/>
      <c r="N930" s="248"/>
      <c r="O930" s="248"/>
      <c r="P930" s="108" t="str">
        <f>IFERROR(INDEX(Setup!$D$44:$D$70,MATCH(M930,Setup!$K$44:$K$70,0))&amp;"","")</f>
        <v/>
      </c>
      <c r="Q930" s="108" t="str">
        <f>IFERROR(INDEX(Setup!$E$44:$E$70,MATCH(M930,Setup!$K$44:$K$70,0))&amp;"","")</f>
        <v/>
      </c>
      <c r="R930" s="108" t="str">
        <f>IFERROR(INDEX(Setup!$L$44:$L$70,MATCH(M930,Setup!$K$44:$K$70,0))&amp;"","")</f>
        <v/>
      </c>
      <c r="S930" s="108" t="str">
        <f>Setup!$C$30</f>
        <v>USD</v>
      </c>
      <c r="T930" s="109" t="str">
        <f>IFERROR(INDEX('Data Sheet'!$B$198:$B$275,MATCH(I930,'Data Sheet'!$F$198:$F$275,0)),"")</f>
        <v/>
      </c>
      <c r="U930" s="110" t="str">
        <f>IFERROR(INDEX('Data Sheet'!$D$198:$D$275,MATCH(I930,'Data Sheet'!$F$198:$F$275,0)),"")</f>
        <v/>
      </c>
      <c r="V930" s="99"/>
      <c r="W930" s="195" t="str">
        <f>IF(V930=Setup!$C$30,"Grant",IF(V930=Setup!$C$31,"Local",IF(V930=Setup!$C$32,"Other",IF(ISBLANK(V930),"","Other"))))</f>
        <v/>
      </c>
      <c r="X930" s="255"/>
      <c r="Y930" s="259" t="str">
        <f>IF(X930&lt;&gt;"",X930/VLOOKUP($V930,Setup!$C$30:$D$41,2,0),"")</f>
        <v/>
      </c>
      <c r="Z930" s="262"/>
      <c r="AA930" s="256" t="str">
        <f t="shared" si="426"/>
        <v/>
      </c>
      <c r="AB930" s="262"/>
      <c r="AC930" s="258" t="str">
        <f t="shared" si="427"/>
        <v/>
      </c>
      <c r="AD930" s="262"/>
      <c r="AE930" s="258" t="str">
        <f t="shared" si="428"/>
        <v/>
      </c>
      <c r="AF930" s="262"/>
      <c r="AG930" s="256" t="str">
        <f t="shared" si="429"/>
        <v/>
      </c>
      <c r="AH930" s="256" t="str">
        <f t="shared" si="430"/>
        <v/>
      </c>
      <c r="AI930" s="256" t="str">
        <f t="shared" si="431"/>
        <v/>
      </c>
      <c r="AJ930" s="111"/>
      <c r="AK930" s="255"/>
      <c r="AL930" s="259" t="str">
        <f>IF(AK930&lt;&gt;"",AK930/VLOOKUP($V930,Setup!$C$30:$D$41,2,0),"")</f>
        <v/>
      </c>
      <c r="AM930" s="266"/>
      <c r="AN930" s="258" t="str">
        <f t="shared" si="432"/>
        <v/>
      </c>
      <c r="AO930" s="266"/>
      <c r="AP930" s="258" t="str">
        <f t="shared" si="433"/>
        <v/>
      </c>
      <c r="AQ930" s="266"/>
      <c r="AR930" s="258" t="str">
        <f t="shared" si="434"/>
        <v/>
      </c>
      <c r="AS930" s="266"/>
      <c r="AT930" s="256" t="str">
        <f t="shared" si="435"/>
        <v/>
      </c>
      <c r="AU930" s="256" t="str">
        <f t="shared" si="436"/>
        <v/>
      </c>
      <c r="AV930" s="256" t="str">
        <f t="shared" si="437"/>
        <v/>
      </c>
      <c r="AW930" s="267"/>
      <c r="AX930" s="255"/>
      <c r="AY930" s="259" t="str">
        <f>IF(AX930&lt;&gt;"",AX930/VLOOKUP($V930,Setup!$C$30:$D$41,2,0),"")</f>
        <v/>
      </c>
      <c r="AZ930" s="268"/>
      <c r="BA930" s="258" t="str">
        <f t="shared" si="438"/>
        <v/>
      </c>
      <c r="BB930" s="268"/>
      <c r="BC930" s="258" t="str">
        <f t="shared" si="439"/>
        <v/>
      </c>
      <c r="BD930" s="268"/>
      <c r="BE930" s="258" t="str">
        <f t="shared" si="440"/>
        <v/>
      </c>
      <c r="BF930" s="268"/>
      <c r="BG930" s="256" t="str">
        <f t="shared" si="441"/>
        <v/>
      </c>
      <c r="BH930" s="256" t="str">
        <f t="shared" si="442"/>
        <v/>
      </c>
      <c r="BI930" s="256" t="str">
        <f t="shared" si="443"/>
        <v/>
      </c>
      <c r="BJ930" s="267"/>
      <c r="BK930" s="255"/>
      <c r="BL930" s="259" t="str">
        <f>IF(BK930&lt;&gt;"",BK930/VLOOKUP($V930,Setup!$C$30:$D$41,2,0),"")</f>
        <v/>
      </c>
      <c r="BM930" s="268"/>
      <c r="BN930" s="258" t="str">
        <f t="shared" si="444"/>
        <v/>
      </c>
      <c r="BO930" s="268"/>
      <c r="BP930" s="258" t="str">
        <f t="shared" si="445"/>
        <v/>
      </c>
      <c r="BQ930" s="268"/>
      <c r="BR930" s="258" t="str">
        <f t="shared" si="446"/>
        <v/>
      </c>
      <c r="BS930" s="268"/>
      <c r="BT930" s="256" t="str">
        <f t="shared" si="447"/>
        <v/>
      </c>
      <c r="BU930" s="256" t="str">
        <f t="shared" si="448"/>
        <v/>
      </c>
      <c r="BV930" s="256" t="str">
        <f t="shared" si="449"/>
        <v/>
      </c>
      <c r="BW930" s="267"/>
      <c r="BX930" s="256" t="str">
        <f t="shared" si="450"/>
        <v/>
      </c>
      <c r="BY930" s="256" t="str">
        <f t="shared" si="451"/>
        <v/>
      </c>
      <c r="BZ930" s="281"/>
      <c r="CA930" s="282"/>
      <c r="CF930" s="284"/>
      <c r="CG930" s="284"/>
      <c r="CH930" s="284"/>
      <c r="CI930" s="284"/>
      <c r="CL930" s="356" t="str">
        <f>IFERROR(VLOOKUP(C930,'Data Sheet'!$A$3:$B$26,2,FALSE),"")</f>
        <v/>
      </c>
    </row>
    <row r="931" spans="1:90" ht="15.75" x14ac:dyDescent="0.2">
      <c r="A931" s="97"/>
      <c r="B931" s="105" t="str">
        <f t="shared" si="454"/>
        <v>--</v>
      </c>
      <c r="C931" s="276"/>
      <c r="D931" s="101" t="str">
        <f>IFERROR(IF(VLOOKUP(C931,'Data Sheet'!$A$3:$D$26,4,FALSE)=0,"",VLOOKUP(C931,'Data Sheet'!$A$3:$D$26,4,FALSE)),"")</f>
        <v/>
      </c>
      <c r="E931" s="279"/>
      <c r="F931" s="103" t="str">
        <f>IFERROR(IF(VLOOKUP(E931,'Data Sheet'!$C$29:$E$174,3,FALSE)=0,"",VLOOKUP(E931,'Data Sheet'!$C$29:$E$174,3,FALSE)),"")</f>
        <v/>
      </c>
      <c r="G931" s="106" t="str">
        <f t="shared" si="452"/>
        <v>-</v>
      </c>
      <c r="H931" s="273"/>
      <c r="I931" s="107"/>
      <c r="J931" s="249" t="e">
        <f t="shared" si="453"/>
        <v>#VALUE!</v>
      </c>
      <c r="K931" s="101" t="str">
        <f>IFERROR(INDEX('Data Sheet'!$C$198:$C$275,MATCH(I931,'Data Sheet'!$F$198:$F$275,0)),"")</f>
        <v/>
      </c>
      <c r="L931" s="250" t="str">
        <f>IFERROR(INDEX('Data Sheet'!$G$198:$G$275,MATCH(I931,'Data Sheet'!$F$198:$F$275,0)),"")</f>
        <v/>
      </c>
      <c r="M931" s="194"/>
      <c r="N931" s="248"/>
      <c r="O931" s="248"/>
      <c r="P931" s="108" t="str">
        <f>IFERROR(INDEX(Setup!$D$44:$D$70,MATCH(M931,Setup!$K$44:$K$70,0))&amp;"","")</f>
        <v/>
      </c>
      <c r="Q931" s="108" t="str">
        <f>IFERROR(INDEX(Setup!$E$44:$E$70,MATCH(M931,Setup!$K$44:$K$70,0))&amp;"","")</f>
        <v/>
      </c>
      <c r="R931" s="108" t="str">
        <f>IFERROR(INDEX(Setup!$L$44:$L$70,MATCH(M931,Setup!$K$44:$K$70,0))&amp;"","")</f>
        <v/>
      </c>
      <c r="S931" s="108" t="str">
        <f>Setup!$C$30</f>
        <v>USD</v>
      </c>
      <c r="T931" s="109" t="str">
        <f>IFERROR(INDEX('Data Sheet'!$B$198:$B$275,MATCH(I931,'Data Sheet'!$F$198:$F$275,0)),"")</f>
        <v/>
      </c>
      <c r="U931" s="110" t="str">
        <f>IFERROR(INDEX('Data Sheet'!$D$198:$D$275,MATCH(I931,'Data Sheet'!$F$198:$F$275,0)),"")</f>
        <v/>
      </c>
      <c r="V931" s="99"/>
      <c r="W931" s="195" t="str">
        <f>IF(V931=Setup!$C$30,"Grant",IF(V931=Setup!$C$31,"Local",IF(V931=Setup!$C$32,"Other",IF(ISBLANK(V931),"","Other"))))</f>
        <v/>
      </c>
      <c r="X931" s="255"/>
      <c r="Y931" s="259" t="str">
        <f>IF(X931&lt;&gt;"",X931/VLOOKUP($V931,Setup!$C$30:$D$41,2,0),"")</f>
        <v/>
      </c>
      <c r="Z931" s="262"/>
      <c r="AA931" s="256" t="str">
        <f t="shared" si="426"/>
        <v/>
      </c>
      <c r="AB931" s="262"/>
      <c r="AC931" s="258" t="str">
        <f t="shared" si="427"/>
        <v/>
      </c>
      <c r="AD931" s="262"/>
      <c r="AE931" s="258" t="str">
        <f t="shared" si="428"/>
        <v/>
      </c>
      <c r="AF931" s="262"/>
      <c r="AG931" s="256" t="str">
        <f t="shared" si="429"/>
        <v/>
      </c>
      <c r="AH931" s="256" t="str">
        <f t="shared" si="430"/>
        <v/>
      </c>
      <c r="AI931" s="256" t="str">
        <f t="shared" si="431"/>
        <v/>
      </c>
      <c r="AJ931" s="111"/>
      <c r="AK931" s="255"/>
      <c r="AL931" s="259" t="str">
        <f>IF(AK931&lt;&gt;"",AK931/VLOOKUP($V931,Setup!$C$30:$D$41,2,0),"")</f>
        <v/>
      </c>
      <c r="AM931" s="266"/>
      <c r="AN931" s="258" t="str">
        <f t="shared" si="432"/>
        <v/>
      </c>
      <c r="AO931" s="266"/>
      <c r="AP931" s="258" t="str">
        <f t="shared" si="433"/>
        <v/>
      </c>
      <c r="AQ931" s="266"/>
      <c r="AR931" s="258" t="str">
        <f t="shared" si="434"/>
        <v/>
      </c>
      <c r="AS931" s="266"/>
      <c r="AT931" s="256" t="str">
        <f t="shared" si="435"/>
        <v/>
      </c>
      <c r="AU931" s="256" t="str">
        <f t="shared" si="436"/>
        <v/>
      </c>
      <c r="AV931" s="256" t="str">
        <f t="shared" si="437"/>
        <v/>
      </c>
      <c r="AW931" s="267"/>
      <c r="AX931" s="255"/>
      <c r="AY931" s="259" t="str">
        <f>IF(AX931&lt;&gt;"",AX931/VLOOKUP($V931,Setup!$C$30:$D$41,2,0),"")</f>
        <v/>
      </c>
      <c r="AZ931" s="268"/>
      <c r="BA931" s="258" t="str">
        <f t="shared" si="438"/>
        <v/>
      </c>
      <c r="BB931" s="268"/>
      <c r="BC931" s="258" t="str">
        <f t="shared" si="439"/>
        <v/>
      </c>
      <c r="BD931" s="268"/>
      <c r="BE931" s="258" t="str">
        <f t="shared" si="440"/>
        <v/>
      </c>
      <c r="BF931" s="268"/>
      <c r="BG931" s="256" t="str">
        <f t="shared" si="441"/>
        <v/>
      </c>
      <c r="BH931" s="256" t="str">
        <f t="shared" si="442"/>
        <v/>
      </c>
      <c r="BI931" s="256" t="str">
        <f t="shared" si="443"/>
        <v/>
      </c>
      <c r="BJ931" s="267"/>
      <c r="BK931" s="255"/>
      <c r="BL931" s="259" t="str">
        <f>IF(BK931&lt;&gt;"",BK931/VLOOKUP($V931,Setup!$C$30:$D$41,2,0),"")</f>
        <v/>
      </c>
      <c r="BM931" s="268"/>
      <c r="BN931" s="258" t="str">
        <f t="shared" si="444"/>
        <v/>
      </c>
      <c r="BO931" s="268"/>
      <c r="BP931" s="258" t="str">
        <f t="shared" si="445"/>
        <v/>
      </c>
      <c r="BQ931" s="268"/>
      <c r="BR931" s="258" t="str">
        <f t="shared" si="446"/>
        <v/>
      </c>
      <c r="BS931" s="268"/>
      <c r="BT931" s="256" t="str">
        <f t="shared" si="447"/>
        <v/>
      </c>
      <c r="BU931" s="256" t="str">
        <f t="shared" si="448"/>
        <v/>
      </c>
      <c r="BV931" s="256" t="str">
        <f t="shared" si="449"/>
        <v/>
      </c>
      <c r="BW931" s="267"/>
      <c r="BX931" s="256" t="str">
        <f t="shared" si="450"/>
        <v/>
      </c>
      <c r="BY931" s="256" t="str">
        <f t="shared" si="451"/>
        <v/>
      </c>
      <c r="BZ931" s="281"/>
      <c r="CA931" s="282"/>
      <c r="CF931" s="284"/>
      <c r="CG931" s="284"/>
      <c r="CH931" s="284"/>
      <c r="CI931" s="284"/>
      <c r="CL931" s="356" t="str">
        <f>IFERROR(VLOOKUP(C931,'Data Sheet'!$A$3:$B$26,2,FALSE),"")</f>
        <v/>
      </c>
    </row>
    <row r="932" spans="1:90" ht="15.75" x14ac:dyDescent="0.2">
      <c r="A932" s="97"/>
      <c r="B932" s="105" t="str">
        <f t="shared" si="454"/>
        <v>--</v>
      </c>
      <c r="C932" s="276"/>
      <c r="D932" s="101" t="str">
        <f>IFERROR(IF(VLOOKUP(C932,'Data Sheet'!$A$3:$D$26,4,FALSE)=0,"",VLOOKUP(C932,'Data Sheet'!$A$3:$D$26,4,FALSE)),"")</f>
        <v/>
      </c>
      <c r="E932" s="279"/>
      <c r="F932" s="103" t="str">
        <f>IFERROR(IF(VLOOKUP(E932,'Data Sheet'!$C$29:$E$174,3,FALSE)=0,"",VLOOKUP(E932,'Data Sheet'!$C$29:$E$174,3,FALSE)),"")</f>
        <v/>
      </c>
      <c r="G932" s="106" t="str">
        <f t="shared" si="452"/>
        <v>-</v>
      </c>
      <c r="H932" s="273"/>
      <c r="I932" s="107"/>
      <c r="J932" s="249" t="e">
        <f t="shared" si="453"/>
        <v>#VALUE!</v>
      </c>
      <c r="K932" s="101" t="str">
        <f>IFERROR(INDEX('Data Sheet'!$C$198:$C$275,MATCH(I932,'Data Sheet'!$F$198:$F$275,0)),"")</f>
        <v/>
      </c>
      <c r="L932" s="250" t="str">
        <f>IFERROR(INDEX('Data Sheet'!$G$198:$G$275,MATCH(I932,'Data Sheet'!$F$198:$F$275,0)),"")</f>
        <v/>
      </c>
      <c r="M932" s="194"/>
      <c r="N932" s="248"/>
      <c r="O932" s="248"/>
      <c r="P932" s="108" t="str">
        <f>IFERROR(INDEX(Setup!$D$44:$D$70,MATCH(M932,Setup!$K$44:$K$70,0))&amp;"","")</f>
        <v/>
      </c>
      <c r="Q932" s="108" t="str">
        <f>IFERROR(INDEX(Setup!$E$44:$E$70,MATCH(M932,Setup!$K$44:$K$70,0))&amp;"","")</f>
        <v/>
      </c>
      <c r="R932" s="108" t="str">
        <f>IFERROR(INDEX(Setup!$L$44:$L$70,MATCH(M932,Setup!$K$44:$K$70,0))&amp;"","")</f>
        <v/>
      </c>
      <c r="S932" s="108" t="str">
        <f>Setup!$C$30</f>
        <v>USD</v>
      </c>
      <c r="T932" s="109" t="str">
        <f>IFERROR(INDEX('Data Sheet'!$B$198:$B$275,MATCH(I932,'Data Sheet'!$F$198:$F$275,0)),"")</f>
        <v/>
      </c>
      <c r="U932" s="110" t="str">
        <f>IFERROR(INDEX('Data Sheet'!$D$198:$D$275,MATCH(I932,'Data Sheet'!$F$198:$F$275,0)),"")</f>
        <v/>
      </c>
      <c r="V932" s="99"/>
      <c r="W932" s="195" t="str">
        <f>IF(V932=Setup!$C$30,"Grant",IF(V932=Setup!$C$31,"Local",IF(V932=Setup!$C$32,"Other",IF(ISBLANK(V932),"","Other"))))</f>
        <v/>
      </c>
      <c r="X932" s="255"/>
      <c r="Y932" s="259" t="str">
        <f>IF(X932&lt;&gt;"",X932/VLOOKUP($V932,Setup!$C$30:$D$41,2,0),"")</f>
        <v/>
      </c>
      <c r="Z932" s="262"/>
      <c r="AA932" s="256" t="str">
        <f t="shared" si="426"/>
        <v/>
      </c>
      <c r="AB932" s="262"/>
      <c r="AC932" s="258" t="str">
        <f t="shared" si="427"/>
        <v/>
      </c>
      <c r="AD932" s="262"/>
      <c r="AE932" s="258" t="str">
        <f t="shared" si="428"/>
        <v/>
      </c>
      <c r="AF932" s="262"/>
      <c r="AG932" s="256" t="str">
        <f t="shared" si="429"/>
        <v/>
      </c>
      <c r="AH932" s="256" t="str">
        <f t="shared" si="430"/>
        <v/>
      </c>
      <c r="AI932" s="256" t="str">
        <f t="shared" si="431"/>
        <v/>
      </c>
      <c r="AJ932" s="111"/>
      <c r="AK932" s="255"/>
      <c r="AL932" s="259" t="str">
        <f>IF(AK932&lt;&gt;"",AK932/VLOOKUP($V932,Setup!$C$30:$D$41,2,0),"")</f>
        <v/>
      </c>
      <c r="AM932" s="266"/>
      <c r="AN932" s="258" t="str">
        <f t="shared" si="432"/>
        <v/>
      </c>
      <c r="AO932" s="266"/>
      <c r="AP932" s="258" t="str">
        <f t="shared" si="433"/>
        <v/>
      </c>
      <c r="AQ932" s="266"/>
      <c r="AR932" s="258" t="str">
        <f t="shared" si="434"/>
        <v/>
      </c>
      <c r="AS932" s="266"/>
      <c r="AT932" s="256" t="str">
        <f t="shared" si="435"/>
        <v/>
      </c>
      <c r="AU932" s="256" t="str">
        <f t="shared" si="436"/>
        <v/>
      </c>
      <c r="AV932" s="256" t="str">
        <f t="shared" si="437"/>
        <v/>
      </c>
      <c r="AW932" s="267"/>
      <c r="AX932" s="255"/>
      <c r="AY932" s="259" t="str">
        <f>IF(AX932&lt;&gt;"",AX932/VLOOKUP($V932,Setup!$C$30:$D$41,2,0),"")</f>
        <v/>
      </c>
      <c r="AZ932" s="268"/>
      <c r="BA932" s="258" t="str">
        <f t="shared" si="438"/>
        <v/>
      </c>
      <c r="BB932" s="268"/>
      <c r="BC932" s="258" t="str">
        <f t="shared" si="439"/>
        <v/>
      </c>
      <c r="BD932" s="268"/>
      <c r="BE932" s="258" t="str">
        <f t="shared" si="440"/>
        <v/>
      </c>
      <c r="BF932" s="268"/>
      <c r="BG932" s="256" t="str">
        <f t="shared" si="441"/>
        <v/>
      </c>
      <c r="BH932" s="256" t="str">
        <f t="shared" si="442"/>
        <v/>
      </c>
      <c r="BI932" s="256" t="str">
        <f t="shared" si="443"/>
        <v/>
      </c>
      <c r="BJ932" s="267"/>
      <c r="BK932" s="255"/>
      <c r="BL932" s="259" t="str">
        <f>IF(BK932&lt;&gt;"",BK932/VLOOKUP($V932,Setup!$C$30:$D$41,2,0),"")</f>
        <v/>
      </c>
      <c r="BM932" s="268"/>
      <c r="BN932" s="258" t="str">
        <f t="shared" si="444"/>
        <v/>
      </c>
      <c r="BO932" s="268"/>
      <c r="BP932" s="258" t="str">
        <f t="shared" si="445"/>
        <v/>
      </c>
      <c r="BQ932" s="268"/>
      <c r="BR932" s="258" t="str">
        <f t="shared" si="446"/>
        <v/>
      </c>
      <c r="BS932" s="268"/>
      <c r="BT932" s="256" t="str">
        <f t="shared" si="447"/>
        <v/>
      </c>
      <c r="BU932" s="256" t="str">
        <f t="shared" si="448"/>
        <v/>
      </c>
      <c r="BV932" s="256" t="str">
        <f t="shared" si="449"/>
        <v/>
      </c>
      <c r="BW932" s="267"/>
      <c r="BX932" s="256" t="str">
        <f t="shared" si="450"/>
        <v/>
      </c>
      <c r="BY932" s="256" t="str">
        <f t="shared" si="451"/>
        <v/>
      </c>
      <c r="BZ932" s="281"/>
      <c r="CA932" s="282"/>
      <c r="CF932" s="284"/>
      <c r="CG932" s="284"/>
      <c r="CH932" s="284"/>
      <c r="CI932" s="284"/>
      <c r="CL932" s="356" t="str">
        <f>IFERROR(VLOOKUP(C932,'Data Sheet'!$A$3:$B$26,2,FALSE),"")</f>
        <v/>
      </c>
    </row>
    <row r="933" spans="1:90" ht="15.75" x14ac:dyDescent="0.2">
      <c r="A933" s="97"/>
      <c r="B933" s="105" t="str">
        <f t="shared" si="454"/>
        <v>--</v>
      </c>
      <c r="C933" s="276"/>
      <c r="D933" s="101" t="str">
        <f>IFERROR(IF(VLOOKUP(C933,'Data Sheet'!$A$3:$D$26,4,FALSE)=0,"",VLOOKUP(C933,'Data Sheet'!$A$3:$D$26,4,FALSE)),"")</f>
        <v/>
      </c>
      <c r="E933" s="279"/>
      <c r="F933" s="103" t="str">
        <f>IFERROR(IF(VLOOKUP(E933,'Data Sheet'!$C$29:$E$174,3,FALSE)=0,"",VLOOKUP(E933,'Data Sheet'!$C$29:$E$174,3,FALSE)),"")</f>
        <v/>
      </c>
      <c r="G933" s="106" t="str">
        <f t="shared" si="452"/>
        <v>-</v>
      </c>
      <c r="H933" s="273"/>
      <c r="I933" s="107"/>
      <c r="J933" s="249" t="e">
        <f t="shared" si="453"/>
        <v>#VALUE!</v>
      </c>
      <c r="K933" s="101" t="str">
        <f>IFERROR(INDEX('Data Sheet'!$C$198:$C$275,MATCH(I933,'Data Sheet'!$F$198:$F$275,0)),"")</f>
        <v/>
      </c>
      <c r="L933" s="250" t="str">
        <f>IFERROR(INDEX('Data Sheet'!$G$198:$G$275,MATCH(I933,'Data Sheet'!$F$198:$F$275,0)),"")</f>
        <v/>
      </c>
      <c r="M933" s="194"/>
      <c r="N933" s="248"/>
      <c r="O933" s="248"/>
      <c r="P933" s="108" t="str">
        <f>IFERROR(INDEX(Setup!$D$44:$D$70,MATCH(M933,Setup!$K$44:$K$70,0))&amp;"","")</f>
        <v/>
      </c>
      <c r="Q933" s="108" t="str">
        <f>IFERROR(INDEX(Setup!$E$44:$E$70,MATCH(M933,Setup!$K$44:$K$70,0))&amp;"","")</f>
        <v/>
      </c>
      <c r="R933" s="108" t="str">
        <f>IFERROR(INDEX(Setup!$L$44:$L$70,MATCH(M933,Setup!$K$44:$K$70,0))&amp;"","")</f>
        <v/>
      </c>
      <c r="S933" s="108" t="str">
        <f>Setup!$C$30</f>
        <v>USD</v>
      </c>
      <c r="T933" s="109" t="str">
        <f>IFERROR(INDEX('Data Sheet'!$B$198:$B$275,MATCH(I933,'Data Sheet'!$F$198:$F$275,0)),"")</f>
        <v/>
      </c>
      <c r="U933" s="110" t="str">
        <f>IFERROR(INDEX('Data Sheet'!$D$198:$D$275,MATCH(I933,'Data Sheet'!$F$198:$F$275,0)),"")</f>
        <v/>
      </c>
      <c r="V933" s="99"/>
      <c r="W933" s="195" t="str">
        <f>IF(V933=Setup!$C$30,"Grant",IF(V933=Setup!$C$31,"Local",IF(V933=Setup!$C$32,"Other",IF(ISBLANK(V933),"","Other"))))</f>
        <v/>
      </c>
      <c r="X933" s="255"/>
      <c r="Y933" s="259" t="str">
        <f>IF(X933&lt;&gt;"",X933/VLOOKUP($V933,Setup!$C$30:$D$41,2,0),"")</f>
        <v/>
      </c>
      <c r="Z933" s="262"/>
      <c r="AA933" s="256" t="str">
        <f t="shared" si="426"/>
        <v/>
      </c>
      <c r="AB933" s="262"/>
      <c r="AC933" s="258" t="str">
        <f t="shared" si="427"/>
        <v/>
      </c>
      <c r="AD933" s="262"/>
      <c r="AE933" s="258" t="str">
        <f t="shared" si="428"/>
        <v/>
      </c>
      <c r="AF933" s="262"/>
      <c r="AG933" s="256" t="str">
        <f t="shared" si="429"/>
        <v/>
      </c>
      <c r="AH933" s="256" t="str">
        <f t="shared" si="430"/>
        <v/>
      </c>
      <c r="AI933" s="256" t="str">
        <f t="shared" si="431"/>
        <v/>
      </c>
      <c r="AJ933" s="111"/>
      <c r="AK933" s="255"/>
      <c r="AL933" s="259" t="str">
        <f>IF(AK933&lt;&gt;"",AK933/VLOOKUP($V933,Setup!$C$30:$D$41,2,0),"")</f>
        <v/>
      </c>
      <c r="AM933" s="266"/>
      <c r="AN933" s="258" t="str">
        <f t="shared" si="432"/>
        <v/>
      </c>
      <c r="AO933" s="266"/>
      <c r="AP933" s="258" t="str">
        <f t="shared" si="433"/>
        <v/>
      </c>
      <c r="AQ933" s="266"/>
      <c r="AR933" s="258" t="str">
        <f t="shared" si="434"/>
        <v/>
      </c>
      <c r="AS933" s="266"/>
      <c r="AT933" s="256" t="str">
        <f t="shared" si="435"/>
        <v/>
      </c>
      <c r="AU933" s="256" t="str">
        <f t="shared" si="436"/>
        <v/>
      </c>
      <c r="AV933" s="256" t="str">
        <f t="shared" si="437"/>
        <v/>
      </c>
      <c r="AW933" s="267"/>
      <c r="AX933" s="255"/>
      <c r="AY933" s="259" t="str">
        <f>IF(AX933&lt;&gt;"",AX933/VLOOKUP($V933,Setup!$C$30:$D$41,2,0),"")</f>
        <v/>
      </c>
      <c r="AZ933" s="268"/>
      <c r="BA933" s="258" t="str">
        <f t="shared" si="438"/>
        <v/>
      </c>
      <c r="BB933" s="268"/>
      <c r="BC933" s="258" t="str">
        <f t="shared" si="439"/>
        <v/>
      </c>
      <c r="BD933" s="268"/>
      <c r="BE933" s="258" t="str">
        <f t="shared" si="440"/>
        <v/>
      </c>
      <c r="BF933" s="268"/>
      <c r="BG933" s="256" t="str">
        <f t="shared" si="441"/>
        <v/>
      </c>
      <c r="BH933" s="256" t="str">
        <f t="shared" si="442"/>
        <v/>
      </c>
      <c r="BI933" s="256" t="str">
        <f t="shared" si="443"/>
        <v/>
      </c>
      <c r="BJ933" s="267"/>
      <c r="BK933" s="255"/>
      <c r="BL933" s="259" t="str">
        <f>IF(BK933&lt;&gt;"",BK933/VLOOKUP($V933,Setup!$C$30:$D$41,2,0),"")</f>
        <v/>
      </c>
      <c r="BM933" s="268"/>
      <c r="BN933" s="258" t="str">
        <f t="shared" si="444"/>
        <v/>
      </c>
      <c r="BO933" s="268"/>
      <c r="BP933" s="258" t="str">
        <f t="shared" si="445"/>
        <v/>
      </c>
      <c r="BQ933" s="268"/>
      <c r="BR933" s="258" t="str">
        <f t="shared" si="446"/>
        <v/>
      </c>
      <c r="BS933" s="268"/>
      <c r="BT933" s="256" t="str">
        <f t="shared" si="447"/>
        <v/>
      </c>
      <c r="BU933" s="256" t="str">
        <f t="shared" si="448"/>
        <v/>
      </c>
      <c r="BV933" s="256" t="str">
        <f t="shared" si="449"/>
        <v/>
      </c>
      <c r="BW933" s="267"/>
      <c r="BX933" s="256" t="str">
        <f t="shared" si="450"/>
        <v/>
      </c>
      <c r="BY933" s="256" t="str">
        <f t="shared" si="451"/>
        <v/>
      </c>
      <c r="BZ933" s="281"/>
      <c r="CA933" s="282"/>
      <c r="CF933" s="284"/>
      <c r="CG933" s="284"/>
      <c r="CH933" s="284"/>
      <c r="CI933" s="284"/>
      <c r="CL933" s="356" t="str">
        <f>IFERROR(VLOOKUP(C933,'Data Sheet'!$A$3:$B$26,2,FALSE),"")</f>
        <v/>
      </c>
    </row>
    <row r="934" spans="1:90" ht="15.75" x14ac:dyDescent="0.2">
      <c r="A934" s="97"/>
      <c r="B934" s="105" t="str">
        <f t="shared" si="454"/>
        <v>--</v>
      </c>
      <c r="C934" s="276"/>
      <c r="D934" s="101" t="str">
        <f>IFERROR(IF(VLOOKUP(C934,'Data Sheet'!$A$3:$D$26,4,FALSE)=0,"",VLOOKUP(C934,'Data Sheet'!$A$3:$D$26,4,FALSE)),"")</f>
        <v/>
      </c>
      <c r="E934" s="279"/>
      <c r="F934" s="103" t="str">
        <f>IFERROR(IF(VLOOKUP(E934,'Data Sheet'!$C$29:$E$174,3,FALSE)=0,"",VLOOKUP(E934,'Data Sheet'!$C$29:$E$174,3,FALSE)),"")</f>
        <v/>
      </c>
      <c r="G934" s="106" t="str">
        <f t="shared" si="452"/>
        <v>-</v>
      </c>
      <c r="H934" s="273"/>
      <c r="I934" s="107"/>
      <c r="J934" s="249" t="e">
        <f t="shared" si="453"/>
        <v>#VALUE!</v>
      </c>
      <c r="K934" s="101" t="str">
        <f>IFERROR(INDEX('Data Sheet'!$C$198:$C$275,MATCH(I934,'Data Sheet'!$F$198:$F$275,0)),"")</f>
        <v/>
      </c>
      <c r="L934" s="250" t="str">
        <f>IFERROR(INDEX('Data Sheet'!$G$198:$G$275,MATCH(I934,'Data Sheet'!$F$198:$F$275,0)),"")</f>
        <v/>
      </c>
      <c r="M934" s="194"/>
      <c r="N934" s="248"/>
      <c r="O934" s="248"/>
      <c r="P934" s="108" t="str">
        <f>IFERROR(INDEX(Setup!$D$44:$D$70,MATCH(M934,Setup!$K$44:$K$70,0))&amp;"","")</f>
        <v/>
      </c>
      <c r="Q934" s="108" t="str">
        <f>IFERROR(INDEX(Setup!$E$44:$E$70,MATCH(M934,Setup!$K$44:$K$70,0))&amp;"","")</f>
        <v/>
      </c>
      <c r="R934" s="108" t="str">
        <f>IFERROR(INDEX(Setup!$L$44:$L$70,MATCH(M934,Setup!$K$44:$K$70,0))&amp;"","")</f>
        <v/>
      </c>
      <c r="S934" s="108" t="str">
        <f>Setup!$C$30</f>
        <v>USD</v>
      </c>
      <c r="T934" s="109" t="str">
        <f>IFERROR(INDEX('Data Sheet'!$B$198:$B$275,MATCH(I934,'Data Sheet'!$F$198:$F$275,0)),"")</f>
        <v/>
      </c>
      <c r="U934" s="110" t="str">
        <f>IFERROR(INDEX('Data Sheet'!$D$198:$D$275,MATCH(I934,'Data Sheet'!$F$198:$F$275,0)),"")</f>
        <v/>
      </c>
      <c r="V934" s="99"/>
      <c r="W934" s="195" t="str">
        <f>IF(V934=Setup!$C$30,"Grant",IF(V934=Setup!$C$31,"Local",IF(V934=Setup!$C$32,"Other",IF(ISBLANK(V934),"","Other"))))</f>
        <v/>
      </c>
      <c r="X934" s="255"/>
      <c r="Y934" s="259" t="str">
        <f>IF(X934&lt;&gt;"",X934/VLOOKUP($V934,Setup!$C$30:$D$41,2,0),"")</f>
        <v/>
      </c>
      <c r="Z934" s="262"/>
      <c r="AA934" s="256" t="str">
        <f t="shared" si="426"/>
        <v/>
      </c>
      <c r="AB934" s="262"/>
      <c r="AC934" s="258" t="str">
        <f t="shared" si="427"/>
        <v/>
      </c>
      <c r="AD934" s="262"/>
      <c r="AE934" s="258" t="str">
        <f t="shared" si="428"/>
        <v/>
      </c>
      <c r="AF934" s="262"/>
      <c r="AG934" s="256" t="str">
        <f t="shared" si="429"/>
        <v/>
      </c>
      <c r="AH934" s="256" t="str">
        <f t="shared" si="430"/>
        <v/>
      </c>
      <c r="AI934" s="256" t="str">
        <f t="shared" si="431"/>
        <v/>
      </c>
      <c r="AJ934" s="111"/>
      <c r="AK934" s="255"/>
      <c r="AL934" s="259" t="str">
        <f>IF(AK934&lt;&gt;"",AK934/VLOOKUP($V934,Setup!$C$30:$D$41,2,0),"")</f>
        <v/>
      </c>
      <c r="AM934" s="266"/>
      <c r="AN934" s="258" t="str">
        <f t="shared" si="432"/>
        <v/>
      </c>
      <c r="AO934" s="266"/>
      <c r="AP934" s="258" t="str">
        <f t="shared" si="433"/>
        <v/>
      </c>
      <c r="AQ934" s="266"/>
      <c r="AR934" s="258" t="str">
        <f t="shared" si="434"/>
        <v/>
      </c>
      <c r="AS934" s="266"/>
      <c r="AT934" s="256" t="str">
        <f t="shared" si="435"/>
        <v/>
      </c>
      <c r="AU934" s="256" t="str">
        <f t="shared" si="436"/>
        <v/>
      </c>
      <c r="AV934" s="256" t="str">
        <f t="shared" si="437"/>
        <v/>
      </c>
      <c r="AW934" s="267"/>
      <c r="AX934" s="255"/>
      <c r="AY934" s="259" t="str">
        <f>IF(AX934&lt;&gt;"",AX934/VLOOKUP($V934,Setup!$C$30:$D$41,2,0),"")</f>
        <v/>
      </c>
      <c r="AZ934" s="268"/>
      <c r="BA934" s="258" t="str">
        <f t="shared" si="438"/>
        <v/>
      </c>
      <c r="BB934" s="268"/>
      <c r="BC934" s="258" t="str">
        <f t="shared" si="439"/>
        <v/>
      </c>
      <c r="BD934" s="268"/>
      <c r="BE934" s="258" t="str">
        <f t="shared" si="440"/>
        <v/>
      </c>
      <c r="BF934" s="268"/>
      <c r="BG934" s="256" t="str">
        <f t="shared" si="441"/>
        <v/>
      </c>
      <c r="BH934" s="256" t="str">
        <f t="shared" si="442"/>
        <v/>
      </c>
      <c r="BI934" s="256" t="str">
        <f t="shared" si="443"/>
        <v/>
      </c>
      <c r="BJ934" s="267"/>
      <c r="BK934" s="255"/>
      <c r="BL934" s="259" t="str">
        <f>IF(BK934&lt;&gt;"",BK934/VLOOKUP($V934,Setup!$C$30:$D$41,2,0),"")</f>
        <v/>
      </c>
      <c r="BM934" s="268"/>
      <c r="BN934" s="258" t="str">
        <f t="shared" si="444"/>
        <v/>
      </c>
      <c r="BO934" s="268"/>
      <c r="BP934" s="258" t="str">
        <f t="shared" si="445"/>
        <v/>
      </c>
      <c r="BQ934" s="268"/>
      <c r="BR934" s="258" t="str">
        <f t="shared" si="446"/>
        <v/>
      </c>
      <c r="BS934" s="268"/>
      <c r="BT934" s="256" t="str">
        <f t="shared" si="447"/>
        <v/>
      </c>
      <c r="BU934" s="256" t="str">
        <f t="shared" si="448"/>
        <v/>
      </c>
      <c r="BV934" s="256" t="str">
        <f t="shared" si="449"/>
        <v/>
      </c>
      <c r="BW934" s="267"/>
      <c r="BX934" s="256" t="str">
        <f t="shared" si="450"/>
        <v/>
      </c>
      <c r="BY934" s="256" t="str">
        <f t="shared" si="451"/>
        <v/>
      </c>
      <c r="BZ934" s="281"/>
      <c r="CA934" s="282"/>
      <c r="CF934" s="284"/>
      <c r="CG934" s="284"/>
      <c r="CH934" s="284"/>
      <c r="CI934" s="284"/>
      <c r="CL934" s="356" t="str">
        <f>IFERROR(VLOOKUP(C934,'Data Sheet'!$A$3:$B$26,2,FALSE),"")</f>
        <v/>
      </c>
    </row>
    <row r="935" spans="1:90" ht="15.75" x14ac:dyDescent="0.2">
      <c r="A935" s="97"/>
      <c r="B935" s="105" t="str">
        <f t="shared" si="454"/>
        <v>--</v>
      </c>
      <c r="C935" s="276"/>
      <c r="D935" s="101" t="str">
        <f>IFERROR(IF(VLOOKUP(C935,'Data Sheet'!$A$3:$D$26,4,FALSE)=0,"",VLOOKUP(C935,'Data Sheet'!$A$3:$D$26,4,FALSE)),"")</f>
        <v/>
      </c>
      <c r="E935" s="279"/>
      <c r="F935" s="103" t="str">
        <f>IFERROR(IF(VLOOKUP(E935,'Data Sheet'!$C$29:$E$174,3,FALSE)=0,"",VLOOKUP(E935,'Data Sheet'!$C$29:$E$174,3,FALSE)),"")</f>
        <v/>
      </c>
      <c r="G935" s="106" t="str">
        <f t="shared" si="452"/>
        <v>-</v>
      </c>
      <c r="H935" s="273"/>
      <c r="I935" s="107"/>
      <c r="J935" s="249" t="e">
        <f t="shared" si="453"/>
        <v>#VALUE!</v>
      </c>
      <c r="K935" s="101" t="str">
        <f>IFERROR(INDEX('Data Sheet'!$C$198:$C$275,MATCH(I935,'Data Sheet'!$F$198:$F$275,0)),"")</f>
        <v/>
      </c>
      <c r="L935" s="250" t="str">
        <f>IFERROR(INDEX('Data Sheet'!$G$198:$G$275,MATCH(I935,'Data Sheet'!$F$198:$F$275,0)),"")</f>
        <v/>
      </c>
      <c r="M935" s="194"/>
      <c r="N935" s="248"/>
      <c r="O935" s="248"/>
      <c r="P935" s="108" t="str">
        <f>IFERROR(INDEX(Setup!$D$44:$D$70,MATCH(M935,Setup!$K$44:$K$70,0))&amp;"","")</f>
        <v/>
      </c>
      <c r="Q935" s="108" t="str">
        <f>IFERROR(INDEX(Setup!$E$44:$E$70,MATCH(M935,Setup!$K$44:$K$70,0))&amp;"","")</f>
        <v/>
      </c>
      <c r="R935" s="108" t="str">
        <f>IFERROR(INDEX(Setup!$L$44:$L$70,MATCH(M935,Setup!$K$44:$K$70,0))&amp;"","")</f>
        <v/>
      </c>
      <c r="S935" s="108" t="str">
        <f>Setup!$C$30</f>
        <v>USD</v>
      </c>
      <c r="T935" s="109" t="str">
        <f>IFERROR(INDEX('Data Sheet'!$B$198:$B$275,MATCH(I935,'Data Sheet'!$F$198:$F$275,0)),"")</f>
        <v/>
      </c>
      <c r="U935" s="110" t="str">
        <f>IFERROR(INDEX('Data Sheet'!$D$198:$D$275,MATCH(I935,'Data Sheet'!$F$198:$F$275,0)),"")</f>
        <v/>
      </c>
      <c r="V935" s="99"/>
      <c r="W935" s="195" t="str">
        <f>IF(V935=Setup!$C$30,"Grant",IF(V935=Setup!$C$31,"Local",IF(V935=Setup!$C$32,"Other",IF(ISBLANK(V935),"","Other"))))</f>
        <v/>
      </c>
      <c r="X935" s="255"/>
      <c r="Y935" s="259" t="str">
        <f>IF(X935&lt;&gt;"",X935/VLOOKUP($V935,Setup!$C$30:$D$41,2,0),"")</f>
        <v/>
      </c>
      <c r="Z935" s="262"/>
      <c r="AA935" s="256" t="str">
        <f t="shared" si="426"/>
        <v/>
      </c>
      <c r="AB935" s="262"/>
      <c r="AC935" s="258" t="str">
        <f t="shared" si="427"/>
        <v/>
      </c>
      <c r="AD935" s="262"/>
      <c r="AE935" s="258" t="str">
        <f t="shared" si="428"/>
        <v/>
      </c>
      <c r="AF935" s="262"/>
      <c r="AG935" s="256" t="str">
        <f t="shared" si="429"/>
        <v/>
      </c>
      <c r="AH935" s="256" t="str">
        <f t="shared" si="430"/>
        <v/>
      </c>
      <c r="AI935" s="256" t="str">
        <f t="shared" si="431"/>
        <v/>
      </c>
      <c r="AJ935" s="111"/>
      <c r="AK935" s="255"/>
      <c r="AL935" s="259" t="str">
        <f>IF(AK935&lt;&gt;"",AK935/VLOOKUP($V935,Setup!$C$30:$D$41,2,0),"")</f>
        <v/>
      </c>
      <c r="AM935" s="266"/>
      <c r="AN935" s="258" t="str">
        <f t="shared" si="432"/>
        <v/>
      </c>
      <c r="AO935" s="266"/>
      <c r="AP935" s="258" t="str">
        <f t="shared" si="433"/>
        <v/>
      </c>
      <c r="AQ935" s="266"/>
      <c r="AR935" s="258" t="str">
        <f t="shared" si="434"/>
        <v/>
      </c>
      <c r="AS935" s="266"/>
      <c r="AT935" s="256" t="str">
        <f t="shared" si="435"/>
        <v/>
      </c>
      <c r="AU935" s="256" t="str">
        <f t="shared" si="436"/>
        <v/>
      </c>
      <c r="AV935" s="256" t="str">
        <f t="shared" si="437"/>
        <v/>
      </c>
      <c r="AW935" s="267"/>
      <c r="AX935" s="255"/>
      <c r="AY935" s="259" t="str">
        <f>IF(AX935&lt;&gt;"",AX935/VLOOKUP($V935,Setup!$C$30:$D$41,2,0),"")</f>
        <v/>
      </c>
      <c r="AZ935" s="268"/>
      <c r="BA935" s="258" t="str">
        <f t="shared" si="438"/>
        <v/>
      </c>
      <c r="BB935" s="268"/>
      <c r="BC935" s="258" t="str">
        <f t="shared" si="439"/>
        <v/>
      </c>
      <c r="BD935" s="268"/>
      <c r="BE935" s="258" t="str">
        <f t="shared" si="440"/>
        <v/>
      </c>
      <c r="BF935" s="268"/>
      <c r="BG935" s="256" t="str">
        <f t="shared" si="441"/>
        <v/>
      </c>
      <c r="BH935" s="256" t="str">
        <f t="shared" si="442"/>
        <v/>
      </c>
      <c r="BI935" s="256" t="str">
        <f t="shared" si="443"/>
        <v/>
      </c>
      <c r="BJ935" s="267"/>
      <c r="BK935" s="255"/>
      <c r="BL935" s="259" t="str">
        <f>IF(BK935&lt;&gt;"",BK935/VLOOKUP($V935,Setup!$C$30:$D$41,2,0),"")</f>
        <v/>
      </c>
      <c r="BM935" s="268"/>
      <c r="BN935" s="258" t="str">
        <f t="shared" si="444"/>
        <v/>
      </c>
      <c r="BO935" s="268"/>
      <c r="BP935" s="258" t="str">
        <f t="shared" si="445"/>
        <v/>
      </c>
      <c r="BQ935" s="268"/>
      <c r="BR935" s="258" t="str">
        <f t="shared" si="446"/>
        <v/>
      </c>
      <c r="BS935" s="268"/>
      <c r="BT935" s="256" t="str">
        <f t="shared" si="447"/>
        <v/>
      </c>
      <c r="BU935" s="256" t="str">
        <f t="shared" si="448"/>
        <v/>
      </c>
      <c r="BV935" s="256" t="str">
        <f t="shared" si="449"/>
        <v/>
      </c>
      <c r="BW935" s="267"/>
      <c r="BX935" s="256" t="str">
        <f t="shared" si="450"/>
        <v/>
      </c>
      <c r="BY935" s="256" t="str">
        <f t="shared" si="451"/>
        <v/>
      </c>
      <c r="BZ935" s="281"/>
      <c r="CA935" s="282"/>
      <c r="CF935" s="284"/>
      <c r="CG935" s="284"/>
      <c r="CH935" s="284"/>
      <c r="CI935" s="284"/>
      <c r="CL935" s="356" t="str">
        <f>IFERROR(VLOOKUP(C935,'Data Sheet'!$A$3:$B$26,2,FALSE),"")</f>
        <v/>
      </c>
    </row>
    <row r="936" spans="1:90" ht="15.75" x14ac:dyDescent="0.2">
      <c r="A936" s="97"/>
      <c r="B936" s="105" t="str">
        <f t="shared" si="454"/>
        <v>--</v>
      </c>
      <c r="C936" s="276"/>
      <c r="D936" s="101" t="str">
        <f>IFERROR(IF(VLOOKUP(C936,'Data Sheet'!$A$3:$D$26,4,FALSE)=0,"",VLOOKUP(C936,'Data Sheet'!$A$3:$D$26,4,FALSE)),"")</f>
        <v/>
      </c>
      <c r="E936" s="279"/>
      <c r="F936" s="103" t="str">
        <f>IFERROR(IF(VLOOKUP(E936,'Data Sheet'!$C$29:$E$174,3,FALSE)=0,"",VLOOKUP(E936,'Data Sheet'!$C$29:$E$174,3,FALSE)),"")</f>
        <v/>
      </c>
      <c r="G936" s="106" t="str">
        <f t="shared" si="452"/>
        <v>-</v>
      </c>
      <c r="H936" s="273"/>
      <c r="I936" s="107"/>
      <c r="J936" s="249" t="e">
        <f t="shared" si="453"/>
        <v>#VALUE!</v>
      </c>
      <c r="K936" s="101" t="str">
        <f>IFERROR(INDEX('Data Sheet'!$C$198:$C$275,MATCH(I936,'Data Sheet'!$F$198:$F$275,0)),"")</f>
        <v/>
      </c>
      <c r="L936" s="250" t="str">
        <f>IFERROR(INDEX('Data Sheet'!$G$198:$G$275,MATCH(I936,'Data Sheet'!$F$198:$F$275,0)),"")</f>
        <v/>
      </c>
      <c r="M936" s="194"/>
      <c r="N936" s="248"/>
      <c r="O936" s="248"/>
      <c r="P936" s="108" t="str">
        <f>IFERROR(INDEX(Setup!$D$44:$D$70,MATCH(M936,Setup!$K$44:$K$70,0))&amp;"","")</f>
        <v/>
      </c>
      <c r="Q936" s="108" t="str">
        <f>IFERROR(INDEX(Setup!$E$44:$E$70,MATCH(M936,Setup!$K$44:$K$70,0))&amp;"","")</f>
        <v/>
      </c>
      <c r="R936" s="108" t="str">
        <f>IFERROR(INDEX(Setup!$L$44:$L$70,MATCH(M936,Setup!$K$44:$K$70,0))&amp;"","")</f>
        <v/>
      </c>
      <c r="S936" s="108" t="str">
        <f>Setup!$C$30</f>
        <v>USD</v>
      </c>
      <c r="T936" s="109" t="str">
        <f>IFERROR(INDEX('Data Sheet'!$B$198:$B$275,MATCH(I936,'Data Sheet'!$F$198:$F$275,0)),"")</f>
        <v/>
      </c>
      <c r="U936" s="110" t="str">
        <f>IFERROR(INDEX('Data Sheet'!$D$198:$D$275,MATCH(I936,'Data Sheet'!$F$198:$F$275,0)),"")</f>
        <v/>
      </c>
      <c r="V936" s="99"/>
      <c r="W936" s="195" t="str">
        <f>IF(V936=Setup!$C$30,"Grant",IF(V936=Setup!$C$31,"Local",IF(V936=Setup!$C$32,"Other",IF(ISBLANK(V936),"","Other"))))</f>
        <v/>
      </c>
      <c r="X936" s="255"/>
      <c r="Y936" s="259" t="str">
        <f>IF(X936&lt;&gt;"",X936/VLOOKUP($V936,Setup!$C$30:$D$41,2,0),"")</f>
        <v/>
      </c>
      <c r="Z936" s="262"/>
      <c r="AA936" s="256" t="str">
        <f t="shared" si="426"/>
        <v/>
      </c>
      <c r="AB936" s="262"/>
      <c r="AC936" s="258" t="str">
        <f t="shared" si="427"/>
        <v/>
      </c>
      <c r="AD936" s="262"/>
      <c r="AE936" s="258" t="str">
        <f t="shared" si="428"/>
        <v/>
      </c>
      <c r="AF936" s="262"/>
      <c r="AG936" s="256" t="str">
        <f t="shared" si="429"/>
        <v/>
      </c>
      <c r="AH936" s="256" t="str">
        <f t="shared" si="430"/>
        <v/>
      </c>
      <c r="AI936" s="256" t="str">
        <f t="shared" si="431"/>
        <v/>
      </c>
      <c r="AJ936" s="111"/>
      <c r="AK936" s="255"/>
      <c r="AL936" s="259" t="str">
        <f>IF(AK936&lt;&gt;"",AK936/VLOOKUP($V936,Setup!$C$30:$D$41,2,0),"")</f>
        <v/>
      </c>
      <c r="AM936" s="266"/>
      <c r="AN936" s="258" t="str">
        <f t="shared" si="432"/>
        <v/>
      </c>
      <c r="AO936" s="266"/>
      <c r="AP936" s="258" t="str">
        <f t="shared" si="433"/>
        <v/>
      </c>
      <c r="AQ936" s="266"/>
      <c r="AR936" s="258" t="str">
        <f t="shared" si="434"/>
        <v/>
      </c>
      <c r="AS936" s="266"/>
      <c r="AT936" s="256" t="str">
        <f t="shared" si="435"/>
        <v/>
      </c>
      <c r="AU936" s="256" t="str">
        <f t="shared" si="436"/>
        <v/>
      </c>
      <c r="AV936" s="256" t="str">
        <f t="shared" si="437"/>
        <v/>
      </c>
      <c r="AW936" s="267"/>
      <c r="AX936" s="255"/>
      <c r="AY936" s="259" t="str">
        <f>IF(AX936&lt;&gt;"",AX936/VLOOKUP($V936,Setup!$C$30:$D$41,2,0),"")</f>
        <v/>
      </c>
      <c r="AZ936" s="268"/>
      <c r="BA936" s="258" t="str">
        <f t="shared" si="438"/>
        <v/>
      </c>
      <c r="BB936" s="268"/>
      <c r="BC936" s="258" t="str">
        <f t="shared" si="439"/>
        <v/>
      </c>
      <c r="BD936" s="268"/>
      <c r="BE936" s="258" t="str">
        <f t="shared" si="440"/>
        <v/>
      </c>
      <c r="BF936" s="268"/>
      <c r="BG936" s="256" t="str">
        <f t="shared" si="441"/>
        <v/>
      </c>
      <c r="BH936" s="256" t="str">
        <f t="shared" si="442"/>
        <v/>
      </c>
      <c r="BI936" s="256" t="str">
        <f t="shared" si="443"/>
        <v/>
      </c>
      <c r="BJ936" s="267"/>
      <c r="BK936" s="255"/>
      <c r="BL936" s="259" t="str">
        <f>IF(BK936&lt;&gt;"",BK936/VLOOKUP($V936,Setup!$C$30:$D$41,2,0),"")</f>
        <v/>
      </c>
      <c r="BM936" s="268"/>
      <c r="BN936" s="258" t="str">
        <f t="shared" si="444"/>
        <v/>
      </c>
      <c r="BO936" s="268"/>
      <c r="BP936" s="258" t="str">
        <f t="shared" si="445"/>
        <v/>
      </c>
      <c r="BQ936" s="268"/>
      <c r="BR936" s="258" t="str">
        <f t="shared" si="446"/>
        <v/>
      </c>
      <c r="BS936" s="268"/>
      <c r="BT936" s="256" t="str">
        <f t="shared" si="447"/>
        <v/>
      </c>
      <c r="BU936" s="256" t="str">
        <f t="shared" si="448"/>
        <v/>
      </c>
      <c r="BV936" s="256" t="str">
        <f t="shared" si="449"/>
        <v/>
      </c>
      <c r="BW936" s="267"/>
      <c r="BX936" s="256" t="str">
        <f t="shared" si="450"/>
        <v/>
      </c>
      <c r="BY936" s="256" t="str">
        <f t="shared" si="451"/>
        <v/>
      </c>
      <c r="BZ936" s="281"/>
      <c r="CA936" s="282"/>
      <c r="CF936" s="284"/>
      <c r="CG936" s="284"/>
      <c r="CH936" s="284"/>
      <c r="CI936" s="284"/>
      <c r="CL936" s="356" t="str">
        <f>IFERROR(VLOOKUP(C936,'Data Sheet'!$A$3:$B$26,2,FALSE),"")</f>
        <v/>
      </c>
    </row>
    <row r="937" spans="1:90" ht="15.75" x14ac:dyDescent="0.2">
      <c r="A937" s="97"/>
      <c r="B937" s="105" t="str">
        <f t="shared" si="454"/>
        <v>--</v>
      </c>
      <c r="C937" s="276"/>
      <c r="D937" s="101" t="str">
        <f>IFERROR(IF(VLOOKUP(C937,'Data Sheet'!$A$3:$D$26,4,FALSE)=0,"",VLOOKUP(C937,'Data Sheet'!$A$3:$D$26,4,FALSE)),"")</f>
        <v/>
      </c>
      <c r="E937" s="279"/>
      <c r="F937" s="103" t="str">
        <f>IFERROR(IF(VLOOKUP(E937,'Data Sheet'!$C$29:$E$174,3,FALSE)=0,"",VLOOKUP(E937,'Data Sheet'!$C$29:$E$174,3,FALSE)),"")</f>
        <v/>
      </c>
      <c r="G937" s="106" t="str">
        <f t="shared" si="452"/>
        <v>-</v>
      </c>
      <c r="H937" s="273"/>
      <c r="I937" s="107"/>
      <c r="J937" s="249" t="e">
        <f t="shared" si="453"/>
        <v>#VALUE!</v>
      </c>
      <c r="K937" s="101" t="str">
        <f>IFERROR(INDEX('Data Sheet'!$C$198:$C$275,MATCH(I937,'Data Sheet'!$F$198:$F$275,0)),"")</f>
        <v/>
      </c>
      <c r="L937" s="250" t="str">
        <f>IFERROR(INDEX('Data Sheet'!$G$198:$G$275,MATCH(I937,'Data Sheet'!$F$198:$F$275,0)),"")</f>
        <v/>
      </c>
      <c r="M937" s="194"/>
      <c r="N937" s="248"/>
      <c r="O937" s="248"/>
      <c r="P937" s="108" t="str">
        <f>IFERROR(INDEX(Setup!$D$44:$D$70,MATCH(M937,Setup!$K$44:$K$70,0))&amp;"","")</f>
        <v/>
      </c>
      <c r="Q937" s="108" t="str">
        <f>IFERROR(INDEX(Setup!$E$44:$E$70,MATCH(M937,Setup!$K$44:$K$70,0))&amp;"","")</f>
        <v/>
      </c>
      <c r="R937" s="108" t="str">
        <f>IFERROR(INDEX(Setup!$L$44:$L$70,MATCH(M937,Setup!$K$44:$K$70,0))&amp;"","")</f>
        <v/>
      </c>
      <c r="S937" s="108" t="str">
        <f>Setup!$C$30</f>
        <v>USD</v>
      </c>
      <c r="T937" s="109" t="str">
        <f>IFERROR(INDEX('Data Sheet'!$B$198:$B$275,MATCH(I937,'Data Sheet'!$F$198:$F$275,0)),"")</f>
        <v/>
      </c>
      <c r="U937" s="110" t="str">
        <f>IFERROR(INDEX('Data Sheet'!$D$198:$D$275,MATCH(I937,'Data Sheet'!$F$198:$F$275,0)),"")</f>
        <v/>
      </c>
      <c r="V937" s="99"/>
      <c r="W937" s="195" t="str">
        <f>IF(V937=Setup!$C$30,"Grant",IF(V937=Setup!$C$31,"Local",IF(V937=Setup!$C$32,"Other",IF(ISBLANK(V937),"","Other"))))</f>
        <v/>
      </c>
      <c r="X937" s="255"/>
      <c r="Y937" s="259" t="str">
        <f>IF(X937&lt;&gt;"",X937/VLOOKUP($V937,Setup!$C$30:$D$41,2,0),"")</f>
        <v/>
      </c>
      <c r="Z937" s="262"/>
      <c r="AA937" s="256" t="str">
        <f t="shared" si="426"/>
        <v/>
      </c>
      <c r="AB937" s="262"/>
      <c r="AC937" s="258" t="str">
        <f t="shared" si="427"/>
        <v/>
      </c>
      <c r="AD937" s="262"/>
      <c r="AE937" s="258" t="str">
        <f t="shared" si="428"/>
        <v/>
      </c>
      <c r="AF937" s="262"/>
      <c r="AG937" s="256" t="str">
        <f t="shared" si="429"/>
        <v/>
      </c>
      <c r="AH937" s="256" t="str">
        <f t="shared" si="430"/>
        <v/>
      </c>
      <c r="AI937" s="256" t="str">
        <f t="shared" si="431"/>
        <v/>
      </c>
      <c r="AJ937" s="111"/>
      <c r="AK937" s="255"/>
      <c r="AL937" s="259" t="str">
        <f>IF(AK937&lt;&gt;"",AK937/VLOOKUP($V937,Setup!$C$30:$D$41,2,0),"")</f>
        <v/>
      </c>
      <c r="AM937" s="266"/>
      <c r="AN937" s="258" t="str">
        <f t="shared" si="432"/>
        <v/>
      </c>
      <c r="AO937" s="266"/>
      <c r="AP937" s="258" t="str">
        <f t="shared" si="433"/>
        <v/>
      </c>
      <c r="AQ937" s="266"/>
      <c r="AR937" s="258" t="str">
        <f t="shared" si="434"/>
        <v/>
      </c>
      <c r="AS937" s="266"/>
      <c r="AT937" s="256" t="str">
        <f t="shared" si="435"/>
        <v/>
      </c>
      <c r="AU937" s="256" t="str">
        <f t="shared" si="436"/>
        <v/>
      </c>
      <c r="AV937" s="256" t="str">
        <f t="shared" si="437"/>
        <v/>
      </c>
      <c r="AW937" s="267"/>
      <c r="AX937" s="255"/>
      <c r="AY937" s="259" t="str">
        <f>IF(AX937&lt;&gt;"",AX937/VLOOKUP($V937,Setup!$C$30:$D$41,2,0),"")</f>
        <v/>
      </c>
      <c r="AZ937" s="268"/>
      <c r="BA937" s="258" t="str">
        <f t="shared" si="438"/>
        <v/>
      </c>
      <c r="BB937" s="268"/>
      <c r="BC937" s="258" t="str">
        <f t="shared" si="439"/>
        <v/>
      </c>
      <c r="BD937" s="268"/>
      <c r="BE937" s="258" t="str">
        <f t="shared" si="440"/>
        <v/>
      </c>
      <c r="BF937" s="268"/>
      <c r="BG937" s="256" t="str">
        <f t="shared" si="441"/>
        <v/>
      </c>
      <c r="BH937" s="256" t="str">
        <f t="shared" si="442"/>
        <v/>
      </c>
      <c r="BI937" s="256" t="str">
        <f t="shared" si="443"/>
        <v/>
      </c>
      <c r="BJ937" s="267"/>
      <c r="BK937" s="255"/>
      <c r="BL937" s="259" t="str">
        <f>IF(BK937&lt;&gt;"",BK937/VLOOKUP($V937,Setup!$C$30:$D$41,2,0),"")</f>
        <v/>
      </c>
      <c r="BM937" s="268"/>
      <c r="BN937" s="258" t="str">
        <f t="shared" si="444"/>
        <v/>
      </c>
      <c r="BO937" s="268"/>
      <c r="BP937" s="258" t="str">
        <f t="shared" si="445"/>
        <v/>
      </c>
      <c r="BQ937" s="268"/>
      <c r="BR937" s="258" t="str">
        <f t="shared" si="446"/>
        <v/>
      </c>
      <c r="BS937" s="268"/>
      <c r="BT937" s="256" t="str">
        <f t="shared" si="447"/>
        <v/>
      </c>
      <c r="BU937" s="256" t="str">
        <f t="shared" si="448"/>
        <v/>
      </c>
      <c r="BV937" s="256" t="str">
        <f t="shared" si="449"/>
        <v/>
      </c>
      <c r="BW937" s="267"/>
      <c r="BX937" s="256" t="str">
        <f t="shared" si="450"/>
        <v/>
      </c>
      <c r="BY937" s="256" t="str">
        <f t="shared" si="451"/>
        <v/>
      </c>
      <c r="BZ937" s="281"/>
      <c r="CA937" s="282"/>
      <c r="CF937" s="284"/>
      <c r="CG937" s="284"/>
      <c r="CH937" s="284"/>
      <c r="CI937" s="284"/>
      <c r="CL937" s="356" t="str">
        <f>IFERROR(VLOOKUP(C937,'Data Sheet'!$A$3:$B$26,2,FALSE),"")</f>
        <v/>
      </c>
    </row>
    <row r="938" spans="1:90" ht="15.75" x14ac:dyDescent="0.2">
      <c r="A938" s="97"/>
      <c r="B938" s="105" t="str">
        <f t="shared" si="454"/>
        <v>--</v>
      </c>
      <c r="C938" s="276"/>
      <c r="D938" s="101" t="str">
        <f>IFERROR(IF(VLOOKUP(C938,'Data Sheet'!$A$3:$D$26,4,FALSE)=0,"",VLOOKUP(C938,'Data Sheet'!$A$3:$D$26,4,FALSE)),"")</f>
        <v/>
      </c>
      <c r="E938" s="279"/>
      <c r="F938" s="103" t="str">
        <f>IFERROR(IF(VLOOKUP(E938,'Data Sheet'!$C$29:$E$174,3,FALSE)=0,"",VLOOKUP(E938,'Data Sheet'!$C$29:$E$174,3,FALSE)),"")</f>
        <v/>
      </c>
      <c r="G938" s="106" t="str">
        <f t="shared" si="452"/>
        <v>-</v>
      </c>
      <c r="H938" s="273"/>
      <c r="I938" s="107"/>
      <c r="J938" s="249" t="e">
        <f t="shared" si="453"/>
        <v>#VALUE!</v>
      </c>
      <c r="K938" s="101" t="str">
        <f>IFERROR(INDEX('Data Sheet'!$C$198:$C$275,MATCH(I938,'Data Sheet'!$F$198:$F$275,0)),"")</f>
        <v/>
      </c>
      <c r="L938" s="250" t="str">
        <f>IFERROR(INDEX('Data Sheet'!$G$198:$G$275,MATCH(I938,'Data Sheet'!$F$198:$F$275,0)),"")</f>
        <v/>
      </c>
      <c r="M938" s="194"/>
      <c r="N938" s="248"/>
      <c r="O938" s="248"/>
      <c r="P938" s="108" t="str">
        <f>IFERROR(INDEX(Setup!$D$44:$D$70,MATCH(M938,Setup!$K$44:$K$70,0))&amp;"","")</f>
        <v/>
      </c>
      <c r="Q938" s="108" t="str">
        <f>IFERROR(INDEX(Setup!$E$44:$E$70,MATCH(M938,Setup!$K$44:$K$70,0))&amp;"","")</f>
        <v/>
      </c>
      <c r="R938" s="108" t="str">
        <f>IFERROR(INDEX(Setup!$L$44:$L$70,MATCH(M938,Setup!$K$44:$K$70,0))&amp;"","")</f>
        <v/>
      </c>
      <c r="S938" s="108" t="str">
        <f>Setup!$C$30</f>
        <v>USD</v>
      </c>
      <c r="T938" s="109" t="str">
        <f>IFERROR(INDEX('Data Sheet'!$B$198:$B$275,MATCH(I938,'Data Sheet'!$F$198:$F$275,0)),"")</f>
        <v/>
      </c>
      <c r="U938" s="110" t="str">
        <f>IFERROR(INDEX('Data Sheet'!$D$198:$D$275,MATCH(I938,'Data Sheet'!$F$198:$F$275,0)),"")</f>
        <v/>
      </c>
      <c r="V938" s="99"/>
      <c r="W938" s="195" t="str">
        <f>IF(V938=Setup!$C$30,"Grant",IF(V938=Setup!$C$31,"Local",IF(V938=Setup!$C$32,"Other",IF(ISBLANK(V938),"","Other"))))</f>
        <v/>
      </c>
      <c r="X938" s="255"/>
      <c r="Y938" s="259" t="str">
        <f>IF(X938&lt;&gt;"",X938/VLOOKUP($V938,Setup!$C$30:$D$41,2,0),"")</f>
        <v/>
      </c>
      <c r="Z938" s="262"/>
      <c r="AA938" s="256" t="str">
        <f t="shared" si="426"/>
        <v/>
      </c>
      <c r="AB938" s="262"/>
      <c r="AC938" s="258" t="str">
        <f t="shared" si="427"/>
        <v/>
      </c>
      <c r="AD938" s="262"/>
      <c r="AE938" s="258" t="str">
        <f t="shared" si="428"/>
        <v/>
      </c>
      <c r="AF938" s="262"/>
      <c r="AG938" s="256" t="str">
        <f t="shared" si="429"/>
        <v/>
      </c>
      <c r="AH938" s="256" t="str">
        <f t="shared" si="430"/>
        <v/>
      </c>
      <c r="AI938" s="256" t="str">
        <f t="shared" si="431"/>
        <v/>
      </c>
      <c r="AJ938" s="111"/>
      <c r="AK938" s="255"/>
      <c r="AL938" s="259" t="str">
        <f>IF(AK938&lt;&gt;"",AK938/VLOOKUP($V938,Setup!$C$30:$D$41,2,0),"")</f>
        <v/>
      </c>
      <c r="AM938" s="266"/>
      <c r="AN938" s="258" t="str">
        <f t="shared" si="432"/>
        <v/>
      </c>
      <c r="AO938" s="266"/>
      <c r="AP938" s="258" t="str">
        <f t="shared" si="433"/>
        <v/>
      </c>
      <c r="AQ938" s="266"/>
      <c r="AR938" s="258" t="str">
        <f t="shared" si="434"/>
        <v/>
      </c>
      <c r="AS938" s="266"/>
      <c r="AT938" s="256" t="str">
        <f t="shared" si="435"/>
        <v/>
      </c>
      <c r="AU938" s="256" t="str">
        <f t="shared" si="436"/>
        <v/>
      </c>
      <c r="AV938" s="256" t="str">
        <f t="shared" si="437"/>
        <v/>
      </c>
      <c r="AW938" s="267"/>
      <c r="AX938" s="255"/>
      <c r="AY938" s="259" t="str">
        <f>IF(AX938&lt;&gt;"",AX938/VLOOKUP($V938,Setup!$C$30:$D$41,2,0),"")</f>
        <v/>
      </c>
      <c r="AZ938" s="268"/>
      <c r="BA938" s="258" t="str">
        <f t="shared" si="438"/>
        <v/>
      </c>
      <c r="BB938" s="268"/>
      <c r="BC938" s="258" t="str">
        <f t="shared" si="439"/>
        <v/>
      </c>
      <c r="BD938" s="268"/>
      <c r="BE938" s="258" t="str">
        <f t="shared" si="440"/>
        <v/>
      </c>
      <c r="BF938" s="268"/>
      <c r="BG938" s="256" t="str">
        <f t="shared" si="441"/>
        <v/>
      </c>
      <c r="BH938" s="256" t="str">
        <f t="shared" si="442"/>
        <v/>
      </c>
      <c r="BI938" s="256" t="str">
        <f t="shared" si="443"/>
        <v/>
      </c>
      <c r="BJ938" s="267"/>
      <c r="BK938" s="255"/>
      <c r="BL938" s="259" t="str">
        <f>IF(BK938&lt;&gt;"",BK938/VLOOKUP($V938,Setup!$C$30:$D$41,2,0),"")</f>
        <v/>
      </c>
      <c r="BM938" s="268"/>
      <c r="BN938" s="258" t="str">
        <f t="shared" si="444"/>
        <v/>
      </c>
      <c r="BO938" s="268"/>
      <c r="BP938" s="258" t="str">
        <f t="shared" si="445"/>
        <v/>
      </c>
      <c r="BQ938" s="268"/>
      <c r="BR938" s="258" t="str">
        <f t="shared" si="446"/>
        <v/>
      </c>
      <c r="BS938" s="268"/>
      <c r="BT938" s="256" t="str">
        <f t="shared" si="447"/>
        <v/>
      </c>
      <c r="BU938" s="256" t="str">
        <f t="shared" si="448"/>
        <v/>
      </c>
      <c r="BV938" s="256" t="str">
        <f t="shared" si="449"/>
        <v/>
      </c>
      <c r="BW938" s="267"/>
      <c r="BX938" s="256" t="str">
        <f t="shared" si="450"/>
        <v/>
      </c>
      <c r="BY938" s="256" t="str">
        <f t="shared" si="451"/>
        <v/>
      </c>
      <c r="BZ938" s="281"/>
      <c r="CA938" s="282"/>
      <c r="CF938" s="284"/>
      <c r="CG938" s="284"/>
      <c r="CH938" s="284"/>
      <c r="CI938" s="284"/>
      <c r="CL938" s="356" t="str">
        <f>IFERROR(VLOOKUP(C938,'Data Sheet'!$A$3:$B$26,2,FALSE),"")</f>
        <v/>
      </c>
    </row>
    <row r="939" spans="1:90" ht="15.75" x14ac:dyDescent="0.2">
      <c r="A939" s="97"/>
      <c r="B939" s="105" t="str">
        <f t="shared" si="454"/>
        <v>--</v>
      </c>
      <c r="C939" s="276"/>
      <c r="D939" s="101" t="str">
        <f>IFERROR(IF(VLOOKUP(C939,'Data Sheet'!$A$3:$D$26,4,FALSE)=0,"",VLOOKUP(C939,'Data Sheet'!$A$3:$D$26,4,FALSE)),"")</f>
        <v/>
      </c>
      <c r="E939" s="279"/>
      <c r="F939" s="103" t="str">
        <f>IFERROR(IF(VLOOKUP(E939,'Data Sheet'!$C$29:$E$174,3,FALSE)=0,"",VLOOKUP(E939,'Data Sheet'!$C$29:$E$174,3,FALSE)),"")</f>
        <v/>
      </c>
      <c r="G939" s="106" t="str">
        <f t="shared" si="452"/>
        <v>-</v>
      </c>
      <c r="H939" s="273"/>
      <c r="I939" s="107"/>
      <c r="J939" s="249" t="e">
        <f t="shared" si="453"/>
        <v>#VALUE!</v>
      </c>
      <c r="K939" s="101" t="str">
        <f>IFERROR(INDEX('Data Sheet'!$C$198:$C$275,MATCH(I939,'Data Sheet'!$F$198:$F$275,0)),"")</f>
        <v/>
      </c>
      <c r="L939" s="250" t="str">
        <f>IFERROR(INDEX('Data Sheet'!$G$198:$G$275,MATCH(I939,'Data Sheet'!$F$198:$F$275,0)),"")</f>
        <v/>
      </c>
      <c r="M939" s="194"/>
      <c r="N939" s="248"/>
      <c r="O939" s="248"/>
      <c r="P939" s="108" t="str">
        <f>IFERROR(INDEX(Setup!$D$44:$D$70,MATCH(M939,Setup!$K$44:$K$70,0))&amp;"","")</f>
        <v/>
      </c>
      <c r="Q939" s="108" t="str">
        <f>IFERROR(INDEX(Setup!$E$44:$E$70,MATCH(M939,Setup!$K$44:$K$70,0))&amp;"","")</f>
        <v/>
      </c>
      <c r="R939" s="108" t="str">
        <f>IFERROR(INDEX(Setup!$L$44:$L$70,MATCH(M939,Setup!$K$44:$K$70,0))&amp;"","")</f>
        <v/>
      </c>
      <c r="S939" s="108" t="str">
        <f>Setup!$C$30</f>
        <v>USD</v>
      </c>
      <c r="T939" s="109" t="str">
        <f>IFERROR(INDEX('Data Sheet'!$B$198:$B$275,MATCH(I939,'Data Sheet'!$F$198:$F$275,0)),"")</f>
        <v/>
      </c>
      <c r="U939" s="110" t="str">
        <f>IFERROR(INDEX('Data Sheet'!$D$198:$D$275,MATCH(I939,'Data Sheet'!$F$198:$F$275,0)),"")</f>
        <v/>
      </c>
      <c r="V939" s="99"/>
      <c r="W939" s="195" t="str">
        <f>IF(V939=Setup!$C$30,"Grant",IF(V939=Setup!$C$31,"Local",IF(V939=Setup!$C$32,"Other",IF(ISBLANK(V939),"","Other"))))</f>
        <v/>
      </c>
      <c r="X939" s="255"/>
      <c r="Y939" s="259" t="str">
        <f>IF(X939&lt;&gt;"",X939/VLOOKUP($V939,Setup!$C$30:$D$41,2,0),"")</f>
        <v/>
      </c>
      <c r="Z939" s="262"/>
      <c r="AA939" s="256" t="str">
        <f t="shared" si="426"/>
        <v/>
      </c>
      <c r="AB939" s="262"/>
      <c r="AC939" s="258" t="str">
        <f t="shared" si="427"/>
        <v/>
      </c>
      <c r="AD939" s="262"/>
      <c r="AE939" s="258" t="str">
        <f t="shared" si="428"/>
        <v/>
      </c>
      <c r="AF939" s="262"/>
      <c r="AG939" s="256" t="str">
        <f t="shared" si="429"/>
        <v/>
      </c>
      <c r="AH939" s="256" t="str">
        <f t="shared" si="430"/>
        <v/>
      </c>
      <c r="AI939" s="256" t="str">
        <f t="shared" si="431"/>
        <v/>
      </c>
      <c r="AJ939" s="111"/>
      <c r="AK939" s="255"/>
      <c r="AL939" s="259" t="str">
        <f>IF(AK939&lt;&gt;"",AK939/VLOOKUP($V939,Setup!$C$30:$D$41,2,0),"")</f>
        <v/>
      </c>
      <c r="AM939" s="266"/>
      <c r="AN939" s="258" t="str">
        <f t="shared" si="432"/>
        <v/>
      </c>
      <c r="AO939" s="266"/>
      <c r="AP939" s="258" t="str">
        <f t="shared" si="433"/>
        <v/>
      </c>
      <c r="AQ939" s="266"/>
      <c r="AR939" s="258" t="str">
        <f t="shared" si="434"/>
        <v/>
      </c>
      <c r="AS939" s="266"/>
      <c r="AT939" s="256" t="str">
        <f t="shared" si="435"/>
        <v/>
      </c>
      <c r="AU939" s="256" t="str">
        <f t="shared" si="436"/>
        <v/>
      </c>
      <c r="AV939" s="256" t="str">
        <f t="shared" si="437"/>
        <v/>
      </c>
      <c r="AW939" s="267"/>
      <c r="AX939" s="255"/>
      <c r="AY939" s="259" t="str">
        <f>IF(AX939&lt;&gt;"",AX939/VLOOKUP($V939,Setup!$C$30:$D$41,2,0),"")</f>
        <v/>
      </c>
      <c r="AZ939" s="268"/>
      <c r="BA939" s="258" t="str">
        <f t="shared" si="438"/>
        <v/>
      </c>
      <c r="BB939" s="268"/>
      <c r="BC939" s="258" t="str">
        <f t="shared" si="439"/>
        <v/>
      </c>
      <c r="BD939" s="268"/>
      <c r="BE939" s="258" t="str">
        <f t="shared" si="440"/>
        <v/>
      </c>
      <c r="BF939" s="268"/>
      <c r="BG939" s="256" t="str">
        <f t="shared" si="441"/>
        <v/>
      </c>
      <c r="BH939" s="256" t="str">
        <f t="shared" si="442"/>
        <v/>
      </c>
      <c r="BI939" s="256" t="str">
        <f t="shared" si="443"/>
        <v/>
      </c>
      <c r="BJ939" s="267"/>
      <c r="BK939" s="255"/>
      <c r="BL939" s="259" t="str">
        <f>IF(BK939&lt;&gt;"",BK939/VLOOKUP($V939,Setup!$C$30:$D$41,2,0),"")</f>
        <v/>
      </c>
      <c r="BM939" s="268"/>
      <c r="BN939" s="258" t="str">
        <f t="shared" si="444"/>
        <v/>
      </c>
      <c r="BO939" s="268"/>
      <c r="BP939" s="258" t="str">
        <f t="shared" si="445"/>
        <v/>
      </c>
      <c r="BQ939" s="268"/>
      <c r="BR939" s="258" t="str">
        <f t="shared" si="446"/>
        <v/>
      </c>
      <c r="BS939" s="268"/>
      <c r="BT939" s="256" t="str">
        <f t="shared" si="447"/>
        <v/>
      </c>
      <c r="BU939" s="256" t="str">
        <f t="shared" si="448"/>
        <v/>
      </c>
      <c r="BV939" s="256" t="str">
        <f t="shared" si="449"/>
        <v/>
      </c>
      <c r="BW939" s="267"/>
      <c r="BX939" s="256" t="str">
        <f t="shared" si="450"/>
        <v/>
      </c>
      <c r="BY939" s="256" t="str">
        <f t="shared" si="451"/>
        <v/>
      </c>
      <c r="BZ939" s="281"/>
      <c r="CA939" s="282"/>
      <c r="CF939" s="284"/>
      <c r="CG939" s="284"/>
      <c r="CH939" s="284"/>
      <c r="CI939" s="284"/>
      <c r="CL939" s="356" t="str">
        <f>IFERROR(VLOOKUP(C939,'Data Sheet'!$A$3:$B$26,2,FALSE),"")</f>
        <v/>
      </c>
    </row>
    <row r="940" spans="1:90" ht="15.75" x14ac:dyDescent="0.2">
      <c r="A940" s="97"/>
      <c r="B940" s="105" t="str">
        <f t="shared" si="454"/>
        <v>--</v>
      </c>
      <c r="C940" s="276"/>
      <c r="D940" s="101" t="str">
        <f>IFERROR(IF(VLOOKUP(C940,'Data Sheet'!$A$3:$D$26,4,FALSE)=0,"",VLOOKUP(C940,'Data Sheet'!$A$3:$D$26,4,FALSE)),"")</f>
        <v/>
      </c>
      <c r="E940" s="279"/>
      <c r="F940" s="103" t="str">
        <f>IFERROR(IF(VLOOKUP(E940,'Data Sheet'!$C$29:$E$174,3,FALSE)=0,"",VLOOKUP(E940,'Data Sheet'!$C$29:$E$174,3,FALSE)),"")</f>
        <v/>
      </c>
      <c r="G940" s="106" t="str">
        <f t="shared" si="452"/>
        <v>-</v>
      </c>
      <c r="H940" s="273"/>
      <c r="I940" s="107"/>
      <c r="J940" s="249" t="e">
        <f t="shared" si="453"/>
        <v>#VALUE!</v>
      </c>
      <c r="K940" s="101" t="str">
        <f>IFERROR(INDEX('Data Sheet'!$C$198:$C$275,MATCH(I940,'Data Sheet'!$F$198:$F$275,0)),"")</f>
        <v/>
      </c>
      <c r="L940" s="250" t="str">
        <f>IFERROR(INDEX('Data Sheet'!$G$198:$G$275,MATCH(I940,'Data Sheet'!$F$198:$F$275,0)),"")</f>
        <v/>
      </c>
      <c r="M940" s="194"/>
      <c r="N940" s="248"/>
      <c r="O940" s="248"/>
      <c r="P940" s="108" t="str">
        <f>IFERROR(INDEX(Setup!$D$44:$D$70,MATCH(M940,Setup!$K$44:$K$70,0))&amp;"","")</f>
        <v/>
      </c>
      <c r="Q940" s="108" t="str">
        <f>IFERROR(INDEX(Setup!$E$44:$E$70,MATCH(M940,Setup!$K$44:$K$70,0))&amp;"","")</f>
        <v/>
      </c>
      <c r="R940" s="108" t="str">
        <f>IFERROR(INDEX(Setup!$L$44:$L$70,MATCH(M940,Setup!$K$44:$K$70,0))&amp;"","")</f>
        <v/>
      </c>
      <c r="S940" s="108" t="str">
        <f>Setup!$C$30</f>
        <v>USD</v>
      </c>
      <c r="T940" s="109" t="str">
        <f>IFERROR(INDEX('Data Sheet'!$B$198:$B$275,MATCH(I940,'Data Sheet'!$F$198:$F$275,0)),"")</f>
        <v/>
      </c>
      <c r="U940" s="110" t="str">
        <f>IFERROR(INDEX('Data Sheet'!$D$198:$D$275,MATCH(I940,'Data Sheet'!$F$198:$F$275,0)),"")</f>
        <v/>
      </c>
      <c r="V940" s="99"/>
      <c r="W940" s="195" t="str">
        <f>IF(V940=Setup!$C$30,"Grant",IF(V940=Setup!$C$31,"Local",IF(V940=Setup!$C$32,"Other",IF(ISBLANK(V940),"","Other"))))</f>
        <v/>
      </c>
      <c r="X940" s="255"/>
      <c r="Y940" s="259" t="str">
        <f>IF(X940&lt;&gt;"",X940/VLOOKUP($V940,Setup!$C$30:$D$41,2,0),"")</f>
        <v/>
      </c>
      <c r="Z940" s="262"/>
      <c r="AA940" s="256" t="str">
        <f t="shared" si="426"/>
        <v/>
      </c>
      <c r="AB940" s="262"/>
      <c r="AC940" s="258" t="str">
        <f t="shared" si="427"/>
        <v/>
      </c>
      <c r="AD940" s="262"/>
      <c r="AE940" s="258" t="str">
        <f t="shared" si="428"/>
        <v/>
      </c>
      <c r="AF940" s="262"/>
      <c r="AG940" s="256" t="str">
        <f t="shared" si="429"/>
        <v/>
      </c>
      <c r="AH940" s="256" t="str">
        <f t="shared" si="430"/>
        <v/>
      </c>
      <c r="AI940" s="256" t="str">
        <f t="shared" si="431"/>
        <v/>
      </c>
      <c r="AJ940" s="111"/>
      <c r="AK940" s="255"/>
      <c r="AL940" s="259" t="str">
        <f>IF(AK940&lt;&gt;"",AK940/VLOOKUP($V940,Setup!$C$30:$D$41,2,0),"")</f>
        <v/>
      </c>
      <c r="AM940" s="266"/>
      <c r="AN940" s="258" t="str">
        <f t="shared" si="432"/>
        <v/>
      </c>
      <c r="AO940" s="266"/>
      <c r="AP940" s="258" t="str">
        <f t="shared" si="433"/>
        <v/>
      </c>
      <c r="AQ940" s="266"/>
      <c r="AR940" s="258" t="str">
        <f t="shared" si="434"/>
        <v/>
      </c>
      <c r="AS940" s="266"/>
      <c r="AT940" s="256" t="str">
        <f t="shared" si="435"/>
        <v/>
      </c>
      <c r="AU940" s="256" t="str">
        <f t="shared" si="436"/>
        <v/>
      </c>
      <c r="AV940" s="256" t="str">
        <f t="shared" si="437"/>
        <v/>
      </c>
      <c r="AW940" s="267"/>
      <c r="AX940" s="255"/>
      <c r="AY940" s="259" t="str">
        <f>IF(AX940&lt;&gt;"",AX940/VLOOKUP($V940,Setup!$C$30:$D$41,2,0),"")</f>
        <v/>
      </c>
      <c r="AZ940" s="268"/>
      <c r="BA940" s="258" t="str">
        <f t="shared" si="438"/>
        <v/>
      </c>
      <c r="BB940" s="268"/>
      <c r="BC940" s="258" t="str">
        <f t="shared" si="439"/>
        <v/>
      </c>
      <c r="BD940" s="268"/>
      <c r="BE940" s="258" t="str">
        <f t="shared" si="440"/>
        <v/>
      </c>
      <c r="BF940" s="268"/>
      <c r="BG940" s="256" t="str">
        <f t="shared" si="441"/>
        <v/>
      </c>
      <c r="BH940" s="256" t="str">
        <f t="shared" si="442"/>
        <v/>
      </c>
      <c r="BI940" s="256" t="str">
        <f t="shared" si="443"/>
        <v/>
      </c>
      <c r="BJ940" s="267"/>
      <c r="BK940" s="255"/>
      <c r="BL940" s="259" t="str">
        <f>IF(BK940&lt;&gt;"",BK940/VLOOKUP($V940,Setup!$C$30:$D$41,2,0),"")</f>
        <v/>
      </c>
      <c r="BM940" s="268"/>
      <c r="BN940" s="258" t="str">
        <f t="shared" si="444"/>
        <v/>
      </c>
      <c r="BO940" s="268"/>
      <c r="BP940" s="258" t="str">
        <f t="shared" si="445"/>
        <v/>
      </c>
      <c r="BQ940" s="268"/>
      <c r="BR940" s="258" t="str">
        <f t="shared" si="446"/>
        <v/>
      </c>
      <c r="BS940" s="268"/>
      <c r="BT940" s="256" t="str">
        <f t="shared" si="447"/>
        <v/>
      </c>
      <c r="BU940" s="256" t="str">
        <f t="shared" si="448"/>
        <v/>
      </c>
      <c r="BV940" s="256" t="str">
        <f t="shared" si="449"/>
        <v/>
      </c>
      <c r="BW940" s="267"/>
      <c r="BX940" s="256" t="str">
        <f t="shared" si="450"/>
        <v/>
      </c>
      <c r="BY940" s="256" t="str">
        <f t="shared" si="451"/>
        <v/>
      </c>
      <c r="BZ940" s="281"/>
      <c r="CA940" s="282"/>
      <c r="CF940" s="284"/>
      <c r="CG940" s="284"/>
      <c r="CH940" s="284"/>
      <c r="CI940" s="284"/>
      <c r="CL940" s="356" t="str">
        <f>IFERROR(VLOOKUP(C940,'Data Sheet'!$A$3:$B$26,2,FALSE),"")</f>
        <v/>
      </c>
    </row>
    <row r="941" spans="1:90" ht="15.75" x14ac:dyDescent="0.2">
      <c r="A941" s="97"/>
      <c r="B941" s="105" t="str">
        <f t="shared" si="454"/>
        <v>--</v>
      </c>
      <c r="C941" s="276"/>
      <c r="D941" s="101" t="str">
        <f>IFERROR(IF(VLOOKUP(C941,'Data Sheet'!$A$3:$D$26,4,FALSE)=0,"",VLOOKUP(C941,'Data Sheet'!$A$3:$D$26,4,FALSE)),"")</f>
        <v/>
      </c>
      <c r="E941" s="279"/>
      <c r="F941" s="103" t="str">
        <f>IFERROR(IF(VLOOKUP(E941,'Data Sheet'!$C$29:$E$174,3,FALSE)=0,"",VLOOKUP(E941,'Data Sheet'!$C$29:$E$174,3,FALSE)),"")</f>
        <v/>
      </c>
      <c r="G941" s="106" t="str">
        <f t="shared" si="452"/>
        <v>-</v>
      </c>
      <c r="H941" s="273"/>
      <c r="I941" s="107"/>
      <c r="J941" s="249" t="e">
        <f t="shared" si="453"/>
        <v>#VALUE!</v>
      </c>
      <c r="K941" s="101" t="str">
        <f>IFERROR(INDEX('Data Sheet'!$C$198:$C$275,MATCH(I941,'Data Sheet'!$F$198:$F$275,0)),"")</f>
        <v/>
      </c>
      <c r="L941" s="250" t="str">
        <f>IFERROR(INDEX('Data Sheet'!$G$198:$G$275,MATCH(I941,'Data Sheet'!$F$198:$F$275,0)),"")</f>
        <v/>
      </c>
      <c r="M941" s="194"/>
      <c r="N941" s="248"/>
      <c r="O941" s="248"/>
      <c r="P941" s="108" t="str">
        <f>IFERROR(INDEX(Setup!$D$44:$D$70,MATCH(M941,Setup!$K$44:$K$70,0))&amp;"","")</f>
        <v/>
      </c>
      <c r="Q941" s="108" t="str">
        <f>IFERROR(INDEX(Setup!$E$44:$E$70,MATCH(M941,Setup!$K$44:$K$70,0))&amp;"","")</f>
        <v/>
      </c>
      <c r="R941" s="108" t="str">
        <f>IFERROR(INDEX(Setup!$L$44:$L$70,MATCH(M941,Setup!$K$44:$K$70,0))&amp;"","")</f>
        <v/>
      </c>
      <c r="S941" s="108" t="str">
        <f>Setup!$C$30</f>
        <v>USD</v>
      </c>
      <c r="T941" s="109" t="str">
        <f>IFERROR(INDEX('Data Sheet'!$B$198:$B$275,MATCH(I941,'Data Sheet'!$F$198:$F$275,0)),"")</f>
        <v/>
      </c>
      <c r="U941" s="110" t="str">
        <f>IFERROR(INDEX('Data Sheet'!$D$198:$D$275,MATCH(I941,'Data Sheet'!$F$198:$F$275,0)),"")</f>
        <v/>
      </c>
      <c r="V941" s="99"/>
      <c r="W941" s="195" t="str">
        <f>IF(V941=Setup!$C$30,"Grant",IF(V941=Setup!$C$31,"Local",IF(V941=Setup!$C$32,"Other",IF(ISBLANK(V941),"","Other"))))</f>
        <v/>
      </c>
      <c r="X941" s="255"/>
      <c r="Y941" s="259" t="str">
        <f>IF(X941&lt;&gt;"",X941/VLOOKUP($V941,Setup!$C$30:$D$41,2,0),"")</f>
        <v/>
      </c>
      <c r="Z941" s="262"/>
      <c r="AA941" s="256" t="str">
        <f t="shared" si="426"/>
        <v/>
      </c>
      <c r="AB941" s="262"/>
      <c r="AC941" s="258" t="str">
        <f t="shared" si="427"/>
        <v/>
      </c>
      <c r="AD941" s="262"/>
      <c r="AE941" s="258" t="str">
        <f t="shared" si="428"/>
        <v/>
      </c>
      <c r="AF941" s="262"/>
      <c r="AG941" s="256" t="str">
        <f t="shared" si="429"/>
        <v/>
      </c>
      <c r="AH941" s="256" t="str">
        <f t="shared" si="430"/>
        <v/>
      </c>
      <c r="AI941" s="256" t="str">
        <f t="shared" si="431"/>
        <v/>
      </c>
      <c r="AJ941" s="111"/>
      <c r="AK941" s="255"/>
      <c r="AL941" s="259" t="str">
        <f>IF(AK941&lt;&gt;"",AK941/VLOOKUP($V941,Setup!$C$30:$D$41,2,0),"")</f>
        <v/>
      </c>
      <c r="AM941" s="266"/>
      <c r="AN941" s="258" t="str">
        <f t="shared" si="432"/>
        <v/>
      </c>
      <c r="AO941" s="266"/>
      <c r="AP941" s="258" t="str">
        <f t="shared" si="433"/>
        <v/>
      </c>
      <c r="AQ941" s="266"/>
      <c r="AR941" s="258" t="str">
        <f t="shared" si="434"/>
        <v/>
      </c>
      <c r="AS941" s="266"/>
      <c r="AT941" s="256" t="str">
        <f t="shared" si="435"/>
        <v/>
      </c>
      <c r="AU941" s="256" t="str">
        <f t="shared" si="436"/>
        <v/>
      </c>
      <c r="AV941" s="256" t="str">
        <f t="shared" si="437"/>
        <v/>
      </c>
      <c r="AW941" s="267"/>
      <c r="AX941" s="255"/>
      <c r="AY941" s="259" t="str">
        <f>IF(AX941&lt;&gt;"",AX941/VLOOKUP($V941,Setup!$C$30:$D$41,2,0),"")</f>
        <v/>
      </c>
      <c r="AZ941" s="268"/>
      <c r="BA941" s="258" t="str">
        <f t="shared" si="438"/>
        <v/>
      </c>
      <c r="BB941" s="268"/>
      <c r="BC941" s="258" t="str">
        <f t="shared" si="439"/>
        <v/>
      </c>
      <c r="BD941" s="268"/>
      <c r="BE941" s="258" t="str">
        <f t="shared" si="440"/>
        <v/>
      </c>
      <c r="BF941" s="268"/>
      <c r="BG941" s="256" t="str">
        <f t="shared" si="441"/>
        <v/>
      </c>
      <c r="BH941" s="256" t="str">
        <f t="shared" si="442"/>
        <v/>
      </c>
      <c r="BI941" s="256" t="str">
        <f t="shared" si="443"/>
        <v/>
      </c>
      <c r="BJ941" s="267"/>
      <c r="BK941" s="255"/>
      <c r="BL941" s="259" t="str">
        <f>IF(BK941&lt;&gt;"",BK941/VLOOKUP($V941,Setup!$C$30:$D$41,2,0),"")</f>
        <v/>
      </c>
      <c r="BM941" s="268"/>
      <c r="BN941" s="258" t="str">
        <f t="shared" si="444"/>
        <v/>
      </c>
      <c r="BO941" s="268"/>
      <c r="BP941" s="258" t="str">
        <f t="shared" si="445"/>
        <v/>
      </c>
      <c r="BQ941" s="268"/>
      <c r="BR941" s="258" t="str">
        <f t="shared" si="446"/>
        <v/>
      </c>
      <c r="BS941" s="268"/>
      <c r="BT941" s="256" t="str">
        <f t="shared" si="447"/>
        <v/>
      </c>
      <c r="BU941" s="256" t="str">
        <f t="shared" si="448"/>
        <v/>
      </c>
      <c r="BV941" s="256" t="str">
        <f t="shared" si="449"/>
        <v/>
      </c>
      <c r="BW941" s="267"/>
      <c r="BX941" s="256" t="str">
        <f t="shared" si="450"/>
        <v/>
      </c>
      <c r="BY941" s="256" t="str">
        <f t="shared" si="451"/>
        <v/>
      </c>
      <c r="BZ941" s="281"/>
      <c r="CA941" s="282"/>
      <c r="CF941" s="284"/>
      <c r="CG941" s="284"/>
      <c r="CH941" s="284"/>
      <c r="CI941" s="284"/>
      <c r="CL941" s="356" t="str">
        <f>IFERROR(VLOOKUP(C941,'Data Sheet'!$A$3:$B$26,2,FALSE),"")</f>
        <v/>
      </c>
    </row>
    <row r="942" spans="1:90" ht="15.75" x14ac:dyDescent="0.2">
      <c r="A942" s="97"/>
      <c r="B942" s="105" t="str">
        <f t="shared" si="454"/>
        <v>--</v>
      </c>
      <c r="C942" s="276"/>
      <c r="D942" s="101" t="str">
        <f>IFERROR(IF(VLOOKUP(C942,'Data Sheet'!$A$3:$D$26,4,FALSE)=0,"",VLOOKUP(C942,'Data Sheet'!$A$3:$D$26,4,FALSE)),"")</f>
        <v/>
      </c>
      <c r="E942" s="279"/>
      <c r="F942" s="103" t="str">
        <f>IFERROR(IF(VLOOKUP(E942,'Data Sheet'!$C$29:$E$174,3,FALSE)=0,"",VLOOKUP(E942,'Data Sheet'!$C$29:$E$174,3,FALSE)),"")</f>
        <v/>
      </c>
      <c r="G942" s="106" t="str">
        <f t="shared" si="452"/>
        <v>-</v>
      </c>
      <c r="H942" s="273"/>
      <c r="I942" s="107"/>
      <c r="J942" s="249" t="e">
        <f t="shared" si="453"/>
        <v>#VALUE!</v>
      </c>
      <c r="K942" s="101" t="str">
        <f>IFERROR(INDEX('Data Sheet'!$C$198:$C$275,MATCH(I942,'Data Sheet'!$F$198:$F$275,0)),"")</f>
        <v/>
      </c>
      <c r="L942" s="250" t="str">
        <f>IFERROR(INDEX('Data Sheet'!$G$198:$G$275,MATCH(I942,'Data Sheet'!$F$198:$F$275,0)),"")</f>
        <v/>
      </c>
      <c r="M942" s="194"/>
      <c r="N942" s="248"/>
      <c r="O942" s="248"/>
      <c r="P942" s="108" t="str">
        <f>IFERROR(INDEX(Setup!$D$44:$D$70,MATCH(M942,Setup!$K$44:$K$70,0))&amp;"","")</f>
        <v/>
      </c>
      <c r="Q942" s="108" t="str">
        <f>IFERROR(INDEX(Setup!$E$44:$E$70,MATCH(M942,Setup!$K$44:$K$70,0))&amp;"","")</f>
        <v/>
      </c>
      <c r="R942" s="108" t="str">
        <f>IFERROR(INDEX(Setup!$L$44:$L$70,MATCH(M942,Setup!$K$44:$K$70,0))&amp;"","")</f>
        <v/>
      </c>
      <c r="S942" s="108" t="str">
        <f>Setup!$C$30</f>
        <v>USD</v>
      </c>
      <c r="T942" s="109" t="str">
        <f>IFERROR(INDEX('Data Sheet'!$B$198:$B$275,MATCH(I942,'Data Sheet'!$F$198:$F$275,0)),"")</f>
        <v/>
      </c>
      <c r="U942" s="110" t="str">
        <f>IFERROR(INDEX('Data Sheet'!$D$198:$D$275,MATCH(I942,'Data Sheet'!$F$198:$F$275,0)),"")</f>
        <v/>
      </c>
      <c r="V942" s="99"/>
      <c r="W942" s="195" t="str">
        <f>IF(V942=Setup!$C$30,"Grant",IF(V942=Setup!$C$31,"Local",IF(V942=Setup!$C$32,"Other",IF(ISBLANK(V942),"","Other"))))</f>
        <v/>
      </c>
      <c r="X942" s="255"/>
      <c r="Y942" s="259" t="str">
        <f>IF(X942&lt;&gt;"",X942/VLOOKUP($V942,Setup!$C$30:$D$41,2,0),"")</f>
        <v/>
      </c>
      <c r="Z942" s="262"/>
      <c r="AA942" s="256" t="str">
        <f t="shared" si="426"/>
        <v/>
      </c>
      <c r="AB942" s="262"/>
      <c r="AC942" s="258" t="str">
        <f t="shared" si="427"/>
        <v/>
      </c>
      <c r="AD942" s="262"/>
      <c r="AE942" s="258" t="str">
        <f t="shared" si="428"/>
        <v/>
      </c>
      <c r="AF942" s="262"/>
      <c r="AG942" s="256" t="str">
        <f t="shared" si="429"/>
        <v/>
      </c>
      <c r="AH942" s="256" t="str">
        <f t="shared" si="430"/>
        <v/>
      </c>
      <c r="AI942" s="256" t="str">
        <f t="shared" si="431"/>
        <v/>
      </c>
      <c r="AJ942" s="111"/>
      <c r="AK942" s="255"/>
      <c r="AL942" s="259" t="str">
        <f>IF(AK942&lt;&gt;"",AK942/VLOOKUP($V942,Setup!$C$30:$D$41,2,0),"")</f>
        <v/>
      </c>
      <c r="AM942" s="266"/>
      <c r="AN942" s="258" t="str">
        <f t="shared" si="432"/>
        <v/>
      </c>
      <c r="AO942" s="266"/>
      <c r="AP942" s="258" t="str">
        <f t="shared" si="433"/>
        <v/>
      </c>
      <c r="AQ942" s="266"/>
      <c r="AR942" s="258" t="str">
        <f t="shared" si="434"/>
        <v/>
      </c>
      <c r="AS942" s="266"/>
      <c r="AT942" s="256" t="str">
        <f t="shared" si="435"/>
        <v/>
      </c>
      <c r="AU942" s="256" t="str">
        <f t="shared" si="436"/>
        <v/>
      </c>
      <c r="AV942" s="256" t="str">
        <f t="shared" si="437"/>
        <v/>
      </c>
      <c r="AW942" s="267"/>
      <c r="AX942" s="255"/>
      <c r="AY942" s="259" t="str">
        <f>IF(AX942&lt;&gt;"",AX942/VLOOKUP($V942,Setup!$C$30:$D$41,2,0),"")</f>
        <v/>
      </c>
      <c r="AZ942" s="268"/>
      <c r="BA942" s="258" t="str">
        <f t="shared" si="438"/>
        <v/>
      </c>
      <c r="BB942" s="268"/>
      <c r="BC942" s="258" t="str">
        <f t="shared" si="439"/>
        <v/>
      </c>
      <c r="BD942" s="268"/>
      <c r="BE942" s="258" t="str">
        <f t="shared" si="440"/>
        <v/>
      </c>
      <c r="BF942" s="268"/>
      <c r="BG942" s="256" t="str">
        <f t="shared" si="441"/>
        <v/>
      </c>
      <c r="BH942" s="256" t="str">
        <f t="shared" si="442"/>
        <v/>
      </c>
      <c r="BI942" s="256" t="str">
        <f t="shared" si="443"/>
        <v/>
      </c>
      <c r="BJ942" s="267"/>
      <c r="BK942" s="255"/>
      <c r="BL942" s="259" t="str">
        <f>IF(BK942&lt;&gt;"",BK942/VLOOKUP($V942,Setup!$C$30:$D$41,2,0),"")</f>
        <v/>
      </c>
      <c r="BM942" s="268"/>
      <c r="BN942" s="258" t="str">
        <f t="shared" si="444"/>
        <v/>
      </c>
      <c r="BO942" s="268"/>
      <c r="BP942" s="258" t="str">
        <f t="shared" si="445"/>
        <v/>
      </c>
      <c r="BQ942" s="268"/>
      <c r="BR942" s="258" t="str">
        <f t="shared" si="446"/>
        <v/>
      </c>
      <c r="BS942" s="268"/>
      <c r="BT942" s="256" t="str">
        <f t="shared" si="447"/>
        <v/>
      </c>
      <c r="BU942" s="256" t="str">
        <f t="shared" si="448"/>
        <v/>
      </c>
      <c r="BV942" s="256" t="str">
        <f t="shared" si="449"/>
        <v/>
      </c>
      <c r="BW942" s="267"/>
      <c r="BX942" s="256" t="str">
        <f t="shared" si="450"/>
        <v/>
      </c>
      <c r="BY942" s="256" t="str">
        <f t="shared" si="451"/>
        <v/>
      </c>
      <c r="BZ942" s="281"/>
      <c r="CA942" s="282"/>
      <c r="CF942" s="284"/>
      <c r="CG942" s="284"/>
      <c r="CH942" s="284"/>
      <c r="CI942" s="284"/>
      <c r="CL942" s="356" t="str">
        <f>IFERROR(VLOOKUP(C942,'Data Sheet'!$A$3:$B$26,2,FALSE),"")</f>
        <v/>
      </c>
    </row>
    <row r="943" spans="1:90" ht="15.75" x14ac:dyDescent="0.2">
      <c r="A943" s="97"/>
      <c r="B943" s="105" t="str">
        <f t="shared" si="454"/>
        <v>--</v>
      </c>
      <c r="C943" s="276"/>
      <c r="D943" s="101" t="str">
        <f>IFERROR(IF(VLOOKUP(C943,'Data Sheet'!$A$3:$D$26,4,FALSE)=0,"",VLOOKUP(C943,'Data Sheet'!$A$3:$D$26,4,FALSE)),"")</f>
        <v/>
      </c>
      <c r="E943" s="279"/>
      <c r="F943" s="103" t="str">
        <f>IFERROR(IF(VLOOKUP(E943,'Data Sheet'!$C$29:$E$174,3,FALSE)=0,"",VLOOKUP(E943,'Data Sheet'!$C$29:$E$174,3,FALSE)),"")</f>
        <v/>
      </c>
      <c r="G943" s="106" t="str">
        <f t="shared" si="452"/>
        <v>-</v>
      </c>
      <c r="H943" s="273"/>
      <c r="I943" s="107"/>
      <c r="J943" s="249" t="e">
        <f t="shared" si="453"/>
        <v>#VALUE!</v>
      </c>
      <c r="K943" s="101" t="str">
        <f>IFERROR(INDEX('Data Sheet'!$C$198:$C$275,MATCH(I943,'Data Sheet'!$F$198:$F$275,0)),"")</f>
        <v/>
      </c>
      <c r="L943" s="250" t="str">
        <f>IFERROR(INDEX('Data Sheet'!$G$198:$G$275,MATCH(I943,'Data Sheet'!$F$198:$F$275,0)),"")</f>
        <v/>
      </c>
      <c r="M943" s="194"/>
      <c r="N943" s="248"/>
      <c r="O943" s="248"/>
      <c r="P943" s="108" t="str">
        <f>IFERROR(INDEX(Setup!$D$44:$D$70,MATCH(M943,Setup!$K$44:$K$70,0))&amp;"","")</f>
        <v/>
      </c>
      <c r="Q943" s="108" t="str">
        <f>IFERROR(INDEX(Setup!$E$44:$E$70,MATCH(M943,Setup!$K$44:$K$70,0))&amp;"","")</f>
        <v/>
      </c>
      <c r="R943" s="108" t="str">
        <f>IFERROR(INDEX(Setup!$L$44:$L$70,MATCH(M943,Setup!$K$44:$K$70,0))&amp;"","")</f>
        <v/>
      </c>
      <c r="S943" s="108" t="str">
        <f>Setup!$C$30</f>
        <v>USD</v>
      </c>
      <c r="T943" s="109" t="str">
        <f>IFERROR(INDEX('Data Sheet'!$B$198:$B$275,MATCH(I943,'Data Sheet'!$F$198:$F$275,0)),"")</f>
        <v/>
      </c>
      <c r="U943" s="110" t="str">
        <f>IFERROR(INDEX('Data Sheet'!$D$198:$D$275,MATCH(I943,'Data Sheet'!$F$198:$F$275,0)),"")</f>
        <v/>
      </c>
      <c r="V943" s="99"/>
      <c r="W943" s="195" t="str">
        <f>IF(V943=Setup!$C$30,"Grant",IF(V943=Setup!$C$31,"Local",IF(V943=Setup!$C$32,"Other",IF(ISBLANK(V943),"","Other"))))</f>
        <v/>
      </c>
      <c r="X943" s="255"/>
      <c r="Y943" s="259" t="str">
        <f>IF(X943&lt;&gt;"",X943/VLOOKUP($V943,Setup!$C$30:$D$41,2,0),"")</f>
        <v/>
      </c>
      <c r="Z943" s="262"/>
      <c r="AA943" s="256" t="str">
        <f t="shared" si="426"/>
        <v/>
      </c>
      <c r="AB943" s="262"/>
      <c r="AC943" s="258" t="str">
        <f t="shared" si="427"/>
        <v/>
      </c>
      <c r="AD943" s="262"/>
      <c r="AE943" s="258" t="str">
        <f t="shared" si="428"/>
        <v/>
      </c>
      <c r="AF943" s="262"/>
      <c r="AG943" s="256" t="str">
        <f t="shared" si="429"/>
        <v/>
      </c>
      <c r="AH943" s="256" t="str">
        <f t="shared" si="430"/>
        <v/>
      </c>
      <c r="AI943" s="256" t="str">
        <f t="shared" si="431"/>
        <v/>
      </c>
      <c r="AJ943" s="111"/>
      <c r="AK943" s="255"/>
      <c r="AL943" s="259" t="str">
        <f>IF(AK943&lt;&gt;"",AK943/VLOOKUP($V943,Setup!$C$30:$D$41,2,0),"")</f>
        <v/>
      </c>
      <c r="AM943" s="266"/>
      <c r="AN943" s="258" t="str">
        <f t="shared" si="432"/>
        <v/>
      </c>
      <c r="AO943" s="266"/>
      <c r="AP943" s="258" t="str">
        <f t="shared" si="433"/>
        <v/>
      </c>
      <c r="AQ943" s="266"/>
      <c r="AR943" s="258" t="str">
        <f t="shared" si="434"/>
        <v/>
      </c>
      <c r="AS943" s="266"/>
      <c r="AT943" s="256" t="str">
        <f t="shared" si="435"/>
        <v/>
      </c>
      <c r="AU943" s="256" t="str">
        <f t="shared" si="436"/>
        <v/>
      </c>
      <c r="AV943" s="256" t="str">
        <f t="shared" si="437"/>
        <v/>
      </c>
      <c r="AW943" s="267"/>
      <c r="AX943" s="255"/>
      <c r="AY943" s="259" t="str">
        <f>IF(AX943&lt;&gt;"",AX943/VLOOKUP($V943,Setup!$C$30:$D$41,2,0),"")</f>
        <v/>
      </c>
      <c r="AZ943" s="268"/>
      <c r="BA943" s="258" t="str">
        <f t="shared" si="438"/>
        <v/>
      </c>
      <c r="BB943" s="268"/>
      <c r="BC943" s="258" t="str">
        <f t="shared" si="439"/>
        <v/>
      </c>
      <c r="BD943" s="268"/>
      <c r="BE943" s="258" t="str">
        <f t="shared" si="440"/>
        <v/>
      </c>
      <c r="BF943" s="268"/>
      <c r="BG943" s="256" t="str">
        <f t="shared" si="441"/>
        <v/>
      </c>
      <c r="BH943" s="256" t="str">
        <f t="shared" si="442"/>
        <v/>
      </c>
      <c r="BI943" s="256" t="str">
        <f t="shared" si="443"/>
        <v/>
      </c>
      <c r="BJ943" s="267"/>
      <c r="BK943" s="255"/>
      <c r="BL943" s="259" t="str">
        <f>IF(BK943&lt;&gt;"",BK943/VLOOKUP($V943,Setup!$C$30:$D$41,2,0),"")</f>
        <v/>
      </c>
      <c r="BM943" s="268"/>
      <c r="BN943" s="258" t="str">
        <f t="shared" si="444"/>
        <v/>
      </c>
      <c r="BO943" s="268"/>
      <c r="BP943" s="258" t="str">
        <f t="shared" si="445"/>
        <v/>
      </c>
      <c r="BQ943" s="268"/>
      <c r="BR943" s="258" t="str">
        <f t="shared" si="446"/>
        <v/>
      </c>
      <c r="BS943" s="268"/>
      <c r="BT943" s="256" t="str">
        <f t="shared" si="447"/>
        <v/>
      </c>
      <c r="BU943" s="256" t="str">
        <f t="shared" si="448"/>
        <v/>
      </c>
      <c r="BV943" s="256" t="str">
        <f t="shared" si="449"/>
        <v/>
      </c>
      <c r="BW943" s="267"/>
      <c r="BX943" s="256" t="str">
        <f t="shared" si="450"/>
        <v/>
      </c>
      <c r="BY943" s="256" t="str">
        <f t="shared" si="451"/>
        <v/>
      </c>
      <c r="BZ943" s="281"/>
      <c r="CA943" s="282"/>
      <c r="CF943" s="284"/>
      <c r="CG943" s="284"/>
      <c r="CH943" s="284"/>
      <c r="CI943" s="284"/>
      <c r="CL943" s="356" t="str">
        <f>IFERROR(VLOOKUP(C943,'Data Sheet'!$A$3:$B$26,2,FALSE),"")</f>
        <v/>
      </c>
    </row>
    <row r="944" spans="1:90" ht="15.75" x14ac:dyDescent="0.2">
      <c r="A944" s="97"/>
      <c r="B944" s="105" t="str">
        <f t="shared" si="454"/>
        <v>--</v>
      </c>
      <c r="C944" s="276"/>
      <c r="D944" s="101" t="str">
        <f>IFERROR(IF(VLOOKUP(C944,'Data Sheet'!$A$3:$D$26,4,FALSE)=0,"",VLOOKUP(C944,'Data Sheet'!$A$3:$D$26,4,FALSE)),"")</f>
        <v/>
      </c>
      <c r="E944" s="279"/>
      <c r="F944" s="103" t="str">
        <f>IFERROR(IF(VLOOKUP(E944,'Data Sheet'!$C$29:$E$174,3,FALSE)=0,"",VLOOKUP(E944,'Data Sheet'!$C$29:$E$174,3,FALSE)),"")</f>
        <v/>
      </c>
      <c r="G944" s="106" t="str">
        <f t="shared" si="452"/>
        <v>-</v>
      </c>
      <c r="H944" s="273"/>
      <c r="I944" s="107"/>
      <c r="J944" s="249" t="e">
        <f t="shared" si="453"/>
        <v>#VALUE!</v>
      </c>
      <c r="K944" s="101" t="str">
        <f>IFERROR(INDEX('Data Sheet'!$C$198:$C$275,MATCH(I944,'Data Sheet'!$F$198:$F$275,0)),"")</f>
        <v/>
      </c>
      <c r="L944" s="250" t="str">
        <f>IFERROR(INDEX('Data Sheet'!$G$198:$G$275,MATCH(I944,'Data Sheet'!$F$198:$F$275,0)),"")</f>
        <v/>
      </c>
      <c r="M944" s="194"/>
      <c r="N944" s="248"/>
      <c r="O944" s="248"/>
      <c r="P944" s="108" t="str">
        <f>IFERROR(INDEX(Setup!$D$44:$D$70,MATCH(M944,Setup!$K$44:$K$70,0))&amp;"","")</f>
        <v/>
      </c>
      <c r="Q944" s="108" t="str">
        <f>IFERROR(INDEX(Setup!$E$44:$E$70,MATCH(M944,Setup!$K$44:$K$70,0))&amp;"","")</f>
        <v/>
      </c>
      <c r="R944" s="108" t="str">
        <f>IFERROR(INDEX(Setup!$L$44:$L$70,MATCH(M944,Setup!$K$44:$K$70,0))&amp;"","")</f>
        <v/>
      </c>
      <c r="S944" s="108" t="str">
        <f>Setup!$C$30</f>
        <v>USD</v>
      </c>
      <c r="T944" s="109" t="str">
        <f>IFERROR(INDEX('Data Sheet'!$B$198:$B$275,MATCH(I944,'Data Sheet'!$F$198:$F$275,0)),"")</f>
        <v/>
      </c>
      <c r="U944" s="110" t="str">
        <f>IFERROR(INDEX('Data Sheet'!$D$198:$D$275,MATCH(I944,'Data Sheet'!$F$198:$F$275,0)),"")</f>
        <v/>
      </c>
      <c r="V944" s="99"/>
      <c r="W944" s="195" t="str">
        <f>IF(V944=Setup!$C$30,"Grant",IF(V944=Setup!$C$31,"Local",IF(V944=Setup!$C$32,"Other",IF(ISBLANK(V944),"","Other"))))</f>
        <v/>
      </c>
      <c r="X944" s="255"/>
      <c r="Y944" s="259" t="str">
        <f>IF(X944&lt;&gt;"",X944/VLOOKUP($V944,Setup!$C$30:$D$41,2,0),"")</f>
        <v/>
      </c>
      <c r="Z944" s="262"/>
      <c r="AA944" s="256" t="str">
        <f t="shared" si="426"/>
        <v/>
      </c>
      <c r="AB944" s="262"/>
      <c r="AC944" s="258" t="str">
        <f t="shared" si="427"/>
        <v/>
      </c>
      <c r="AD944" s="262"/>
      <c r="AE944" s="258" t="str">
        <f t="shared" si="428"/>
        <v/>
      </c>
      <c r="AF944" s="262"/>
      <c r="AG944" s="256" t="str">
        <f t="shared" si="429"/>
        <v/>
      </c>
      <c r="AH944" s="256" t="str">
        <f t="shared" si="430"/>
        <v/>
      </c>
      <c r="AI944" s="256" t="str">
        <f t="shared" si="431"/>
        <v/>
      </c>
      <c r="AJ944" s="111"/>
      <c r="AK944" s="255"/>
      <c r="AL944" s="259" t="str">
        <f>IF(AK944&lt;&gt;"",AK944/VLOOKUP($V944,Setup!$C$30:$D$41,2,0),"")</f>
        <v/>
      </c>
      <c r="AM944" s="266"/>
      <c r="AN944" s="258" t="str">
        <f t="shared" si="432"/>
        <v/>
      </c>
      <c r="AO944" s="266"/>
      <c r="AP944" s="258" t="str">
        <f t="shared" si="433"/>
        <v/>
      </c>
      <c r="AQ944" s="266"/>
      <c r="AR944" s="258" t="str">
        <f t="shared" si="434"/>
        <v/>
      </c>
      <c r="AS944" s="266"/>
      <c r="AT944" s="256" t="str">
        <f t="shared" si="435"/>
        <v/>
      </c>
      <c r="AU944" s="256" t="str">
        <f t="shared" si="436"/>
        <v/>
      </c>
      <c r="AV944" s="256" t="str">
        <f t="shared" si="437"/>
        <v/>
      </c>
      <c r="AW944" s="267"/>
      <c r="AX944" s="255"/>
      <c r="AY944" s="259" t="str">
        <f>IF(AX944&lt;&gt;"",AX944/VLOOKUP($V944,Setup!$C$30:$D$41,2,0),"")</f>
        <v/>
      </c>
      <c r="AZ944" s="268"/>
      <c r="BA944" s="258" t="str">
        <f t="shared" si="438"/>
        <v/>
      </c>
      <c r="BB944" s="268"/>
      <c r="BC944" s="258" t="str">
        <f t="shared" si="439"/>
        <v/>
      </c>
      <c r="BD944" s="268"/>
      <c r="BE944" s="258" t="str">
        <f t="shared" si="440"/>
        <v/>
      </c>
      <c r="BF944" s="268"/>
      <c r="BG944" s="256" t="str">
        <f t="shared" si="441"/>
        <v/>
      </c>
      <c r="BH944" s="256" t="str">
        <f t="shared" si="442"/>
        <v/>
      </c>
      <c r="BI944" s="256" t="str">
        <f t="shared" si="443"/>
        <v/>
      </c>
      <c r="BJ944" s="267"/>
      <c r="BK944" s="255"/>
      <c r="BL944" s="259" t="str">
        <f>IF(BK944&lt;&gt;"",BK944/VLOOKUP($V944,Setup!$C$30:$D$41,2,0),"")</f>
        <v/>
      </c>
      <c r="BM944" s="268"/>
      <c r="BN944" s="258" t="str">
        <f t="shared" si="444"/>
        <v/>
      </c>
      <c r="BO944" s="268"/>
      <c r="BP944" s="258" t="str">
        <f t="shared" si="445"/>
        <v/>
      </c>
      <c r="BQ944" s="268"/>
      <c r="BR944" s="258" t="str">
        <f t="shared" si="446"/>
        <v/>
      </c>
      <c r="BS944" s="268"/>
      <c r="BT944" s="256" t="str">
        <f t="shared" si="447"/>
        <v/>
      </c>
      <c r="BU944" s="256" t="str">
        <f t="shared" si="448"/>
        <v/>
      </c>
      <c r="BV944" s="256" t="str">
        <f t="shared" si="449"/>
        <v/>
      </c>
      <c r="BW944" s="267"/>
      <c r="BX944" s="256" t="str">
        <f t="shared" si="450"/>
        <v/>
      </c>
      <c r="BY944" s="256" t="str">
        <f t="shared" si="451"/>
        <v/>
      </c>
      <c r="BZ944" s="281"/>
      <c r="CA944" s="282"/>
      <c r="CF944" s="284"/>
      <c r="CG944" s="284"/>
      <c r="CH944" s="284"/>
      <c r="CI944" s="284"/>
      <c r="CL944" s="356" t="str">
        <f>IFERROR(VLOOKUP(C944,'Data Sheet'!$A$3:$B$26,2,FALSE),"")</f>
        <v/>
      </c>
    </row>
    <row r="945" spans="1:90" ht="15.75" x14ac:dyDescent="0.2">
      <c r="A945" s="97"/>
      <c r="B945" s="105" t="str">
        <f t="shared" si="454"/>
        <v>--</v>
      </c>
      <c r="C945" s="276"/>
      <c r="D945" s="101" t="str">
        <f>IFERROR(IF(VLOOKUP(C945,'Data Sheet'!$A$3:$D$26,4,FALSE)=0,"",VLOOKUP(C945,'Data Sheet'!$A$3:$D$26,4,FALSE)),"")</f>
        <v/>
      </c>
      <c r="E945" s="279"/>
      <c r="F945" s="103" t="str">
        <f>IFERROR(IF(VLOOKUP(E945,'Data Sheet'!$C$29:$E$174,3,FALSE)=0,"",VLOOKUP(E945,'Data Sheet'!$C$29:$E$174,3,FALSE)),"")</f>
        <v/>
      </c>
      <c r="G945" s="106" t="str">
        <f t="shared" si="452"/>
        <v>-</v>
      </c>
      <c r="H945" s="273"/>
      <c r="I945" s="107"/>
      <c r="J945" s="249" t="e">
        <f t="shared" si="453"/>
        <v>#VALUE!</v>
      </c>
      <c r="K945" s="101" t="str">
        <f>IFERROR(INDEX('Data Sheet'!$C$198:$C$275,MATCH(I945,'Data Sheet'!$F$198:$F$275,0)),"")</f>
        <v/>
      </c>
      <c r="L945" s="250" t="str">
        <f>IFERROR(INDEX('Data Sheet'!$G$198:$G$275,MATCH(I945,'Data Sheet'!$F$198:$F$275,0)),"")</f>
        <v/>
      </c>
      <c r="M945" s="194"/>
      <c r="N945" s="248"/>
      <c r="O945" s="248"/>
      <c r="P945" s="108" t="str">
        <f>IFERROR(INDEX(Setup!$D$44:$D$70,MATCH(M945,Setup!$K$44:$K$70,0))&amp;"","")</f>
        <v/>
      </c>
      <c r="Q945" s="108" t="str">
        <f>IFERROR(INDEX(Setup!$E$44:$E$70,MATCH(M945,Setup!$K$44:$K$70,0))&amp;"","")</f>
        <v/>
      </c>
      <c r="R945" s="108" t="str">
        <f>IFERROR(INDEX(Setup!$L$44:$L$70,MATCH(M945,Setup!$K$44:$K$70,0))&amp;"","")</f>
        <v/>
      </c>
      <c r="S945" s="108" t="str">
        <f>Setup!$C$30</f>
        <v>USD</v>
      </c>
      <c r="T945" s="109" t="str">
        <f>IFERROR(INDEX('Data Sheet'!$B$198:$B$275,MATCH(I945,'Data Sheet'!$F$198:$F$275,0)),"")</f>
        <v/>
      </c>
      <c r="U945" s="110" t="str">
        <f>IFERROR(INDEX('Data Sheet'!$D$198:$D$275,MATCH(I945,'Data Sheet'!$F$198:$F$275,0)),"")</f>
        <v/>
      </c>
      <c r="V945" s="99"/>
      <c r="W945" s="195" t="str">
        <f>IF(V945=Setup!$C$30,"Grant",IF(V945=Setup!$C$31,"Local",IF(V945=Setup!$C$32,"Other",IF(ISBLANK(V945),"","Other"))))</f>
        <v/>
      </c>
      <c r="X945" s="255"/>
      <c r="Y945" s="259" t="str">
        <f>IF(X945&lt;&gt;"",X945/VLOOKUP($V945,Setup!$C$30:$D$41,2,0),"")</f>
        <v/>
      </c>
      <c r="Z945" s="262"/>
      <c r="AA945" s="256" t="str">
        <f t="shared" si="426"/>
        <v/>
      </c>
      <c r="AB945" s="262"/>
      <c r="AC945" s="258" t="str">
        <f t="shared" si="427"/>
        <v/>
      </c>
      <c r="AD945" s="262"/>
      <c r="AE945" s="258" t="str">
        <f t="shared" si="428"/>
        <v/>
      </c>
      <c r="AF945" s="262"/>
      <c r="AG945" s="256" t="str">
        <f t="shared" si="429"/>
        <v/>
      </c>
      <c r="AH945" s="256" t="str">
        <f t="shared" si="430"/>
        <v/>
      </c>
      <c r="AI945" s="256" t="str">
        <f t="shared" si="431"/>
        <v/>
      </c>
      <c r="AJ945" s="111"/>
      <c r="AK945" s="255"/>
      <c r="AL945" s="259" t="str">
        <f>IF(AK945&lt;&gt;"",AK945/VLOOKUP($V945,Setup!$C$30:$D$41,2,0),"")</f>
        <v/>
      </c>
      <c r="AM945" s="266"/>
      <c r="AN945" s="258" t="str">
        <f t="shared" si="432"/>
        <v/>
      </c>
      <c r="AO945" s="266"/>
      <c r="AP945" s="258" t="str">
        <f t="shared" si="433"/>
        <v/>
      </c>
      <c r="AQ945" s="266"/>
      <c r="AR945" s="258" t="str">
        <f t="shared" si="434"/>
        <v/>
      </c>
      <c r="AS945" s="266"/>
      <c r="AT945" s="256" t="str">
        <f t="shared" si="435"/>
        <v/>
      </c>
      <c r="AU945" s="256" t="str">
        <f t="shared" si="436"/>
        <v/>
      </c>
      <c r="AV945" s="256" t="str">
        <f t="shared" si="437"/>
        <v/>
      </c>
      <c r="AW945" s="267"/>
      <c r="AX945" s="255"/>
      <c r="AY945" s="259" t="str">
        <f>IF(AX945&lt;&gt;"",AX945/VLOOKUP($V945,Setup!$C$30:$D$41,2,0),"")</f>
        <v/>
      </c>
      <c r="AZ945" s="268"/>
      <c r="BA945" s="258" t="str">
        <f t="shared" si="438"/>
        <v/>
      </c>
      <c r="BB945" s="268"/>
      <c r="BC945" s="258" t="str">
        <f t="shared" si="439"/>
        <v/>
      </c>
      <c r="BD945" s="268"/>
      <c r="BE945" s="258" t="str">
        <f t="shared" si="440"/>
        <v/>
      </c>
      <c r="BF945" s="268"/>
      <c r="BG945" s="256" t="str">
        <f t="shared" si="441"/>
        <v/>
      </c>
      <c r="BH945" s="256" t="str">
        <f t="shared" si="442"/>
        <v/>
      </c>
      <c r="BI945" s="256" t="str">
        <f t="shared" si="443"/>
        <v/>
      </c>
      <c r="BJ945" s="267"/>
      <c r="BK945" s="255"/>
      <c r="BL945" s="259" t="str">
        <f>IF(BK945&lt;&gt;"",BK945/VLOOKUP($V945,Setup!$C$30:$D$41,2,0),"")</f>
        <v/>
      </c>
      <c r="BM945" s="268"/>
      <c r="BN945" s="258" t="str">
        <f t="shared" si="444"/>
        <v/>
      </c>
      <c r="BO945" s="268"/>
      <c r="BP945" s="258" t="str">
        <f t="shared" si="445"/>
        <v/>
      </c>
      <c r="BQ945" s="268"/>
      <c r="BR945" s="258" t="str">
        <f t="shared" si="446"/>
        <v/>
      </c>
      <c r="BS945" s="268"/>
      <c r="BT945" s="256" t="str">
        <f t="shared" si="447"/>
        <v/>
      </c>
      <c r="BU945" s="256" t="str">
        <f t="shared" si="448"/>
        <v/>
      </c>
      <c r="BV945" s="256" t="str">
        <f t="shared" si="449"/>
        <v/>
      </c>
      <c r="BW945" s="267"/>
      <c r="BX945" s="256" t="str">
        <f t="shared" si="450"/>
        <v/>
      </c>
      <c r="BY945" s="256" t="str">
        <f t="shared" si="451"/>
        <v/>
      </c>
      <c r="BZ945" s="281"/>
      <c r="CA945" s="282"/>
      <c r="CF945" s="284"/>
      <c r="CG945" s="284"/>
      <c r="CH945" s="284"/>
      <c r="CI945" s="284"/>
      <c r="CL945" s="356" t="str">
        <f>IFERROR(VLOOKUP(C945,'Data Sheet'!$A$3:$B$26,2,FALSE),"")</f>
        <v/>
      </c>
    </row>
    <row r="946" spans="1:90" ht="15.75" x14ac:dyDescent="0.2">
      <c r="A946" s="97"/>
      <c r="B946" s="105" t="str">
        <f t="shared" si="454"/>
        <v>--</v>
      </c>
      <c r="C946" s="276"/>
      <c r="D946" s="101" t="str">
        <f>IFERROR(IF(VLOOKUP(C946,'Data Sheet'!$A$3:$D$26,4,FALSE)=0,"",VLOOKUP(C946,'Data Sheet'!$A$3:$D$26,4,FALSE)),"")</f>
        <v/>
      </c>
      <c r="E946" s="279"/>
      <c r="F946" s="103" t="str">
        <f>IFERROR(IF(VLOOKUP(E946,'Data Sheet'!$C$29:$E$174,3,FALSE)=0,"",VLOOKUP(E946,'Data Sheet'!$C$29:$E$174,3,FALSE)),"")</f>
        <v/>
      </c>
      <c r="G946" s="106" t="str">
        <f t="shared" si="452"/>
        <v>-</v>
      </c>
      <c r="H946" s="273"/>
      <c r="I946" s="107"/>
      <c r="J946" s="249" t="e">
        <f t="shared" si="453"/>
        <v>#VALUE!</v>
      </c>
      <c r="K946" s="101" t="str">
        <f>IFERROR(INDEX('Data Sheet'!$C$198:$C$275,MATCH(I946,'Data Sheet'!$F$198:$F$275,0)),"")</f>
        <v/>
      </c>
      <c r="L946" s="250" t="str">
        <f>IFERROR(INDEX('Data Sheet'!$G$198:$G$275,MATCH(I946,'Data Sheet'!$F$198:$F$275,0)),"")</f>
        <v/>
      </c>
      <c r="M946" s="194"/>
      <c r="N946" s="248"/>
      <c r="O946" s="248"/>
      <c r="P946" s="108" t="str">
        <f>IFERROR(INDEX(Setup!$D$44:$D$70,MATCH(M946,Setup!$K$44:$K$70,0))&amp;"","")</f>
        <v/>
      </c>
      <c r="Q946" s="108" t="str">
        <f>IFERROR(INDEX(Setup!$E$44:$E$70,MATCH(M946,Setup!$K$44:$K$70,0))&amp;"","")</f>
        <v/>
      </c>
      <c r="R946" s="108" t="str">
        <f>IFERROR(INDEX(Setup!$L$44:$L$70,MATCH(M946,Setup!$K$44:$K$70,0))&amp;"","")</f>
        <v/>
      </c>
      <c r="S946" s="108" t="str">
        <f>Setup!$C$30</f>
        <v>USD</v>
      </c>
      <c r="T946" s="109" t="str">
        <f>IFERROR(INDEX('Data Sheet'!$B$198:$B$275,MATCH(I946,'Data Sheet'!$F$198:$F$275,0)),"")</f>
        <v/>
      </c>
      <c r="U946" s="110" t="str">
        <f>IFERROR(INDEX('Data Sheet'!$D$198:$D$275,MATCH(I946,'Data Sheet'!$F$198:$F$275,0)),"")</f>
        <v/>
      </c>
      <c r="V946" s="99"/>
      <c r="W946" s="195" t="str">
        <f>IF(V946=Setup!$C$30,"Grant",IF(V946=Setup!$C$31,"Local",IF(V946=Setup!$C$32,"Other",IF(ISBLANK(V946),"","Other"))))</f>
        <v/>
      </c>
      <c r="X946" s="255"/>
      <c r="Y946" s="259" t="str">
        <f>IF(X946&lt;&gt;"",X946/VLOOKUP($V946,Setup!$C$30:$D$41,2,0),"")</f>
        <v/>
      </c>
      <c r="Z946" s="262"/>
      <c r="AA946" s="256" t="str">
        <f t="shared" si="426"/>
        <v/>
      </c>
      <c r="AB946" s="262"/>
      <c r="AC946" s="258" t="str">
        <f t="shared" si="427"/>
        <v/>
      </c>
      <c r="AD946" s="262"/>
      <c r="AE946" s="258" t="str">
        <f t="shared" si="428"/>
        <v/>
      </c>
      <c r="AF946" s="262"/>
      <c r="AG946" s="256" t="str">
        <f t="shared" si="429"/>
        <v/>
      </c>
      <c r="AH946" s="256" t="str">
        <f t="shared" si="430"/>
        <v/>
      </c>
      <c r="AI946" s="256" t="str">
        <f t="shared" si="431"/>
        <v/>
      </c>
      <c r="AJ946" s="111"/>
      <c r="AK946" s="255"/>
      <c r="AL946" s="259" t="str">
        <f>IF(AK946&lt;&gt;"",AK946/VLOOKUP($V946,Setup!$C$30:$D$41,2,0),"")</f>
        <v/>
      </c>
      <c r="AM946" s="266"/>
      <c r="AN946" s="258" t="str">
        <f t="shared" si="432"/>
        <v/>
      </c>
      <c r="AO946" s="266"/>
      <c r="AP946" s="258" t="str">
        <f t="shared" si="433"/>
        <v/>
      </c>
      <c r="AQ946" s="266"/>
      <c r="AR946" s="258" t="str">
        <f t="shared" si="434"/>
        <v/>
      </c>
      <c r="AS946" s="266"/>
      <c r="AT946" s="256" t="str">
        <f t="shared" si="435"/>
        <v/>
      </c>
      <c r="AU946" s="256" t="str">
        <f t="shared" si="436"/>
        <v/>
      </c>
      <c r="AV946" s="256" t="str">
        <f t="shared" si="437"/>
        <v/>
      </c>
      <c r="AW946" s="267"/>
      <c r="AX946" s="255"/>
      <c r="AY946" s="259" t="str">
        <f>IF(AX946&lt;&gt;"",AX946/VLOOKUP($V946,Setup!$C$30:$D$41,2,0),"")</f>
        <v/>
      </c>
      <c r="AZ946" s="268"/>
      <c r="BA946" s="258" t="str">
        <f t="shared" si="438"/>
        <v/>
      </c>
      <c r="BB946" s="268"/>
      <c r="BC946" s="258" t="str">
        <f t="shared" si="439"/>
        <v/>
      </c>
      <c r="BD946" s="268"/>
      <c r="BE946" s="258" t="str">
        <f t="shared" si="440"/>
        <v/>
      </c>
      <c r="BF946" s="268"/>
      <c r="BG946" s="256" t="str">
        <f t="shared" si="441"/>
        <v/>
      </c>
      <c r="BH946" s="256" t="str">
        <f t="shared" si="442"/>
        <v/>
      </c>
      <c r="BI946" s="256" t="str">
        <f t="shared" si="443"/>
        <v/>
      </c>
      <c r="BJ946" s="267"/>
      <c r="BK946" s="255"/>
      <c r="BL946" s="259" t="str">
        <f>IF(BK946&lt;&gt;"",BK946/VLOOKUP($V946,Setup!$C$30:$D$41,2,0),"")</f>
        <v/>
      </c>
      <c r="BM946" s="268"/>
      <c r="BN946" s="258" t="str">
        <f t="shared" si="444"/>
        <v/>
      </c>
      <c r="BO946" s="268"/>
      <c r="BP946" s="258" t="str">
        <f t="shared" si="445"/>
        <v/>
      </c>
      <c r="BQ946" s="268"/>
      <c r="BR946" s="258" t="str">
        <f t="shared" si="446"/>
        <v/>
      </c>
      <c r="BS946" s="268"/>
      <c r="BT946" s="256" t="str">
        <f t="shared" si="447"/>
        <v/>
      </c>
      <c r="BU946" s="256" t="str">
        <f t="shared" si="448"/>
        <v/>
      </c>
      <c r="BV946" s="256" t="str">
        <f t="shared" si="449"/>
        <v/>
      </c>
      <c r="BW946" s="267"/>
      <c r="BX946" s="256" t="str">
        <f t="shared" si="450"/>
        <v/>
      </c>
      <c r="BY946" s="256" t="str">
        <f t="shared" si="451"/>
        <v/>
      </c>
      <c r="BZ946" s="281"/>
      <c r="CA946" s="282"/>
      <c r="CF946" s="284"/>
      <c r="CG946" s="284"/>
      <c r="CH946" s="284"/>
      <c r="CI946" s="284"/>
      <c r="CL946" s="356" t="str">
        <f>IFERROR(VLOOKUP(C946,'Data Sheet'!$A$3:$B$26,2,FALSE),"")</f>
        <v/>
      </c>
    </row>
    <row r="947" spans="1:90" ht="15.75" x14ac:dyDescent="0.2">
      <c r="A947" s="97"/>
      <c r="B947" s="105" t="str">
        <f t="shared" si="454"/>
        <v>--</v>
      </c>
      <c r="C947" s="276"/>
      <c r="D947" s="101" t="str">
        <f>IFERROR(IF(VLOOKUP(C947,'Data Sheet'!$A$3:$D$26,4,FALSE)=0,"",VLOOKUP(C947,'Data Sheet'!$A$3:$D$26,4,FALSE)),"")</f>
        <v/>
      </c>
      <c r="E947" s="279"/>
      <c r="F947" s="103" t="str">
        <f>IFERROR(IF(VLOOKUP(E947,'Data Sheet'!$C$29:$E$174,3,FALSE)=0,"",VLOOKUP(E947,'Data Sheet'!$C$29:$E$174,3,FALSE)),"")</f>
        <v/>
      </c>
      <c r="G947" s="106" t="str">
        <f t="shared" si="452"/>
        <v>-</v>
      </c>
      <c r="H947" s="273"/>
      <c r="I947" s="107"/>
      <c r="J947" s="249" t="e">
        <f t="shared" si="453"/>
        <v>#VALUE!</v>
      </c>
      <c r="K947" s="101" t="str">
        <f>IFERROR(INDEX('Data Sheet'!$C$198:$C$275,MATCH(I947,'Data Sheet'!$F$198:$F$275,0)),"")</f>
        <v/>
      </c>
      <c r="L947" s="250" t="str">
        <f>IFERROR(INDEX('Data Sheet'!$G$198:$G$275,MATCH(I947,'Data Sheet'!$F$198:$F$275,0)),"")</f>
        <v/>
      </c>
      <c r="M947" s="194"/>
      <c r="N947" s="248"/>
      <c r="O947" s="248"/>
      <c r="P947" s="108" t="str">
        <f>IFERROR(INDEX(Setup!$D$44:$D$70,MATCH(M947,Setup!$K$44:$K$70,0))&amp;"","")</f>
        <v/>
      </c>
      <c r="Q947" s="108" t="str">
        <f>IFERROR(INDEX(Setup!$E$44:$E$70,MATCH(M947,Setup!$K$44:$K$70,0))&amp;"","")</f>
        <v/>
      </c>
      <c r="R947" s="108" t="str">
        <f>IFERROR(INDEX(Setup!$L$44:$L$70,MATCH(M947,Setup!$K$44:$K$70,0))&amp;"","")</f>
        <v/>
      </c>
      <c r="S947" s="108" t="str">
        <f>Setup!$C$30</f>
        <v>USD</v>
      </c>
      <c r="T947" s="109" t="str">
        <f>IFERROR(INDEX('Data Sheet'!$B$198:$B$275,MATCH(I947,'Data Sheet'!$F$198:$F$275,0)),"")</f>
        <v/>
      </c>
      <c r="U947" s="110" t="str">
        <f>IFERROR(INDEX('Data Sheet'!$D$198:$D$275,MATCH(I947,'Data Sheet'!$F$198:$F$275,0)),"")</f>
        <v/>
      </c>
      <c r="V947" s="99"/>
      <c r="W947" s="195" t="str">
        <f>IF(V947=Setup!$C$30,"Grant",IF(V947=Setup!$C$31,"Local",IF(V947=Setup!$C$32,"Other",IF(ISBLANK(V947),"","Other"))))</f>
        <v/>
      </c>
      <c r="X947" s="255"/>
      <c r="Y947" s="259" t="str">
        <f>IF(X947&lt;&gt;"",X947/VLOOKUP($V947,Setup!$C$30:$D$41,2,0),"")</f>
        <v/>
      </c>
      <c r="Z947" s="262"/>
      <c r="AA947" s="256" t="str">
        <f t="shared" si="426"/>
        <v/>
      </c>
      <c r="AB947" s="262"/>
      <c r="AC947" s="258" t="str">
        <f t="shared" si="427"/>
        <v/>
      </c>
      <c r="AD947" s="262"/>
      <c r="AE947" s="258" t="str">
        <f t="shared" si="428"/>
        <v/>
      </c>
      <c r="AF947" s="262"/>
      <c r="AG947" s="256" t="str">
        <f t="shared" si="429"/>
        <v/>
      </c>
      <c r="AH947" s="256" t="str">
        <f t="shared" si="430"/>
        <v/>
      </c>
      <c r="AI947" s="256" t="str">
        <f t="shared" si="431"/>
        <v/>
      </c>
      <c r="AJ947" s="111"/>
      <c r="AK947" s="255"/>
      <c r="AL947" s="259" t="str">
        <f>IF(AK947&lt;&gt;"",AK947/VLOOKUP($V947,Setup!$C$30:$D$41,2,0),"")</f>
        <v/>
      </c>
      <c r="AM947" s="266"/>
      <c r="AN947" s="258" t="str">
        <f t="shared" si="432"/>
        <v/>
      </c>
      <c r="AO947" s="266"/>
      <c r="AP947" s="258" t="str">
        <f t="shared" si="433"/>
        <v/>
      </c>
      <c r="AQ947" s="266"/>
      <c r="AR947" s="258" t="str">
        <f t="shared" si="434"/>
        <v/>
      </c>
      <c r="AS947" s="266"/>
      <c r="AT947" s="256" t="str">
        <f t="shared" si="435"/>
        <v/>
      </c>
      <c r="AU947" s="256" t="str">
        <f t="shared" si="436"/>
        <v/>
      </c>
      <c r="AV947" s="256" t="str">
        <f t="shared" si="437"/>
        <v/>
      </c>
      <c r="AW947" s="267"/>
      <c r="AX947" s="255"/>
      <c r="AY947" s="259" t="str">
        <f>IF(AX947&lt;&gt;"",AX947/VLOOKUP($V947,Setup!$C$30:$D$41,2,0),"")</f>
        <v/>
      </c>
      <c r="AZ947" s="268"/>
      <c r="BA947" s="258" t="str">
        <f t="shared" si="438"/>
        <v/>
      </c>
      <c r="BB947" s="268"/>
      <c r="BC947" s="258" t="str">
        <f t="shared" si="439"/>
        <v/>
      </c>
      <c r="BD947" s="268"/>
      <c r="BE947" s="258" t="str">
        <f t="shared" si="440"/>
        <v/>
      </c>
      <c r="BF947" s="268"/>
      <c r="BG947" s="256" t="str">
        <f t="shared" si="441"/>
        <v/>
      </c>
      <c r="BH947" s="256" t="str">
        <f t="shared" si="442"/>
        <v/>
      </c>
      <c r="BI947" s="256" t="str">
        <f t="shared" si="443"/>
        <v/>
      </c>
      <c r="BJ947" s="267"/>
      <c r="BK947" s="255"/>
      <c r="BL947" s="259" t="str">
        <f>IF(BK947&lt;&gt;"",BK947/VLOOKUP($V947,Setup!$C$30:$D$41,2,0),"")</f>
        <v/>
      </c>
      <c r="BM947" s="268"/>
      <c r="BN947" s="258" t="str">
        <f t="shared" si="444"/>
        <v/>
      </c>
      <c r="BO947" s="268"/>
      <c r="BP947" s="258" t="str">
        <f t="shared" si="445"/>
        <v/>
      </c>
      <c r="BQ947" s="268"/>
      <c r="BR947" s="258" t="str">
        <f t="shared" si="446"/>
        <v/>
      </c>
      <c r="BS947" s="268"/>
      <c r="BT947" s="256" t="str">
        <f t="shared" si="447"/>
        <v/>
      </c>
      <c r="BU947" s="256" t="str">
        <f t="shared" si="448"/>
        <v/>
      </c>
      <c r="BV947" s="256" t="str">
        <f t="shared" si="449"/>
        <v/>
      </c>
      <c r="BW947" s="267"/>
      <c r="BX947" s="256" t="str">
        <f t="shared" si="450"/>
        <v/>
      </c>
      <c r="BY947" s="256" t="str">
        <f t="shared" si="451"/>
        <v/>
      </c>
      <c r="BZ947" s="281"/>
      <c r="CA947" s="282"/>
      <c r="CF947" s="284"/>
      <c r="CG947" s="284"/>
      <c r="CH947" s="284"/>
      <c r="CI947" s="284"/>
      <c r="CL947" s="356" t="str">
        <f>IFERROR(VLOOKUP(C947,'Data Sheet'!$A$3:$B$26,2,FALSE),"")</f>
        <v/>
      </c>
    </row>
    <row r="948" spans="1:90" ht="15.75" x14ac:dyDescent="0.2">
      <c r="A948" s="97"/>
      <c r="B948" s="105" t="str">
        <f t="shared" si="454"/>
        <v>--</v>
      </c>
      <c r="C948" s="276"/>
      <c r="D948" s="101" t="str">
        <f>IFERROR(IF(VLOOKUP(C948,'Data Sheet'!$A$3:$D$26,4,FALSE)=0,"",VLOOKUP(C948,'Data Sheet'!$A$3:$D$26,4,FALSE)),"")</f>
        <v/>
      </c>
      <c r="E948" s="279"/>
      <c r="F948" s="103" t="str">
        <f>IFERROR(IF(VLOOKUP(E948,'Data Sheet'!$C$29:$E$174,3,FALSE)=0,"",VLOOKUP(E948,'Data Sheet'!$C$29:$E$174,3,FALSE)),"")</f>
        <v/>
      </c>
      <c r="G948" s="106" t="str">
        <f t="shared" si="452"/>
        <v>-</v>
      </c>
      <c r="H948" s="273"/>
      <c r="I948" s="107"/>
      <c r="J948" s="249" t="e">
        <f t="shared" si="453"/>
        <v>#VALUE!</v>
      </c>
      <c r="K948" s="101" t="str">
        <f>IFERROR(INDEX('Data Sheet'!$C$198:$C$275,MATCH(I948,'Data Sheet'!$F$198:$F$275,0)),"")</f>
        <v/>
      </c>
      <c r="L948" s="250" t="str">
        <f>IFERROR(INDEX('Data Sheet'!$G$198:$G$275,MATCH(I948,'Data Sheet'!$F$198:$F$275,0)),"")</f>
        <v/>
      </c>
      <c r="M948" s="194"/>
      <c r="N948" s="248"/>
      <c r="O948" s="248"/>
      <c r="P948" s="108" t="str">
        <f>IFERROR(INDEX(Setup!$D$44:$D$70,MATCH(M948,Setup!$K$44:$K$70,0))&amp;"","")</f>
        <v/>
      </c>
      <c r="Q948" s="108" t="str">
        <f>IFERROR(INDEX(Setup!$E$44:$E$70,MATCH(M948,Setup!$K$44:$K$70,0))&amp;"","")</f>
        <v/>
      </c>
      <c r="R948" s="108" t="str">
        <f>IFERROR(INDEX(Setup!$L$44:$L$70,MATCH(M948,Setup!$K$44:$K$70,0))&amp;"","")</f>
        <v/>
      </c>
      <c r="S948" s="108" t="str">
        <f>Setup!$C$30</f>
        <v>USD</v>
      </c>
      <c r="T948" s="109" t="str">
        <f>IFERROR(INDEX('Data Sheet'!$B$198:$B$275,MATCH(I948,'Data Sheet'!$F$198:$F$275,0)),"")</f>
        <v/>
      </c>
      <c r="U948" s="110" t="str">
        <f>IFERROR(INDEX('Data Sheet'!$D$198:$D$275,MATCH(I948,'Data Sheet'!$F$198:$F$275,0)),"")</f>
        <v/>
      </c>
      <c r="V948" s="99"/>
      <c r="W948" s="195" t="str">
        <f>IF(V948=Setup!$C$30,"Grant",IF(V948=Setup!$C$31,"Local",IF(V948=Setup!$C$32,"Other",IF(ISBLANK(V948),"","Other"))))</f>
        <v/>
      </c>
      <c r="X948" s="255"/>
      <c r="Y948" s="259" t="str">
        <f>IF(X948&lt;&gt;"",X948/VLOOKUP($V948,Setup!$C$30:$D$41,2,0),"")</f>
        <v/>
      </c>
      <c r="Z948" s="262"/>
      <c r="AA948" s="256" t="str">
        <f t="shared" si="426"/>
        <v/>
      </c>
      <c r="AB948" s="262"/>
      <c r="AC948" s="258" t="str">
        <f t="shared" si="427"/>
        <v/>
      </c>
      <c r="AD948" s="262"/>
      <c r="AE948" s="258" t="str">
        <f t="shared" si="428"/>
        <v/>
      </c>
      <c r="AF948" s="262"/>
      <c r="AG948" s="256" t="str">
        <f t="shared" si="429"/>
        <v/>
      </c>
      <c r="AH948" s="256" t="str">
        <f t="shared" si="430"/>
        <v/>
      </c>
      <c r="AI948" s="256" t="str">
        <f t="shared" si="431"/>
        <v/>
      </c>
      <c r="AJ948" s="111"/>
      <c r="AK948" s="255"/>
      <c r="AL948" s="259" t="str">
        <f>IF(AK948&lt;&gt;"",AK948/VLOOKUP($V948,Setup!$C$30:$D$41,2,0),"")</f>
        <v/>
      </c>
      <c r="AM948" s="266"/>
      <c r="AN948" s="258" t="str">
        <f t="shared" si="432"/>
        <v/>
      </c>
      <c r="AO948" s="266"/>
      <c r="AP948" s="258" t="str">
        <f t="shared" si="433"/>
        <v/>
      </c>
      <c r="AQ948" s="266"/>
      <c r="AR948" s="258" t="str">
        <f t="shared" si="434"/>
        <v/>
      </c>
      <c r="AS948" s="266"/>
      <c r="AT948" s="256" t="str">
        <f t="shared" si="435"/>
        <v/>
      </c>
      <c r="AU948" s="256" t="str">
        <f t="shared" si="436"/>
        <v/>
      </c>
      <c r="AV948" s="256" t="str">
        <f t="shared" si="437"/>
        <v/>
      </c>
      <c r="AW948" s="267"/>
      <c r="AX948" s="255"/>
      <c r="AY948" s="259" t="str">
        <f>IF(AX948&lt;&gt;"",AX948/VLOOKUP($V948,Setup!$C$30:$D$41,2,0),"")</f>
        <v/>
      </c>
      <c r="AZ948" s="268"/>
      <c r="BA948" s="258" t="str">
        <f t="shared" si="438"/>
        <v/>
      </c>
      <c r="BB948" s="268"/>
      <c r="BC948" s="258" t="str">
        <f t="shared" si="439"/>
        <v/>
      </c>
      <c r="BD948" s="268"/>
      <c r="BE948" s="258" t="str">
        <f t="shared" si="440"/>
        <v/>
      </c>
      <c r="BF948" s="268"/>
      <c r="BG948" s="256" t="str">
        <f t="shared" si="441"/>
        <v/>
      </c>
      <c r="BH948" s="256" t="str">
        <f t="shared" si="442"/>
        <v/>
      </c>
      <c r="BI948" s="256" t="str">
        <f t="shared" si="443"/>
        <v/>
      </c>
      <c r="BJ948" s="267"/>
      <c r="BK948" s="255"/>
      <c r="BL948" s="259" t="str">
        <f>IF(BK948&lt;&gt;"",BK948/VLOOKUP($V948,Setup!$C$30:$D$41,2,0),"")</f>
        <v/>
      </c>
      <c r="BM948" s="268"/>
      <c r="BN948" s="258" t="str">
        <f t="shared" si="444"/>
        <v/>
      </c>
      <c r="BO948" s="268"/>
      <c r="BP948" s="258" t="str">
        <f t="shared" si="445"/>
        <v/>
      </c>
      <c r="BQ948" s="268"/>
      <c r="BR948" s="258" t="str">
        <f t="shared" si="446"/>
        <v/>
      </c>
      <c r="BS948" s="268"/>
      <c r="BT948" s="256" t="str">
        <f t="shared" si="447"/>
        <v/>
      </c>
      <c r="BU948" s="256" t="str">
        <f t="shared" si="448"/>
        <v/>
      </c>
      <c r="BV948" s="256" t="str">
        <f t="shared" si="449"/>
        <v/>
      </c>
      <c r="BW948" s="267"/>
      <c r="BX948" s="256" t="str">
        <f t="shared" si="450"/>
        <v/>
      </c>
      <c r="BY948" s="256" t="str">
        <f t="shared" si="451"/>
        <v/>
      </c>
      <c r="BZ948" s="281"/>
      <c r="CA948" s="282"/>
      <c r="CF948" s="284"/>
      <c r="CG948" s="284"/>
      <c r="CH948" s="284"/>
      <c r="CI948" s="284"/>
      <c r="CL948" s="356" t="str">
        <f>IFERROR(VLOOKUP(C948,'Data Sheet'!$A$3:$B$26,2,FALSE),"")</f>
        <v/>
      </c>
    </row>
    <row r="949" spans="1:90" ht="15.75" x14ac:dyDescent="0.2">
      <c r="A949" s="97"/>
      <c r="B949" s="105" t="str">
        <f t="shared" si="454"/>
        <v>--</v>
      </c>
      <c r="C949" s="276"/>
      <c r="D949" s="101" t="str">
        <f>IFERROR(IF(VLOOKUP(C949,'Data Sheet'!$A$3:$D$26,4,FALSE)=0,"",VLOOKUP(C949,'Data Sheet'!$A$3:$D$26,4,FALSE)),"")</f>
        <v/>
      </c>
      <c r="E949" s="279"/>
      <c r="F949" s="103" t="str">
        <f>IFERROR(IF(VLOOKUP(E949,'Data Sheet'!$C$29:$E$174,3,FALSE)=0,"",VLOOKUP(E949,'Data Sheet'!$C$29:$E$174,3,FALSE)),"")</f>
        <v/>
      </c>
      <c r="G949" s="106" t="str">
        <f t="shared" si="452"/>
        <v>-</v>
      </c>
      <c r="H949" s="273"/>
      <c r="I949" s="107"/>
      <c r="J949" s="249" t="e">
        <f t="shared" si="453"/>
        <v>#VALUE!</v>
      </c>
      <c r="K949" s="101" t="str">
        <f>IFERROR(INDEX('Data Sheet'!$C$198:$C$275,MATCH(I949,'Data Sheet'!$F$198:$F$275,0)),"")</f>
        <v/>
      </c>
      <c r="L949" s="250" t="str">
        <f>IFERROR(INDEX('Data Sheet'!$G$198:$G$275,MATCH(I949,'Data Sheet'!$F$198:$F$275,0)),"")</f>
        <v/>
      </c>
      <c r="M949" s="194"/>
      <c r="N949" s="248"/>
      <c r="O949" s="248"/>
      <c r="P949" s="108" t="str">
        <f>IFERROR(INDEX(Setup!$D$44:$D$70,MATCH(M949,Setup!$K$44:$K$70,0))&amp;"","")</f>
        <v/>
      </c>
      <c r="Q949" s="108" t="str">
        <f>IFERROR(INDEX(Setup!$E$44:$E$70,MATCH(M949,Setup!$K$44:$K$70,0))&amp;"","")</f>
        <v/>
      </c>
      <c r="R949" s="108" t="str">
        <f>IFERROR(INDEX(Setup!$L$44:$L$70,MATCH(M949,Setup!$K$44:$K$70,0))&amp;"","")</f>
        <v/>
      </c>
      <c r="S949" s="108" t="str">
        <f>Setup!$C$30</f>
        <v>USD</v>
      </c>
      <c r="T949" s="109" t="str">
        <f>IFERROR(INDEX('Data Sheet'!$B$198:$B$275,MATCH(I949,'Data Sheet'!$F$198:$F$275,0)),"")</f>
        <v/>
      </c>
      <c r="U949" s="110" t="str">
        <f>IFERROR(INDEX('Data Sheet'!$D$198:$D$275,MATCH(I949,'Data Sheet'!$F$198:$F$275,0)),"")</f>
        <v/>
      </c>
      <c r="V949" s="99"/>
      <c r="W949" s="195" t="str">
        <f>IF(V949=Setup!$C$30,"Grant",IF(V949=Setup!$C$31,"Local",IF(V949=Setup!$C$32,"Other",IF(ISBLANK(V949),"","Other"))))</f>
        <v/>
      </c>
      <c r="X949" s="255"/>
      <c r="Y949" s="259" t="str">
        <f>IF(X949&lt;&gt;"",X949/VLOOKUP($V949,Setup!$C$30:$D$41,2,0),"")</f>
        <v/>
      </c>
      <c r="Z949" s="262"/>
      <c r="AA949" s="256" t="str">
        <f t="shared" si="426"/>
        <v/>
      </c>
      <c r="AB949" s="262"/>
      <c r="AC949" s="258" t="str">
        <f t="shared" si="427"/>
        <v/>
      </c>
      <c r="AD949" s="262"/>
      <c r="AE949" s="258" t="str">
        <f t="shared" si="428"/>
        <v/>
      </c>
      <c r="AF949" s="262"/>
      <c r="AG949" s="256" t="str">
        <f t="shared" si="429"/>
        <v/>
      </c>
      <c r="AH949" s="256" t="str">
        <f t="shared" si="430"/>
        <v/>
      </c>
      <c r="AI949" s="256" t="str">
        <f t="shared" si="431"/>
        <v/>
      </c>
      <c r="AJ949" s="111"/>
      <c r="AK949" s="255"/>
      <c r="AL949" s="259" t="str">
        <f>IF(AK949&lt;&gt;"",AK949/VLOOKUP($V949,Setup!$C$30:$D$41,2,0),"")</f>
        <v/>
      </c>
      <c r="AM949" s="266"/>
      <c r="AN949" s="258" t="str">
        <f t="shared" si="432"/>
        <v/>
      </c>
      <c r="AO949" s="266"/>
      <c r="AP949" s="258" t="str">
        <f t="shared" si="433"/>
        <v/>
      </c>
      <c r="AQ949" s="266"/>
      <c r="AR949" s="258" t="str">
        <f t="shared" si="434"/>
        <v/>
      </c>
      <c r="AS949" s="266"/>
      <c r="AT949" s="256" t="str">
        <f t="shared" si="435"/>
        <v/>
      </c>
      <c r="AU949" s="256" t="str">
        <f t="shared" si="436"/>
        <v/>
      </c>
      <c r="AV949" s="256" t="str">
        <f t="shared" si="437"/>
        <v/>
      </c>
      <c r="AW949" s="267"/>
      <c r="AX949" s="255"/>
      <c r="AY949" s="259" t="str">
        <f>IF(AX949&lt;&gt;"",AX949/VLOOKUP($V949,Setup!$C$30:$D$41,2,0),"")</f>
        <v/>
      </c>
      <c r="AZ949" s="268"/>
      <c r="BA949" s="258" t="str">
        <f t="shared" si="438"/>
        <v/>
      </c>
      <c r="BB949" s="268"/>
      <c r="BC949" s="258" t="str">
        <f t="shared" si="439"/>
        <v/>
      </c>
      <c r="BD949" s="268"/>
      <c r="BE949" s="258" t="str">
        <f t="shared" si="440"/>
        <v/>
      </c>
      <c r="BF949" s="268"/>
      <c r="BG949" s="256" t="str">
        <f t="shared" si="441"/>
        <v/>
      </c>
      <c r="BH949" s="256" t="str">
        <f t="shared" si="442"/>
        <v/>
      </c>
      <c r="BI949" s="256" t="str">
        <f t="shared" si="443"/>
        <v/>
      </c>
      <c r="BJ949" s="267"/>
      <c r="BK949" s="255"/>
      <c r="BL949" s="259" t="str">
        <f>IF(BK949&lt;&gt;"",BK949/VLOOKUP($V949,Setup!$C$30:$D$41,2,0),"")</f>
        <v/>
      </c>
      <c r="BM949" s="268"/>
      <c r="BN949" s="258" t="str">
        <f t="shared" si="444"/>
        <v/>
      </c>
      <c r="BO949" s="268"/>
      <c r="BP949" s="258" t="str">
        <f t="shared" si="445"/>
        <v/>
      </c>
      <c r="BQ949" s="268"/>
      <c r="BR949" s="258" t="str">
        <f t="shared" si="446"/>
        <v/>
      </c>
      <c r="BS949" s="268"/>
      <c r="BT949" s="256" t="str">
        <f t="shared" si="447"/>
        <v/>
      </c>
      <c r="BU949" s="256" t="str">
        <f t="shared" si="448"/>
        <v/>
      </c>
      <c r="BV949" s="256" t="str">
        <f t="shared" si="449"/>
        <v/>
      </c>
      <c r="BW949" s="267"/>
      <c r="BX949" s="256" t="str">
        <f t="shared" si="450"/>
        <v/>
      </c>
      <c r="BY949" s="256" t="str">
        <f t="shared" si="451"/>
        <v/>
      </c>
      <c r="BZ949" s="281"/>
      <c r="CA949" s="282"/>
      <c r="CF949" s="284"/>
      <c r="CG949" s="284"/>
      <c r="CH949" s="284"/>
      <c r="CI949" s="284"/>
      <c r="CL949" s="356" t="str">
        <f>IFERROR(VLOOKUP(C949,'Data Sheet'!$A$3:$B$26,2,FALSE),"")</f>
        <v/>
      </c>
    </row>
    <row r="950" spans="1:90" ht="15.75" x14ac:dyDescent="0.2">
      <c r="A950" s="97"/>
      <c r="B950" s="105" t="str">
        <f t="shared" si="454"/>
        <v>--</v>
      </c>
      <c r="C950" s="276"/>
      <c r="D950" s="101" t="str">
        <f>IFERROR(IF(VLOOKUP(C950,'Data Sheet'!$A$3:$D$26,4,FALSE)=0,"",VLOOKUP(C950,'Data Sheet'!$A$3:$D$26,4,FALSE)),"")</f>
        <v/>
      </c>
      <c r="E950" s="279"/>
      <c r="F950" s="103" t="str">
        <f>IFERROR(IF(VLOOKUP(E950,'Data Sheet'!$C$29:$E$174,3,FALSE)=0,"",VLOOKUP(E950,'Data Sheet'!$C$29:$E$174,3,FALSE)),"")</f>
        <v/>
      </c>
      <c r="G950" s="106" t="str">
        <f t="shared" si="452"/>
        <v>-</v>
      </c>
      <c r="H950" s="273"/>
      <c r="I950" s="107"/>
      <c r="J950" s="249" t="e">
        <f t="shared" si="453"/>
        <v>#VALUE!</v>
      </c>
      <c r="K950" s="101" t="str">
        <f>IFERROR(INDEX('Data Sheet'!$C$198:$C$275,MATCH(I950,'Data Sheet'!$F$198:$F$275,0)),"")</f>
        <v/>
      </c>
      <c r="L950" s="250" t="str">
        <f>IFERROR(INDEX('Data Sheet'!$G$198:$G$275,MATCH(I950,'Data Sheet'!$F$198:$F$275,0)),"")</f>
        <v/>
      </c>
      <c r="M950" s="194"/>
      <c r="N950" s="248"/>
      <c r="O950" s="248"/>
      <c r="P950" s="108" t="str">
        <f>IFERROR(INDEX(Setup!$D$44:$D$70,MATCH(M950,Setup!$K$44:$K$70,0))&amp;"","")</f>
        <v/>
      </c>
      <c r="Q950" s="108" t="str">
        <f>IFERROR(INDEX(Setup!$E$44:$E$70,MATCH(M950,Setup!$K$44:$K$70,0))&amp;"","")</f>
        <v/>
      </c>
      <c r="R950" s="108" t="str">
        <f>IFERROR(INDEX(Setup!$L$44:$L$70,MATCH(M950,Setup!$K$44:$K$70,0))&amp;"","")</f>
        <v/>
      </c>
      <c r="S950" s="108" t="str">
        <f>Setup!$C$30</f>
        <v>USD</v>
      </c>
      <c r="T950" s="109" t="str">
        <f>IFERROR(INDEX('Data Sheet'!$B$198:$B$275,MATCH(I950,'Data Sheet'!$F$198:$F$275,0)),"")</f>
        <v/>
      </c>
      <c r="U950" s="110" t="str">
        <f>IFERROR(INDEX('Data Sheet'!$D$198:$D$275,MATCH(I950,'Data Sheet'!$F$198:$F$275,0)),"")</f>
        <v/>
      </c>
      <c r="V950" s="99"/>
      <c r="W950" s="195" t="str">
        <f>IF(V950=Setup!$C$30,"Grant",IF(V950=Setup!$C$31,"Local",IF(V950=Setup!$C$32,"Other",IF(ISBLANK(V950),"","Other"))))</f>
        <v/>
      </c>
      <c r="X950" s="255"/>
      <c r="Y950" s="259" t="str">
        <f>IF(X950&lt;&gt;"",X950/VLOOKUP($V950,Setup!$C$30:$D$41,2,0),"")</f>
        <v/>
      </c>
      <c r="Z950" s="262"/>
      <c r="AA950" s="256" t="str">
        <f t="shared" si="426"/>
        <v/>
      </c>
      <c r="AB950" s="262"/>
      <c r="AC950" s="258" t="str">
        <f t="shared" si="427"/>
        <v/>
      </c>
      <c r="AD950" s="262"/>
      <c r="AE950" s="258" t="str">
        <f t="shared" si="428"/>
        <v/>
      </c>
      <c r="AF950" s="262"/>
      <c r="AG950" s="256" t="str">
        <f t="shared" si="429"/>
        <v/>
      </c>
      <c r="AH950" s="256" t="str">
        <f t="shared" si="430"/>
        <v/>
      </c>
      <c r="AI950" s="256" t="str">
        <f t="shared" si="431"/>
        <v/>
      </c>
      <c r="AJ950" s="111"/>
      <c r="AK950" s="255"/>
      <c r="AL950" s="259" t="str">
        <f>IF(AK950&lt;&gt;"",AK950/VLOOKUP($V950,Setup!$C$30:$D$41,2,0),"")</f>
        <v/>
      </c>
      <c r="AM950" s="266"/>
      <c r="AN950" s="258" t="str">
        <f t="shared" si="432"/>
        <v/>
      </c>
      <c r="AO950" s="266"/>
      <c r="AP950" s="258" t="str">
        <f t="shared" si="433"/>
        <v/>
      </c>
      <c r="AQ950" s="266"/>
      <c r="AR950" s="258" t="str">
        <f t="shared" si="434"/>
        <v/>
      </c>
      <c r="AS950" s="266"/>
      <c r="AT950" s="256" t="str">
        <f t="shared" si="435"/>
        <v/>
      </c>
      <c r="AU950" s="256" t="str">
        <f t="shared" si="436"/>
        <v/>
      </c>
      <c r="AV950" s="256" t="str">
        <f t="shared" si="437"/>
        <v/>
      </c>
      <c r="AW950" s="267"/>
      <c r="AX950" s="255"/>
      <c r="AY950" s="259" t="str">
        <f>IF(AX950&lt;&gt;"",AX950/VLOOKUP($V950,Setup!$C$30:$D$41,2,0),"")</f>
        <v/>
      </c>
      <c r="AZ950" s="268"/>
      <c r="BA950" s="258" t="str">
        <f t="shared" si="438"/>
        <v/>
      </c>
      <c r="BB950" s="268"/>
      <c r="BC950" s="258" t="str">
        <f t="shared" si="439"/>
        <v/>
      </c>
      <c r="BD950" s="268"/>
      <c r="BE950" s="258" t="str">
        <f t="shared" si="440"/>
        <v/>
      </c>
      <c r="BF950" s="268"/>
      <c r="BG950" s="256" t="str">
        <f t="shared" si="441"/>
        <v/>
      </c>
      <c r="BH950" s="256" t="str">
        <f t="shared" si="442"/>
        <v/>
      </c>
      <c r="BI950" s="256" t="str">
        <f t="shared" si="443"/>
        <v/>
      </c>
      <c r="BJ950" s="267"/>
      <c r="BK950" s="255"/>
      <c r="BL950" s="259" t="str">
        <f>IF(BK950&lt;&gt;"",BK950/VLOOKUP($V950,Setup!$C$30:$D$41,2,0),"")</f>
        <v/>
      </c>
      <c r="BM950" s="268"/>
      <c r="BN950" s="258" t="str">
        <f t="shared" si="444"/>
        <v/>
      </c>
      <c r="BO950" s="268"/>
      <c r="BP950" s="258" t="str">
        <f t="shared" si="445"/>
        <v/>
      </c>
      <c r="BQ950" s="268"/>
      <c r="BR950" s="258" t="str">
        <f t="shared" si="446"/>
        <v/>
      </c>
      <c r="BS950" s="268"/>
      <c r="BT950" s="256" t="str">
        <f t="shared" si="447"/>
        <v/>
      </c>
      <c r="BU950" s="256" t="str">
        <f t="shared" si="448"/>
        <v/>
      </c>
      <c r="BV950" s="256" t="str">
        <f t="shared" si="449"/>
        <v/>
      </c>
      <c r="BW950" s="267"/>
      <c r="BX950" s="256" t="str">
        <f t="shared" si="450"/>
        <v/>
      </c>
      <c r="BY950" s="256" t="str">
        <f t="shared" si="451"/>
        <v/>
      </c>
      <c r="BZ950" s="281"/>
      <c r="CA950" s="282"/>
      <c r="CF950" s="284"/>
      <c r="CG950" s="284"/>
      <c r="CH950" s="284"/>
      <c r="CI950" s="284"/>
      <c r="CL950" s="356" t="str">
        <f>IFERROR(VLOOKUP(C950,'Data Sheet'!$A$3:$B$26,2,FALSE),"")</f>
        <v/>
      </c>
    </row>
    <row r="951" spans="1:90" ht="15.75" x14ac:dyDescent="0.2">
      <c r="A951" s="97"/>
      <c r="B951" s="105" t="str">
        <f t="shared" si="454"/>
        <v>--</v>
      </c>
      <c r="C951" s="276"/>
      <c r="D951" s="101" t="str">
        <f>IFERROR(IF(VLOOKUP(C951,'Data Sheet'!$A$3:$D$26,4,FALSE)=0,"",VLOOKUP(C951,'Data Sheet'!$A$3:$D$26,4,FALSE)),"")</f>
        <v/>
      </c>
      <c r="E951" s="279"/>
      <c r="F951" s="103" t="str">
        <f>IFERROR(IF(VLOOKUP(E951,'Data Sheet'!$C$29:$E$174,3,FALSE)=0,"",VLOOKUP(E951,'Data Sheet'!$C$29:$E$174,3,FALSE)),"")</f>
        <v/>
      </c>
      <c r="G951" s="106" t="str">
        <f t="shared" si="452"/>
        <v>-</v>
      </c>
      <c r="H951" s="273"/>
      <c r="I951" s="107"/>
      <c r="J951" s="249" t="e">
        <f t="shared" si="453"/>
        <v>#VALUE!</v>
      </c>
      <c r="K951" s="101" t="str">
        <f>IFERROR(INDEX('Data Sheet'!$C$198:$C$275,MATCH(I951,'Data Sheet'!$F$198:$F$275,0)),"")</f>
        <v/>
      </c>
      <c r="L951" s="250" t="str">
        <f>IFERROR(INDEX('Data Sheet'!$G$198:$G$275,MATCH(I951,'Data Sheet'!$F$198:$F$275,0)),"")</f>
        <v/>
      </c>
      <c r="M951" s="194"/>
      <c r="N951" s="248"/>
      <c r="O951" s="248"/>
      <c r="P951" s="108" t="str">
        <f>IFERROR(INDEX(Setup!$D$44:$D$70,MATCH(M951,Setup!$K$44:$K$70,0))&amp;"","")</f>
        <v/>
      </c>
      <c r="Q951" s="108" t="str">
        <f>IFERROR(INDEX(Setup!$E$44:$E$70,MATCH(M951,Setup!$K$44:$K$70,0))&amp;"","")</f>
        <v/>
      </c>
      <c r="R951" s="108" t="str">
        <f>IFERROR(INDEX(Setup!$L$44:$L$70,MATCH(M951,Setup!$K$44:$K$70,0))&amp;"","")</f>
        <v/>
      </c>
      <c r="S951" s="108" t="str">
        <f>Setup!$C$30</f>
        <v>USD</v>
      </c>
      <c r="T951" s="109" t="str">
        <f>IFERROR(INDEX('Data Sheet'!$B$198:$B$275,MATCH(I951,'Data Sheet'!$F$198:$F$275,0)),"")</f>
        <v/>
      </c>
      <c r="U951" s="110" t="str">
        <f>IFERROR(INDEX('Data Sheet'!$D$198:$D$275,MATCH(I951,'Data Sheet'!$F$198:$F$275,0)),"")</f>
        <v/>
      </c>
      <c r="V951" s="99"/>
      <c r="W951" s="195" t="str">
        <f>IF(V951=Setup!$C$30,"Grant",IF(V951=Setup!$C$31,"Local",IF(V951=Setup!$C$32,"Other",IF(ISBLANK(V951),"","Other"))))</f>
        <v/>
      </c>
      <c r="X951" s="255"/>
      <c r="Y951" s="259" t="str">
        <f>IF(X951&lt;&gt;"",X951/VLOOKUP($V951,Setup!$C$30:$D$41,2,0),"")</f>
        <v/>
      </c>
      <c r="Z951" s="262"/>
      <c r="AA951" s="256" t="str">
        <f t="shared" si="426"/>
        <v/>
      </c>
      <c r="AB951" s="262"/>
      <c r="AC951" s="258" t="str">
        <f t="shared" si="427"/>
        <v/>
      </c>
      <c r="AD951" s="262"/>
      <c r="AE951" s="258" t="str">
        <f t="shared" si="428"/>
        <v/>
      </c>
      <c r="AF951" s="262"/>
      <c r="AG951" s="256" t="str">
        <f t="shared" si="429"/>
        <v/>
      </c>
      <c r="AH951" s="256" t="str">
        <f t="shared" si="430"/>
        <v/>
      </c>
      <c r="AI951" s="256" t="str">
        <f t="shared" si="431"/>
        <v/>
      </c>
      <c r="AJ951" s="111"/>
      <c r="AK951" s="255"/>
      <c r="AL951" s="259" t="str">
        <f>IF(AK951&lt;&gt;"",AK951/VLOOKUP($V951,Setup!$C$30:$D$41,2,0),"")</f>
        <v/>
      </c>
      <c r="AM951" s="266"/>
      <c r="AN951" s="258" t="str">
        <f t="shared" si="432"/>
        <v/>
      </c>
      <c r="AO951" s="266"/>
      <c r="AP951" s="258" t="str">
        <f t="shared" si="433"/>
        <v/>
      </c>
      <c r="AQ951" s="266"/>
      <c r="AR951" s="258" t="str">
        <f t="shared" si="434"/>
        <v/>
      </c>
      <c r="AS951" s="266"/>
      <c r="AT951" s="256" t="str">
        <f t="shared" si="435"/>
        <v/>
      </c>
      <c r="AU951" s="256" t="str">
        <f t="shared" si="436"/>
        <v/>
      </c>
      <c r="AV951" s="256" t="str">
        <f t="shared" si="437"/>
        <v/>
      </c>
      <c r="AW951" s="267"/>
      <c r="AX951" s="255"/>
      <c r="AY951" s="259" t="str">
        <f>IF(AX951&lt;&gt;"",AX951/VLOOKUP($V951,Setup!$C$30:$D$41,2,0),"")</f>
        <v/>
      </c>
      <c r="AZ951" s="268"/>
      <c r="BA951" s="258" t="str">
        <f t="shared" si="438"/>
        <v/>
      </c>
      <c r="BB951" s="268"/>
      <c r="BC951" s="258" t="str">
        <f t="shared" si="439"/>
        <v/>
      </c>
      <c r="BD951" s="268"/>
      <c r="BE951" s="258" t="str">
        <f t="shared" si="440"/>
        <v/>
      </c>
      <c r="BF951" s="268"/>
      <c r="BG951" s="256" t="str">
        <f t="shared" si="441"/>
        <v/>
      </c>
      <c r="BH951" s="256" t="str">
        <f t="shared" si="442"/>
        <v/>
      </c>
      <c r="BI951" s="256" t="str">
        <f t="shared" si="443"/>
        <v/>
      </c>
      <c r="BJ951" s="267"/>
      <c r="BK951" s="255"/>
      <c r="BL951" s="259" t="str">
        <f>IF(BK951&lt;&gt;"",BK951/VLOOKUP($V951,Setup!$C$30:$D$41,2,0),"")</f>
        <v/>
      </c>
      <c r="BM951" s="268"/>
      <c r="BN951" s="258" t="str">
        <f t="shared" si="444"/>
        <v/>
      </c>
      <c r="BO951" s="268"/>
      <c r="BP951" s="258" t="str">
        <f t="shared" si="445"/>
        <v/>
      </c>
      <c r="BQ951" s="268"/>
      <c r="BR951" s="258" t="str">
        <f t="shared" si="446"/>
        <v/>
      </c>
      <c r="BS951" s="268"/>
      <c r="BT951" s="256" t="str">
        <f t="shared" si="447"/>
        <v/>
      </c>
      <c r="BU951" s="256" t="str">
        <f t="shared" si="448"/>
        <v/>
      </c>
      <c r="BV951" s="256" t="str">
        <f t="shared" si="449"/>
        <v/>
      </c>
      <c r="BW951" s="267"/>
      <c r="BX951" s="256" t="str">
        <f t="shared" si="450"/>
        <v/>
      </c>
      <c r="BY951" s="256" t="str">
        <f t="shared" si="451"/>
        <v/>
      </c>
      <c r="BZ951" s="281"/>
      <c r="CA951" s="282"/>
      <c r="CF951" s="284"/>
      <c r="CG951" s="284"/>
      <c r="CH951" s="284"/>
      <c r="CI951" s="284"/>
      <c r="CL951" s="356" t="str">
        <f>IFERROR(VLOOKUP(C951,'Data Sheet'!$A$3:$B$26,2,FALSE),"")</f>
        <v/>
      </c>
    </row>
    <row r="952" spans="1:90" ht="15.75" x14ac:dyDescent="0.2">
      <c r="A952" s="97"/>
      <c r="B952" s="105" t="str">
        <f t="shared" si="454"/>
        <v>--</v>
      </c>
      <c r="C952" s="276"/>
      <c r="D952" s="101" t="str">
        <f>IFERROR(IF(VLOOKUP(C952,'Data Sheet'!$A$3:$D$26,4,FALSE)=0,"",VLOOKUP(C952,'Data Sheet'!$A$3:$D$26,4,FALSE)),"")</f>
        <v/>
      </c>
      <c r="E952" s="279"/>
      <c r="F952" s="103" t="str">
        <f>IFERROR(IF(VLOOKUP(E952,'Data Sheet'!$C$29:$E$174,3,FALSE)=0,"",VLOOKUP(E952,'Data Sheet'!$C$29:$E$174,3,FALSE)),"")</f>
        <v/>
      </c>
      <c r="G952" s="106" t="str">
        <f t="shared" si="452"/>
        <v>-</v>
      </c>
      <c r="H952" s="273"/>
      <c r="I952" s="107"/>
      <c r="J952" s="249" t="e">
        <f t="shared" si="453"/>
        <v>#VALUE!</v>
      </c>
      <c r="K952" s="101" t="str">
        <f>IFERROR(INDEX('Data Sheet'!$C$198:$C$275,MATCH(I952,'Data Sheet'!$F$198:$F$275,0)),"")</f>
        <v/>
      </c>
      <c r="L952" s="250" t="str">
        <f>IFERROR(INDEX('Data Sheet'!$G$198:$G$275,MATCH(I952,'Data Sheet'!$F$198:$F$275,0)),"")</f>
        <v/>
      </c>
      <c r="M952" s="194"/>
      <c r="N952" s="248"/>
      <c r="O952" s="248"/>
      <c r="P952" s="108" t="str">
        <f>IFERROR(INDEX(Setup!$D$44:$D$70,MATCH(M952,Setup!$K$44:$K$70,0))&amp;"","")</f>
        <v/>
      </c>
      <c r="Q952" s="108" t="str">
        <f>IFERROR(INDEX(Setup!$E$44:$E$70,MATCH(M952,Setup!$K$44:$K$70,0))&amp;"","")</f>
        <v/>
      </c>
      <c r="R952" s="108" t="str">
        <f>IFERROR(INDEX(Setup!$L$44:$L$70,MATCH(M952,Setup!$K$44:$K$70,0))&amp;"","")</f>
        <v/>
      </c>
      <c r="S952" s="108" t="str">
        <f>Setup!$C$30</f>
        <v>USD</v>
      </c>
      <c r="T952" s="109" t="str">
        <f>IFERROR(INDEX('Data Sheet'!$B$198:$B$275,MATCH(I952,'Data Sheet'!$F$198:$F$275,0)),"")</f>
        <v/>
      </c>
      <c r="U952" s="110" t="str">
        <f>IFERROR(INDEX('Data Sheet'!$D$198:$D$275,MATCH(I952,'Data Sheet'!$F$198:$F$275,0)),"")</f>
        <v/>
      </c>
      <c r="V952" s="99"/>
      <c r="W952" s="195" t="str">
        <f>IF(V952=Setup!$C$30,"Grant",IF(V952=Setup!$C$31,"Local",IF(V952=Setup!$C$32,"Other",IF(ISBLANK(V952),"","Other"))))</f>
        <v/>
      </c>
      <c r="X952" s="255"/>
      <c r="Y952" s="259" t="str">
        <f>IF(X952&lt;&gt;"",X952/VLOOKUP($V952,Setup!$C$30:$D$41,2,0),"")</f>
        <v/>
      </c>
      <c r="Z952" s="262"/>
      <c r="AA952" s="256" t="str">
        <f t="shared" si="426"/>
        <v/>
      </c>
      <c r="AB952" s="262"/>
      <c r="AC952" s="258" t="str">
        <f t="shared" si="427"/>
        <v/>
      </c>
      <c r="AD952" s="262"/>
      <c r="AE952" s="258" t="str">
        <f t="shared" si="428"/>
        <v/>
      </c>
      <c r="AF952" s="262"/>
      <c r="AG952" s="256" t="str">
        <f t="shared" si="429"/>
        <v/>
      </c>
      <c r="AH952" s="256" t="str">
        <f t="shared" si="430"/>
        <v/>
      </c>
      <c r="AI952" s="256" t="str">
        <f t="shared" si="431"/>
        <v/>
      </c>
      <c r="AJ952" s="111"/>
      <c r="AK952" s="255"/>
      <c r="AL952" s="259" t="str">
        <f>IF(AK952&lt;&gt;"",AK952/VLOOKUP($V952,Setup!$C$30:$D$41,2,0),"")</f>
        <v/>
      </c>
      <c r="AM952" s="266"/>
      <c r="AN952" s="258" t="str">
        <f t="shared" si="432"/>
        <v/>
      </c>
      <c r="AO952" s="266"/>
      <c r="AP952" s="258" t="str">
        <f t="shared" si="433"/>
        <v/>
      </c>
      <c r="AQ952" s="266"/>
      <c r="AR952" s="258" t="str">
        <f t="shared" si="434"/>
        <v/>
      </c>
      <c r="AS952" s="266"/>
      <c r="AT952" s="256" t="str">
        <f t="shared" si="435"/>
        <v/>
      </c>
      <c r="AU952" s="256" t="str">
        <f t="shared" si="436"/>
        <v/>
      </c>
      <c r="AV952" s="256" t="str">
        <f t="shared" si="437"/>
        <v/>
      </c>
      <c r="AW952" s="267"/>
      <c r="AX952" s="255"/>
      <c r="AY952" s="259" t="str">
        <f>IF(AX952&lt;&gt;"",AX952/VLOOKUP($V952,Setup!$C$30:$D$41,2,0),"")</f>
        <v/>
      </c>
      <c r="AZ952" s="268"/>
      <c r="BA952" s="258" t="str">
        <f t="shared" si="438"/>
        <v/>
      </c>
      <c r="BB952" s="268"/>
      <c r="BC952" s="258" t="str">
        <f t="shared" si="439"/>
        <v/>
      </c>
      <c r="BD952" s="268"/>
      <c r="BE952" s="258" t="str">
        <f t="shared" si="440"/>
        <v/>
      </c>
      <c r="BF952" s="268"/>
      <c r="BG952" s="256" t="str">
        <f t="shared" si="441"/>
        <v/>
      </c>
      <c r="BH952" s="256" t="str">
        <f t="shared" si="442"/>
        <v/>
      </c>
      <c r="BI952" s="256" t="str">
        <f t="shared" si="443"/>
        <v/>
      </c>
      <c r="BJ952" s="267"/>
      <c r="BK952" s="255"/>
      <c r="BL952" s="259" t="str">
        <f>IF(BK952&lt;&gt;"",BK952/VLOOKUP($V952,Setup!$C$30:$D$41,2,0),"")</f>
        <v/>
      </c>
      <c r="BM952" s="268"/>
      <c r="BN952" s="258" t="str">
        <f t="shared" si="444"/>
        <v/>
      </c>
      <c r="BO952" s="268"/>
      <c r="BP952" s="258" t="str">
        <f t="shared" si="445"/>
        <v/>
      </c>
      <c r="BQ952" s="268"/>
      <c r="BR952" s="258" t="str">
        <f t="shared" si="446"/>
        <v/>
      </c>
      <c r="BS952" s="268"/>
      <c r="BT952" s="256" t="str">
        <f t="shared" si="447"/>
        <v/>
      </c>
      <c r="BU952" s="256" t="str">
        <f t="shared" si="448"/>
        <v/>
      </c>
      <c r="BV952" s="256" t="str">
        <f t="shared" si="449"/>
        <v/>
      </c>
      <c r="BW952" s="267"/>
      <c r="BX952" s="256" t="str">
        <f t="shared" si="450"/>
        <v/>
      </c>
      <c r="BY952" s="256" t="str">
        <f t="shared" si="451"/>
        <v/>
      </c>
      <c r="BZ952" s="281"/>
      <c r="CA952" s="282"/>
      <c r="CF952" s="284"/>
      <c r="CG952" s="284"/>
      <c r="CH952" s="284"/>
      <c r="CI952" s="284"/>
      <c r="CL952" s="356" t="str">
        <f>IFERROR(VLOOKUP(C952,'Data Sheet'!$A$3:$B$26,2,FALSE),"")</f>
        <v/>
      </c>
    </row>
    <row r="953" spans="1:90" ht="15.75" x14ac:dyDescent="0.2">
      <c r="A953" s="97"/>
      <c r="B953" s="105" t="str">
        <f t="shared" si="454"/>
        <v>--</v>
      </c>
      <c r="C953" s="276"/>
      <c r="D953" s="101" t="str">
        <f>IFERROR(IF(VLOOKUP(C953,'Data Sheet'!$A$3:$D$26,4,FALSE)=0,"",VLOOKUP(C953,'Data Sheet'!$A$3:$D$26,4,FALSE)),"")</f>
        <v/>
      </c>
      <c r="E953" s="279"/>
      <c r="F953" s="103" t="str">
        <f>IFERROR(IF(VLOOKUP(E953,'Data Sheet'!$C$29:$E$174,3,FALSE)=0,"",VLOOKUP(E953,'Data Sheet'!$C$29:$E$174,3,FALSE)),"")</f>
        <v/>
      </c>
      <c r="G953" s="106" t="str">
        <f t="shared" si="452"/>
        <v>-</v>
      </c>
      <c r="H953" s="273"/>
      <c r="I953" s="107"/>
      <c r="J953" s="249" t="e">
        <f t="shared" si="453"/>
        <v>#VALUE!</v>
      </c>
      <c r="K953" s="101" t="str">
        <f>IFERROR(INDEX('Data Sheet'!$C$198:$C$275,MATCH(I953,'Data Sheet'!$F$198:$F$275,0)),"")</f>
        <v/>
      </c>
      <c r="L953" s="250" t="str">
        <f>IFERROR(INDEX('Data Sheet'!$G$198:$G$275,MATCH(I953,'Data Sheet'!$F$198:$F$275,0)),"")</f>
        <v/>
      </c>
      <c r="M953" s="194"/>
      <c r="N953" s="248"/>
      <c r="O953" s="248"/>
      <c r="P953" s="108" t="str">
        <f>IFERROR(INDEX(Setup!$D$44:$D$70,MATCH(M953,Setup!$K$44:$K$70,0))&amp;"","")</f>
        <v/>
      </c>
      <c r="Q953" s="108" t="str">
        <f>IFERROR(INDEX(Setup!$E$44:$E$70,MATCH(M953,Setup!$K$44:$K$70,0))&amp;"","")</f>
        <v/>
      </c>
      <c r="R953" s="108" t="str">
        <f>IFERROR(INDEX(Setup!$L$44:$L$70,MATCH(M953,Setup!$K$44:$K$70,0))&amp;"","")</f>
        <v/>
      </c>
      <c r="S953" s="108" t="str">
        <f>Setup!$C$30</f>
        <v>USD</v>
      </c>
      <c r="T953" s="109" t="str">
        <f>IFERROR(INDEX('Data Sheet'!$B$198:$B$275,MATCH(I953,'Data Sheet'!$F$198:$F$275,0)),"")</f>
        <v/>
      </c>
      <c r="U953" s="110" t="str">
        <f>IFERROR(INDEX('Data Sheet'!$D$198:$D$275,MATCH(I953,'Data Sheet'!$F$198:$F$275,0)),"")</f>
        <v/>
      </c>
      <c r="V953" s="99"/>
      <c r="W953" s="195" t="str">
        <f>IF(V953=Setup!$C$30,"Grant",IF(V953=Setup!$C$31,"Local",IF(V953=Setup!$C$32,"Other",IF(ISBLANK(V953),"","Other"))))</f>
        <v/>
      </c>
      <c r="X953" s="255"/>
      <c r="Y953" s="259" t="str">
        <f>IF(X953&lt;&gt;"",X953/VLOOKUP($V953,Setup!$C$30:$D$41,2,0),"")</f>
        <v/>
      </c>
      <c r="Z953" s="262"/>
      <c r="AA953" s="256" t="str">
        <f t="shared" si="426"/>
        <v/>
      </c>
      <c r="AB953" s="262"/>
      <c r="AC953" s="258" t="str">
        <f t="shared" si="427"/>
        <v/>
      </c>
      <c r="AD953" s="262"/>
      <c r="AE953" s="258" t="str">
        <f t="shared" si="428"/>
        <v/>
      </c>
      <c r="AF953" s="262"/>
      <c r="AG953" s="256" t="str">
        <f t="shared" si="429"/>
        <v/>
      </c>
      <c r="AH953" s="256" t="str">
        <f t="shared" si="430"/>
        <v/>
      </c>
      <c r="AI953" s="256" t="str">
        <f t="shared" si="431"/>
        <v/>
      </c>
      <c r="AJ953" s="111"/>
      <c r="AK953" s="255"/>
      <c r="AL953" s="259" t="str">
        <f>IF(AK953&lt;&gt;"",AK953/VLOOKUP($V953,Setup!$C$30:$D$41,2,0),"")</f>
        <v/>
      </c>
      <c r="AM953" s="266"/>
      <c r="AN953" s="258" t="str">
        <f t="shared" si="432"/>
        <v/>
      </c>
      <c r="AO953" s="266"/>
      <c r="AP953" s="258" t="str">
        <f t="shared" si="433"/>
        <v/>
      </c>
      <c r="AQ953" s="266"/>
      <c r="AR953" s="258" t="str">
        <f t="shared" si="434"/>
        <v/>
      </c>
      <c r="AS953" s="266"/>
      <c r="AT953" s="256" t="str">
        <f t="shared" si="435"/>
        <v/>
      </c>
      <c r="AU953" s="256" t="str">
        <f t="shared" si="436"/>
        <v/>
      </c>
      <c r="AV953" s="256" t="str">
        <f t="shared" si="437"/>
        <v/>
      </c>
      <c r="AW953" s="267"/>
      <c r="AX953" s="255"/>
      <c r="AY953" s="259" t="str">
        <f>IF(AX953&lt;&gt;"",AX953/VLOOKUP($V953,Setup!$C$30:$D$41,2,0),"")</f>
        <v/>
      </c>
      <c r="AZ953" s="268"/>
      <c r="BA953" s="258" t="str">
        <f t="shared" si="438"/>
        <v/>
      </c>
      <c r="BB953" s="268"/>
      <c r="BC953" s="258" t="str">
        <f t="shared" si="439"/>
        <v/>
      </c>
      <c r="BD953" s="268"/>
      <c r="BE953" s="258" t="str">
        <f t="shared" si="440"/>
        <v/>
      </c>
      <c r="BF953" s="268"/>
      <c r="BG953" s="256" t="str">
        <f t="shared" si="441"/>
        <v/>
      </c>
      <c r="BH953" s="256" t="str">
        <f t="shared" si="442"/>
        <v/>
      </c>
      <c r="BI953" s="256" t="str">
        <f t="shared" si="443"/>
        <v/>
      </c>
      <c r="BJ953" s="267"/>
      <c r="BK953" s="255"/>
      <c r="BL953" s="259" t="str">
        <f>IF(BK953&lt;&gt;"",BK953/VLOOKUP($V953,Setup!$C$30:$D$41,2,0),"")</f>
        <v/>
      </c>
      <c r="BM953" s="268"/>
      <c r="BN953" s="258" t="str">
        <f t="shared" si="444"/>
        <v/>
      </c>
      <c r="BO953" s="268"/>
      <c r="BP953" s="258" t="str">
        <f t="shared" si="445"/>
        <v/>
      </c>
      <c r="BQ953" s="268"/>
      <c r="BR953" s="258" t="str">
        <f t="shared" si="446"/>
        <v/>
      </c>
      <c r="BS953" s="268"/>
      <c r="BT953" s="256" t="str">
        <f t="shared" si="447"/>
        <v/>
      </c>
      <c r="BU953" s="256" t="str">
        <f t="shared" si="448"/>
        <v/>
      </c>
      <c r="BV953" s="256" t="str">
        <f t="shared" si="449"/>
        <v/>
      </c>
      <c r="BW953" s="267"/>
      <c r="BX953" s="256" t="str">
        <f t="shared" si="450"/>
        <v/>
      </c>
      <c r="BY953" s="256" t="str">
        <f t="shared" si="451"/>
        <v/>
      </c>
      <c r="BZ953" s="281"/>
      <c r="CA953" s="282"/>
      <c r="CF953" s="284"/>
      <c r="CG953" s="284"/>
      <c r="CH953" s="284"/>
      <c r="CI953" s="284"/>
      <c r="CL953" s="356" t="str">
        <f>IFERROR(VLOOKUP(C953,'Data Sheet'!$A$3:$B$26,2,FALSE),"")</f>
        <v/>
      </c>
    </row>
    <row r="954" spans="1:90" ht="15.75" x14ac:dyDescent="0.2">
      <c r="A954" s="97"/>
      <c r="B954" s="105" t="str">
        <f t="shared" si="454"/>
        <v>--</v>
      </c>
      <c r="C954" s="276"/>
      <c r="D954" s="101" t="str">
        <f>IFERROR(IF(VLOOKUP(C954,'Data Sheet'!$A$3:$D$26,4,FALSE)=0,"",VLOOKUP(C954,'Data Sheet'!$A$3:$D$26,4,FALSE)),"")</f>
        <v/>
      </c>
      <c r="E954" s="279"/>
      <c r="F954" s="103" t="str">
        <f>IFERROR(IF(VLOOKUP(E954,'Data Sheet'!$C$29:$E$174,3,FALSE)=0,"",VLOOKUP(E954,'Data Sheet'!$C$29:$E$174,3,FALSE)),"")</f>
        <v/>
      </c>
      <c r="G954" s="106" t="str">
        <f t="shared" si="452"/>
        <v>-</v>
      </c>
      <c r="H954" s="273"/>
      <c r="I954" s="107"/>
      <c r="J954" s="249" t="e">
        <f t="shared" si="453"/>
        <v>#VALUE!</v>
      </c>
      <c r="K954" s="101" t="str">
        <f>IFERROR(INDEX('Data Sheet'!$C$198:$C$275,MATCH(I954,'Data Sheet'!$F$198:$F$275,0)),"")</f>
        <v/>
      </c>
      <c r="L954" s="250" t="str">
        <f>IFERROR(INDEX('Data Sheet'!$G$198:$G$275,MATCH(I954,'Data Sheet'!$F$198:$F$275,0)),"")</f>
        <v/>
      </c>
      <c r="M954" s="194"/>
      <c r="N954" s="248"/>
      <c r="O954" s="248"/>
      <c r="P954" s="108" t="str">
        <f>IFERROR(INDEX(Setup!$D$44:$D$70,MATCH(M954,Setup!$K$44:$K$70,0))&amp;"","")</f>
        <v/>
      </c>
      <c r="Q954" s="108" t="str">
        <f>IFERROR(INDEX(Setup!$E$44:$E$70,MATCH(M954,Setup!$K$44:$K$70,0))&amp;"","")</f>
        <v/>
      </c>
      <c r="R954" s="108" t="str">
        <f>IFERROR(INDEX(Setup!$L$44:$L$70,MATCH(M954,Setup!$K$44:$K$70,0))&amp;"","")</f>
        <v/>
      </c>
      <c r="S954" s="108" t="str">
        <f>Setup!$C$30</f>
        <v>USD</v>
      </c>
      <c r="T954" s="109" t="str">
        <f>IFERROR(INDEX('Data Sheet'!$B$198:$B$275,MATCH(I954,'Data Sheet'!$F$198:$F$275,0)),"")</f>
        <v/>
      </c>
      <c r="U954" s="110" t="str">
        <f>IFERROR(INDEX('Data Sheet'!$D$198:$D$275,MATCH(I954,'Data Sheet'!$F$198:$F$275,0)),"")</f>
        <v/>
      </c>
      <c r="V954" s="99"/>
      <c r="W954" s="195" t="str">
        <f>IF(V954=Setup!$C$30,"Grant",IF(V954=Setup!$C$31,"Local",IF(V954=Setup!$C$32,"Other",IF(ISBLANK(V954),"","Other"))))</f>
        <v/>
      </c>
      <c r="X954" s="255"/>
      <c r="Y954" s="259" t="str">
        <f>IF(X954&lt;&gt;"",X954/VLOOKUP($V954,Setup!$C$30:$D$41,2,0),"")</f>
        <v/>
      </c>
      <c r="Z954" s="262"/>
      <c r="AA954" s="256" t="str">
        <f t="shared" si="426"/>
        <v/>
      </c>
      <c r="AB954" s="262"/>
      <c r="AC954" s="258" t="str">
        <f t="shared" si="427"/>
        <v/>
      </c>
      <c r="AD954" s="262"/>
      <c r="AE954" s="258" t="str">
        <f t="shared" si="428"/>
        <v/>
      </c>
      <c r="AF954" s="262"/>
      <c r="AG954" s="256" t="str">
        <f t="shared" si="429"/>
        <v/>
      </c>
      <c r="AH954" s="256" t="str">
        <f t="shared" si="430"/>
        <v/>
      </c>
      <c r="AI954" s="256" t="str">
        <f t="shared" si="431"/>
        <v/>
      </c>
      <c r="AJ954" s="111"/>
      <c r="AK954" s="255"/>
      <c r="AL954" s="259" t="str">
        <f>IF(AK954&lt;&gt;"",AK954/VLOOKUP($V954,Setup!$C$30:$D$41,2,0),"")</f>
        <v/>
      </c>
      <c r="AM954" s="266"/>
      <c r="AN954" s="258" t="str">
        <f t="shared" si="432"/>
        <v/>
      </c>
      <c r="AO954" s="266"/>
      <c r="AP954" s="258" t="str">
        <f t="shared" si="433"/>
        <v/>
      </c>
      <c r="AQ954" s="266"/>
      <c r="AR954" s="258" t="str">
        <f t="shared" si="434"/>
        <v/>
      </c>
      <c r="AS954" s="266"/>
      <c r="AT954" s="256" t="str">
        <f t="shared" si="435"/>
        <v/>
      </c>
      <c r="AU954" s="256" t="str">
        <f t="shared" si="436"/>
        <v/>
      </c>
      <c r="AV954" s="256" t="str">
        <f t="shared" si="437"/>
        <v/>
      </c>
      <c r="AW954" s="267"/>
      <c r="AX954" s="255"/>
      <c r="AY954" s="259" t="str">
        <f>IF(AX954&lt;&gt;"",AX954/VLOOKUP($V954,Setup!$C$30:$D$41,2,0),"")</f>
        <v/>
      </c>
      <c r="AZ954" s="268"/>
      <c r="BA954" s="258" t="str">
        <f t="shared" si="438"/>
        <v/>
      </c>
      <c r="BB954" s="268"/>
      <c r="BC954" s="258" t="str">
        <f t="shared" si="439"/>
        <v/>
      </c>
      <c r="BD954" s="268"/>
      <c r="BE954" s="258" t="str">
        <f t="shared" si="440"/>
        <v/>
      </c>
      <c r="BF954" s="268"/>
      <c r="BG954" s="256" t="str">
        <f t="shared" si="441"/>
        <v/>
      </c>
      <c r="BH954" s="256" t="str">
        <f t="shared" si="442"/>
        <v/>
      </c>
      <c r="BI954" s="256" t="str">
        <f t="shared" si="443"/>
        <v/>
      </c>
      <c r="BJ954" s="267"/>
      <c r="BK954" s="255"/>
      <c r="BL954" s="259" t="str">
        <f>IF(BK954&lt;&gt;"",BK954/VLOOKUP($V954,Setup!$C$30:$D$41,2,0),"")</f>
        <v/>
      </c>
      <c r="BM954" s="268"/>
      <c r="BN954" s="258" t="str">
        <f t="shared" si="444"/>
        <v/>
      </c>
      <c r="BO954" s="268"/>
      <c r="BP954" s="258" t="str">
        <f t="shared" si="445"/>
        <v/>
      </c>
      <c r="BQ954" s="268"/>
      <c r="BR954" s="258" t="str">
        <f t="shared" si="446"/>
        <v/>
      </c>
      <c r="BS954" s="268"/>
      <c r="BT954" s="256" t="str">
        <f t="shared" si="447"/>
        <v/>
      </c>
      <c r="BU954" s="256" t="str">
        <f t="shared" si="448"/>
        <v/>
      </c>
      <c r="BV954" s="256" t="str">
        <f t="shared" si="449"/>
        <v/>
      </c>
      <c r="BW954" s="267"/>
      <c r="BX954" s="256" t="str">
        <f t="shared" si="450"/>
        <v/>
      </c>
      <c r="BY954" s="256" t="str">
        <f t="shared" si="451"/>
        <v/>
      </c>
      <c r="BZ954" s="281"/>
      <c r="CA954" s="282"/>
      <c r="CF954" s="284"/>
      <c r="CG954" s="284"/>
      <c r="CH954" s="284"/>
      <c r="CI954" s="284"/>
      <c r="CL954" s="356" t="str">
        <f>IFERROR(VLOOKUP(C954,'Data Sheet'!$A$3:$B$26,2,FALSE),"")</f>
        <v/>
      </c>
    </row>
    <row r="955" spans="1:90" ht="15.75" x14ac:dyDescent="0.2">
      <c r="A955" s="97"/>
      <c r="B955" s="105" t="str">
        <f t="shared" si="454"/>
        <v>--</v>
      </c>
      <c r="C955" s="276"/>
      <c r="D955" s="101" t="str">
        <f>IFERROR(IF(VLOOKUP(C955,'Data Sheet'!$A$3:$D$26,4,FALSE)=0,"",VLOOKUP(C955,'Data Sheet'!$A$3:$D$26,4,FALSE)),"")</f>
        <v/>
      </c>
      <c r="E955" s="279"/>
      <c r="F955" s="103" t="str">
        <f>IFERROR(IF(VLOOKUP(E955,'Data Sheet'!$C$29:$E$174,3,FALSE)=0,"",VLOOKUP(E955,'Data Sheet'!$C$29:$E$174,3,FALSE)),"")</f>
        <v/>
      </c>
      <c r="G955" s="106" t="str">
        <f t="shared" si="452"/>
        <v>-</v>
      </c>
      <c r="H955" s="273"/>
      <c r="I955" s="107"/>
      <c r="J955" s="249" t="e">
        <f t="shared" si="453"/>
        <v>#VALUE!</v>
      </c>
      <c r="K955" s="101" t="str">
        <f>IFERROR(INDEX('Data Sheet'!$C$198:$C$275,MATCH(I955,'Data Sheet'!$F$198:$F$275,0)),"")</f>
        <v/>
      </c>
      <c r="L955" s="250" t="str">
        <f>IFERROR(INDEX('Data Sheet'!$G$198:$G$275,MATCH(I955,'Data Sheet'!$F$198:$F$275,0)),"")</f>
        <v/>
      </c>
      <c r="M955" s="194"/>
      <c r="N955" s="248"/>
      <c r="O955" s="248"/>
      <c r="P955" s="108" t="str">
        <f>IFERROR(INDEX(Setup!$D$44:$D$70,MATCH(M955,Setup!$K$44:$K$70,0))&amp;"","")</f>
        <v/>
      </c>
      <c r="Q955" s="108" t="str">
        <f>IFERROR(INDEX(Setup!$E$44:$E$70,MATCH(M955,Setup!$K$44:$K$70,0))&amp;"","")</f>
        <v/>
      </c>
      <c r="R955" s="108" t="str">
        <f>IFERROR(INDEX(Setup!$L$44:$L$70,MATCH(M955,Setup!$K$44:$K$70,0))&amp;"","")</f>
        <v/>
      </c>
      <c r="S955" s="108" t="str">
        <f>Setup!$C$30</f>
        <v>USD</v>
      </c>
      <c r="T955" s="109" t="str">
        <f>IFERROR(INDEX('Data Sheet'!$B$198:$B$275,MATCH(I955,'Data Sheet'!$F$198:$F$275,0)),"")</f>
        <v/>
      </c>
      <c r="U955" s="110" t="str">
        <f>IFERROR(INDEX('Data Sheet'!$D$198:$D$275,MATCH(I955,'Data Sheet'!$F$198:$F$275,0)),"")</f>
        <v/>
      </c>
      <c r="V955" s="99"/>
      <c r="W955" s="195" t="str">
        <f>IF(V955=Setup!$C$30,"Grant",IF(V955=Setup!$C$31,"Local",IF(V955=Setup!$C$32,"Other",IF(ISBLANK(V955),"","Other"))))</f>
        <v/>
      </c>
      <c r="X955" s="255"/>
      <c r="Y955" s="259" t="str">
        <f>IF(X955&lt;&gt;"",X955/VLOOKUP($V955,Setup!$C$30:$D$41,2,0),"")</f>
        <v/>
      </c>
      <c r="Z955" s="262"/>
      <c r="AA955" s="256" t="str">
        <f t="shared" si="426"/>
        <v/>
      </c>
      <c r="AB955" s="262"/>
      <c r="AC955" s="258" t="str">
        <f t="shared" si="427"/>
        <v/>
      </c>
      <c r="AD955" s="262"/>
      <c r="AE955" s="258" t="str">
        <f t="shared" si="428"/>
        <v/>
      </c>
      <c r="AF955" s="262"/>
      <c r="AG955" s="256" t="str">
        <f t="shared" si="429"/>
        <v/>
      </c>
      <c r="AH955" s="256" t="str">
        <f t="shared" si="430"/>
        <v/>
      </c>
      <c r="AI955" s="256" t="str">
        <f t="shared" si="431"/>
        <v/>
      </c>
      <c r="AJ955" s="111"/>
      <c r="AK955" s="255"/>
      <c r="AL955" s="259" t="str">
        <f>IF(AK955&lt;&gt;"",AK955/VLOOKUP($V955,Setup!$C$30:$D$41,2,0),"")</f>
        <v/>
      </c>
      <c r="AM955" s="266"/>
      <c r="AN955" s="258" t="str">
        <f t="shared" si="432"/>
        <v/>
      </c>
      <c r="AO955" s="266"/>
      <c r="AP955" s="258" t="str">
        <f t="shared" si="433"/>
        <v/>
      </c>
      <c r="AQ955" s="266"/>
      <c r="AR955" s="258" t="str">
        <f t="shared" si="434"/>
        <v/>
      </c>
      <c r="AS955" s="266"/>
      <c r="AT955" s="256" t="str">
        <f t="shared" si="435"/>
        <v/>
      </c>
      <c r="AU955" s="256" t="str">
        <f t="shared" si="436"/>
        <v/>
      </c>
      <c r="AV955" s="256" t="str">
        <f t="shared" si="437"/>
        <v/>
      </c>
      <c r="AW955" s="267"/>
      <c r="AX955" s="255"/>
      <c r="AY955" s="259" t="str">
        <f>IF(AX955&lt;&gt;"",AX955/VLOOKUP($V955,Setup!$C$30:$D$41,2,0),"")</f>
        <v/>
      </c>
      <c r="AZ955" s="268"/>
      <c r="BA955" s="258" t="str">
        <f t="shared" si="438"/>
        <v/>
      </c>
      <c r="BB955" s="268"/>
      <c r="BC955" s="258" t="str">
        <f t="shared" si="439"/>
        <v/>
      </c>
      <c r="BD955" s="268"/>
      <c r="BE955" s="258" t="str">
        <f t="shared" si="440"/>
        <v/>
      </c>
      <c r="BF955" s="268"/>
      <c r="BG955" s="256" t="str">
        <f t="shared" si="441"/>
        <v/>
      </c>
      <c r="BH955" s="256" t="str">
        <f t="shared" si="442"/>
        <v/>
      </c>
      <c r="BI955" s="256" t="str">
        <f t="shared" si="443"/>
        <v/>
      </c>
      <c r="BJ955" s="267"/>
      <c r="BK955" s="255"/>
      <c r="BL955" s="259" t="str">
        <f>IF(BK955&lt;&gt;"",BK955/VLOOKUP($V955,Setup!$C$30:$D$41,2,0),"")</f>
        <v/>
      </c>
      <c r="BM955" s="268"/>
      <c r="BN955" s="258" t="str">
        <f t="shared" si="444"/>
        <v/>
      </c>
      <c r="BO955" s="268"/>
      <c r="BP955" s="258" t="str">
        <f t="shared" si="445"/>
        <v/>
      </c>
      <c r="BQ955" s="268"/>
      <c r="BR955" s="258" t="str">
        <f t="shared" si="446"/>
        <v/>
      </c>
      <c r="BS955" s="268"/>
      <c r="BT955" s="256" t="str">
        <f t="shared" si="447"/>
        <v/>
      </c>
      <c r="BU955" s="256" t="str">
        <f t="shared" si="448"/>
        <v/>
      </c>
      <c r="BV955" s="256" t="str">
        <f t="shared" si="449"/>
        <v/>
      </c>
      <c r="BW955" s="267"/>
      <c r="BX955" s="256" t="str">
        <f t="shared" si="450"/>
        <v/>
      </c>
      <c r="BY955" s="256" t="str">
        <f t="shared" si="451"/>
        <v/>
      </c>
      <c r="BZ955" s="281"/>
      <c r="CA955" s="282"/>
      <c r="CF955" s="284"/>
      <c r="CG955" s="284"/>
      <c r="CH955" s="284"/>
      <c r="CI955" s="284"/>
      <c r="CL955" s="356" t="str">
        <f>IFERROR(VLOOKUP(C955,'Data Sheet'!$A$3:$B$26,2,FALSE),"")</f>
        <v/>
      </c>
    </row>
    <row r="956" spans="1:90" ht="15.75" x14ac:dyDescent="0.2">
      <c r="A956" s="97"/>
      <c r="B956" s="105" t="str">
        <f t="shared" si="454"/>
        <v>--</v>
      </c>
      <c r="C956" s="276"/>
      <c r="D956" s="101" t="str">
        <f>IFERROR(IF(VLOOKUP(C956,'Data Sheet'!$A$3:$D$26,4,FALSE)=0,"",VLOOKUP(C956,'Data Sheet'!$A$3:$D$26,4,FALSE)),"")</f>
        <v/>
      </c>
      <c r="E956" s="279"/>
      <c r="F956" s="103" t="str">
        <f>IFERROR(IF(VLOOKUP(E956,'Data Sheet'!$C$29:$E$174,3,FALSE)=0,"",VLOOKUP(E956,'Data Sheet'!$C$29:$E$174,3,FALSE)),"")</f>
        <v/>
      </c>
      <c r="G956" s="106" t="str">
        <f t="shared" si="452"/>
        <v>-</v>
      </c>
      <c r="H956" s="273"/>
      <c r="I956" s="107"/>
      <c r="J956" s="249" t="e">
        <f t="shared" si="453"/>
        <v>#VALUE!</v>
      </c>
      <c r="K956" s="101" t="str">
        <f>IFERROR(INDEX('Data Sheet'!$C$198:$C$275,MATCH(I956,'Data Sheet'!$F$198:$F$275,0)),"")</f>
        <v/>
      </c>
      <c r="L956" s="250" t="str">
        <f>IFERROR(INDEX('Data Sheet'!$G$198:$G$275,MATCH(I956,'Data Sheet'!$F$198:$F$275,0)),"")</f>
        <v/>
      </c>
      <c r="M956" s="194"/>
      <c r="N956" s="248"/>
      <c r="O956" s="248"/>
      <c r="P956" s="108" t="str">
        <f>IFERROR(INDEX(Setup!$D$44:$D$70,MATCH(M956,Setup!$K$44:$K$70,0))&amp;"","")</f>
        <v/>
      </c>
      <c r="Q956" s="108" t="str">
        <f>IFERROR(INDEX(Setup!$E$44:$E$70,MATCH(M956,Setup!$K$44:$K$70,0))&amp;"","")</f>
        <v/>
      </c>
      <c r="R956" s="108" t="str">
        <f>IFERROR(INDEX(Setup!$L$44:$L$70,MATCH(M956,Setup!$K$44:$K$70,0))&amp;"","")</f>
        <v/>
      </c>
      <c r="S956" s="108" t="str">
        <f>Setup!$C$30</f>
        <v>USD</v>
      </c>
      <c r="T956" s="109" t="str">
        <f>IFERROR(INDEX('Data Sheet'!$B$198:$B$275,MATCH(I956,'Data Sheet'!$F$198:$F$275,0)),"")</f>
        <v/>
      </c>
      <c r="U956" s="110" t="str">
        <f>IFERROR(INDEX('Data Sheet'!$D$198:$D$275,MATCH(I956,'Data Sheet'!$F$198:$F$275,0)),"")</f>
        <v/>
      </c>
      <c r="V956" s="99"/>
      <c r="W956" s="195" t="str">
        <f>IF(V956=Setup!$C$30,"Grant",IF(V956=Setup!$C$31,"Local",IF(V956=Setup!$C$32,"Other",IF(ISBLANK(V956),"","Other"))))</f>
        <v/>
      </c>
      <c r="X956" s="255"/>
      <c r="Y956" s="259" t="str">
        <f>IF(X956&lt;&gt;"",X956/VLOOKUP($V956,Setup!$C$30:$D$41,2,0),"")</f>
        <v/>
      </c>
      <c r="Z956" s="262"/>
      <c r="AA956" s="256" t="str">
        <f t="shared" si="426"/>
        <v/>
      </c>
      <c r="AB956" s="262"/>
      <c r="AC956" s="258" t="str">
        <f t="shared" si="427"/>
        <v/>
      </c>
      <c r="AD956" s="262"/>
      <c r="AE956" s="258" t="str">
        <f t="shared" si="428"/>
        <v/>
      </c>
      <c r="AF956" s="262"/>
      <c r="AG956" s="256" t="str">
        <f t="shared" si="429"/>
        <v/>
      </c>
      <c r="AH956" s="256" t="str">
        <f t="shared" si="430"/>
        <v/>
      </c>
      <c r="AI956" s="256" t="str">
        <f t="shared" si="431"/>
        <v/>
      </c>
      <c r="AJ956" s="111"/>
      <c r="AK956" s="255"/>
      <c r="AL956" s="259" t="str">
        <f>IF(AK956&lt;&gt;"",AK956/VLOOKUP($V956,Setup!$C$30:$D$41,2,0),"")</f>
        <v/>
      </c>
      <c r="AM956" s="266"/>
      <c r="AN956" s="258" t="str">
        <f t="shared" si="432"/>
        <v/>
      </c>
      <c r="AO956" s="266"/>
      <c r="AP956" s="258" t="str">
        <f t="shared" si="433"/>
        <v/>
      </c>
      <c r="AQ956" s="266"/>
      <c r="AR956" s="258" t="str">
        <f t="shared" si="434"/>
        <v/>
      </c>
      <c r="AS956" s="266"/>
      <c r="AT956" s="256" t="str">
        <f t="shared" si="435"/>
        <v/>
      </c>
      <c r="AU956" s="256" t="str">
        <f t="shared" si="436"/>
        <v/>
      </c>
      <c r="AV956" s="256" t="str">
        <f t="shared" si="437"/>
        <v/>
      </c>
      <c r="AW956" s="267"/>
      <c r="AX956" s="255"/>
      <c r="AY956" s="259" t="str">
        <f>IF(AX956&lt;&gt;"",AX956/VLOOKUP($V956,Setup!$C$30:$D$41,2,0),"")</f>
        <v/>
      </c>
      <c r="AZ956" s="268"/>
      <c r="BA956" s="258" t="str">
        <f t="shared" si="438"/>
        <v/>
      </c>
      <c r="BB956" s="268"/>
      <c r="BC956" s="258" t="str">
        <f t="shared" si="439"/>
        <v/>
      </c>
      <c r="BD956" s="268"/>
      <c r="BE956" s="258" t="str">
        <f t="shared" si="440"/>
        <v/>
      </c>
      <c r="BF956" s="268"/>
      <c r="BG956" s="256" t="str">
        <f t="shared" si="441"/>
        <v/>
      </c>
      <c r="BH956" s="256" t="str">
        <f t="shared" si="442"/>
        <v/>
      </c>
      <c r="BI956" s="256" t="str">
        <f t="shared" si="443"/>
        <v/>
      </c>
      <c r="BJ956" s="267"/>
      <c r="BK956" s="255"/>
      <c r="BL956" s="259" t="str">
        <f>IF(BK956&lt;&gt;"",BK956/VLOOKUP($V956,Setup!$C$30:$D$41,2,0),"")</f>
        <v/>
      </c>
      <c r="BM956" s="268"/>
      <c r="BN956" s="258" t="str">
        <f t="shared" si="444"/>
        <v/>
      </c>
      <c r="BO956" s="268"/>
      <c r="BP956" s="258" t="str">
        <f t="shared" si="445"/>
        <v/>
      </c>
      <c r="BQ956" s="268"/>
      <c r="BR956" s="258" t="str">
        <f t="shared" si="446"/>
        <v/>
      </c>
      <c r="BS956" s="268"/>
      <c r="BT956" s="256" t="str">
        <f t="shared" si="447"/>
        <v/>
      </c>
      <c r="BU956" s="256" t="str">
        <f t="shared" si="448"/>
        <v/>
      </c>
      <c r="BV956" s="256" t="str">
        <f t="shared" si="449"/>
        <v/>
      </c>
      <c r="BW956" s="267"/>
      <c r="BX956" s="256" t="str">
        <f t="shared" si="450"/>
        <v/>
      </c>
      <c r="BY956" s="256" t="str">
        <f t="shared" si="451"/>
        <v/>
      </c>
      <c r="BZ956" s="281"/>
      <c r="CA956" s="282"/>
      <c r="CF956" s="284"/>
      <c r="CG956" s="284"/>
      <c r="CH956" s="284"/>
      <c r="CI956" s="284"/>
      <c r="CL956" s="356" t="str">
        <f>IFERROR(VLOOKUP(C956,'Data Sheet'!$A$3:$B$26,2,FALSE),"")</f>
        <v/>
      </c>
    </row>
    <row r="957" spans="1:90" ht="15.75" x14ac:dyDescent="0.2">
      <c r="A957" s="97"/>
      <c r="B957" s="105" t="str">
        <f t="shared" si="454"/>
        <v>--</v>
      </c>
      <c r="C957" s="276"/>
      <c r="D957" s="101" t="str">
        <f>IFERROR(IF(VLOOKUP(C957,'Data Sheet'!$A$3:$D$26,4,FALSE)=0,"",VLOOKUP(C957,'Data Sheet'!$A$3:$D$26,4,FALSE)),"")</f>
        <v/>
      </c>
      <c r="E957" s="279"/>
      <c r="F957" s="103" t="str">
        <f>IFERROR(IF(VLOOKUP(E957,'Data Sheet'!$C$29:$E$174,3,FALSE)=0,"",VLOOKUP(E957,'Data Sheet'!$C$29:$E$174,3,FALSE)),"")</f>
        <v/>
      </c>
      <c r="G957" s="106" t="str">
        <f t="shared" si="452"/>
        <v>-</v>
      </c>
      <c r="H957" s="273"/>
      <c r="I957" s="107"/>
      <c r="J957" s="249" t="e">
        <f t="shared" si="453"/>
        <v>#VALUE!</v>
      </c>
      <c r="K957" s="101" t="str">
        <f>IFERROR(INDEX('Data Sheet'!$C$198:$C$275,MATCH(I957,'Data Sheet'!$F$198:$F$275,0)),"")</f>
        <v/>
      </c>
      <c r="L957" s="250" t="str">
        <f>IFERROR(INDEX('Data Sheet'!$G$198:$G$275,MATCH(I957,'Data Sheet'!$F$198:$F$275,0)),"")</f>
        <v/>
      </c>
      <c r="M957" s="194"/>
      <c r="N957" s="248"/>
      <c r="O957" s="248"/>
      <c r="P957" s="108" t="str">
        <f>IFERROR(INDEX(Setup!$D$44:$D$70,MATCH(M957,Setup!$K$44:$K$70,0))&amp;"","")</f>
        <v/>
      </c>
      <c r="Q957" s="108" t="str">
        <f>IFERROR(INDEX(Setup!$E$44:$E$70,MATCH(M957,Setup!$K$44:$K$70,0))&amp;"","")</f>
        <v/>
      </c>
      <c r="R957" s="108" t="str">
        <f>IFERROR(INDEX(Setup!$L$44:$L$70,MATCH(M957,Setup!$K$44:$K$70,0))&amp;"","")</f>
        <v/>
      </c>
      <c r="S957" s="108" t="str">
        <f>Setup!$C$30</f>
        <v>USD</v>
      </c>
      <c r="T957" s="109" t="str">
        <f>IFERROR(INDEX('Data Sheet'!$B$198:$B$275,MATCH(I957,'Data Sheet'!$F$198:$F$275,0)),"")</f>
        <v/>
      </c>
      <c r="U957" s="110" t="str">
        <f>IFERROR(INDEX('Data Sheet'!$D$198:$D$275,MATCH(I957,'Data Sheet'!$F$198:$F$275,0)),"")</f>
        <v/>
      </c>
      <c r="V957" s="99"/>
      <c r="W957" s="195" t="str">
        <f>IF(V957=Setup!$C$30,"Grant",IF(V957=Setup!$C$31,"Local",IF(V957=Setup!$C$32,"Other",IF(ISBLANK(V957),"","Other"))))</f>
        <v/>
      </c>
      <c r="X957" s="255"/>
      <c r="Y957" s="259" t="str">
        <f>IF(X957&lt;&gt;"",X957/VLOOKUP($V957,Setup!$C$30:$D$41,2,0),"")</f>
        <v/>
      </c>
      <c r="Z957" s="262"/>
      <c r="AA957" s="256" t="str">
        <f t="shared" si="426"/>
        <v/>
      </c>
      <c r="AB957" s="262"/>
      <c r="AC957" s="258" t="str">
        <f t="shared" si="427"/>
        <v/>
      </c>
      <c r="AD957" s="262"/>
      <c r="AE957" s="258" t="str">
        <f t="shared" si="428"/>
        <v/>
      </c>
      <c r="AF957" s="262"/>
      <c r="AG957" s="256" t="str">
        <f t="shared" si="429"/>
        <v/>
      </c>
      <c r="AH957" s="256" t="str">
        <f t="shared" si="430"/>
        <v/>
      </c>
      <c r="AI957" s="256" t="str">
        <f t="shared" si="431"/>
        <v/>
      </c>
      <c r="AJ957" s="111"/>
      <c r="AK957" s="255"/>
      <c r="AL957" s="259" t="str">
        <f>IF(AK957&lt;&gt;"",AK957/VLOOKUP($V957,Setup!$C$30:$D$41,2,0),"")</f>
        <v/>
      </c>
      <c r="AM957" s="266"/>
      <c r="AN957" s="258" t="str">
        <f t="shared" si="432"/>
        <v/>
      </c>
      <c r="AO957" s="266"/>
      <c r="AP957" s="258" t="str">
        <f t="shared" si="433"/>
        <v/>
      </c>
      <c r="AQ957" s="266"/>
      <c r="AR957" s="258" t="str">
        <f t="shared" si="434"/>
        <v/>
      </c>
      <c r="AS957" s="266"/>
      <c r="AT957" s="256" t="str">
        <f t="shared" si="435"/>
        <v/>
      </c>
      <c r="AU957" s="256" t="str">
        <f t="shared" si="436"/>
        <v/>
      </c>
      <c r="AV957" s="256" t="str">
        <f t="shared" si="437"/>
        <v/>
      </c>
      <c r="AW957" s="267"/>
      <c r="AX957" s="255"/>
      <c r="AY957" s="259" t="str">
        <f>IF(AX957&lt;&gt;"",AX957/VLOOKUP($V957,Setup!$C$30:$D$41,2,0),"")</f>
        <v/>
      </c>
      <c r="AZ957" s="268"/>
      <c r="BA957" s="258" t="str">
        <f t="shared" si="438"/>
        <v/>
      </c>
      <c r="BB957" s="268"/>
      <c r="BC957" s="258" t="str">
        <f t="shared" si="439"/>
        <v/>
      </c>
      <c r="BD957" s="268"/>
      <c r="BE957" s="258" t="str">
        <f t="shared" si="440"/>
        <v/>
      </c>
      <c r="BF957" s="268"/>
      <c r="BG957" s="256" t="str">
        <f t="shared" si="441"/>
        <v/>
      </c>
      <c r="BH957" s="256" t="str">
        <f t="shared" si="442"/>
        <v/>
      </c>
      <c r="BI957" s="256" t="str">
        <f t="shared" si="443"/>
        <v/>
      </c>
      <c r="BJ957" s="267"/>
      <c r="BK957" s="255"/>
      <c r="BL957" s="259" t="str">
        <f>IF(BK957&lt;&gt;"",BK957/VLOOKUP($V957,Setup!$C$30:$D$41,2,0),"")</f>
        <v/>
      </c>
      <c r="BM957" s="268"/>
      <c r="BN957" s="258" t="str">
        <f t="shared" si="444"/>
        <v/>
      </c>
      <c r="BO957" s="268"/>
      <c r="BP957" s="258" t="str">
        <f t="shared" si="445"/>
        <v/>
      </c>
      <c r="BQ957" s="268"/>
      <c r="BR957" s="258" t="str">
        <f t="shared" si="446"/>
        <v/>
      </c>
      <c r="BS957" s="268"/>
      <c r="BT957" s="256" t="str">
        <f t="shared" si="447"/>
        <v/>
      </c>
      <c r="BU957" s="256" t="str">
        <f t="shared" si="448"/>
        <v/>
      </c>
      <c r="BV957" s="256" t="str">
        <f t="shared" si="449"/>
        <v/>
      </c>
      <c r="BW957" s="267"/>
      <c r="BX957" s="256" t="str">
        <f t="shared" si="450"/>
        <v/>
      </c>
      <c r="BY957" s="256" t="str">
        <f t="shared" si="451"/>
        <v/>
      </c>
      <c r="BZ957" s="281"/>
      <c r="CA957" s="282"/>
      <c r="CF957" s="284"/>
      <c r="CG957" s="284"/>
      <c r="CH957" s="284"/>
      <c r="CI957" s="284"/>
      <c r="CL957" s="356" t="str">
        <f>IFERROR(VLOOKUP(C957,'Data Sheet'!$A$3:$B$26,2,FALSE),"")</f>
        <v/>
      </c>
    </row>
    <row r="958" spans="1:90" ht="15.75" x14ac:dyDescent="0.2">
      <c r="A958" s="97"/>
      <c r="B958" s="105" t="str">
        <f t="shared" si="454"/>
        <v>--</v>
      </c>
      <c r="C958" s="276"/>
      <c r="D958" s="101" t="str">
        <f>IFERROR(IF(VLOOKUP(C958,'Data Sheet'!$A$3:$D$26,4,FALSE)=0,"",VLOOKUP(C958,'Data Sheet'!$A$3:$D$26,4,FALSE)),"")</f>
        <v/>
      </c>
      <c r="E958" s="279"/>
      <c r="F958" s="103" t="str">
        <f>IFERROR(IF(VLOOKUP(E958,'Data Sheet'!$C$29:$E$174,3,FALSE)=0,"",VLOOKUP(E958,'Data Sheet'!$C$29:$E$174,3,FALSE)),"")</f>
        <v/>
      </c>
      <c r="G958" s="106" t="str">
        <f t="shared" si="452"/>
        <v>-</v>
      </c>
      <c r="H958" s="273"/>
      <c r="I958" s="107"/>
      <c r="J958" s="249" t="e">
        <f t="shared" si="453"/>
        <v>#VALUE!</v>
      </c>
      <c r="K958" s="101" t="str">
        <f>IFERROR(INDEX('Data Sheet'!$C$198:$C$275,MATCH(I958,'Data Sheet'!$F$198:$F$275,0)),"")</f>
        <v/>
      </c>
      <c r="L958" s="250" t="str">
        <f>IFERROR(INDEX('Data Sheet'!$G$198:$G$275,MATCH(I958,'Data Sheet'!$F$198:$F$275,0)),"")</f>
        <v/>
      </c>
      <c r="M958" s="194"/>
      <c r="N958" s="248"/>
      <c r="O958" s="248"/>
      <c r="P958" s="108" t="str">
        <f>IFERROR(INDEX(Setup!$D$44:$D$70,MATCH(M958,Setup!$K$44:$K$70,0))&amp;"","")</f>
        <v/>
      </c>
      <c r="Q958" s="108" t="str">
        <f>IFERROR(INDEX(Setup!$E$44:$E$70,MATCH(M958,Setup!$K$44:$K$70,0))&amp;"","")</f>
        <v/>
      </c>
      <c r="R958" s="108" t="str">
        <f>IFERROR(INDEX(Setup!$L$44:$L$70,MATCH(M958,Setup!$K$44:$K$70,0))&amp;"","")</f>
        <v/>
      </c>
      <c r="S958" s="108" t="str">
        <f>Setup!$C$30</f>
        <v>USD</v>
      </c>
      <c r="T958" s="109" t="str">
        <f>IFERROR(INDEX('Data Sheet'!$B$198:$B$275,MATCH(I958,'Data Sheet'!$F$198:$F$275,0)),"")</f>
        <v/>
      </c>
      <c r="U958" s="110" t="str">
        <f>IFERROR(INDEX('Data Sheet'!$D$198:$D$275,MATCH(I958,'Data Sheet'!$F$198:$F$275,0)),"")</f>
        <v/>
      </c>
      <c r="V958" s="99"/>
      <c r="W958" s="195" t="str">
        <f>IF(V958=Setup!$C$30,"Grant",IF(V958=Setup!$C$31,"Local",IF(V958=Setup!$C$32,"Other",IF(ISBLANK(V958),"","Other"))))</f>
        <v/>
      </c>
      <c r="X958" s="255"/>
      <c r="Y958" s="259" t="str">
        <f>IF(X958&lt;&gt;"",X958/VLOOKUP($V958,Setup!$C$30:$D$41,2,0),"")</f>
        <v/>
      </c>
      <c r="Z958" s="262"/>
      <c r="AA958" s="256" t="str">
        <f t="shared" si="426"/>
        <v/>
      </c>
      <c r="AB958" s="262"/>
      <c r="AC958" s="258" t="str">
        <f t="shared" si="427"/>
        <v/>
      </c>
      <c r="AD958" s="262"/>
      <c r="AE958" s="258" t="str">
        <f t="shared" si="428"/>
        <v/>
      </c>
      <c r="AF958" s="262"/>
      <c r="AG958" s="256" t="str">
        <f t="shared" si="429"/>
        <v/>
      </c>
      <c r="AH958" s="256" t="str">
        <f t="shared" si="430"/>
        <v/>
      </c>
      <c r="AI958" s="256" t="str">
        <f t="shared" si="431"/>
        <v/>
      </c>
      <c r="AJ958" s="111"/>
      <c r="AK958" s="255"/>
      <c r="AL958" s="259" t="str">
        <f>IF(AK958&lt;&gt;"",AK958/VLOOKUP($V958,Setup!$C$30:$D$41,2,0),"")</f>
        <v/>
      </c>
      <c r="AM958" s="266"/>
      <c r="AN958" s="258" t="str">
        <f t="shared" si="432"/>
        <v/>
      </c>
      <c r="AO958" s="266"/>
      <c r="AP958" s="258" t="str">
        <f t="shared" si="433"/>
        <v/>
      </c>
      <c r="AQ958" s="266"/>
      <c r="AR958" s="258" t="str">
        <f t="shared" si="434"/>
        <v/>
      </c>
      <c r="AS958" s="266"/>
      <c r="AT958" s="256" t="str">
        <f t="shared" si="435"/>
        <v/>
      </c>
      <c r="AU958" s="256" t="str">
        <f t="shared" si="436"/>
        <v/>
      </c>
      <c r="AV958" s="256" t="str">
        <f t="shared" si="437"/>
        <v/>
      </c>
      <c r="AW958" s="267"/>
      <c r="AX958" s="255"/>
      <c r="AY958" s="259" t="str">
        <f>IF(AX958&lt;&gt;"",AX958/VLOOKUP($V958,Setup!$C$30:$D$41,2,0),"")</f>
        <v/>
      </c>
      <c r="AZ958" s="268"/>
      <c r="BA958" s="258" t="str">
        <f t="shared" si="438"/>
        <v/>
      </c>
      <c r="BB958" s="268"/>
      <c r="BC958" s="258" t="str">
        <f t="shared" si="439"/>
        <v/>
      </c>
      <c r="BD958" s="268"/>
      <c r="BE958" s="258" t="str">
        <f t="shared" si="440"/>
        <v/>
      </c>
      <c r="BF958" s="268"/>
      <c r="BG958" s="256" t="str">
        <f t="shared" si="441"/>
        <v/>
      </c>
      <c r="BH958" s="256" t="str">
        <f t="shared" si="442"/>
        <v/>
      </c>
      <c r="BI958" s="256" t="str">
        <f t="shared" si="443"/>
        <v/>
      </c>
      <c r="BJ958" s="267"/>
      <c r="BK958" s="255"/>
      <c r="BL958" s="259" t="str">
        <f>IF(BK958&lt;&gt;"",BK958/VLOOKUP($V958,Setup!$C$30:$D$41,2,0),"")</f>
        <v/>
      </c>
      <c r="BM958" s="268"/>
      <c r="BN958" s="258" t="str">
        <f t="shared" si="444"/>
        <v/>
      </c>
      <c r="BO958" s="268"/>
      <c r="BP958" s="258" t="str">
        <f t="shared" si="445"/>
        <v/>
      </c>
      <c r="BQ958" s="268"/>
      <c r="BR958" s="258" t="str">
        <f t="shared" si="446"/>
        <v/>
      </c>
      <c r="BS958" s="268"/>
      <c r="BT958" s="256" t="str">
        <f t="shared" si="447"/>
        <v/>
      </c>
      <c r="BU958" s="256" t="str">
        <f t="shared" si="448"/>
        <v/>
      </c>
      <c r="BV958" s="256" t="str">
        <f t="shared" si="449"/>
        <v/>
      </c>
      <c r="BW958" s="267"/>
      <c r="BX958" s="256" t="str">
        <f t="shared" si="450"/>
        <v/>
      </c>
      <c r="BY958" s="256" t="str">
        <f t="shared" si="451"/>
        <v/>
      </c>
      <c r="BZ958" s="281"/>
      <c r="CA958" s="282"/>
      <c r="CF958" s="284"/>
      <c r="CG958" s="284"/>
      <c r="CH958" s="284"/>
      <c r="CI958" s="284"/>
      <c r="CL958" s="356" t="str">
        <f>IFERROR(VLOOKUP(C958,'Data Sheet'!$A$3:$B$26,2,FALSE),"")</f>
        <v/>
      </c>
    </row>
    <row r="959" spans="1:90" ht="15.75" x14ac:dyDescent="0.2">
      <c r="A959" s="97"/>
      <c r="B959" s="105" t="str">
        <f t="shared" si="454"/>
        <v>--</v>
      </c>
      <c r="C959" s="276"/>
      <c r="D959" s="101" t="str">
        <f>IFERROR(IF(VLOOKUP(C959,'Data Sheet'!$A$3:$D$26,4,FALSE)=0,"",VLOOKUP(C959,'Data Sheet'!$A$3:$D$26,4,FALSE)),"")</f>
        <v/>
      </c>
      <c r="E959" s="279"/>
      <c r="F959" s="103" t="str">
        <f>IFERROR(IF(VLOOKUP(E959,'Data Sheet'!$C$29:$E$174,3,FALSE)=0,"",VLOOKUP(E959,'Data Sheet'!$C$29:$E$174,3,FALSE)),"")</f>
        <v/>
      </c>
      <c r="G959" s="106" t="str">
        <f t="shared" si="452"/>
        <v>-</v>
      </c>
      <c r="H959" s="273"/>
      <c r="I959" s="107"/>
      <c r="J959" s="249" t="e">
        <f t="shared" si="453"/>
        <v>#VALUE!</v>
      </c>
      <c r="K959" s="101" t="str">
        <f>IFERROR(INDEX('Data Sheet'!$C$198:$C$275,MATCH(I959,'Data Sheet'!$F$198:$F$275,0)),"")</f>
        <v/>
      </c>
      <c r="L959" s="250" t="str">
        <f>IFERROR(INDEX('Data Sheet'!$G$198:$G$275,MATCH(I959,'Data Sheet'!$F$198:$F$275,0)),"")</f>
        <v/>
      </c>
      <c r="M959" s="194"/>
      <c r="N959" s="248"/>
      <c r="O959" s="248"/>
      <c r="P959" s="108" t="str">
        <f>IFERROR(INDEX(Setup!$D$44:$D$70,MATCH(M959,Setup!$K$44:$K$70,0))&amp;"","")</f>
        <v/>
      </c>
      <c r="Q959" s="108" t="str">
        <f>IFERROR(INDEX(Setup!$E$44:$E$70,MATCH(M959,Setup!$K$44:$K$70,0))&amp;"","")</f>
        <v/>
      </c>
      <c r="R959" s="108" t="str">
        <f>IFERROR(INDEX(Setup!$L$44:$L$70,MATCH(M959,Setup!$K$44:$K$70,0))&amp;"","")</f>
        <v/>
      </c>
      <c r="S959" s="108" t="str">
        <f>Setup!$C$30</f>
        <v>USD</v>
      </c>
      <c r="T959" s="109" t="str">
        <f>IFERROR(INDEX('Data Sheet'!$B$198:$B$275,MATCH(I959,'Data Sheet'!$F$198:$F$275,0)),"")</f>
        <v/>
      </c>
      <c r="U959" s="110" t="str">
        <f>IFERROR(INDEX('Data Sheet'!$D$198:$D$275,MATCH(I959,'Data Sheet'!$F$198:$F$275,0)),"")</f>
        <v/>
      </c>
      <c r="V959" s="99"/>
      <c r="W959" s="195" t="str">
        <f>IF(V959=Setup!$C$30,"Grant",IF(V959=Setup!$C$31,"Local",IF(V959=Setup!$C$32,"Other",IF(ISBLANK(V959),"","Other"))))</f>
        <v/>
      </c>
      <c r="X959" s="255"/>
      <c r="Y959" s="259" t="str">
        <f>IF(X959&lt;&gt;"",X959/VLOOKUP($V959,Setup!$C$30:$D$41,2,0),"")</f>
        <v/>
      </c>
      <c r="Z959" s="262"/>
      <c r="AA959" s="256" t="str">
        <f t="shared" si="426"/>
        <v/>
      </c>
      <c r="AB959" s="262"/>
      <c r="AC959" s="258" t="str">
        <f t="shared" si="427"/>
        <v/>
      </c>
      <c r="AD959" s="262"/>
      <c r="AE959" s="258" t="str">
        <f t="shared" si="428"/>
        <v/>
      </c>
      <c r="AF959" s="262"/>
      <c r="AG959" s="256" t="str">
        <f t="shared" si="429"/>
        <v/>
      </c>
      <c r="AH959" s="256" t="str">
        <f t="shared" si="430"/>
        <v/>
      </c>
      <c r="AI959" s="256" t="str">
        <f t="shared" si="431"/>
        <v/>
      </c>
      <c r="AJ959" s="111"/>
      <c r="AK959" s="255"/>
      <c r="AL959" s="259" t="str">
        <f>IF(AK959&lt;&gt;"",AK959/VLOOKUP($V959,Setup!$C$30:$D$41,2,0),"")</f>
        <v/>
      </c>
      <c r="AM959" s="266"/>
      <c r="AN959" s="258" t="str">
        <f t="shared" si="432"/>
        <v/>
      </c>
      <c r="AO959" s="266"/>
      <c r="AP959" s="258" t="str">
        <f t="shared" si="433"/>
        <v/>
      </c>
      <c r="AQ959" s="266"/>
      <c r="AR959" s="258" t="str">
        <f t="shared" si="434"/>
        <v/>
      </c>
      <c r="AS959" s="266"/>
      <c r="AT959" s="256" t="str">
        <f t="shared" si="435"/>
        <v/>
      </c>
      <c r="AU959" s="256" t="str">
        <f t="shared" si="436"/>
        <v/>
      </c>
      <c r="AV959" s="256" t="str">
        <f t="shared" si="437"/>
        <v/>
      </c>
      <c r="AW959" s="267"/>
      <c r="AX959" s="255"/>
      <c r="AY959" s="259" t="str">
        <f>IF(AX959&lt;&gt;"",AX959/VLOOKUP($V959,Setup!$C$30:$D$41,2,0),"")</f>
        <v/>
      </c>
      <c r="AZ959" s="268"/>
      <c r="BA959" s="258" t="str">
        <f t="shared" si="438"/>
        <v/>
      </c>
      <c r="BB959" s="268"/>
      <c r="BC959" s="258" t="str">
        <f t="shared" si="439"/>
        <v/>
      </c>
      <c r="BD959" s="268"/>
      <c r="BE959" s="258" t="str">
        <f t="shared" si="440"/>
        <v/>
      </c>
      <c r="BF959" s="268"/>
      <c r="BG959" s="256" t="str">
        <f t="shared" si="441"/>
        <v/>
      </c>
      <c r="BH959" s="256" t="str">
        <f t="shared" si="442"/>
        <v/>
      </c>
      <c r="BI959" s="256" t="str">
        <f t="shared" si="443"/>
        <v/>
      </c>
      <c r="BJ959" s="267"/>
      <c r="BK959" s="255"/>
      <c r="BL959" s="259" t="str">
        <f>IF(BK959&lt;&gt;"",BK959/VLOOKUP($V959,Setup!$C$30:$D$41,2,0),"")</f>
        <v/>
      </c>
      <c r="BM959" s="268"/>
      <c r="BN959" s="258" t="str">
        <f t="shared" si="444"/>
        <v/>
      </c>
      <c r="BO959" s="268"/>
      <c r="BP959" s="258" t="str">
        <f t="shared" si="445"/>
        <v/>
      </c>
      <c r="BQ959" s="268"/>
      <c r="BR959" s="258" t="str">
        <f t="shared" si="446"/>
        <v/>
      </c>
      <c r="BS959" s="268"/>
      <c r="BT959" s="256" t="str">
        <f t="shared" si="447"/>
        <v/>
      </c>
      <c r="BU959" s="256" t="str">
        <f t="shared" si="448"/>
        <v/>
      </c>
      <c r="BV959" s="256" t="str">
        <f t="shared" si="449"/>
        <v/>
      </c>
      <c r="BW959" s="267"/>
      <c r="BX959" s="256" t="str">
        <f t="shared" si="450"/>
        <v/>
      </c>
      <c r="BY959" s="256" t="str">
        <f t="shared" si="451"/>
        <v/>
      </c>
      <c r="BZ959" s="281"/>
      <c r="CA959" s="282"/>
      <c r="CF959" s="284"/>
      <c r="CG959" s="284"/>
      <c r="CH959" s="284"/>
      <c r="CI959" s="284"/>
      <c r="CL959" s="356" t="str">
        <f>IFERROR(VLOOKUP(C959,'Data Sheet'!$A$3:$B$26,2,FALSE),"")</f>
        <v/>
      </c>
    </row>
    <row r="960" spans="1:90" ht="15.75" x14ac:dyDescent="0.2">
      <c r="A960" s="97"/>
      <c r="B960" s="105" t="str">
        <f t="shared" si="454"/>
        <v>--</v>
      </c>
      <c r="C960" s="276"/>
      <c r="D960" s="101" t="str">
        <f>IFERROR(IF(VLOOKUP(C960,'Data Sheet'!$A$3:$D$26,4,FALSE)=0,"",VLOOKUP(C960,'Data Sheet'!$A$3:$D$26,4,FALSE)),"")</f>
        <v/>
      </c>
      <c r="E960" s="279"/>
      <c r="F960" s="103" t="str">
        <f>IFERROR(IF(VLOOKUP(E960,'Data Sheet'!$C$29:$E$174,3,FALSE)=0,"",VLOOKUP(E960,'Data Sheet'!$C$29:$E$174,3,FALSE)),"")</f>
        <v/>
      </c>
      <c r="G960" s="106" t="str">
        <f t="shared" si="452"/>
        <v>-</v>
      </c>
      <c r="H960" s="273"/>
      <c r="I960" s="107"/>
      <c r="J960" s="249" t="e">
        <f t="shared" si="453"/>
        <v>#VALUE!</v>
      </c>
      <c r="K960" s="101" t="str">
        <f>IFERROR(INDEX('Data Sheet'!$C$198:$C$275,MATCH(I960,'Data Sheet'!$F$198:$F$275,0)),"")</f>
        <v/>
      </c>
      <c r="L960" s="250" t="str">
        <f>IFERROR(INDEX('Data Sheet'!$G$198:$G$275,MATCH(I960,'Data Sheet'!$F$198:$F$275,0)),"")</f>
        <v/>
      </c>
      <c r="M960" s="194"/>
      <c r="N960" s="248"/>
      <c r="O960" s="248"/>
      <c r="P960" s="108" t="str">
        <f>IFERROR(INDEX(Setup!$D$44:$D$70,MATCH(M960,Setup!$K$44:$K$70,0))&amp;"","")</f>
        <v/>
      </c>
      <c r="Q960" s="108" t="str">
        <f>IFERROR(INDEX(Setup!$E$44:$E$70,MATCH(M960,Setup!$K$44:$K$70,0))&amp;"","")</f>
        <v/>
      </c>
      <c r="R960" s="108" t="str">
        <f>IFERROR(INDEX(Setup!$L$44:$L$70,MATCH(M960,Setup!$K$44:$K$70,0))&amp;"","")</f>
        <v/>
      </c>
      <c r="S960" s="108" t="str">
        <f>Setup!$C$30</f>
        <v>USD</v>
      </c>
      <c r="T960" s="109" t="str">
        <f>IFERROR(INDEX('Data Sheet'!$B$198:$B$275,MATCH(I960,'Data Sheet'!$F$198:$F$275,0)),"")</f>
        <v/>
      </c>
      <c r="U960" s="110" t="str">
        <f>IFERROR(INDEX('Data Sheet'!$D$198:$D$275,MATCH(I960,'Data Sheet'!$F$198:$F$275,0)),"")</f>
        <v/>
      </c>
      <c r="V960" s="99"/>
      <c r="W960" s="195" t="str">
        <f>IF(V960=Setup!$C$30,"Grant",IF(V960=Setup!$C$31,"Local",IF(V960=Setup!$C$32,"Other",IF(ISBLANK(V960),"","Other"))))</f>
        <v/>
      </c>
      <c r="X960" s="255"/>
      <c r="Y960" s="259" t="str">
        <f>IF(X960&lt;&gt;"",X960/VLOOKUP($V960,Setup!$C$30:$D$41,2,0),"")</f>
        <v/>
      </c>
      <c r="Z960" s="262"/>
      <c r="AA960" s="256" t="str">
        <f t="shared" si="426"/>
        <v/>
      </c>
      <c r="AB960" s="262"/>
      <c r="AC960" s="258" t="str">
        <f t="shared" si="427"/>
        <v/>
      </c>
      <c r="AD960" s="262"/>
      <c r="AE960" s="258" t="str">
        <f t="shared" si="428"/>
        <v/>
      </c>
      <c r="AF960" s="262"/>
      <c r="AG960" s="256" t="str">
        <f t="shared" si="429"/>
        <v/>
      </c>
      <c r="AH960" s="256" t="str">
        <f t="shared" si="430"/>
        <v/>
      </c>
      <c r="AI960" s="256" t="str">
        <f t="shared" si="431"/>
        <v/>
      </c>
      <c r="AJ960" s="111"/>
      <c r="AK960" s="255"/>
      <c r="AL960" s="259" t="str">
        <f>IF(AK960&lt;&gt;"",AK960/VLOOKUP($V960,Setup!$C$30:$D$41,2,0),"")</f>
        <v/>
      </c>
      <c r="AM960" s="266"/>
      <c r="AN960" s="258" t="str">
        <f t="shared" si="432"/>
        <v/>
      </c>
      <c r="AO960" s="266"/>
      <c r="AP960" s="258" t="str">
        <f t="shared" si="433"/>
        <v/>
      </c>
      <c r="AQ960" s="266"/>
      <c r="AR960" s="258" t="str">
        <f t="shared" si="434"/>
        <v/>
      </c>
      <c r="AS960" s="266"/>
      <c r="AT960" s="256" t="str">
        <f t="shared" si="435"/>
        <v/>
      </c>
      <c r="AU960" s="256" t="str">
        <f t="shared" si="436"/>
        <v/>
      </c>
      <c r="AV960" s="256" t="str">
        <f t="shared" si="437"/>
        <v/>
      </c>
      <c r="AW960" s="267"/>
      <c r="AX960" s="255"/>
      <c r="AY960" s="259" t="str">
        <f>IF(AX960&lt;&gt;"",AX960/VLOOKUP($V960,Setup!$C$30:$D$41,2,0),"")</f>
        <v/>
      </c>
      <c r="AZ960" s="268"/>
      <c r="BA960" s="258" t="str">
        <f t="shared" si="438"/>
        <v/>
      </c>
      <c r="BB960" s="268"/>
      <c r="BC960" s="258" t="str">
        <f t="shared" si="439"/>
        <v/>
      </c>
      <c r="BD960" s="268"/>
      <c r="BE960" s="258" t="str">
        <f t="shared" si="440"/>
        <v/>
      </c>
      <c r="BF960" s="268"/>
      <c r="BG960" s="256" t="str">
        <f t="shared" si="441"/>
        <v/>
      </c>
      <c r="BH960" s="256" t="str">
        <f t="shared" si="442"/>
        <v/>
      </c>
      <c r="BI960" s="256" t="str">
        <f t="shared" si="443"/>
        <v/>
      </c>
      <c r="BJ960" s="267"/>
      <c r="BK960" s="255"/>
      <c r="BL960" s="259" t="str">
        <f>IF(BK960&lt;&gt;"",BK960/VLOOKUP($V960,Setup!$C$30:$D$41,2,0),"")</f>
        <v/>
      </c>
      <c r="BM960" s="268"/>
      <c r="BN960" s="258" t="str">
        <f t="shared" si="444"/>
        <v/>
      </c>
      <c r="BO960" s="268"/>
      <c r="BP960" s="258" t="str">
        <f t="shared" si="445"/>
        <v/>
      </c>
      <c r="BQ960" s="268"/>
      <c r="BR960" s="258" t="str">
        <f t="shared" si="446"/>
        <v/>
      </c>
      <c r="BS960" s="268"/>
      <c r="BT960" s="256" t="str">
        <f t="shared" si="447"/>
        <v/>
      </c>
      <c r="BU960" s="256" t="str">
        <f t="shared" si="448"/>
        <v/>
      </c>
      <c r="BV960" s="256" t="str">
        <f t="shared" si="449"/>
        <v/>
      </c>
      <c r="BW960" s="267"/>
      <c r="BX960" s="256" t="str">
        <f t="shared" si="450"/>
        <v/>
      </c>
      <c r="BY960" s="256" t="str">
        <f t="shared" si="451"/>
        <v/>
      </c>
      <c r="BZ960" s="281"/>
      <c r="CA960" s="282"/>
      <c r="CF960" s="284"/>
      <c r="CG960" s="284"/>
      <c r="CH960" s="284"/>
      <c r="CI960" s="284"/>
      <c r="CL960" s="356" t="str">
        <f>IFERROR(VLOOKUP(C960,'Data Sheet'!$A$3:$B$26,2,FALSE),"")</f>
        <v/>
      </c>
    </row>
    <row r="961" spans="1:90" ht="15.75" x14ac:dyDescent="0.2">
      <c r="A961" s="97"/>
      <c r="B961" s="105" t="str">
        <f t="shared" si="454"/>
        <v>--</v>
      </c>
      <c r="C961" s="276"/>
      <c r="D961" s="101" t="str">
        <f>IFERROR(IF(VLOOKUP(C961,'Data Sheet'!$A$3:$D$26,4,FALSE)=0,"",VLOOKUP(C961,'Data Sheet'!$A$3:$D$26,4,FALSE)),"")</f>
        <v/>
      </c>
      <c r="E961" s="279"/>
      <c r="F961" s="103" t="str">
        <f>IFERROR(IF(VLOOKUP(E961,'Data Sheet'!$C$29:$E$174,3,FALSE)=0,"",VLOOKUP(E961,'Data Sheet'!$C$29:$E$174,3,FALSE)),"")</f>
        <v/>
      </c>
      <c r="G961" s="106" t="str">
        <f t="shared" si="452"/>
        <v>-</v>
      </c>
      <c r="H961" s="273"/>
      <c r="I961" s="107"/>
      <c r="J961" s="249" t="e">
        <f t="shared" si="453"/>
        <v>#VALUE!</v>
      </c>
      <c r="K961" s="101" t="str">
        <f>IFERROR(INDEX('Data Sheet'!$C$198:$C$275,MATCH(I961,'Data Sheet'!$F$198:$F$275,0)),"")</f>
        <v/>
      </c>
      <c r="L961" s="250" t="str">
        <f>IFERROR(INDEX('Data Sheet'!$G$198:$G$275,MATCH(I961,'Data Sheet'!$F$198:$F$275,0)),"")</f>
        <v/>
      </c>
      <c r="M961" s="194"/>
      <c r="N961" s="248"/>
      <c r="O961" s="248"/>
      <c r="P961" s="108" t="str">
        <f>IFERROR(INDEX(Setup!$D$44:$D$70,MATCH(M961,Setup!$K$44:$K$70,0))&amp;"","")</f>
        <v/>
      </c>
      <c r="Q961" s="108" t="str">
        <f>IFERROR(INDEX(Setup!$E$44:$E$70,MATCH(M961,Setup!$K$44:$K$70,0))&amp;"","")</f>
        <v/>
      </c>
      <c r="R961" s="108" t="str">
        <f>IFERROR(INDEX(Setup!$L$44:$L$70,MATCH(M961,Setup!$K$44:$K$70,0))&amp;"","")</f>
        <v/>
      </c>
      <c r="S961" s="108" t="str">
        <f>Setup!$C$30</f>
        <v>USD</v>
      </c>
      <c r="T961" s="109" t="str">
        <f>IFERROR(INDEX('Data Sheet'!$B$198:$B$275,MATCH(I961,'Data Sheet'!$F$198:$F$275,0)),"")</f>
        <v/>
      </c>
      <c r="U961" s="110" t="str">
        <f>IFERROR(INDEX('Data Sheet'!$D$198:$D$275,MATCH(I961,'Data Sheet'!$F$198:$F$275,0)),"")</f>
        <v/>
      </c>
      <c r="V961" s="99"/>
      <c r="W961" s="195" t="str">
        <f>IF(V961=Setup!$C$30,"Grant",IF(V961=Setup!$C$31,"Local",IF(V961=Setup!$C$32,"Other",IF(ISBLANK(V961),"","Other"))))</f>
        <v/>
      </c>
      <c r="X961" s="255"/>
      <c r="Y961" s="259" t="str">
        <f>IF(X961&lt;&gt;"",X961/VLOOKUP($V961,Setup!$C$30:$D$41,2,0),"")</f>
        <v/>
      </c>
      <c r="Z961" s="262"/>
      <c r="AA961" s="256" t="str">
        <f t="shared" si="426"/>
        <v/>
      </c>
      <c r="AB961" s="262"/>
      <c r="AC961" s="258" t="str">
        <f t="shared" si="427"/>
        <v/>
      </c>
      <c r="AD961" s="262"/>
      <c r="AE961" s="258" t="str">
        <f t="shared" si="428"/>
        <v/>
      </c>
      <c r="AF961" s="262"/>
      <c r="AG961" s="256" t="str">
        <f t="shared" si="429"/>
        <v/>
      </c>
      <c r="AH961" s="256" t="str">
        <f t="shared" si="430"/>
        <v/>
      </c>
      <c r="AI961" s="256" t="str">
        <f t="shared" si="431"/>
        <v/>
      </c>
      <c r="AJ961" s="111"/>
      <c r="AK961" s="255"/>
      <c r="AL961" s="259" t="str">
        <f>IF(AK961&lt;&gt;"",AK961/VLOOKUP($V961,Setup!$C$30:$D$41,2,0),"")</f>
        <v/>
      </c>
      <c r="AM961" s="266"/>
      <c r="AN961" s="258" t="str">
        <f t="shared" si="432"/>
        <v/>
      </c>
      <c r="AO961" s="266"/>
      <c r="AP961" s="258" t="str">
        <f t="shared" si="433"/>
        <v/>
      </c>
      <c r="AQ961" s="266"/>
      <c r="AR961" s="258" t="str">
        <f t="shared" si="434"/>
        <v/>
      </c>
      <c r="AS961" s="266"/>
      <c r="AT961" s="256" t="str">
        <f t="shared" si="435"/>
        <v/>
      </c>
      <c r="AU961" s="256" t="str">
        <f t="shared" si="436"/>
        <v/>
      </c>
      <c r="AV961" s="256" t="str">
        <f t="shared" si="437"/>
        <v/>
      </c>
      <c r="AW961" s="267"/>
      <c r="AX961" s="255"/>
      <c r="AY961" s="259" t="str">
        <f>IF(AX961&lt;&gt;"",AX961/VLOOKUP($V961,Setup!$C$30:$D$41,2,0),"")</f>
        <v/>
      </c>
      <c r="AZ961" s="268"/>
      <c r="BA961" s="258" t="str">
        <f t="shared" si="438"/>
        <v/>
      </c>
      <c r="BB961" s="268"/>
      <c r="BC961" s="258" t="str">
        <f t="shared" si="439"/>
        <v/>
      </c>
      <c r="BD961" s="268"/>
      <c r="BE961" s="258" t="str">
        <f t="shared" si="440"/>
        <v/>
      </c>
      <c r="BF961" s="268"/>
      <c r="BG961" s="256" t="str">
        <f t="shared" si="441"/>
        <v/>
      </c>
      <c r="BH961" s="256" t="str">
        <f t="shared" si="442"/>
        <v/>
      </c>
      <c r="BI961" s="256" t="str">
        <f t="shared" si="443"/>
        <v/>
      </c>
      <c r="BJ961" s="267"/>
      <c r="BK961" s="255"/>
      <c r="BL961" s="259" t="str">
        <f>IF(BK961&lt;&gt;"",BK961/VLOOKUP($V961,Setup!$C$30:$D$41,2,0),"")</f>
        <v/>
      </c>
      <c r="BM961" s="268"/>
      <c r="BN961" s="258" t="str">
        <f t="shared" si="444"/>
        <v/>
      </c>
      <c r="BO961" s="268"/>
      <c r="BP961" s="258" t="str">
        <f t="shared" si="445"/>
        <v/>
      </c>
      <c r="BQ961" s="268"/>
      <c r="BR961" s="258" t="str">
        <f t="shared" si="446"/>
        <v/>
      </c>
      <c r="BS961" s="268"/>
      <c r="BT961" s="256" t="str">
        <f t="shared" si="447"/>
        <v/>
      </c>
      <c r="BU961" s="256" t="str">
        <f t="shared" si="448"/>
        <v/>
      </c>
      <c r="BV961" s="256" t="str">
        <f t="shared" si="449"/>
        <v/>
      </c>
      <c r="BW961" s="267"/>
      <c r="BX961" s="256" t="str">
        <f t="shared" si="450"/>
        <v/>
      </c>
      <c r="BY961" s="256" t="str">
        <f t="shared" si="451"/>
        <v/>
      </c>
      <c r="BZ961" s="281"/>
      <c r="CA961" s="282"/>
      <c r="CF961" s="284"/>
      <c r="CG961" s="284"/>
      <c r="CH961" s="284"/>
      <c r="CI961" s="284"/>
      <c r="CL961" s="356" t="str">
        <f>IFERROR(VLOOKUP(C961,'Data Sheet'!$A$3:$B$26,2,FALSE),"")</f>
        <v/>
      </c>
    </row>
    <row r="962" spans="1:90" ht="15.75" x14ac:dyDescent="0.2">
      <c r="A962" s="97"/>
      <c r="B962" s="105" t="str">
        <f t="shared" si="454"/>
        <v>--</v>
      </c>
      <c r="C962" s="276"/>
      <c r="D962" s="101" t="str">
        <f>IFERROR(IF(VLOOKUP(C962,'Data Sheet'!$A$3:$D$26,4,FALSE)=0,"",VLOOKUP(C962,'Data Sheet'!$A$3:$D$26,4,FALSE)),"")</f>
        <v/>
      </c>
      <c r="E962" s="279"/>
      <c r="F962" s="103" t="str">
        <f>IFERROR(IF(VLOOKUP(E962,'Data Sheet'!$C$29:$E$174,3,FALSE)=0,"",VLOOKUP(E962,'Data Sheet'!$C$29:$E$174,3,FALSE)),"")</f>
        <v/>
      </c>
      <c r="G962" s="106" t="str">
        <f t="shared" si="452"/>
        <v>-</v>
      </c>
      <c r="H962" s="273"/>
      <c r="I962" s="107"/>
      <c r="J962" s="249" t="e">
        <f t="shared" si="453"/>
        <v>#VALUE!</v>
      </c>
      <c r="K962" s="101" t="str">
        <f>IFERROR(INDEX('Data Sheet'!$C$198:$C$275,MATCH(I962,'Data Sheet'!$F$198:$F$275,0)),"")</f>
        <v/>
      </c>
      <c r="L962" s="250" t="str">
        <f>IFERROR(INDEX('Data Sheet'!$G$198:$G$275,MATCH(I962,'Data Sheet'!$F$198:$F$275,0)),"")</f>
        <v/>
      </c>
      <c r="M962" s="194"/>
      <c r="N962" s="248"/>
      <c r="O962" s="248"/>
      <c r="P962" s="108" t="str">
        <f>IFERROR(INDEX(Setup!$D$44:$D$70,MATCH(M962,Setup!$K$44:$K$70,0))&amp;"","")</f>
        <v/>
      </c>
      <c r="Q962" s="108" t="str">
        <f>IFERROR(INDEX(Setup!$E$44:$E$70,MATCH(M962,Setup!$K$44:$K$70,0))&amp;"","")</f>
        <v/>
      </c>
      <c r="R962" s="108" t="str">
        <f>IFERROR(INDEX(Setup!$L$44:$L$70,MATCH(M962,Setup!$K$44:$K$70,0))&amp;"","")</f>
        <v/>
      </c>
      <c r="S962" s="108" t="str">
        <f>Setup!$C$30</f>
        <v>USD</v>
      </c>
      <c r="T962" s="109" t="str">
        <f>IFERROR(INDEX('Data Sheet'!$B$198:$B$275,MATCH(I962,'Data Sheet'!$F$198:$F$275,0)),"")</f>
        <v/>
      </c>
      <c r="U962" s="110" t="str">
        <f>IFERROR(INDEX('Data Sheet'!$D$198:$D$275,MATCH(I962,'Data Sheet'!$F$198:$F$275,0)),"")</f>
        <v/>
      </c>
      <c r="V962" s="99"/>
      <c r="W962" s="195" t="str">
        <f>IF(V962=Setup!$C$30,"Grant",IF(V962=Setup!$C$31,"Local",IF(V962=Setup!$C$32,"Other",IF(ISBLANK(V962),"","Other"))))</f>
        <v/>
      </c>
      <c r="X962" s="255"/>
      <c r="Y962" s="259" t="str">
        <f>IF(X962&lt;&gt;"",X962/VLOOKUP($V962,Setup!$C$30:$D$41,2,0),"")</f>
        <v/>
      </c>
      <c r="Z962" s="262"/>
      <c r="AA962" s="256" t="str">
        <f t="shared" si="426"/>
        <v/>
      </c>
      <c r="AB962" s="262"/>
      <c r="AC962" s="258" t="str">
        <f t="shared" si="427"/>
        <v/>
      </c>
      <c r="AD962" s="262"/>
      <c r="AE962" s="258" t="str">
        <f t="shared" si="428"/>
        <v/>
      </c>
      <c r="AF962" s="262"/>
      <c r="AG962" s="256" t="str">
        <f t="shared" si="429"/>
        <v/>
      </c>
      <c r="AH962" s="256" t="str">
        <f t="shared" si="430"/>
        <v/>
      </c>
      <c r="AI962" s="256" t="str">
        <f t="shared" si="431"/>
        <v/>
      </c>
      <c r="AJ962" s="111"/>
      <c r="AK962" s="255"/>
      <c r="AL962" s="259" t="str">
        <f>IF(AK962&lt;&gt;"",AK962/VLOOKUP($V962,Setup!$C$30:$D$41,2,0),"")</f>
        <v/>
      </c>
      <c r="AM962" s="266"/>
      <c r="AN962" s="258" t="str">
        <f t="shared" si="432"/>
        <v/>
      </c>
      <c r="AO962" s="266"/>
      <c r="AP962" s="258" t="str">
        <f t="shared" si="433"/>
        <v/>
      </c>
      <c r="AQ962" s="266"/>
      <c r="AR962" s="258" t="str">
        <f t="shared" si="434"/>
        <v/>
      </c>
      <c r="AS962" s="266"/>
      <c r="AT962" s="256" t="str">
        <f t="shared" si="435"/>
        <v/>
      </c>
      <c r="AU962" s="256" t="str">
        <f t="shared" si="436"/>
        <v/>
      </c>
      <c r="AV962" s="256" t="str">
        <f t="shared" si="437"/>
        <v/>
      </c>
      <c r="AW962" s="267"/>
      <c r="AX962" s="255"/>
      <c r="AY962" s="259" t="str">
        <f>IF(AX962&lt;&gt;"",AX962/VLOOKUP($V962,Setup!$C$30:$D$41,2,0),"")</f>
        <v/>
      </c>
      <c r="AZ962" s="268"/>
      <c r="BA962" s="258" t="str">
        <f t="shared" si="438"/>
        <v/>
      </c>
      <c r="BB962" s="268"/>
      <c r="BC962" s="258" t="str">
        <f t="shared" si="439"/>
        <v/>
      </c>
      <c r="BD962" s="268"/>
      <c r="BE962" s="258" t="str">
        <f t="shared" si="440"/>
        <v/>
      </c>
      <c r="BF962" s="268"/>
      <c r="BG962" s="256" t="str">
        <f t="shared" si="441"/>
        <v/>
      </c>
      <c r="BH962" s="256" t="str">
        <f t="shared" si="442"/>
        <v/>
      </c>
      <c r="BI962" s="256" t="str">
        <f t="shared" si="443"/>
        <v/>
      </c>
      <c r="BJ962" s="267"/>
      <c r="BK962" s="255"/>
      <c r="BL962" s="259" t="str">
        <f>IF(BK962&lt;&gt;"",BK962/VLOOKUP($V962,Setup!$C$30:$D$41,2,0),"")</f>
        <v/>
      </c>
      <c r="BM962" s="268"/>
      <c r="BN962" s="258" t="str">
        <f t="shared" si="444"/>
        <v/>
      </c>
      <c r="BO962" s="268"/>
      <c r="BP962" s="258" t="str">
        <f t="shared" si="445"/>
        <v/>
      </c>
      <c r="BQ962" s="268"/>
      <c r="BR962" s="258" t="str">
        <f t="shared" si="446"/>
        <v/>
      </c>
      <c r="BS962" s="268"/>
      <c r="BT962" s="256" t="str">
        <f t="shared" si="447"/>
        <v/>
      </c>
      <c r="BU962" s="256" t="str">
        <f t="shared" si="448"/>
        <v/>
      </c>
      <c r="BV962" s="256" t="str">
        <f t="shared" si="449"/>
        <v/>
      </c>
      <c r="BW962" s="267"/>
      <c r="BX962" s="256" t="str">
        <f t="shared" si="450"/>
        <v/>
      </c>
      <c r="BY962" s="256" t="str">
        <f t="shared" si="451"/>
        <v/>
      </c>
      <c r="BZ962" s="281"/>
      <c r="CA962" s="282"/>
      <c r="CF962" s="284"/>
      <c r="CG962" s="284"/>
      <c r="CH962" s="284"/>
      <c r="CI962" s="284"/>
      <c r="CL962" s="356" t="str">
        <f>IFERROR(VLOOKUP(C962,'Data Sheet'!$A$3:$B$26,2,FALSE),"")</f>
        <v/>
      </c>
    </row>
    <row r="963" spans="1:90" ht="15.75" x14ac:dyDescent="0.2">
      <c r="A963" s="97"/>
      <c r="B963" s="105" t="str">
        <f t="shared" si="454"/>
        <v>--</v>
      </c>
      <c r="C963" s="276"/>
      <c r="D963" s="101" t="str">
        <f>IFERROR(IF(VLOOKUP(C963,'Data Sheet'!$A$3:$D$26,4,FALSE)=0,"",VLOOKUP(C963,'Data Sheet'!$A$3:$D$26,4,FALSE)),"")</f>
        <v/>
      </c>
      <c r="E963" s="279"/>
      <c r="F963" s="103" t="str">
        <f>IFERROR(IF(VLOOKUP(E963,'Data Sheet'!$C$29:$E$174,3,FALSE)=0,"",VLOOKUP(E963,'Data Sheet'!$C$29:$E$174,3,FALSE)),"")</f>
        <v/>
      </c>
      <c r="G963" s="106" t="str">
        <f t="shared" si="452"/>
        <v>-</v>
      </c>
      <c r="H963" s="273"/>
      <c r="I963" s="107"/>
      <c r="J963" s="249" t="e">
        <f t="shared" si="453"/>
        <v>#VALUE!</v>
      </c>
      <c r="K963" s="101" t="str">
        <f>IFERROR(INDEX('Data Sheet'!$C$198:$C$275,MATCH(I963,'Data Sheet'!$F$198:$F$275,0)),"")</f>
        <v/>
      </c>
      <c r="L963" s="250" t="str">
        <f>IFERROR(INDEX('Data Sheet'!$G$198:$G$275,MATCH(I963,'Data Sheet'!$F$198:$F$275,0)),"")</f>
        <v/>
      </c>
      <c r="M963" s="194"/>
      <c r="N963" s="248"/>
      <c r="O963" s="248"/>
      <c r="P963" s="108" t="str">
        <f>IFERROR(INDEX(Setup!$D$44:$D$70,MATCH(M963,Setup!$K$44:$K$70,0))&amp;"","")</f>
        <v/>
      </c>
      <c r="Q963" s="108" t="str">
        <f>IFERROR(INDEX(Setup!$E$44:$E$70,MATCH(M963,Setup!$K$44:$K$70,0))&amp;"","")</f>
        <v/>
      </c>
      <c r="R963" s="108" t="str">
        <f>IFERROR(INDEX(Setup!$L$44:$L$70,MATCH(M963,Setup!$K$44:$K$70,0))&amp;"","")</f>
        <v/>
      </c>
      <c r="S963" s="108" t="str">
        <f>Setup!$C$30</f>
        <v>USD</v>
      </c>
      <c r="T963" s="109" t="str">
        <f>IFERROR(INDEX('Data Sheet'!$B$198:$B$275,MATCH(I963,'Data Sheet'!$F$198:$F$275,0)),"")</f>
        <v/>
      </c>
      <c r="U963" s="110" t="str">
        <f>IFERROR(INDEX('Data Sheet'!$D$198:$D$275,MATCH(I963,'Data Sheet'!$F$198:$F$275,0)),"")</f>
        <v/>
      </c>
      <c r="V963" s="99"/>
      <c r="W963" s="195" t="str">
        <f>IF(V963=Setup!$C$30,"Grant",IF(V963=Setup!$C$31,"Local",IF(V963=Setup!$C$32,"Other",IF(ISBLANK(V963),"","Other"))))</f>
        <v/>
      </c>
      <c r="X963" s="255"/>
      <c r="Y963" s="259" t="str">
        <f>IF(X963&lt;&gt;"",X963/VLOOKUP($V963,Setup!$C$30:$D$41,2,0),"")</f>
        <v/>
      </c>
      <c r="Z963" s="262"/>
      <c r="AA963" s="256" t="str">
        <f t="shared" si="426"/>
        <v/>
      </c>
      <c r="AB963" s="262"/>
      <c r="AC963" s="258" t="str">
        <f t="shared" si="427"/>
        <v/>
      </c>
      <c r="AD963" s="262"/>
      <c r="AE963" s="258" t="str">
        <f t="shared" si="428"/>
        <v/>
      </c>
      <c r="AF963" s="262"/>
      <c r="AG963" s="256" t="str">
        <f t="shared" si="429"/>
        <v/>
      </c>
      <c r="AH963" s="256" t="str">
        <f t="shared" si="430"/>
        <v/>
      </c>
      <c r="AI963" s="256" t="str">
        <f t="shared" si="431"/>
        <v/>
      </c>
      <c r="AJ963" s="111"/>
      <c r="AK963" s="255"/>
      <c r="AL963" s="259" t="str">
        <f>IF(AK963&lt;&gt;"",AK963/VLOOKUP($V963,Setup!$C$30:$D$41,2,0),"")</f>
        <v/>
      </c>
      <c r="AM963" s="266"/>
      <c r="AN963" s="258" t="str">
        <f t="shared" si="432"/>
        <v/>
      </c>
      <c r="AO963" s="266"/>
      <c r="AP963" s="258" t="str">
        <f t="shared" si="433"/>
        <v/>
      </c>
      <c r="AQ963" s="266"/>
      <c r="AR963" s="258" t="str">
        <f t="shared" si="434"/>
        <v/>
      </c>
      <c r="AS963" s="266"/>
      <c r="AT963" s="256" t="str">
        <f t="shared" si="435"/>
        <v/>
      </c>
      <c r="AU963" s="256" t="str">
        <f t="shared" si="436"/>
        <v/>
      </c>
      <c r="AV963" s="256" t="str">
        <f t="shared" si="437"/>
        <v/>
      </c>
      <c r="AW963" s="267"/>
      <c r="AX963" s="255"/>
      <c r="AY963" s="259" t="str">
        <f>IF(AX963&lt;&gt;"",AX963/VLOOKUP($V963,Setup!$C$30:$D$41,2,0),"")</f>
        <v/>
      </c>
      <c r="AZ963" s="268"/>
      <c r="BA963" s="258" t="str">
        <f t="shared" si="438"/>
        <v/>
      </c>
      <c r="BB963" s="268"/>
      <c r="BC963" s="258" t="str">
        <f t="shared" si="439"/>
        <v/>
      </c>
      <c r="BD963" s="268"/>
      <c r="BE963" s="258" t="str">
        <f t="shared" si="440"/>
        <v/>
      </c>
      <c r="BF963" s="268"/>
      <c r="BG963" s="256" t="str">
        <f t="shared" si="441"/>
        <v/>
      </c>
      <c r="BH963" s="256" t="str">
        <f t="shared" si="442"/>
        <v/>
      </c>
      <c r="BI963" s="256" t="str">
        <f t="shared" si="443"/>
        <v/>
      </c>
      <c r="BJ963" s="267"/>
      <c r="BK963" s="255"/>
      <c r="BL963" s="259" t="str">
        <f>IF(BK963&lt;&gt;"",BK963/VLOOKUP($V963,Setup!$C$30:$D$41,2,0),"")</f>
        <v/>
      </c>
      <c r="BM963" s="268"/>
      <c r="BN963" s="258" t="str">
        <f t="shared" si="444"/>
        <v/>
      </c>
      <c r="BO963" s="268"/>
      <c r="BP963" s="258" t="str">
        <f t="shared" si="445"/>
        <v/>
      </c>
      <c r="BQ963" s="268"/>
      <c r="BR963" s="258" t="str">
        <f t="shared" si="446"/>
        <v/>
      </c>
      <c r="BS963" s="268"/>
      <c r="BT963" s="256" t="str">
        <f t="shared" si="447"/>
        <v/>
      </c>
      <c r="BU963" s="256" t="str">
        <f t="shared" si="448"/>
        <v/>
      </c>
      <c r="BV963" s="256" t="str">
        <f t="shared" si="449"/>
        <v/>
      </c>
      <c r="BW963" s="267"/>
      <c r="BX963" s="256" t="str">
        <f t="shared" si="450"/>
        <v/>
      </c>
      <c r="BY963" s="256" t="str">
        <f t="shared" si="451"/>
        <v/>
      </c>
      <c r="BZ963" s="281"/>
      <c r="CA963" s="282"/>
      <c r="CF963" s="284"/>
      <c r="CG963" s="284"/>
      <c r="CH963" s="284"/>
      <c r="CI963" s="284"/>
      <c r="CL963" s="356" t="str">
        <f>IFERROR(VLOOKUP(C963,'Data Sheet'!$A$3:$B$26,2,FALSE),"")</f>
        <v/>
      </c>
    </row>
    <row r="964" spans="1:90" ht="15.75" x14ac:dyDescent="0.2">
      <c r="A964" s="97"/>
      <c r="B964" s="105" t="str">
        <f t="shared" si="454"/>
        <v>--</v>
      </c>
      <c r="C964" s="276"/>
      <c r="D964" s="101" t="str">
        <f>IFERROR(IF(VLOOKUP(C964,'Data Sheet'!$A$3:$D$26,4,FALSE)=0,"",VLOOKUP(C964,'Data Sheet'!$A$3:$D$26,4,FALSE)),"")</f>
        <v/>
      </c>
      <c r="E964" s="279"/>
      <c r="F964" s="103" t="str">
        <f>IFERROR(IF(VLOOKUP(E964,'Data Sheet'!$C$29:$E$174,3,FALSE)=0,"",VLOOKUP(E964,'Data Sheet'!$C$29:$E$174,3,FALSE)),"")</f>
        <v/>
      </c>
      <c r="G964" s="106" t="str">
        <f t="shared" si="452"/>
        <v>-</v>
      </c>
      <c r="H964" s="273"/>
      <c r="I964" s="107"/>
      <c r="J964" s="249" t="e">
        <f t="shared" si="453"/>
        <v>#VALUE!</v>
      </c>
      <c r="K964" s="101" t="str">
        <f>IFERROR(INDEX('Data Sheet'!$C$198:$C$275,MATCH(I964,'Data Sheet'!$F$198:$F$275,0)),"")</f>
        <v/>
      </c>
      <c r="L964" s="250" t="str">
        <f>IFERROR(INDEX('Data Sheet'!$G$198:$G$275,MATCH(I964,'Data Sheet'!$F$198:$F$275,0)),"")</f>
        <v/>
      </c>
      <c r="M964" s="194"/>
      <c r="N964" s="248"/>
      <c r="O964" s="248"/>
      <c r="P964" s="108" t="str">
        <f>IFERROR(INDEX(Setup!$D$44:$D$70,MATCH(M964,Setup!$K$44:$K$70,0))&amp;"","")</f>
        <v/>
      </c>
      <c r="Q964" s="108" t="str">
        <f>IFERROR(INDEX(Setup!$E$44:$E$70,MATCH(M964,Setup!$K$44:$K$70,0))&amp;"","")</f>
        <v/>
      </c>
      <c r="R964" s="108" t="str">
        <f>IFERROR(INDEX(Setup!$L$44:$L$70,MATCH(M964,Setup!$K$44:$K$70,0))&amp;"","")</f>
        <v/>
      </c>
      <c r="S964" s="108" t="str">
        <f>Setup!$C$30</f>
        <v>USD</v>
      </c>
      <c r="T964" s="109" t="str">
        <f>IFERROR(INDEX('Data Sheet'!$B$198:$B$275,MATCH(I964,'Data Sheet'!$F$198:$F$275,0)),"")</f>
        <v/>
      </c>
      <c r="U964" s="110" t="str">
        <f>IFERROR(INDEX('Data Sheet'!$D$198:$D$275,MATCH(I964,'Data Sheet'!$F$198:$F$275,0)),"")</f>
        <v/>
      </c>
      <c r="V964" s="99"/>
      <c r="W964" s="195" t="str">
        <f>IF(V964=Setup!$C$30,"Grant",IF(V964=Setup!$C$31,"Local",IF(V964=Setup!$C$32,"Other",IF(ISBLANK(V964),"","Other"))))</f>
        <v/>
      </c>
      <c r="X964" s="255"/>
      <c r="Y964" s="259" t="str">
        <f>IF(X964&lt;&gt;"",X964/VLOOKUP($V964,Setup!$C$30:$D$41,2,0),"")</f>
        <v/>
      </c>
      <c r="Z964" s="262"/>
      <c r="AA964" s="256" t="str">
        <f t="shared" si="426"/>
        <v/>
      </c>
      <c r="AB964" s="262"/>
      <c r="AC964" s="258" t="str">
        <f t="shared" si="427"/>
        <v/>
      </c>
      <c r="AD964" s="262"/>
      <c r="AE964" s="258" t="str">
        <f t="shared" si="428"/>
        <v/>
      </c>
      <c r="AF964" s="262"/>
      <c r="AG964" s="256" t="str">
        <f t="shared" si="429"/>
        <v/>
      </c>
      <c r="AH964" s="256" t="str">
        <f t="shared" si="430"/>
        <v/>
      </c>
      <c r="AI964" s="256" t="str">
        <f t="shared" si="431"/>
        <v/>
      </c>
      <c r="AJ964" s="111"/>
      <c r="AK964" s="255"/>
      <c r="AL964" s="259" t="str">
        <f>IF(AK964&lt;&gt;"",AK964/VLOOKUP($V964,Setup!$C$30:$D$41,2,0),"")</f>
        <v/>
      </c>
      <c r="AM964" s="266"/>
      <c r="AN964" s="258" t="str">
        <f t="shared" si="432"/>
        <v/>
      </c>
      <c r="AO964" s="266"/>
      <c r="AP964" s="258" t="str">
        <f t="shared" si="433"/>
        <v/>
      </c>
      <c r="AQ964" s="266"/>
      <c r="AR964" s="258" t="str">
        <f t="shared" si="434"/>
        <v/>
      </c>
      <c r="AS964" s="266"/>
      <c r="AT964" s="256" t="str">
        <f t="shared" si="435"/>
        <v/>
      </c>
      <c r="AU964" s="256" t="str">
        <f t="shared" si="436"/>
        <v/>
      </c>
      <c r="AV964" s="256" t="str">
        <f t="shared" si="437"/>
        <v/>
      </c>
      <c r="AW964" s="267"/>
      <c r="AX964" s="255"/>
      <c r="AY964" s="259" t="str">
        <f>IF(AX964&lt;&gt;"",AX964/VLOOKUP($V964,Setup!$C$30:$D$41,2,0),"")</f>
        <v/>
      </c>
      <c r="AZ964" s="268"/>
      <c r="BA964" s="258" t="str">
        <f t="shared" si="438"/>
        <v/>
      </c>
      <c r="BB964" s="268"/>
      <c r="BC964" s="258" t="str">
        <f t="shared" si="439"/>
        <v/>
      </c>
      <c r="BD964" s="268"/>
      <c r="BE964" s="258" t="str">
        <f t="shared" si="440"/>
        <v/>
      </c>
      <c r="BF964" s="268"/>
      <c r="BG964" s="256" t="str">
        <f t="shared" si="441"/>
        <v/>
      </c>
      <c r="BH964" s="256" t="str">
        <f t="shared" si="442"/>
        <v/>
      </c>
      <c r="BI964" s="256" t="str">
        <f t="shared" si="443"/>
        <v/>
      </c>
      <c r="BJ964" s="267"/>
      <c r="BK964" s="255"/>
      <c r="BL964" s="259" t="str">
        <f>IF(BK964&lt;&gt;"",BK964/VLOOKUP($V964,Setup!$C$30:$D$41,2,0),"")</f>
        <v/>
      </c>
      <c r="BM964" s="268"/>
      <c r="BN964" s="258" t="str">
        <f t="shared" si="444"/>
        <v/>
      </c>
      <c r="BO964" s="268"/>
      <c r="BP964" s="258" t="str">
        <f t="shared" si="445"/>
        <v/>
      </c>
      <c r="BQ964" s="268"/>
      <c r="BR964" s="258" t="str">
        <f t="shared" si="446"/>
        <v/>
      </c>
      <c r="BS964" s="268"/>
      <c r="BT964" s="256" t="str">
        <f t="shared" si="447"/>
        <v/>
      </c>
      <c r="BU964" s="256" t="str">
        <f t="shared" si="448"/>
        <v/>
      </c>
      <c r="BV964" s="256" t="str">
        <f t="shared" si="449"/>
        <v/>
      </c>
      <c r="BW964" s="267"/>
      <c r="BX964" s="256" t="str">
        <f t="shared" si="450"/>
        <v/>
      </c>
      <c r="BY964" s="256" t="str">
        <f t="shared" si="451"/>
        <v/>
      </c>
      <c r="BZ964" s="281"/>
      <c r="CA964" s="282"/>
      <c r="CF964" s="284"/>
      <c r="CG964" s="284"/>
      <c r="CH964" s="284"/>
      <c r="CI964" s="284"/>
      <c r="CL964" s="356" t="str">
        <f>IFERROR(VLOOKUP(C964,'Data Sheet'!$A$3:$B$26,2,FALSE),"")</f>
        <v/>
      </c>
    </row>
    <row r="965" spans="1:90" ht="15.75" x14ac:dyDescent="0.2">
      <c r="A965" s="97"/>
      <c r="B965" s="105" t="str">
        <f t="shared" si="454"/>
        <v>--</v>
      </c>
      <c r="C965" s="276"/>
      <c r="D965" s="101" t="str">
        <f>IFERROR(IF(VLOOKUP(C965,'Data Sheet'!$A$3:$D$26,4,FALSE)=0,"",VLOOKUP(C965,'Data Sheet'!$A$3:$D$26,4,FALSE)),"")</f>
        <v/>
      </c>
      <c r="E965" s="279"/>
      <c r="F965" s="103" t="str">
        <f>IFERROR(IF(VLOOKUP(E965,'Data Sheet'!$C$29:$E$174,3,FALSE)=0,"",VLOOKUP(E965,'Data Sheet'!$C$29:$E$174,3,FALSE)),"")</f>
        <v/>
      </c>
      <c r="G965" s="106" t="str">
        <f t="shared" si="452"/>
        <v>-</v>
      </c>
      <c r="H965" s="273"/>
      <c r="I965" s="107"/>
      <c r="J965" s="249" t="e">
        <f t="shared" si="453"/>
        <v>#VALUE!</v>
      </c>
      <c r="K965" s="101" t="str">
        <f>IFERROR(INDEX('Data Sheet'!$C$198:$C$275,MATCH(I965,'Data Sheet'!$F$198:$F$275,0)),"")</f>
        <v/>
      </c>
      <c r="L965" s="250" t="str">
        <f>IFERROR(INDEX('Data Sheet'!$G$198:$G$275,MATCH(I965,'Data Sheet'!$F$198:$F$275,0)),"")</f>
        <v/>
      </c>
      <c r="M965" s="194"/>
      <c r="N965" s="248"/>
      <c r="O965" s="248"/>
      <c r="P965" s="108" t="str">
        <f>IFERROR(INDEX(Setup!$D$44:$D$70,MATCH(M965,Setup!$K$44:$K$70,0))&amp;"","")</f>
        <v/>
      </c>
      <c r="Q965" s="108" t="str">
        <f>IFERROR(INDEX(Setup!$E$44:$E$70,MATCH(M965,Setup!$K$44:$K$70,0))&amp;"","")</f>
        <v/>
      </c>
      <c r="R965" s="108" t="str">
        <f>IFERROR(INDEX(Setup!$L$44:$L$70,MATCH(M965,Setup!$K$44:$K$70,0))&amp;"","")</f>
        <v/>
      </c>
      <c r="S965" s="108" t="str">
        <f>Setup!$C$30</f>
        <v>USD</v>
      </c>
      <c r="T965" s="109" t="str">
        <f>IFERROR(INDEX('Data Sheet'!$B$198:$B$275,MATCH(I965,'Data Sheet'!$F$198:$F$275,0)),"")</f>
        <v/>
      </c>
      <c r="U965" s="110" t="str">
        <f>IFERROR(INDEX('Data Sheet'!$D$198:$D$275,MATCH(I965,'Data Sheet'!$F$198:$F$275,0)),"")</f>
        <v/>
      </c>
      <c r="V965" s="99"/>
      <c r="W965" s="195" t="str">
        <f>IF(V965=Setup!$C$30,"Grant",IF(V965=Setup!$C$31,"Local",IF(V965=Setup!$C$32,"Other",IF(ISBLANK(V965),"","Other"))))</f>
        <v/>
      </c>
      <c r="X965" s="255"/>
      <c r="Y965" s="259" t="str">
        <f>IF(X965&lt;&gt;"",X965/VLOOKUP($V965,Setup!$C$30:$D$41,2,0),"")</f>
        <v/>
      </c>
      <c r="Z965" s="262"/>
      <c r="AA965" s="256" t="str">
        <f t="shared" ref="AA965:AA1004" si="455">IFERROR(IF(AND(NOT(Z965=""),NOT(Y965="")),Z965*Y965,""),"")</f>
        <v/>
      </c>
      <c r="AB965" s="262"/>
      <c r="AC965" s="258" t="str">
        <f t="shared" ref="AC965:AC1004" si="456">IFERROR(IF(AND(NOT(AB965=""),NOT(Y965="")),AB965*Y965,""),"")</f>
        <v/>
      </c>
      <c r="AD965" s="262"/>
      <c r="AE965" s="258" t="str">
        <f t="shared" ref="AE965:AE1004" si="457">IFERROR(IF(AND(NOT(AD965=""),NOT(Y965="")),AD965*Y965,""),"")</f>
        <v/>
      </c>
      <c r="AF965" s="262"/>
      <c r="AG965" s="256" t="str">
        <f t="shared" ref="AG965:AG1004" si="458">IFERROR(IF(AND(NOT(AF965=""),NOT(Y965="")),AF965*Y965,""),"")</f>
        <v/>
      </c>
      <c r="AH965" s="256" t="str">
        <f t="shared" ref="AH965:AH1004" si="459">IFERROR(IF(OR(NOT(Z965=""),NOT(AF965=""),NOT(AB965=""),NOT(AD965="")),Z965+AF965+AB965+AD965,""),"")</f>
        <v/>
      </c>
      <c r="AI965" s="256" t="str">
        <f t="shared" ref="AI965:AI1004" si="460">IF(SUM(AA965,AC965,AE965,AG965)&gt;0,SUM(AA965,AC965,AE965,AG965),"")</f>
        <v/>
      </c>
      <c r="AJ965" s="111"/>
      <c r="AK965" s="255"/>
      <c r="AL965" s="259" t="str">
        <f>IF(AK965&lt;&gt;"",AK965/VLOOKUP($V965,Setup!$C$30:$D$41,2,0),"")</f>
        <v/>
      </c>
      <c r="AM965" s="266"/>
      <c r="AN965" s="258" t="str">
        <f t="shared" ref="AN965:AN1004" si="461">IFERROR(IF(AND(NOT(AM965=""),NOT(AL965="")),AM965*$AL965,""),"")</f>
        <v/>
      </c>
      <c r="AO965" s="266"/>
      <c r="AP965" s="258" t="str">
        <f t="shared" ref="AP965:AP1004" si="462">IFERROR(IF(AND(NOT(AO965=""),NOT(AL965="")),AO965*$AL965,""),"")</f>
        <v/>
      </c>
      <c r="AQ965" s="266"/>
      <c r="AR965" s="258" t="str">
        <f t="shared" ref="AR965:AR1004" si="463">IFERROR(IF(AND(NOT(AQ965=""),NOT(AL965="")),AQ965*$AL965,""),"")</f>
        <v/>
      </c>
      <c r="AS965" s="266"/>
      <c r="AT965" s="256" t="str">
        <f t="shared" ref="AT965:AT1004" si="464">IFERROR(IF(AND(NOT(AS965=""),NOT(AL965="")),AS965*$AL965,""),"")</f>
        <v/>
      </c>
      <c r="AU965" s="256" t="str">
        <f t="shared" ref="AU965:AU1004" si="465">IFERROR(IF(OR(NOT(AM965=""),NOT(AS965=""),NOT(AO965=""),NOT(AQ965="")),AM965+AS965+AO965+AQ965,""),"")</f>
        <v/>
      </c>
      <c r="AV965" s="256" t="str">
        <f t="shared" ref="AV965:AV1004" si="466">IF(SUM(AN965,AT965,AP965,AR965)&gt;0,SUM(AN965,AT965,AP965,AR965),"")</f>
        <v/>
      </c>
      <c r="AW965" s="267"/>
      <c r="AX965" s="255"/>
      <c r="AY965" s="259" t="str">
        <f>IF(AX965&lt;&gt;"",AX965/VLOOKUP($V965,Setup!$C$30:$D$41,2,0),"")</f>
        <v/>
      </c>
      <c r="AZ965" s="268"/>
      <c r="BA965" s="258" t="str">
        <f t="shared" ref="BA965:BA1004" si="467">IFERROR(IF(AND(NOT(AZ965=""),NOT(AY965="")),AZ965*$AY965,""),"")</f>
        <v/>
      </c>
      <c r="BB965" s="268"/>
      <c r="BC965" s="258" t="str">
        <f t="shared" ref="BC965:BC1004" si="468">IFERROR(IF(AND(NOT(BB965=""),NOT(AY965="")),BB965*$AY965,""),"")</f>
        <v/>
      </c>
      <c r="BD965" s="268"/>
      <c r="BE965" s="258" t="str">
        <f t="shared" ref="BE965:BE1004" si="469">IFERROR(IF(AND(NOT(BD965=""),NOT(AY965="")),BD965*$AY965,""),"")</f>
        <v/>
      </c>
      <c r="BF965" s="268"/>
      <c r="BG965" s="256" t="str">
        <f t="shared" ref="BG965:BG1004" si="470">IFERROR(IF(AND(NOT(BF965=""),NOT(AY965="")),BF965*$AY965,""),"")</f>
        <v/>
      </c>
      <c r="BH965" s="256" t="str">
        <f t="shared" ref="BH965:BH1004" si="471">IFERROR(IF(OR(NOT(AZ965=""),NOT(BF965=""),NOT(BB965=""),NOT(BD965="")),AZ965+BF965+BB965+BD965,""),"")</f>
        <v/>
      </c>
      <c r="BI965" s="256" t="str">
        <f t="shared" ref="BI965:BI1004" si="472">IF(SUM(BA965,BG965,BC965,BE965)&gt;0,SUM(BA965,BG965,BC965,BE965),"")</f>
        <v/>
      </c>
      <c r="BJ965" s="267"/>
      <c r="BK965" s="255"/>
      <c r="BL965" s="259" t="str">
        <f>IF(BK965&lt;&gt;"",BK965/VLOOKUP($V965,Setup!$C$30:$D$41,2,0),"")</f>
        <v/>
      </c>
      <c r="BM965" s="268"/>
      <c r="BN965" s="258" t="str">
        <f t="shared" ref="BN965:BN1004" si="473">IFERROR(IF(AND(NOT(BM965=""),NOT(BL965="")),BM965*$BL965,""),"")</f>
        <v/>
      </c>
      <c r="BO965" s="268"/>
      <c r="BP965" s="258" t="str">
        <f t="shared" ref="BP965:BP1004" si="474">IFERROR(IF(AND(NOT(BO965=""),NOT(BL965="")),BO965*$BL965,""),"")</f>
        <v/>
      </c>
      <c r="BQ965" s="268"/>
      <c r="BR965" s="258" t="str">
        <f t="shared" ref="BR965:BR1004" si="475">IFERROR(IF(AND(NOT(BQ965=""),NOT(BL965="")),BQ965*$BL965,""),"")</f>
        <v/>
      </c>
      <c r="BS965" s="268"/>
      <c r="BT965" s="256" t="str">
        <f t="shared" ref="BT965:BT1004" si="476">IFERROR(IF(AND(NOT(BS965=""),NOT(BL965="")),BS965*$BL965,""),"")</f>
        <v/>
      </c>
      <c r="BU965" s="256" t="str">
        <f t="shared" ref="BU965:BU1004" si="477">IFERROR(IF(OR(NOT(BM965=""),NOT(BS965=""),NOT(BO965=""),NOT(BQ965="")),BM965+BS965+BO965+BQ965,""),"")</f>
        <v/>
      </c>
      <c r="BV965" s="256" t="str">
        <f t="shared" ref="BV965:BV1004" si="478">IF(SUM(BN965,BT965,BP965,BR965)&gt;0,SUM(BN965,BT965,BP965,BR965),"")</f>
        <v/>
      </c>
      <c r="BW965" s="267"/>
      <c r="BX965" s="256" t="str">
        <f t="shared" ref="BX965:BX1004" si="479">IF(SUM(AH965,AU965,BH965,BU965)&gt;0,SUM(AH965,AU965,BH965,BU965),"")</f>
        <v/>
      </c>
      <c r="BY965" s="256" t="str">
        <f t="shared" ref="BY965:BY1004" si="480">IF(SUM(AI965,AV965,BI965,BV965)&gt;0,SUM(AI965,AV965,BI965,BV965),"")</f>
        <v/>
      </c>
      <c r="BZ965" s="281"/>
      <c r="CA965" s="282"/>
      <c r="CF965" s="284"/>
      <c r="CG965" s="284"/>
      <c r="CH965" s="284"/>
      <c r="CI965" s="284"/>
      <c r="CL965" s="356" t="str">
        <f>IFERROR(VLOOKUP(C965,'Data Sheet'!$A$3:$B$26,2,FALSE),"")</f>
        <v/>
      </c>
    </row>
    <row r="966" spans="1:90" ht="15.75" x14ac:dyDescent="0.2">
      <c r="A966" s="97"/>
      <c r="B966" s="105" t="str">
        <f t="shared" si="454"/>
        <v>--</v>
      </c>
      <c r="C966" s="276"/>
      <c r="D966" s="101" t="str">
        <f>IFERROR(IF(VLOOKUP(C966,'Data Sheet'!$A$3:$D$26,4,FALSE)=0,"",VLOOKUP(C966,'Data Sheet'!$A$3:$D$26,4,FALSE)),"")</f>
        <v/>
      </c>
      <c r="E966" s="279"/>
      <c r="F966" s="103" t="str">
        <f>IFERROR(IF(VLOOKUP(E966,'Data Sheet'!$C$29:$E$174,3,FALSE)=0,"",VLOOKUP(E966,'Data Sheet'!$C$29:$E$174,3,FALSE)),"")</f>
        <v/>
      </c>
      <c r="G966" s="106" t="str">
        <f t="shared" ref="G966:G1004" si="481">CONCATENATE(D966,"-",F966)</f>
        <v>-</v>
      </c>
      <c r="H966" s="273"/>
      <c r="I966" s="107"/>
      <c r="J966" s="249" t="e">
        <f t="shared" ref="J966:J1004" si="482">LEFT(I966,SEARCH(".",I966,1)+1)</f>
        <v>#VALUE!</v>
      </c>
      <c r="K966" s="101" t="str">
        <f>IFERROR(INDEX('Data Sheet'!$C$198:$C$275,MATCH(I966,'Data Sheet'!$F$198:$F$275,0)),"")</f>
        <v/>
      </c>
      <c r="L966" s="250" t="str">
        <f>IFERROR(INDEX('Data Sheet'!$G$198:$G$275,MATCH(I966,'Data Sheet'!$F$198:$F$275,0)),"")</f>
        <v/>
      </c>
      <c r="M966" s="194"/>
      <c r="N966" s="248"/>
      <c r="O966" s="248"/>
      <c r="P966" s="108" t="str">
        <f>IFERROR(INDEX(Setup!$D$44:$D$70,MATCH(M966,Setup!$K$44:$K$70,0))&amp;"","")</f>
        <v/>
      </c>
      <c r="Q966" s="108" t="str">
        <f>IFERROR(INDEX(Setup!$E$44:$E$70,MATCH(M966,Setup!$K$44:$K$70,0))&amp;"","")</f>
        <v/>
      </c>
      <c r="R966" s="108" t="str">
        <f>IFERROR(INDEX(Setup!$L$44:$L$70,MATCH(M966,Setup!$K$44:$K$70,0))&amp;"","")</f>
        <v/>
      </c>
      <c r="S966" s="108" t="str">
        <f>Setup!$C$30</f>
        <v>USD</v>
      </c>
      <c r="T966" s="109" t="str">
        <f>IFERROR(INDEX('Data Sheet'!$B$198:$B$275,MATCH(I966,'Data Sheet'!$F$198:$F$275,0)),"")</f>
        <v/>
      </c>
      <c r="U966" s="110" t="str">
        <f>IFERROR(INDEX('Data Sheet'!$D$198:$D$275,MATCH(I966,'Data Sheet'!$F$198:$F$275,0)),"")</f>
        <v/>
      </c>
      <c r="V966" s="99"/>
      <c r="W966" s="195" t="str">
        <f>IF(V966=Setup!$C$30,"Grant",IF(V966=Setup!$C$31,"Local",IF(V966=Setup!$C$32,"Other",IF(ISBLANK(V966),"","Other"))))</f>
        <v/>
      </c>
      <c r="X966" s="255"/>
      <c r="Y966" s="259" t="str">
        <f>IF(X966&lt;&gt;"",X966/VLOOKUP($V966,Setup!$C$30:$D$41,2,0),"")</f>
        <v/>
      </c>
      <c r="Z966" s="262"/>
      <c r="AA966" s="256" t="str">
        <f t="shared" si="455"/>
        <v/>
      </c>
      <c r="AB966" s="262"/>
      <c r="AC966" s="258" t="str">
        <f t="shared" si="456"/>
        <v/>
      </c>
      <c r="AD966" s="262"/>
      <c r="AE966" s="258" t="str">
        <f t="shared" si="457"/>
        <v/>
      </c>
      <c r="AF966" s="262"/>
      <c r="AG966" s="256" t="str">
        <f t="shared" si="458"/>
        <v/>
      </c>
      <c r="AH966" s="256" t="str">
        <f t="shared" si="459"/>
        <v/>
      </c>
      <c r="AI966" s="256" t="str">
        <f t="shared" si="460"/>
        <v/>
      </c>
      <c r="AJ966" s="111"/>
      <c r="AK966" s="255"/>
      <c r="AL966" s="259" t="str">
        <f>IF(AK966&lt;&gt;"",AK966/VLOOKUP($V966,Setup!$C$30:$D$41,2,0),"")</f>
        <v/>
      </c>
      <c r="AM966" s="266"/>
      <c r="AN966" s="258" t="str">
        <f t="shared" si="461"/>
        <v/>
      </c>
      <c r="AO966" s="266"/>
      <c r="AP966" s="258" t="str">
        <f t="shared" si="462"/>
        <v/>
      </c>
      <c r="AQ966" s="266"/>
      <c r="AR966" s="258" t="str">
        <f t="shared" si="463"/>
        <v/>
      </c>
      <c r="AS966" s="266"/>
      <c r="AT966" s="256" t="str">
        <f t="shared" si="464"/>
        <v/>
      </c>
      <c r="AU966" s="256" t="str">
        <f t="shared" si="465"/>
        <v/>
      </c>
      <c r="AV966" s="256" t="str">
        <f t="shared" si="466"/>
        <v/>
      </c>
      <c r="AW966" s="267"/>
      <c r="AX966" s="255"/>
      <c r="AY966" s="259" t="str">
        <f>IF(AX966&lt;&gt;"",AX966/VLOOKUP($V966,Setup!$C$30:$D$41,2,0),"")</f>
        <v/>
      </c>
      <c r="AZ966" s="268"/>
      <c r="BA966" s="258" t="str">
        <f t="shared" si="467"/>
        <v/>
      </c>
      <c r="BB966" s="268"/>
      <c r="BC966" s="258" t="str">
        <f t="shared" si="468"/>
        <v/>
      </c>
      <c r="BD966" s="268"/>
      <c r="BE966" s="258" t="str">
        <f t="shared" si="469"/>
        <v/>
      </c>
      <c r="BF966" s="268"/>
      <c r="BG966" s="256" t="str">
        <f t="shared" si="470"/>
        <v/>
      </c>
      <c r="BH966" s="256" t="str">
        <f t="shared" si="471"/>
        <v/>
      </c>
      <c r="BI966" s="256" t="str">
        <f t="shared" si="472"/>
        <v/>
      </c>
      <c r="BJ966" s="267"/>
      <c r="BK966" s="255"/>
      <c r="BL966" s="259" t="str">
        <f>IF(BK966&lt;&gt;"",BK966/VLOOKUP($V966,Setup!$C$30:$D$41,2,0),"")</f>
        <v/>
      </c>
      <c r="BM966" s="268"/>
      <c r="BN966" s="258" t="str">
        <f t="shared" si="473"/>
        <v/>
      </c>
      <c r="BO966" s="268"/>
      <c r="BP966" s="258" t="str">
        <f t="shared" si="474"/>
        <v/>
      </c>
      <c r="BQ966" s="268"/>
      <c r="BR966" s="258" t="str">
        <f t="shared" si="475"/>
        <v/>
      </c>
      <c r="BS966" s="268"/>
      <c r="BT966" s="256" t="str">
        <f t="shared" si="476"/>
        <v/>
      </c>
      <c r="BU966" s="256" t="str">
        <f t="shared" si="477"/>
        <v/>
      </c>
      <c r="BV966" s="256" t="str">
        <f t="shared" si="478"/>
        <v/>
      </c>
      <c r="BW966" s="267"/>
      <c r="BX966" s="256" t="str">
        <f t="shared" si="479"/>
        <v/>
      </c>
      <c r="BY966" s="256" t="str">
        <f t="shared" si="480"/>
        <v/>
      </c>
      <c r="BZ966" s="281"/>
      <c r="CA966" s="282"/>
      <c r="CF966" s="284"/>
      <c r="CG966" s="284"/>
      <c r="CH966" s="284"/>
      <c r="CI966" s="284"/>
      <c r="CL966" s="356" t="str">
        <f>IFERROR(VLOOKUP(C966,'Data Sheet'!$A$3:$B$26,2,FALSE),"")</f>
        <v/>
      </c>
    </row>
    <row r="967" spans="1:90" ht="15.75" x14ac:dyDescent="0.2">
      <c r="A967" s="97"/>
      <c r="B967" s="105" t="str">
        <f t="shared" si="454"/>
        <v>--</v>
      </c>
      <c r="C967" s="276"/>
      <c r="D967" s="101" t="str">
        <f>IFERROR(IF(VLOOKUP(C967,'Data Sheet'!$A$3:$D$26,4,FALSE)=0,"",VLOOKUP(C967,'Data Sheet'!$A$3:$D$26,4,FALSE)),"")</f>
        <v/>
      </c>
      <c r="E967" s="279"/>
      <c r="F967" s="103" t="str">
        <f>IFERROR(IF(VLOOKUP(E967,'Data Sheet'!$C$29:$E$174,3,FALSE)=0,"",VLOOKUP(E967,'Data Sheet'!$C$29:$E$174,3,FALSE)),"")</f>
        <v/>
      </c>
      <c r="G967" s="106" t="str">
        <f t="shared" si="481"/>
        <v>-</v>
      </c>
      <c r="H967" s="273"/>
      <c r="I967" s="107"/>
      <c r="J967" s="249" t="e">
        <f t="shared" si="482"/>
        <v>#VALUE!</v>
      </c>
      <c r="K967" s="101" t="str">
        <f>IFERROR(INDEX('Data Sheet'!$C$198:$C$275,MATCH(I967,'Data Sheet'!$F$198:$F$275,0)),"")</f>
        <v/>
      </c>
      <c r="L967" s="250" t="str">
        <f>IFERROR(INDEX('Data Sheet'!$G$198:$G$275,MATCH(I967,'Data Sheet'!$F$198:$F$275,0)),"")</f>
        <v/>
      </c>
      <c r="M967" s="194"/>
      <c r="N967" s="248"/>
      <c r="O967" s="248"/>
      <c r="P967" s="108" t="str">
        <f>IFERROR(INDEX(Setup!$D$44:$D$70,MATCH(M967,Setup!$K$44:$K$70,0))&amp;"","")</f>
        <v/>
      </c>
      <c r="Q967" s="108" t="str">
        <f>IFERROR(INDEX(Setup!$E$44:$E$70,MATCH(M967,Setup!$K$44:$K$70,0))&amp;"","")</f>
        <v/>
      </c>
      <c r="R967" s="108" t="str">
        <f>IFERROR(INDEX(Setup!$L$44:$L$70,MATCH(M967,Setup!$K$44:$K$70,0))&amp;"","")</f>
        <v/>
      </c>
      <c r="S967" s="108" t="str">
        <f>Setup!$C$30</f>
        <v>USD</v>
      </c>
      <c r="T967" s="109" t="str">
        <f>IFERROR(INDEX('Data Sheet'!$B$198:$B$275,MATCH(I967,'Data Sheet'!$F$198:$F$275,0)),"")</f>
        <v/>
      </c>
      <c r="U967" s="110" t="str">
        <f>IFERROR(INDEX('Data Sheet'!$D$198:$D$275,MATCH(I967,'Data Sheet'!$F$198:$F$275,0)),"")</f>
        <v/>
      </c>
      <c r="V967" s="99"/>
      <c r="W967" s="195" t="str">
        <f>IF(V967=Setup!$C$30,"Grant",IF(V967=Setup!$C$31,"Local",IF(V967=Setup!$C$32,"Other",IF(ISBLANK(V967),"","Other"))))</f>
        <v/>
      </c>
      <c r="X967" s="255"/>
      <c r="Y967" s="259" t="str">
        <f>IF(X967&lt;&gt;"",X967/VLOOKUP($V967,Setup!$C$30:$D$41,2,0),"")</f>
        <v/>
      </c>
      <c r="Z967" s="262"/>
      <c r="AA967" s="256" t="str">
        <f t="shared" si="455"/>
        <v/>
      </c>
      <c r="AB967" s="262"/>
      <c r="AC967" s="258" t="str">
        <f t="shared" si="456"/>
        <v/>
      </c>
      <c r="AD967" s="262"/>
      <c r="AE967" s="258" t="str">
        <f t="shared" si="457"/>
        <v/>
      </c>
      <c r="AF967" s="262"/>
      <c r="AG967" s="256" t="str">
        <f t="shared" si="458"/>
        <v/>
      </c>
      <c r="AH967" s="256" t="str">
        <f t="shared" si="459"/>
        <v/>
      </c>
      <c r="AI967" s="256" t="str">
        <f t="shared" si="460"/>
        <v/>
      </c>
      <c r="AJ967" s="111"/>
      <c r="AK967" s="255"/>
      <c r="AL967" s="259" t="str">
        <f>IF(AK967&lt;&gt;"",AK967/VLOOKUP($V967,Setup!$C$30:$D$41,2,0),"")</f>
        <v/>
      </c>
      <c r="AM967" s="266"/>
      <c r="AN967" s="258" t="str">
        <f t="shared" si="461"/>
        <v/>
      </c>
      <c r="AO967" s="266"/>
      <c r="AP967" s="258" t="str">
        <f t="shared" si="462"/>
        <v/>
      </c>
      <c r="AQ967" s="266"/>
      <c r="AR967" s="258" t="str">
        <f t="shared" si="463"/>
        <v/>
      </c>
      <c r="AS967" s="266"/>
      <c r="AT967" s="256" t="str">
        <f t="shared" si="464"/>
        <v/>
      </c>
      <c r="AU967" s="256" t="str">
        <f t="shared" si="465"/>
        <v/>
      </c>
      <c r="AV967" s="256" t="str">
        <f t="shared" si="466"/>
        <v/>
      </c>
      <c r="AW967" s="267"/>
      <c r="AX967" s="255"/>
      <c r="AY967" s="259" t="str">
        <f>IF(AX967&lt;&gt;"",AX967/VLOOKUP($V967,Setup!$C$30:$D$41,2,0),"")</f>
        <v/>
      </c>
      <c r="AZ967" s="268"/>
      <c r="BA967" s="258" t="str">
        <f t="shared" si="467"/>
        <v/>
      </c>
      <c r="BB967" s="268"/>
      <c r="BC967" s="258" t="str">
        <f t="shared" si="468"/>
        <v/>
      </c>
      <c r="BD967" s="268"/>
      <c r="BE967" s="258" t="str">
        <f t="shared" si="469"/>
        <v/>
      </c>
      <c r="BF967" s="268"/>
      <c r="BG967" s="256" t="str">
        <f t="shared" si="470"/>
        <v/>
      </c>
      <c r="BH967" s="256" t="str">
        <f t="shared" si="471"/>
        <v/>
      </c>
      <c r="BI967" s="256" t="str">
        <f t="shared" si="472"/>
        <v/>
      </c>
      <c r="BJ967" s="267"/>
      <c r="BK967" s="255"/>
      <c r="BL967" s="259" t="str">
        <f>IF(BK967&lt;&gt;"",BK967/VLOOKUP($V967,Setup!$C$30:$D$41,2,0),"")</f>
        <v/>
      </c>
      <c r="BM967" s="268"/>
      <c r="BN967" s="258" t="str">
        <f t="shared" si="473"/>
        <v/>
      </c>
      <c r="BO967" s="268"/>
      <c r="BP967" s="258" t="str">
        <f t="shared" si="474"/>
        <v/>
      </c>
      <c r="BQ967" s="268"/>
      <c r="BR967" s="258" t="str">
        <f t="shared" si="475"/>
        <v/>
      </c>
      <c r="BS967" s="268"/>
      <c r="BT967" s="256" t="str">
        <f t="shared" si="476"/>
        <v/>
      </c>
      <c r="BU967" s="256" t="str">
        <f t="shared" si="477"/>
        <v/>
      </c>
      <c r="BV967" s="256" t="str">
        <f t="shared" si="478"/>
        <v/>
      </c>
      <c r="BW967" s="267"/>
      <c r="BX967" s="256" t="str">
        <f t="shared" si="479"/>
        <v/>
      </c>
      <c r="BY967" s="256" t="str">
        <f t="shared" si="480"/>
        <v/>
      </c>
      <c r="BZ967" s="281"/>
      <c r="CA967" s="282"/>
      <c r="CF967" s="284"/>
      <c r="CG967" s="284"/>
      <c r="CH967" s="284"/>
      <c r="CI967" s="284"/>
      <c r="CL967" s="356" t="str">
        <f>IFERROR(VLOOKUP(C967,'Data Sheet'!$A$3:$B$26,2,FALSE),"")</f>
        <v/>
      </c>
    </row>
    <row r="968" spans="1:90" ht="15.75" x14ac:dyDescent="0.2">
      <c r="A968" s="97"/>
      <c r="B968" s="105" t="str">
        <f t="shared" si="454"/>
        <v>--</v>
      </c>
      <c r="C968" s="276"/>
      <c r="D968" s="101" t="str">
        <f>IFERROR(IF(VLOOKUP(C968,'Data Sheet'!$A$3:$D$26,4,FALSE)=0,"",VLOOKUP(C968,'Data Sheet'!$A$3:$D$26,4,FALSE)),"")</f>
        <v/>
      </c>
      <c r="E968" s="279"/>
      <c r="F968" s="103" t="str">
        <f>IFERROR(IF(VLOOKUP(E968,'Data Sheet'!$C$29:$E$174,3,FALSE)=0,"",VLOOKUP(E968,'Data Sheet'!$C$29:$E$174,3,FALSE)),"")</f>
        <v/>
      </c>
      <c r="G968" s="106" t="str">
        <f t="shared" si="481"/>
        <v>-</v>
      </c>
      <c r="H968" s="273"/>
      <c r="I968" s="107"/>
      <c r="J968" s="249" t="e">
        <f t="shared" si="482"/>
        <v>#VALUE!</v>
      </c>
      <c r="K968" s="101" t="str">
        <f>IFERROR(INDEX('Data Sheet'!$C$198:$C$275,MATCH(I968,'Data Sheet'!$F$198:$F$275,0)),"")</f>
        <v/>
      </c>
      <c r="L968" s="250" t="str">
        <f>IFERROR(INDEX('Data Sheet'!$G$198:$G$275,MATCH(I968,'Data Sheet'!$F$198:$F$275,0)),"")</f>
        <v/>
      </c>
      <c r="M968" s="194"/>
      <c r="N968" s="248"/>
      <c r="O968" s="248"/>
      <c r="P968" s="108" t="str">
        <f>IFERROR(INDEX(Setup!$D$44:$D$70,MATCH(M968,Setup!$K$44:$K$70,0))&amp;"","")</f>
        <v/>
      </c>
      <c r="Q968" s="108" t="str">
        <f>IFERROR(INDEX(Setup!$E$44:$E$70,MATCH(M968,Setup!$K$44:$K$70,0))&amp;"","")</f>
        <v/>
      </c>
      <c r="R968" s="108" t="str">
        <f>IFERROR(INDEX(Setup!$L$44:$L$70,MATCH(M968,Setup!$K$44:$K$70,0))&amp;"","")</f>
        <v/>
      </c>
      <c r="S968" s="108" t="str">
        <f>Setup!$C$30</f>
        <v>USD</v>
      </c>
      <c r="T968" s="109" t="str">
        <f>IFERROR(INDEX('Data Sheet'!$B$198:$B$275,MATCH(I968,'Data Sheet'!$F$198:$F$275,0)),"")</f>
        <v/>
      </c>
      <c r="U968" s="110" t="str">
        <f>IFERROR(INDEX('Data Sheet'!$D$198:$D$275,MATCH(I968,'Data Sheet'!$F$198:$F$275,0)),"")</f>
        <v/>
      </c>
      <c r="V968" s="99"/>
      <c r="W968" s="195" t="str">
        <f>IF(V968=Setup!$C$30,"Grant",IF(V968=Setup!$C$31,"Local",IF(V968=Setup!$C$32,"Other",IF(ISBLANK(V968),"","Other"))))</f>
        <v/>
      </c>
      <c r="X968" s="255"/>
      <c r="Y968" s="259" t="str">
        <f>IF(X968&lt;&gt;"",X968/VLOOKUP($V968,Setup!$C$30:$D$41,2,0),"")</f>
        <v/>
      </c>
      <c r="Z968" s="262"/>
      <c r="AA968" s="256" t="str">
        <f t="shared" si="455"/>
        <v/>
      </c>
      <c r="AB968" s="262"/>
      <c r="AC968" s="258" t="str">
        <f t="shared" si="456"/>
        <v/>
      </c>
      <c r="AD968" s="262"/>
      <c r="AE968" s="258" t="str">
        <f t="shared" si="457"/>
        <v/>
      </c>
      <c r="AF968" s="262"/>
      <c r="AG968" s="256" t="str">
        <f t="shared" si="458"/>
        <v/>
      </c>
      <c r="AH968" s="256" t="str">
        <f t="shared" si="459"/>
        <v/>
      </c>
      <c r="AI968" s="256" t="str">
        <f t="shared" si="460"/>
        <v/>
      </c>
      <c r="AJ968" s="111"/>
      <c r="AK968" s="255"/>
      <c r="AL968" s="259" t="str">
        <f>IF(AK968&lt;&gt;"",AK968/VLOOKUP($V968,Setup!$C$30:$D$41,2,0),"")</f>
        <v/>
      </c>
      <c r="AM968" s="266"/>
      <c r="AN968" s="258" t="str">
        <f t="shared" si="461"/>
        <v/>
      </c>
      <c r="AO968" s="266"/>
      <c r="AP968" s="258" t="str">
        <f t="shared" si="462"/>
        <v/>
      </c>
      <c r="AQ968" s="266"/>
      <c r="AR968" s="258" t="str">
        <f t="shared" si="463"/>
        <v/>
      </c>
      <c r="AS968" s="266"/>
      <c r="AT968" s="256" t="str">
        <f t="shared" si="464"/>
        <v/>
      </c>
      <c r="AU968" s="256" t="str">
        <f t="shared" si="465"/>
        <v/>
      </c>
      <c r="AV968" s="256" t="str">
        <f t="shared" si="466"/>
        <v/>
      </c>
      <c r="AW968" s="267"/>
      <c r="AX968" s="255"/>
      <c r="AY968" s="259" t="str">
        <f>IF(AX968&lt;&gt;"",AX968/VLOOKUP($V968,Setup!$C$30:$D$41,2,0),"")</f>
        <v/>
      </c>
      <c r="AZ968" s="268"/>
      <c r="BA968" s="258" t="str">
        <f t="shared" si="467"/>
        <v/>
      </c>
      <c r="BB968" s="268"/>
      <c r="BC968" s="258" t="str">
        <f t="shared" si="468"/>
        <v/>
      </c>
      <c r="BD968" s="268"/>
      <c r="BE968" s="258" t="str">
        <f t="shared" si="469"/>
        <v/>
      </c>
      <c r="BF968" s="268"/>
      <c r="BG968" s="256" t="str">
        <f t="shared" si="470"/>
        <v/>
      </c>
      <c r="BH968" s="256" t="str">
        <f t="shared" si="471"/>
        <v/>
      </c>
      <c r="BI968" s="256" t="str">
        <f t="shared" si="472"/>
        <v/>
      </c>
      <c r="BJ968" s="267"/>
      <c r="BK968" s="255"/>
      <c r="BL968" s="259" t="str">
        <f>IF(BK968&lt;&gt;"",BK968/VLOOKUP($V968,Setup!$C$30:$D$41,2,0),"")</f>
        <v/>
      </c>
      <c r="BM968" s="268"/>
      <c r="BN968" s="258" t="str">
        <f t="shared" si="473"/>
        <v/>
      </c>
      <c r="BO968" s="268"/>
      <c r="BP968" s="258" t="str">
        <f t="shared" si="474"/>
        <v/>
      </c>
      <c r="BQ968" s="268"/>
      <c r="BR968" s="258" t="str">
        <f t="shared" si="475"/>
        <v/>
      </c>
      <c r="BS968" s="268"/>
      <c r="BT968" s="256" t="str">
        <f t="shared" si="476"/>
        <v/>
      </c>
      <c r="BU968" s="256" t="str">
        <f t="shared" si="477"/>
        <v/>
      </c>
      <c r="BV968" s="256" t="str">
        <f t="shared" si="478"/>
        <v/>
      </c>
      <c r="BW968" s="267"/>
      <c r="BX968" s="256" t="str">
        <f t="shared" si="479"/>
        <v/>
      </c>
      <c r="BY968" s="256" t="str">
        <f t="shared" si="480"/>
        <v/>
      </c>
      <c r="BZ968" s="281"/>
      <c r="CA968" s="282"/>
      <c r="CF968" s="284"/>
      <c r="CG968" s="284"/>
      <c r="CH968" s="284"/>
      <c r="CI968" s="284"/>
      <c r="CL968" s="356" t="str">
        <f>IFERROR(VLOOKUP(C968,'Data Sheet'!$A$3:$B$26,2,FALSE),"")</f>
        <v/>
      </c>
    </row>
    <row r="969" spans="1:90" ht="15.75" x14ac:dyDescent="0.2">
      <c r="A969" s="97"/>
      <c r="B969" s="105" t="str">
        <f t="shared" si="454"/>
        <v>--</v>
      </c>
      <c r="C969" s="276"/>
      <c r="D969" s="101" t="str">
        <f>IFERROR(IF(VLOOKUP(C969,'Data Sheet'!$A$3:$D$26,4,FALSE)=0,"",VLOOKUP(C969,'Data Sheet'!$A$3:$D$26,4,FALSE)),"")</f>
        <v/>
      </c>
      <c r="E969" s="279"/>
      <c r="F969" s="103" t="str">
        <f>IFERROR(IF(VLOOKUP(E969,'Data Sheet'!$C$29:$E$174,3,FALSE)=0,"",VLOOKUP(E969,'Data Sheet'!$C$29:$E$174,3,FALSE)),"")</f>
        <v/>
      </c>
      <c r="G969" s="106" t="str">
        <f t="shared" si="481"/>
        <v>-</v>
      </c>
      <c r="H969" s="273"/>
      <c r="I969" s="107"/>
      <c r="J969" s="249" t="e">
        <f t="shared" si="482"/>
        <v>#VALUE!</v>
      </c>
      <c r="K969" s="101" t="str">
        <f>IFERROR(INDEX('Data Sheet'!$C$198:$C$275,MATCH(I969,'Data Sheet'!$F$198:$F$275,0)),"")</f>
        <v/>
      </c>
      <c r="L969" s="250" t="str">
        <f>IFERROR(INDEX('Data Sheet'!$G$198:$G$275,MATCH(I969,'Data Sheet'!$F$198:$F$275,0)),"")</f>
        <v/>
      </c>
      <c r="M969" s="194"/>
      <c r="N969" s="248"/>
      <c r="O969" s="248"/>
      <c r="P969" s="108" t="str">
        <f>IFERROR(INDEX(Setup!$D$44:$D$70,MATCH(M969,Setup!$K$44:$K$70,0))&amp;"","")</f>
        <v/>
      </c>
      <c r="Q969" s="108" t="str">
        <f>IFERROR(INDEX(Setup!$E$44:$E$70,MATCH(M969,Setup!$K$44:$K$70,0))&amp;"","")</f>
        <v/>
      </c>
      <c r="R969" s="108" t="str">
        <f>IFERROR(INDEX(Setup!$L$44:$L$70,MATCH(M969,Setup!$K$44:$K$70,0))&amp;"","")</f>
        <v/>
      </c>
      <c r="S969" s="108" t="str">
        <f>Setup!$C$30</f>
        <v>USD</v>
      </c>
      <c r="T969" s="109" t="str">
        <f>IFERROR(INDEX('Data Sheet'!$B$198:$B$275,MATCH(I969,'Data Sheet'!$F$198:$F$275,0)),"")</f>
        <v/>
      </c>
      <c r="U969" s="110" t="str">
        <f>IFERROR(INDEX('Data Sheet'!$D$198:$D$275,MATCH(I969,'Data Sheet'!$F$198:$F$275,0)),"")</f>
        <v/>
      </c>
      <c r="V969" s="99"/>
      <c r="W969" s="195" t="str">
        <f>IF(V969=Setup!$C$30,"Grant",IF(V969=Setup!$C$31,"Local",IF(V969=Setup!$C$32,"Other",IF(ISBLANK(V969),"","Other"))))</f>
        <v/>
      </c>
      <c r="X969" s="255"/>
      <c r="Y969" s="259" t="str">
        <f>IF(X969&lt;&gt;"",X969/VLOOKUP($V969,Setup!$C$30:$D$41,2,0),"")</f>
        <v/>
      </c>
      <c r="Z969" s="262"/>
      <c r="AA969" s="256" t="str">
        <f t="shared" si="455"/>
        <v/>
      </c>
      <c r="AB969" s="262"/>
      <c r="AC969" s="258" t="str">
        <f t="shared" si="456"/>
        <v/>
      </c>
      <c r="AD969" s="262"/>
      <c r="AE969" s="258" t="str">
        <f t="shared" si="457"/>
        <v/>
      </c>
      <c r="AF969" s="262"/>
      <c r="AG969" s="256" t="str">
        <f t="shared" si="458"/>
        <v/>
      </c>
      <c r="AH969" s="256" t="str">
        <f t="shared" si="459"/>
        <v/>
      </c>
      <c r="AI969" s="256" t="str">
        <f t="shared" si="460"/>
        <v/>
      </c>
      <c r="AJ969" s="111"/>
      <c r="AK969" s="255"/>
      <c r="AL969" s="259" t="str">
        <f>IF(AK969&lt;&gt;"",AK969/VLOOKUP($V969,Setup!$C$30:$D$41,2,0),"")</f>
        <v/>
      </c>
      <c r="AM969" s="266"/>
      <c r="AN969" s="258" t="str">
        <f t="shared" si="461"/>
        <v/>
      </c>
      <c r="AO969" s="266"/>
      <c r="AP969" s="258" t="str">
        <f t="shared" si="462"/>
        <v/>
      </c>
      <c r="AQ969" s="266"/>
      <c r="AR969" s="258" t="str">
        <f t="shared" si="463"/>
        <v/>
      </c>
      <c r="AS969" s="266"/>
      <c r="AT969" s="256" t="str">
        <f t="shared" si="464"/>
        <v/>
      </c>
      <c r="AU969" s="256" t="str">
        <f t="shared" si="465"/>
        <v/>
      </c>
      <c r="AV969" s="256" t="str">
        <f t="shared" si="466"/>
        <v/>
      </c>
      <c r="AW969" s="267"/>
      <c r="AX969" s="255"/>
      <c r="AY969" s="259" t="str">
        <f>IF(AX969&lt;&gt;"",AX969/VLOOKUP($V969,Setup!$C$30:$D$41,2,0),"")</f>
        <v/>
      </c>
      <c r="AZ969" s="268"/>
      <c r="BA969" s="258" t="str">
        <f t="shared" si="467"/>
        <v/>
      </c>
      <c r="BB969" s="268"/>
      <c r="BC969" s="258" t="str">
        <f t="shared" si="468"/>
        <v/>
      </c>
      <c r="BD969" s="268"/>
      <c r="BE969" s="258" t="str">
        <f t="shared" si="469"/>
        <v/>
      </c>
      <c r="BF969" s="268"/>
      <c r="BG969" s="256" t="str">
        <f t="shared" si="470"/>
        <v/>
      </c>
      <c r="BH969" s="256" t="str">
        <f t="shared" si="471"/>
        <v/>
      </c>
      <c r="BI969" s="256" t="str">
        <f t="shared" si="472"/>
        <v/>
      </c>
      <c r="BJ969" s="267"/>
      <c r="BK969" s="255"/>
      <c r="BL969" s="259" t="str">
        <f>IF(BK969&lt;&gt;"",BK969/VLOOKUP($V969,Setup!$C$30:$D$41,2,0),"")</f>
        <v/>
      </c>
      <c r="BM969" s="268"/>
      <c r="BN969" s="258" t="str">
        <f t="shared" si="473"/>
        <v/>
      </c>
      <c r="BO969" s="268"/>
      <c r="BP969" s="258" t="str">
        <f t="shared" si="474"/>
        <v/>
      </c>
      <c r="BQ969" s="268"/>
      <c r="BR969" s="258" t="str">
        <f t="shared" si="475"/>
        <v/>
      </c>
      <c r="BS969" s="268"/>
      <c r="BT969" s="256" t="str">
        <f t="shared" si="476"/>
        <v/>
      </c>
      <c r="BU969" s="256" t="str">
        <f t="shared" si="477"/>
        <v/>
      </c>
      <c r="BV969" s="256" t="str">
        <f t="shared" si="478"/>
        <v/>
      </c>
      <c r="BW969" s="267"/>
      <c r="BX969" s="256" t="str">
        <f t="shared" si="479"/>
        <v/>
      </c>
      <c r="BY969" s="256" t="str">
        <f t="shared" si="480"/>
        <v/>
      </c>
      <c r="BZ969" s="281"/>
      <c r="CA969" s="282"/>
      <c r="CF969" s="284"/>
      <c r="CG969" s="284"/>
      <c r="CH969" s="284"/>
      <c r="CI969" s="284"/>
      <c r="CL969" s="356" t="str">
        <f>IFERROR(VLOOKUP(C969,'Data Sheet'!$A$3:$B$26,2,FALSE),"")</f>
        <v/>
      </c>
    </row>
    <row r="970" spans="1:90" ht="15.75" x14ac:dyDescent="0.2">
      <c r="A970" s="97"/>
      <c r="B970" s="105" t="str">
        <f t="shared" si="454"/>
        <v>--</v>
      </c>
      <c r="C970" s="276"/>
      <c r="D970" s="101" t="str">
        <f>IFERROR(IF(VLOOKUP(C970,'Data Sheet'!$A$3:$D$26,4,FALSE)=0,"",VLOOKUP(C970,'Data Sheet'!$A$3:$D$26,4,FALSE)),"")</f>
        <v/>
      </c>
      <c r="E970" s="279"/>
      <c r="F970" s="103" t="str">
        <f>IFERROR(IF(VLOOKUP(E970,'Data Sheet'!$C$29:$E$174,3,FALSE)=0,"",VLOOKUP(E970,'Data Sheet'!$C$29:$E$174,3,FALSE)),"")</f>
        <v/>
      </c>
      <c r="G970" s="106" t="str">
        <f t="shared" si="481"/>
        <v>-</v>
      </c>
      <c r="H970" s="273"/>
      <c r="I970" s="107"/>
      <c r="J970" s="249" t="e">
        <f t="shared" si="482"/>
        <v>#VALUE!</v>
      </c>
      <c r="K970" s="101" t="str">
        <f>IFERROR(INDEX('Data Sheet'!$C$198:$C$275,MATCH(I970,'Data Sheet'!$F$198:$F$275,0)),"")</f>
        <v/>
      </c>
      <c r="L970" s="250" t="str">
        <f>IFERROR(INDEX('Data Sheet'!$G$198:$G$275,MATCH(I970,'Data Sheet'!$F$198:$F$275,0)),"")</f>
        <v/>
      </c>
      <c r="M970" s="194"/>
      <c r="N970" s="248"/>
      <c r="O970" s="248"/>
      <c r="P970" s="108" t="str">
        <f>IFERROR(INDEX(Setup!$D$44:$D$70,MATCH(M970,Setup!$K$44:$K$70,0))&amp;"","")</f>
        <v/>
      </c>
      <c r="Q970" s="108" t="str">
        <f>IFERROR(INDEX(Setup!$E$44:$E$70,MATCH(M970,Setup!$K$44:$K$70,0))&amp;"","")</f>
        <v/>
      </c>
      <c r="R970" s="108" t="str">
        <f>IFERROR(INDEX(Setup!$L$44:$L$70,MATCH(M970,Setup!$K$44:$K$70,0))&amp;"","")</f>
        <v/>
      </c>
      <c r="S970" s="108" t="str">
        <f>Setup!$C$30</f>
        <v>USD</v>
      </c>
      <c r="T970" s="109" t="str">
        <f>IFERROR(INDEX('Data Sheet'!$B$198:$B$275,MATCH(I970,'Data Sheet'!$F$198:$F$275,0)),"")</f>
        <v/>
      </c>
      <c r="U970" s="110" t="str">
        <f>IFERROR(INDEX('Data Sheet'!$D$198:$D$275,MATCH(I970,'Data Sheet'!$F$198:$F$275,0)),"")</f>
        <v/>
      </c>
      <c r="V970" s="99"/>
      <c r="W970" s="195" t="str">
        <f>IF(V970=Setup!$C$30,"Grant",IF(V970=Setup!$C$31,"Local",IF(V970=Setup!$C$32,"Other",IF(ISBLANK(V970),"","Other"))))</f>
        <v/>
      </c>
      <c r="X970" s="255"/>
      <c r="Y970" s="259" t="str">
        <f>IF(X970&lt;&gt;"",X970/VLOOKUP($V970,Setup!$C$30:$D$41,2,0),"")</f>
        <v/>
      </c>
      <c r="Z970" s="262"/>
      <c r="AA970" s="256" t="str">
        <f t="shared" si="455"/>
        <v/>
      </c>
      <c r="AB970" s="262"/>
      <c r="AC970" s="258" t="str">
        <f t="shared" si="456"/>
        <v/>
      </c>
      <c r="AD970" s="262"/>
      <c r="AE970" s="258" t="str">
        <f t="shared" si="457"/>
        <v/>
      </c>
      <c r="AF970" s="262"/>
      <c r="AG970" s="256" t="str">
        <f t="shared" si="458"/>
        <v/>
      </c>
      <c r="AH970" s="256" t="str">
        <f t="shared" si="459"/>
        <v/>
      </c>
      <c r="AI970" s="256" t="str">
        <f t="shared" si="460"/>
        <v/>
      </c>
      <c r="AJ970" s="111"/>
      <c r="AK970" s="255"/>
      <c r="AL970" s="259" t="str">
        <f>IF(AK970&lt;&gt;"",AK970/VLOOKUP($V970,Setup!$C$30:$D$41,2,0),"")</f>
        <v/>
      </c>
      <c r="AM970" s="266"/>
      <c r="AN970" s="258" t="str">
        <f t="shared" si="461"/>
        <v/>
      </c>
      <c r="AO970" s="266"/>
      <c r="AP970" s="258" t="str">
        <f t="shared" si="462"/>
        <v/>
      </c>
      <c r="AQ970" s="266"/>
      <c r="AR970" s="258" t="str">
        <f t="shared" si="463"/>
        <v/>
      </c>
      <c r="AS970" s="266"/>
      <c r="AT970" s="256" t="str">
        <f t="shared" si="464"/>
        <v/>
      </c>
      <c r="AU970" s="256" t="str">
        <f t="shared" si="465"/>
        <v/>
      </c>
      <c r="AV970" s="256" t="str">
        <f t="shared" si="466"/>
        <v/>
      </c>
      <c r="AW970" s="267"/>
      <c r="AX970" s="255"/>
      <c r="AY970" s="259" t="str">
        <f>IF(AX970&lt;&gt;"",AX970/VLOOKUP($V970,Setup!$C$30:$D$41,2,0),"")</f>
        <v/>
      </c>
      <c r="AZ970" s="268"/>
      <c r="BA970" s="258" t="str">
        <f t="shared" si="467"/>
        <v/>
      </c>
      <c r="BB970" s="268"/>
      <c r="BC970" s="258" t="str">
        <f t="shared" si="468"/>
        <v/>
      </c>
      <c r="BD970" s="268"/>
      <c r="BE970" s="258" t="str">
        <f t="shared" si="469"/>
        <v/>
      </c>
      <c r="BF970" s="268"/>
      <c r="BG970" s="256" t="str">
        <f t="shared" si="470"/>
        <v/>
      </c>
      <c r="BH970" s="256" t="str">
        <f t="shared" si="471"/>
        <v/>
      </c>
      <c r="BI970" s="256" t="str">
        <f t="shared" si="472"/>
        <v/>
      </c>
      <c r="BJ970" s="267"/>
      <c r="BK970" s="255"/>
      <c r="BL970" s="259" t="str">
        <f>IF(BK970&lt;&gt;"",BK970/VLOOKUP($V970,Setup!$C$30:$D$41,2,0),"")</f>
        <v/>
      </c>
      <c r="BM970" s="268"/>
      <c r="BN970" s="258" t="str">
        <f t="shared" si="473"/>
        <v/>
      </c>
      <c r="BO970" s="268"/>
      <c r="BP970" s="258" t="str">
        <f t="shared" si="474"/>
        <v/>
      </c>
      <c r="BQ970" s="268"/>
      <c r="BR970" s="258" t="str">
        <f t="shared" si="475"/>
        <v/>
      </c>
      <c r="BS970" s="268"/>
      <c r="BT970" s="256" t="str">
        <f t="shared" si="476"/>
        <v/>
      </c>
      <c r="BU970" s="256" t="str">
        <f t="shared" si="477"/>
        <v/>
      </c>
      <c r="BV970" s="256" t="str">
        <f t="shared" si="478"/>
        <v/>
      </c>
      <c r="BW970" s="267"/>
      <c r="BX970" s="256" t="str">
        <f t="shared" si="479"/>
        <v/>
      </c>
      <c r="BY970" s="256" t="str">
        <f t="shared" si="480"/>
        <v/>
      </c>
      <c r="BZ970" s="281"/>
      <c r="CA970" s="282"/>
      <c r="CF970" s="284"/>
      <c r="CG970" s="284"/>
      <c r="CH970" s="284"/>
      <c r="CI970" s="284"/>
      <c r="CL970" s="356" t="str">
        <f>IFERROR(VLOOKUP(C970,'Data Sheet'!$A$3:$B$26,2,FALSE),"")</f>
        <v/>
      </c>
    </row>
    <row r="971" spans="1:90" ht="15.75" x14ac:dyDescent="0.2">
      <c r="A971" s="97"/>
      <c r="B971" s="105" t="str">
        <f t="shared" si="454"/>
        <v>--</v>
      </c>
      <c r="C971" s="276"/>
      <c r="D971" s="101" t="str">
        <f>IFERROR(IF(VLOOKUP(C971,'Data Sheet'!$A$3:$D$26,4,FALSE)=0,"",VLOOKUP(C971,'Data Sheet'!$A$3:$D$26,4,FALSE)),"")</f>
        <v/>
      </c>
      <c r="E971" s="279"/>
      <c r="F971" s="103" t="str">
        <f>IFERROR(IF(VLOOKUP(E971,'Data Sheet'!$C$29:$E$174,3,FALSE)=0,"",VLOOKUP(E971,'Data Sheet'!$C$29:$E$174,3,FALSE)),"")</f>
        <v/>
      </c>
      <c r="G971" s="106" t="str">
        <f t="shared" si="481"/>
        <v>-</v>
      </c>
      <c r="H971" s="273"/>
      <c r="I971" s="107"/>
      <c r="J971" s="249" t="e">
        <f t="shared" si="482"/>
        <v>#VALUE!</v>
      </c>
      <c r="K971" s="101" t="str">
        <f>IFERROR(INDEX('Data Sheet'!$C$198:$C$275,MATCH(I971,'Data Sheet'!$F$198:$F$275,0)),"")</f>
        <v/>
      </c>
      <c r="L971" s="250" t="str">
        <f>IFERROR(INDEX('Data Sheet'!$G$198:$G$275,MATCH(I971,'Data Sheet'!$F$198:$F$275,0)),"")</f>
        <v/>
      </c>
      <c r="M971" s="194"/>
      <c r="N971" s="248"/>
      <c r="O971" s="248"/>
      <c r="P971" s="108" t="str">
        <f>IFERROR(INDEX(Setup!$D$44:$D$70,MATCH(M971,Setup!$K$44:$K$70,0))&amp;"","")</f>
        <v/>
      </c>
      <c r="Q971" s="108" t="str">
        <f>IFERROR(INDEX(Setup!$E$44:$E$70,MATCH(M971,Setup!$K$44:$K$70,0))&amp;"","")</f>
        <v/>
      </c>
      <c r="R971" s="108" t="str">
        <f>IFERROR(INDEX(Setup!$L$44:$L$70,MATCH(M971,Setup!$K$44:$K$70,0))&amp;"","")</f>
        <v/>
      </c>
      <c r="S971" s="108" t="str">
        <f>Setup!$C$30</f>
        <v>USD</v>
      </c>
      <c r="T971" s="109" t="str">
        <f>IFERROR(INDEX('Data Sheet'!$B$198:$B$275,MATCH(I971,'Data Sheet'!$F$198:$F$275,0)),"")</f>
        <v/>
      </c>
      <c r="U971" s="110" t="str">
        <f>IFERROR(INDEX('Data Sheet'!$D$198:$D$275,MATCH(I971,'Data Sheet'!$F$198:$F$275,0)),"")</f>
        <v/>
      </c>
      <c r="V971" s="99"/>
      <c r="W971" s="195" t="str">
        <f>IF(V971=Setup!$C$30,"Grant",IF(V971=Setup!$C$31,"Local",IF(V971=Setup!$C$32,"Other",IF(ISBLANK(V971),"","Other"))))</f>
        <v/>
      </c>
      <c r="X971" s="255"/>
      <c r="Y971" s="259" t="str">
        <f>IF(X971&lt;&gt;"",X971/VLOOKUP($V971,Setup!$C$30:$D$41,2,0),"")</f>
        <v/>
      </c>
      <c r="Z971" s="262"/>
      <c r="AA971" s="256" t="str">
        <f t="shared" si="455"/>
        <v/>
      </c>
      <c r="AB971" s="262"/>
      <c r="AC971" s="258" t="str">
        <f t="shared" si="456"/>
        <v/>
      </c>
      <c r="AD971" s="262"/>
      <c r="AE971" s="258" t="str">
        <f t="shared" si="457"/>
        <v/>
      </c>
      <c r="AF971" s="262"/>
      <c r="AG971" s="256" t="str">
        <f t="shared" si="458"/>
        <v/>
      </c>
      <c r="AH971" s="256" t="str">
        <f t="shared" si="459"/>
        <v/>
      </c>
      <c r="AI971" s="256" t="str">
        <f t="shared" si="460"/>
        <v/>
      </c>
      <c r="AJ971" s="111"/>
      <c r="AK971" s="255"/>
      <c r="AL971" s="259" t="str">
        <f>IF(AK971&lt;&gt;"",AK971/VLOOKUP($V971,Setup!$C$30:$D$41,2,0),"")</f>
        <v/>
      </c>
      <c r="AM971" s="266"/>
      <c r="AN971" s="258" t="str">
        <f t="shared" si="461"/>
        <v/>
      </c>
      <c r="AO971" s="266"/>
      <c r="AP971" s="258" t="str">
        <f t="shared" si="462"/>
        <v/>
      </c>
      <c r="AQ971" s="266"/>
      <c r="AR971" s="258" t="str">
        <f t="shared" si="463"/>
        <v/>
      </c>
      <c r="AS971" s="266"/>
      <c r="AT971" s="256" t="str">
        <f t="shared" si="464"/>
        <v/>
      </c>
      <c r="AU971" s="256" t="str">
        <f t="shared" si="465"/>
        <v/>
      </c>
      <c r="AV971" s="256" t="str">
        <f t="shared" si="466"/>
        <v/>
      </c>
      <c r="AW971" s="267"/>
      <c r="AX971" s="255"/>
      <c r="AY971" s="259" t="str">
        <f>IF(AX971&lt;&gt;"",AX971/VLOOKUP($V971,Setup!$C$30:$D$41,2,0),"")</f>
        <v/>
      </c>
      <c r="AZ971" s="268"/>
      <c r="BA971" s="258" t="str">
        <f t="shared" si="467"/>
        <v/>
      </c>
      <c r="BB971" s="268"/>
      <c r="BC971" s="258" t="str">
        <f t="shared" si="468"/>
        <v/>
      </c>
      <c r="BD971" s="268"/>
      <c r="BE971" s="258" t="str">
        <f t="shared" si="469"/>
        <v/>
      </c>
      <c r="BF971" s="268"/>
      <c r="BG971" s="256" t="str">
        <f t="shared" si="470"/>
        <v/>
      </c>
      <c r="BH971" s="256" t="str">
        <f t="shared" si="471"/>
        <v/>
      </c>
      <c r="BI971" s="256" t="str">
        <f t="shared" si="472"/>
        <v/>
      </c>
      <c r="BJ971" s="267"/>
      <c r="BK971" s="255"/>
      <c r="BL971" s="259" t="str">
        <f>IF(BK971&lt;&gt;"",BK971/VLOOKUP($V971,Setup!$C$30:$D$41,2,0),"")</f>
        <v/>
      </c>
      <c r="BM971" s="268"/>
      <c r="BN971" s="258" t="str">
        <f t="shared" si="473"/>
        <v/>
      </c>
      <c r="BO971" s="268"/>
      <c r="BP971" s="258" t="str">
        <f t="shared" si="474"/>
        <v/>
      </c>
      <c r="BQ971" s="268"/>
      <c r="BR971" s="258" t="str">
        <f t="shared" si="475"/>
        <v/>
      </c>
      <c r="BS971" s="268"/>
      <c r="BT971" s="256" t="str">
        <f t="shared" si="476"/>
        <v/>
      </c>
      <c r="BU971" s="256" t="str">
        <f t="shared" si="477"/>
        <v/>
      </c>
      <c r="BV971" s="256" t="str">
        <f t="shared" si="478"/>
        <v/>
      </c>
      <c r="BW971" s="267"/>
      <c r="BX971" s="256" t="str">
        <f t="shared" si="479"/>
        <v/>
      </c>
      <c r="BY971" s="256" t="str">
        <f t="shared" si="480"/>
        <v/>
      </c>
      <c r="BZ971" s="281"/>
      <c r="CA971" s="282"/>
      <c r="CF971" s="284"/>
      <c r="CG971" s="284"/>
      <c r="CH971" s="284"/>
      <c r="CI971" s="284"/>
      <c r="CL971" s="356" t="str">
        <f>IFERROR(VLOOKUP(C971,'Data Sheet'!$A$3:$B$26,2,FALSE),"")</f>
        <v/>
      </c>
    </row>
    <row r="972" spans="1:90" ht="15.75" x14ac:dyDescent="0.2">
      <c r="A972" s="97"/>
      <c r="B972" s="105" t="str">
        <f t="shared" si="454"/>
        <v>--</v>
      </c>
      <c r="C972" s="276"/>
      <c r="D972" s="101" t="str">
        <f>IFERROR(IF(VLOOKUP(C972,'Data Sheet'!$A$3:$D$26,4,FALSE)=0,"",VLOOKUP(C972,'Data Sheet'!$A$3:$D$26,4,FALSE)),"")</f>
        <v/>
      </c>
      <c r="E972" s="279"/>
      <c r="F972" s="103" t="str">
        <f>IFERROR(IF(VLOOKUP(E972,'Data Sheet'!$C$29:$E$174,3,FALSE)=0,"",VLOOKUP(E972,'Data Sheet'!$C$29:$E$174,3,FALSE)),"")</f>
        <v/>
      </c>
      <c r="G972" s="106" t="str">
        <f t="shared" si="481"/>
        <v>-</v>
      </c>
      <c r="H972" s="273"/>
      <c r="I972" s="107"/>
      <c r="J972" s="249" t="e">
        <f t="shared" si="482"/>
        <v>#VALUE!</v>
      </c>
      <c r="K972" s="101" t="str">
        <f>IFERROR(INDEX('Data Sheet'!$C$198:$C$275,MATCH(I972,'Data Sheet'!$F$198:$F$275,0)),"")</f>
        <v/>
      </c>
      <c r="L972" s="250" t="str">
        <f>IFERROR(INDEX('Data Sheet'!$G$198:$G$275,MATCH(I972,'Data Sheet'!$F$198:$F$275,0)),"")</f>
        <v/>
      </c>
      <c r="M972" s="194"/>
      <c r="N972" s="248"/>
      <c r="O972" s="248"/>
      <c r="P972" s="108" t="str">
        <f>IFERROR(INDEX(Setup!$D$44:$D$70,MATCH(M972,Setup!$K$44:$K$70,0))&amp;"","")</f>
        <v/>
      </c>
      <c r="Q972" s="108" t="str">
        <f>IFERROR(INDEX(Setup!$E$44:$E$70,MATCH(M972,Setup!$K$44:$K$70,0))&amp;"","")</f>
        <v/>
      </c>
      <c r="R972" s="108" t="str">
        <f>IFERROR(INDEX(Setup!$L$44:$L$70,MATCH(M972,Setup!$K$44:$K$70,0))&amp;"","")</f>
        <v/>
      </c>
      <c r="S972" s="108" t="str">
        <f>Setup!$C$30</f>
        <v>USD</v>
      </c>
      <c r="T972" s="109" t="str">
        <f>IFERROR(INDEX('Data Sheet'!$B$198:$B$275,MATCH(I972,'Data Sheet'!$F$198:$F$275,0)),"")</f>
        <v/>
      </c>
      <c r="U972" s="110" t="str">
        <f>IFERROR(INDEX('Data Sheet'!$D$198:$D$275,MATCH(I972,'Data Sheet'!$F$198:$F$275,0)),"")</f>
        <v/>
      </c>
      <c r="V972" s="99"/>
      <c r="W972" s="195" t="str">
        <f>IF(V972=Setup!$C$30,"Grant",IF(V972=Setup!$C$31,"Local",IF(V972=Setup!$C$32,"Other",IF(ISBLANK(V972),"","Other"))))</f>
        <v/>
      </c>
      <c r="X972" s="255"/>
      <c r="Y972" s="259" t="str">
        <f>IF(X972&lt;&gt;"",X972/VLOOKUP($V972,Setup!$C$30:$D$41,2,0),"")</f>
        <v/>
      </c>
      <c r="Z972" s="262"/>
      <c r="AA972" s="256" t="str">
        <f t="shared" si="455"/>
        <v/>
      </c>
      <c r="AB972" s="262"/>
      <c r="AC972" s="258" t="str">
        <f t="shared" si="456"/>
        <v/>
      </c>
      <c r="AD972" s="262"/>
      <c r="AE972" s="258" t="str">
        <f t="shared" si="457"/>
        <v/>
      </c>
      <c r="AF972" s="262"/>
      <c r="AG972" s="256" t="str">
        <f t="shared" si="458"/>
        <v/>
      </c>
      <c r="AH972" s="256" t="str">
        <f t="shared" si="459"/>
        <v/>
      </c>
      <c r="AI972" s="256" t="str">
        <f t="shared" si="460"/>
        <v/>
      </c>
      <c r="AJ972" s="111"/>
      <c r="AK972" s="255"/>
      <c r="AL972" s="259" t="str">
        <f>IF(AK972&lt;&gt;"",AK972/VLOOKUP($V972,Setup!$C$30:$D$41,2,0),"")</f>
        <v/>
      </c>
      <c r="AM972" s="266"/>
      <c r="AN972" s="258" t="str">
        <f t="shared" si="461"/>
        <v/>
      </c>
      <c r="AO972" s="266"/>
      <c r="AP972" s="258" t="str">
        <f t="shared" si="462"/>
        <v/>
      </c>
      <c r="AQ972" s="266"/>
      <c r="AR972" s="258" t="str">
        <f t="shared" si="463"/>
        <v/>
      </c>
      <c r="AS972" s="266"/>
      <c r="AT972" s="256" t="str">
        <f t="shared" si="464"/>
        <v/>
      </c>
      <c r="AU972" s="256" t="str">
        <f t="shared" si="465"/>
        <v/>
      </c>
      <c r="AV972" s="256" t="str">
        <f t="shared" si="466"/>
        <v/>
      </c>
      <c r="AW972" s="267"/>
      <c r="AX972" s="255"/>
      <c r="AY972" s="259" t="str">
        <f>IF(AX972&lt;&gt;"",AX972/VLOOKUP($V972,Setup!$C$30:$D$41,2,0),"")</f>
        <v/>
      </c>
      <c r="AZ972" s="268"/>
      <c r="BA972" s="258" t="str">
        <f t="shared" si="467"/>
        <v/>
      </c>
      <c r="BB972" s="268"/>
      <c r="BC972" s="258" t="str">
        <f t="shared" si="468"/>
        <v/>
      </c>
      <c r="BD972" s="268"/>
      <c r="BE972" s="258" t="str">
        <f t="shared" si="469"/>
        <v/>
      </c>
      <c r="BF972" s="268"/>
      <c r="BG972" s="256" t="str">
        <f t="shared" si="470"/>
        <v/>
      </c>
      <c r="BH972" s="256" t="str">
        <f t="shared" si="471"/>
        <v/>
      </c>
      <c r="BI972" s="256" t="str">
        <f t="shared" si="472"/>
        <v/>
      </c>
      <c r="BJ972" s="267"/>
      <c r="BK972" s="255"/>
      <c r="BL972" s="259" t="str">
        <f>IF(BK972&lt;&gt;"",BK972/VLOOKUP($V972,Setup!$C$30:$D$41,2,0),"")</f>
        <v/>
      </c>
      <c r="BM972" s="268"/>
      <c r="BN972" s="258" t="str">
        <f t="shared" si="473"/>
        <v/>
      </c>
      <c r="BO972" s="268"/>
      <c r="BP972" s="258" t="str">
        <f t="shared" si="474"/>
        <v/>
      </c>
      <c r="BQ972" s="268"/>
      <c r="BR972" s="258" t="str">
        <f t="shared" si="475"/>
        <v/>
      </c>
      <c r="BS972" s="268"/>
      <c r="BT972" s="256" t="str">
        <f t="shared" si="476"/>
        <v/>
      </c>
      <c r="BU972" s="256" t="str">
        <f t="shared" si="477"/>
        <v/>
      </c>
      <c r="BV972" s="256" t="str">
        <f t="shared" si="478"/>
        <v/>
      </c>
      <c r="BW972" s="267"/>
      <c r="BX972" s="256" t="str">
        <f t="shared" si="479"/>
        <v/>
      </c>
      <c r="BY972" s="256" t="str">
        <f t="shared" si="480"/>
        <v/>
      </c>
      <c r="BZ972" s="281"/>
      <c r="CA972" s="282"/>
      <c r="CF972" s="284"/>
      <c r="CG972" s="284"/>
      <c r="CH972" s="284"/>
      <c r="CI972" s="284"/>
      <c r="CL972" s="356" t="str">
        <f>IFERROR(VLOOKUP(C972,'Data Sheet'!$A$3:$B$26,2,FALSE),"")</f>
        <v/>
      </c>
    </row>
    <row r="973" spans="1:90" ht="15.75" x14ac:dyDescent="0.2">
      <c r="A973" s="97"/>
      <c r="B973" s="105" t="str">
        <f t="shared" si="454"/>
        <v>--</v>
      </c>
      <c r="C973" s="276"/>
      <c r="D973" s="101" t="str">
        <f>IFERROR(IF(VLOOKUP(C973,'Data Sheet'!$A$3:$D$26,4,FALSE)=0,"",VLOOKUP(C973,'Data Sheet'!$A$3:$D$26,4,FALSE)),"")</f>
        <v/>
      </c>
      <c r="E973" s="279"/>
      <c r="F973" s="103" t="str">
        <f>IFERROR(IF(VLOOKUP(E973,'Data Sheet'!$C$29:$E$174,3,FALSE)=0,"",VLOOKUP(E973,'Data Sheet'!$C$29:$E$174,3,FALSE)),"")</f>
        <v/>
      </c>
      <c r="G973" s="106" t="str">
        <f t="shared" si="481"/>
        <v>-</v>
      </c>
      <c r="H973" s="273"/>
      <c r="I973" s="107"/>
      <c r="J973" s="249" t="e">
        <f t="shared" si="482"/>
        <v>#VALUE!</v>
      </c>
      <c r="K973" s="101" t="str">
        <f>IFERROR(INDEX('Data Sheet'!$C$198:$C$275,MATCH(I973,'Data Sheet'!$F$198:$F$275,0)),"")</f>
        <v/>
      </c>
      <c r="L973" s="250" t="str">
        <f>IFERROR(INDEX('Data Sheet'!$G$198:$G$275,MATCH(I973,'Data Sheet'!$F$198:$F$275,0)),"")</f>
        <v/>
      </c>
      <c r="M973" s="194"/>
      <c r="N973" s="248"/>
      <c r="O973" s="248"/>
      <c r="P973" s="108" t="str">
        <f>IFERROR(INDEX(Setup!$D$44:$D$70,MATCH(M973,Setup!$K$44:$K$70,0))&amp;"","")</f>
        <v/>
      </c>
      <c r="Q973" s="108" t="str">
        <f>IFERROR(INDEX(Setup!$E$44:$E$70,MATCH(M973,Setup!$K$44:$K$70,0))&amp;"","")</f>
        <v/>
      </c>
      <c r="R973" s="108" t="str">
        <f>IFERROR(INDEX(Setup!$L$44:$L$70,MATCH(M973,Setup!$K$44:$K$70,0))&amp;"","")</f>
        <v/>
      </c>
      <c r="S973" s="108" t="str">
        <f>Setup!$C$30</f>
        <v>USD</v>
      </c>
      <c r="T973" s="109" t="str">
        <f>IFERROR(INDEX('Data Sheet'!$B$198:$B$275,MATCH(I973,'Data Sheet'!$F$198:$F$275,0)),"")</f>
        <v/>
      </c>
      <c r="U973" s="110" t="str">
        <f>IFERROR(INDEX('Data Sheet'!$D$198:$D$275,MATCH(I973,'Data Sheet'!$F$198:$F$275,0)),"")</f>
        <v/>
      </c>
      <c r="V973" s="99"/>
      <c r="W973" s="195" t="str">
        <f>IF(V973=Setup!$C$30,"Grant",IF(V973=Setup!$C$31,"Local",IF(V973=Setup!$C$32,"Other",IF(ISBLANK(V973),"","Other"))))</f>
        <v/>
      </c>
      <c r="X973" s="255"/>
      <c r="Y973" s="259" t="str">
        <f>IF(X973&lt;&gt;"",X973/VLOOKUP($V973,Setup!$C$30:$D$41,2,0),"")</f>
        <v/>
      </c>
      <c r="Z973" s="262"/>
      <c r="AA973" s="256" t="str">
        <f t="shared" si="455"/>
        <v/>
      </c>
      <c r="AB973" s="262"/>
      <c r="AC973" s="258" t="str">
        <f t="shared" si="456"/>
        <v/>
      </c>
      <c r="AD973" s="262"/>
      <c r="AE973" s="258" t="str">
        <f t="shared" si="457"/>
        <v/>
      </c>
      <c r="AF973" s="262"/>
      <c r="AG973" s="256" t="str">
        <f t="shared" si="458"/>
        <v/>
      </c>
      <c r="AH973" s="256" t="str">
        <f t="shared" si="459"/>
        <v/>
      </c>
      <c r="AI973" s="256" t="str">
        <f t="shared" si="460"/>
        <v/>
      </c>
      <c r="AJ973" s="111"/>
      <c r="AK973" s="255"/>
      <c r="AL973" s="259" t="str">
        <f>IF(AK973&lt;&gt;"",AK973/VLOOKUP($V973,Setup!$C$30:$D$41,2,0),"")</f>
        <v/>
      </c>
      <c r="AM973" s="266"/>
      <c r="AN973" s="258" t="str">
        <f t="shared" si="461"/>
        <v/>
      </c>
      <c r="AO973" s="266"/>
      <c r="AP973" s="258" t="str">
        <f t="shared" si="462"/>
        <v/>
      </c>
      <c r="AQ973" s="266"/>
      <c r="AR973" s="258" t="str">
        <f t="shared" si="463"/>
        <v/>
      </c>
      <c r="AS973" s="266"/>
      <c r="AT973" s="256" t="str">
        <f t="shared" si="464"/>
        <v/>
      </c>
      <c r="AU973" s="256" t="str">
        <f t="shared" si="465"/>
        <v/>
      </c>
      <c r="AV973" s="256" t="str">
        <f t="shared" si="466"/>
        <v/>
      </c>
      <c r="AW973" s="267"/>
      <c r="AX973" s="255"/>
      <c r="AY973" s="259" t="str">
        <f>IF(AX973&lt;&gt;"",AX973/VLOOKUP($V973,Setup!$C$30:$D$41,2,0),"")</f>
        <v/>
      </c>
      <c r="AZ973" s="268"/>
      <c r="BA973" s="258" t="str">
        <f t="shared" si="467"/>
        <v/>
      </c>
      <c r="BB973" s="268"/>
      <c r="BC973" s="258" t="str">
        <f t="shared" si="468"/>
        <v/>
      </c>
      <c r="BD973" s="268"/>
      <c r="BE973" s="258" t="str">
        <f t="shared" si="469"/>
        <v/>
      </c>
      <c r="BF973" s="268"/>
      <c r="BG973" s="256" t="str">
        <f t="shared" si="470"/>
        <v/>
      </c>
      <c r="BH973" s="256" t="str">
        <f t="shared" si="471"/>
        <v/>
      </c>
      <c r="BI973" s="256" t="str">
        <f t="shared" si="472"/>
        <v/>
      </c>
      <c r="BJ973" s="267"/>
      <c r="BK973" s="255"/>
      <c r="BL973" s="259" t="str">
        <f>IF(BK973&lt;&gt;"",BK973/VLOOKUP($V973,Setup!$C$30:$D$41,2,0),"")</f>
        <v/>
      </c>
      <c r="BM973" s="268"/>
      <c r="BN973" s="258" t="str">
        <f t="shared" si="473"/>
        <v/>
      </c>
      <c r="BO973" s="268"/>
      <c r="BP973" s="258" t="str">
        <f t="shared" si="474"/>
        <v/>
      </c>
      <c r="BQ973" s="268"/>
      <c r="BR973" s="258" t="str">
        <f t="shared" si="475"/>
        <v/>
      </c>
      <c r="BS973" s="268"/>
      <c r="BT973" s="256" t="str">
        <f t="shared" si="476"/>
        <v/>
      </c>
      <c r="BU973" s="256" t="str">
        <f t="shared" si="477"/>
        <v/>
      </c>
      <c r="BV973" s="256" t="str">
        <f t="shared" si="478"/>
        <v/>
      </c>
      <c r="BW973" s="267"/>
      <c r="BX973" s="256" t="str">
        <f t="shared" si="479"/>
        <v/>
      </c>
      <c r="BY973" s="256" t="str">
        <f t="shared" si="480"/>
        <v/>
      </c>
      <c r="BZ973" s="281"/>
      <c r="CA973" s="282"/>
      <c r="CF973" s="284"/>
      <c r="CG973" s="284"/>
      <c r="CH973" s="284"/>
      <c r="CI973" s="284"/>
      <c r="CL973" s="356" t="str">
        <f>IFERROR(VLOOKUP(C973,'Data Sheet'!$A$3:$B$26,2,FALSE),"")</f>
        <v/>
      </c>
    </row>
    <row r="974" spans="1:90" ht="15.75" x14ac:dyDescent="0.2">
      <c r="A974" s="97"/>
      <c r="B974" s="105" t="str">
        <f t="shared" ref="B974:B1004" si="483">CONCATENATE(D974,"-",F974,"-",N974)</f>
        <v>--</v>
      </c>
      <c r="C974" s="276"/>
      <c r="D974" s="101" t="str">
        <f>IFERROR(IF(VLOOKUP(C974,'Data Sheet'!$A$3:$D$26,4,FALSE)=0,"",VLOOKUP(C974,'Data Sheet'!$A$3:$D$26,4,FALSE)),"")</f>
        <v/>
      </c>
      <c r="E974" s="279"/>
      <c r="F974" s="103" t="str">
        <f>IFERROR(IF(VLOOKUP(E974,'Data Sheet'!$C$29:$E$174,3,FALSE)=0,"",VLOOKUP(E974,'Data Sheet'!$C$29:$E$174,3,FALSE)),"")</f>
        <v/>
      </c>
      <c r="G974" s="106" t="str">
        <f t="shared" si="481"/>
        <v>-</v>
      </c>
      <c r="H974" s="273"/>
      <c r="I974" s="107"/>
      <c r="J974" s="249" t="e">
        <f t="shared" si="482"/>
        <v>#VALUE!</v>
      </c>
      <c r="K974" s="101" t="str">
        <f>IFERROR(INDEX('Data Sheet'!$C$198:$C$275,MATCH(I974,'Data Sheet'!$F$198:$F$275,0)),"")</f>
        <v/>
      </c>
      <c r="L974" s="250" t="str">
        <f>IFERROR(INDEX('Data Sheet'!$G$198:$G$275,MATCH(I974,'Data Sheet'!$F$198:$F$275,0)),"")</f>
        <v/>
      </c>
      <c r="M974" s="194"/>
      <c r="N974" s="248"/>
      <c r="O974" s="248"/>
      <c r="P974" s="108" t="str">
        <f>IFERROR(INDEX(Setup!$D$44:$D$70,MATCH(M974,Setup!$K$44:$K$70,0))&amp;"","")</f>
        <v/>
      </c>
      <c r="Q974" s="108" t="str">
        <f>IFERROR(INDEX(Setup!$E$44:$E$70,MATCH(M974,Setup!$K$44:$K$70,0))&amp;"","")</f>
        <v/>
      </c>
      <c r="R974" s="108" t="str">
        <f>IFERROR(INDEX(Setup!$L$44:$L$70,MATCH(M974,Setup!$K$44:$K$70,0))&amp;"","")</f>
        <v/>
      </c>
      <c r="S974" s="108" t="str">
        <f>Setup!$C$30</f>
        <v>USD</v>
      </c>
      <c r="T974" s="109" t="str">
        <f>IFERROR(INDEX('Data Sheet'!$B$198:$B$275,MATCH(I974,'Data Sheet'!$F$198:$F$275,0)),"")</f>
        <v/>
      </c>
      <c r="U974" s="110" t="str">
        <f>IFERROR(INDEX('Data Sheet'!$D$198:$D$275,MATCH(I974,'Data Sheet'!$F$198:$F$275,0)),"")</f>
        <v/>
      </c>
      <c r="V974" s="99"/>
      <c r="W974" s="195" t="str">
        <f>IF(V974=Setup!$C$30,"Grant",IF(V974=Setup!$C$31,"Local",IF(V974=Setup!$C$32,"Other",IF(ISBLANK(V974),"","Other"))))</f>
        <v/>
      </c>
      <c r="X974" s="255"/>
      <c r="Y974" s="259" t="str">
        <f>IF(X974&lt;&gt;"",X974/VLOOKUP($V974,Setup!$C$30:$D$41,2,0),"")</f>
        <v/>
      </c>
      <c r="Z974" s="262"/>
      <c r="AA974" s="256" t="str">
        <f t="shared" si="455"/>
        <v/>
      </c>
      <c r="AB974" s="262"/>
      <c r="AC974" s="258" t="str">
        <f t="shared" si="456"/>
        <v/>
      </c>
      <c r="AD974" s="262"/>
      <c r="AE974" s="258" t="str">
        <f t="shared" si="457"/>
        <v/>
      </c>
      <c r="AF974" s="262"/>
      <c r="AG974" s="256" t="str">
        <f t="shared" si="458"/>
        <v/>
      </c>
      <c r="AH974" s="256" t="str">
        <f t="shared" si="459"/>
        <v/>
      </c>
      <c r="AI974" s="256" t="str">
        <f t="shared" si="460"/>
        <v/>
      </c>
      <c r="AJ974" s="111"/>
      <c r="AK974" s="255"/>
      <c r="AL974" s="259" t="str">
        <f>IF(AK974&lt;&gt;"",AK974/VLOOKUP($V974,Setup!$C$30:$D$41,2,0),"")</f>
        <v/>
      </c>
      <c r="AM974" s="266"/>
      <c r="AN974" s="258" t="str">
        <f t="shared" si="461"/>
        <v/>
      </c>
      <c r="AO974" s="266"/>
      <c r="AP974" s="258" t="str">
        <f t="shared" si="462"/>
        <v/>
      </c>
      <c r="AQ974" s="266"/>
      <c r="AR974" s="258" t="str">
        <f t="shared" si="463"/>
        <v/>
      </c>
      <c r="AS974" s="266"/>
      <c r="AT974" s="256" t="str">
        <f t="shared" si="464"/>
        <v/>
      </c>
      <c r="AU974" s="256" t="str">
        <f t="shared" si="465"/>
        <v/>
      </c>
      <c r="AV974" s="256" t="str">
        <f t="shared" si="466"/>
        <v/>
      </c>
      <c r="AW974" s="267"/>
      <c r="AX974" s="255"/>
      <c r="AY974" s="259" t="str">
        <f>IF(AX974&lt;&gt;"",AX974/VLOOKUP($V974,Setup!$C$30:$D$41,2,0),"")</f>
        <v/>
      </c>
      <c r="AZ974" s="268"/>
      <c r="BA974" s="258" t="str">
        <f t="shared" si="467"/>
        <v/>
      </c>
      <c r="BB974" s="268"/>
      <c r="BC974" s="258" t="str">
        <f t="shared" si="468"/>
        <v/>
      </c>
      <c r="BD974" s="268"/>
      <c r="BE974" s="258" t="str">
        <f t="shared" si="469"/>
        <v/>
      </c>
      <c r="BF974" s="268"/>
      <c r="BG974" s="256" t="str">
        <f t="shared" si="470"/>
        <v/>
      </c>
      <c r="BH974" s="256" t="str">
        <f t="shared" si="471"/>
        <v/>
      </c>
      <c r="BI974" s="256" t="str">
        <f t="shared" si="472"/>
        <v/>
      </c>
      <c r="BJ974" s="267"/>
      <c r="BK974" s="255"/>
      <c r="BL974" s="259" t="str">
        <f>IF(BK974&lt;&gt;"",BK974/VLOOKUP($V974,Setup!$C$30:$D$41,2,0),"")</f>
        <v/>
      </c>
      <c r="BM974" s="268"/>
      <c r="BN974" s="258" t="str">
        <f t="shared" si="473"/>
        <v/>
      </c>
      <c r="BO974" s="268"/>
      <c r="BP974" s="258" t="str">
        <f t="shared" si="474"/>
        <v/>
      </c>
      <c r="BQ974" s="268"/>
      <c r="BR974" s="258" t="str">
        <f t="shared" si="475"/>
        <v/>
      </c>
      <c r="BS974" s="268"/>
      <c r="BT974" s="256" t="str">
        <f t="shared" si="476"/>
        <v/>
      </c>
      <c r="BU974" s="256" t="str">
        <f t="shared" si="477"/>
        <v/>
      </c>
      <c r="BV974" s="256" t="str">
        <f t="shared" si="478"/>
        <v/>
      </c>
      <c r="BW974" s="267"/>
      <c r="BX974" s="256" t="str">
        <f t="shared" si="479"/>
        <v/>
      </c>
      <c r="BY974" s="256" t="str">
        <f t="shared" si="480"/>
        <v/>
      </c>
      <c r="BZ974" s="281"/>
      <c r="CA974" s="282"/>
      <c r="CF974" s="284"/>
      <c r="CG974" s="284"/>
      <c r="CH974" s="284"/>
      <c r="CI974" s="284"/>
      <c r="CL974" s="356" t="str">
        <f>IFERROR(VLOOKUP(C974,'Data Sheet'!$A$3:$B$26,2,FALSE),"")</f>
        <v/>
      </c>
    </row>
    <row r="975" spans="1:90" ht="15.75" x14ac:dyDescent="0.2">
      <c r="A975" s="97"/>
      <c r="B975" s="105" t="str">
        <f t="shared" si="483"/>
        <v>--</v>
      </c>
      <c r="C975" s="276"/>
      <c r="D975" s="101" t="str">
        <f>IFERROR(IF(VLOOKUP(C975,'Data Sheet'!$A$3:$D$26,4,FALSE)=0,"",VLOOKUP(C975,'Data Sheet'!$A$3:$D$26,4,FALSE)),"")</f>
        <v/>
      </c>
      <c r="E975" s="279"/>
      <c r="F975" s="103" t="str">
        <f>IFERROR(IF(VLOOKUP(E975,'Data Sheet'!$C$29:$E$174,3,FALSE)=0,"",VLOOKUP(E975,'Data Sheet'!$C$29:$E$174,3,FALSE)),"")</f>
        <v/>
      </c>
      <c r="G975" s="106" t="str">
        <f t="shared" si="481"/>
        <v>-</v>
      </c>
      <c r="H975" s="273"/>
      <c r="I975" s="107"/>
      <c r="J975" s="249" t="e">
        <f t="shared" si="482"/>
        <v>#VALUE!</v>
      </c>
      <c r="K975" s="101" t="str">
        <f>IFERROR(INDEX('Data Sheet'!$C$198:$C$275,MATCH(I975,'Data Sheet'!$F$198:$F$275,0)),"")</f>
        <v/>
      </c>
      <c r="L975" s="250" t="str">
        <f>IFERROR(INDEX('Data Sheet'!$G$198:$G$275,MATCH(I975,'Data Sheet'!$F$198:$F$275,0)),"")</f>
        <v/>
      </c>
      <c r="M975" s="194"/>
      <c r="N975" s="248"/>
      <c r="O975" s="248"/>
      <c r="P975" s="108" t="str">
        <f>IFERROR(INDEX(Setup!$D$44:$D$70,MATCH(M975,Setup!$K$44:$K$70,0))&amp;"","")</f>
        <v/>
      </c>
      <c r="Q975" s="108" t="str">
        <f>IFERROR(INDEX(Setup!$E$44:$E$70,MATCH(M975,Setup!$K$44:$K$70,0))&amp;"","")</f>
        <v/>
      </c>
      <c r="R975" s="108" t="str">
        <f>IFERROR(INDEX(Setup!$L$44:$L$70,MATCH(M975,Setup!$K$44:$K$70,0))&amp;"","")</f>
        <v/>
      </c>
      <c r="S975" s="108" t="str">
        <f>Setup!$C$30</f>
        <v>USD</v>
      </c>
      <c r="T975" s="109" t="str">
        <f>IFERROR(INDEX('Data Sheet'!$B$198:$B$275,MATCH(I975,'Data Sheet'!$F$198:$F$275,0)),"")</f>
        <v/>
      </c>
      <c r="U975" s="110" t="str">
        <f>IFERROR(INDEX('Data Sheet'!$D$198:$D$275,MATCH(I975,'Data Sheet'!$F$198:$F$275,0)),"")</f>
        <v/>
      </c>
      <c r="V975" s="99"/>
      <c r="W975" s="195" t="str">
        <f>IF(V975=Setup!$C$30,"Grant",IF(V975=Setup!$C$31,"Local",IF(V975=Setup!$C$32,"Other",IF(ISBLANK(V975),"","Other"))))</f>
        <v/>
      </c>
      <c r="X975" s="255"/>
      <c r="Y975" s="259" t="str">
        <f>IF(X975&lt;&gt;"",X975/VLOOKUP($V975,Setup!$C$30:$D$41,2,0),"")</f>
        <v/>
      </c>
      <c r="Z975" s="262"/>
      <c r="AA975" s="256" t="str">
        <f t="shared" si="455"/>
        <v/>
      </c>
      <c r="AB975" s="262"/>
      <c r="AC975" s="258" t="str">
        <f t="shared" si="456"/>
        <v/>
      </c>
      <c r="AD975" s="262"/>
      <c r="AE975" s="258" t="str">
        <f t="shared" si="457"/>
        <v/>
      </c>
      <c r="AF975" s="262"/>
      <c r="AG975" s="256" t="str">
        <f t="shared" si="458"/>
        <v/>
      </c>
      <c r="AH975" s="256" t="str">
        <f t="shared" si="459"/>
        <v/>
      </c>
      <c r="AI975" s="256" t="str">
        <f t="shared" si="460"/>
        <v/>
      </c>
      <c r="AJ975" s="111"/>
      <c r="AK975" s="255"/>
      <c r="AL975" s="259" t="str">
        <f>IF(AK975&lt;&gt;"",AK975/VLOOKUP($V975,Setup!$C$30:$D$41,2,0),"")</f>
        <v/>
      </c>
      <c r="AM975" s="266"/>
      <c r="AN975" s="258" t="str">
        <f t="shared" si="461"/>
        <v/>
      </c>
      <c r="AO975" s="266"/>
      <c r="AP975" s="258" t="str">
        <f t="shared" si="462"/>
        <v/>
      </c>
      <c r="AQ975" s="266"/>
      <c r="AR975" s="258" t="str">
        <f t="shared" si="463"/>
        <v/>
      </c>
      <c r="AS975" s="266"/>
      <c r="AT975" s="256" t="str">
        <f t="shared" si="464"/>
        <v/>
      </c>
      <c r="AU975" s="256" t="str">
        <f t="shared" si="465"/>
        <v/>
      </c>
      <c r="AV975" s="256" t="str">
        <f t="shared" si="466"/>
        <v/>
      </c>
      <c r="AW975" s="267"/>
      <c r="AX975" s="255"/>
      <c r="AY975" s="259" t="str">
        <f>IF(AX975&lt;&gt;"",AX975/VLOOKUP($V975,Setup!$C$30:$D$41,2,0),"")</f>
        <v/>
      </c>
      <c r="AZ975" s="268"/>
      <c r="BA975" s="258" t="str">
        <f t="shared" si="467"/>
        <v/>
      </c>
      <c r="BB975" s="268"/>
      <c r="BC975" s="258" t="str">
        <f t="shared" si="468"/>
        <v/>
      </c>
      <c r="BD975" s="268"/>
      <c r="BE975" s="258" t="str">
        <f t="shared" si="469"/>
        <v/>
      </c>
      <c r="BF975" s="268"/>
      <c r="BG975" s="256" t="str">
        <f t="shared" si="470"/>
        <v/>
      </c>
      <c r="BH975" s="256" t="str">
        <f t="shared" si="471"/>
        <v/>
      </c>
      <c r="BI975" s="256" t="str">
        <f t="shared" si="472"/>
        <v/>
      </c>
      <c r="BJ975" s="267"/>
      <c r="BK975" s="255"/>
      <c r="BL975" s="259" t="str">
        <f>IF(BK975&lt;&gt;"",BK975/VLOOKUP($V975,Setup!$C$30:$D$41,2,0),"")</f>
        <v/>
      </c>
      <c r="BM975" s="268"/>
      <c r="BN975" s="258" t="str">
        <f t="shared" si="473"/>
        <v/>
      </c>
      <c r="BO975" s="268"/>
      <c r="BP975" s="258" t="str">
        <f t="shared" si="474"/>
        <v/>
      </c>
      <c r="BQ975" s="268"/>
      <c r="BR975" s="258" t="str">
        <f t="shared" si="475"/>
        <v/>
      </c>
      <c r="BS975" s="268"/>
      <c r="BT975" s="256" t="str">
        <f t="shared" si="476"/>
        <v/>
      </c>
      <c r="BU975" s="256" t="str">
        <f t="shared" si="477"/>
        <v/>
      </c>
      <c r="BV975" s="256" t="str">
        <f t="shared" si="478"/>
        <v/>
      </c>
      <c r="BW975" s="267"/>
      <c r="BX975" s="256" t="str">
        <f t="shared" si="479"/>
        <v/>
      </c>
      <c r="BY975" s="256" t="str">
        <f t="shared" si="480"/>
        <v/>
      </c>
      <c r="BZ975" s="281"/>
      <c r="CA975" s="282"/>
      <c r="CF975" s="284"/>
      <c r="CG975" s="284"/>
      <c r="CH975" s="284"/>
      <c r="CI975" s="284"/>
      <c r="CL975" s="356" t="str">
        <f>IFERROR(VLOOKUP(C975,'Data Sheet'!$A$3:$B$26,2,FALSE),"")</f>
        <v/>
      </c>
    </row>
    <row r="976" spans="1:90" ht="15.75" x14ac:dyDescent="0.2">
      <c r="A976" s="97"/>
      <c r="B976" s="105" t="str">
        <f t="shared" si="483"/>
        <v>--</v>
      </c>
      <c r="C976" s="276"/>
      <c r="D976" s="101" t="str">
        <f>IFERROR(IF(VLOOKUP(C976,'Data Sheet'!$A$3:$D$26,4,FALSE)=0,"",VLOOKUP(C976,'Data Sheet'!$A$3:$D$26,4,FALSE)),"")</f>
        <v/>
      </c>
      <c r="E976" s="279"/>
      <c r="F976" s="103" t="str">
        <f>IFERROR(IF(VLOOKUP(E976,'Data Sheet'!$C$29:$E$174,3,FALSE)=0,"",VLOOKUP(E976,'Data Sheet'!$C$29:$E$174,3,FALSE)),"")</f>
        <v/>
      </c>
      <c r="G976" s="106" t="str">
        <f t="shared" si="481"/>
        <v>-</v>
      </c>
      <c r="H976" s="273"/>
      <c r="I976" s="107"/>
      <c r="J976" s="249" t="e">
        <f t="shared" si="482"/>
        <v>#VALUE!</v>
      </c>
      <c r="K976" s="101" t="str">
        <f>IFERROR(INDEX('Data Sheet'!$C$198:$C$275,MATCH(I976,'Data Sheet'!$F$198:$F$275,0)),"")</f>
        <v/>
      </c>
      <c r="L976" s="250" t="str">
        <f>IFERROR(INDEX('Data Sheet'!$G$198:$G$275,MATCH(I976,'Data Sheet'!$F$198:$F$275,0)),"")</f>
        <v/>
      </c>
      <c r="M976" s="194"/>
      <c r="N976" s="248"/>
      <c r="O976" s="248"/>
      <c r="P976" s="108" t="str">
        <f>IFERROR(INDEX(Setup!$D$44:$D$70,MATCH(M976,Setup!$K$44:$K$70,0))&amp;"","")</f>
        <v/>
      </c>
      <c r="Q976" s="108" t="str">
        <f>IFERROR(INDEX(Setup!$E$44:$E$70,MATCH(M976,Setup!$K$44:$K$70,0))&amp;"","")</f>
        <v/>
      </c>
      <c r="R976" s="108" t="str">
        <f>IFERROR(INDEX(Setup!$L$44:$L$70,MATCH(M976,Setup!$K$44:$K$70,0))&amp;"","")</f>
        <v/>
      </c>
      <c r="S976" s="108" t="str">
        <f>Setup!$C$30</f>
        <v>USD</v>
      </c>
      <c r="T976" s="109" t="str">
        <f>IFERROR(INDEX('Data Sheet'!$B$198:$B$275,MATCH(I976,'Data Sheet'!$F$198:$F$275,0)),"")</f>
        <v/>
      </c>
      <c r="U976" s="110" t="str">
        <f>IFERROR(INDEX('Data Sheet'!$D$198:$D$275,MATCH(I976,'Data Sheet'!$F$198:$F$275,0)),"")</f>
        <v/>
      </c>
      <c r="V976" s="99"/>
      <c r="W976" s="195" t="str">
        <f>IF(V976=Setup!$C$30,"Grant",IF(V976=Setup!$C$31,"Local",IF(V976=Setup!$C$32,"Other",IF(ISBLANK(V976),"","Other"))))</f>
        <v/>
      </c>
      <c r="X976" s="255"/>
      <c r="Y976" s="259" t="str">
        <f>IF(X976&lt;&gt;"",X976/VLOOKUP($V976,Setup!$C$30:$D$41,2,0),"")</f>
        <v/>
      </c>
      <c r="Z976" s="262"/>
      <c r="AA976" s="256" t="str">
        <f t="shared" si="455"/>
        <v/>
      </c>
      <c r="AB976" s="262"/>
      <c r="AC976" s="258" t="str">
        <f t="shared" si="456"/>
        <v/>
      </c>
      <c r="AD976" s="262"/>
      <c r="AE976" s="258" t="str">
        <f t="shared" si="457"/>
        <v/>
      </c>
      <c r="AF976" s="262"/>
      <c r="AG976" s="256" t="str">
        <f t="shared" si="458"/>
        <v/>
      </c>
      <c r="AH976" s="256" t="str">
        <f t="shared" si="459"/>
        <v/>
      </c>
      <c r="AI976" s="256" t="str">
        <f t="shared" si="460"/>
        <v/>
      </c>
      <c r="AJ976" s="111"/>
      <c r="AK976" s="255"/>
      <c r="AL976" s="259" t="str">
        <f>IF(AK976&lt;&gt;"",AK976/VLOOKUP($V976,Setup!$C$30:$D$41,2,0),"")</f>
        <v/>
      </c>
      <c r="AM976" s="266"/>
      <c r="AN976" s="258" t="str">
        <f t="shared" si="461"/>
        <v/>
      </c>
      <c r="AO976" s="266"/>
      <c r="AP976" s="258" t="str">
        <f t="shared" si="462"/>
        <v/>
      </c>
      <c r="AQ976" s="266"/>
      <c r="AR976" s="258" t="str">
        <f t="shared" si="463"/>
        <v/>
      </c>
      <c r="AS976" s="266"/>
      <c r="AT976" s="256" t="str">
        <f t="shared" si="464"/>
        <v/>
      </c>
      <c r="AU976" s="256" t="str">
        <f t="shared" si="465"/>
        <v/>
      </c>
      <c r="AV976" s="256" t="str">
        <f t="shared" si="466"/>
        <v/>
      </c>
      <c r="AW976" s="267"/>
      <c r="AX976" s="255"/>
      <c r="AY976" s="259" t="str">
        <f>IF(AX976&lt;&gt;"",AX976/VLOOKUP($V976,Setup!$C$30:$D$41,2,0),"")</f>
        <v/>
      </c>
      <c r="AZ976" s="268"/>
      <c r="BA976" s="258" t="str">
        <f t="shared" si="467"/>
        <v/>
      </c>
      <c r="BB976" s="268"/>
      <c r="BC976" s="258" t="str">
        <f t="shared" si="468"/>
        <v/>
      </c>
      <c r="BD976" s="268"/>
      <c r="BE976" s="258" t="str">
        <f t="shared" si="469"/>
        <v/>
      </c>
      <c r="BF976" s="268"/>
      <c r="BG976" s="256" t="str">
        <f t="shared" si="470"/>
        <v/>
      </c>
      <c r="BH976" s="256" t="str">
        <f t="shared" si="471"/>
        <v/>
      </c>
      <c r="BI976" s="256" t="str">
        <f t="shared" si="472"/>
        <v/>
      </c>
      <c r="BJ976" s="267"/>
      <c r="BK976" s="255"/>
      <c r="BL976" s="259" t="str">
        <f>IF(BK976&lt;&gt;"",BK976/VLOOKUP($V976,Setup!$C$30:$D$41,2,0),"")</f>
        <v/>
      </c>
      <c r="BM976" s="268"/>
      <c r="BN976" s="258" t="str">
        <f t="shared" si="473"/>
        <v/>
      </c>
      <c r="BO976" s="268"/>
      <c r="BP976" s="258" t="str">
        <f t="shared" si="474"/>
        <v/>
      </c>
      <c r="BQ976" s="268"/>
      <c r="BR976" s="258" t="str">
        <f t="shared" si="475"/>
        <v/>
      </c>
      <c r="BS976" s="268"/>
      <c r="BT976" s="256" t="str">
        <f t="shared" si="476"/>
        <v/>
      </c>
      <c r="BU976" s="256" t="str">
        <f t="shared" si="477"/>
        <v/>
      </c>
      <c r="BV976" s="256" t="str">
        <f t="shared" si="478"/>
        <v/>
      </c>
      <c r="BW976" s="267"/>
      <c r="BX976" s="256" t="str">
        <f t="shared" si="479"/>
        <v/>
      </c>
      <c r="BY976" s="256" t="str">
        <f t="shared" si="480"/>
        <v/>
      </c>
      <c r="BZ976" s="281"/>
      <c r="CA976" s="282"/>
      <c r="CF976" s="284"/>
      <c r="CG976" s="284"/>
      <c r="CH976" s="284"/>
      <c r="CI976" s="284"/>
      <c r="CL976" s="356" t="str">
        <f>IFERROR(VLOOKUP(C976,'Data Sheet'!$A$3:$B$26,2,FALSE),"")</f>
        <v/>
      </c>
    </row>
    <row r="977" spans="1:90" ht="15.75" x14ac:dyDescent="0.2">
      <c r="A977" s="97"/>
      <c r="B977" s="105" t="str">
        <f t="shared" si="483"/>
        <v>--</v>
      </c>
      <c r="C977" s="276"/>
      <c r="D977" s="101" t="str">
        <f>IFERROR(IF(VLOOKUP(C977,'Data Sheet'!$A$3:$D$26,4,FALSE)=0,"",VLOOKUP(C977,'Data Sheet'!$A$3:$D$26,4,FALSE)),"")</f>
        <v/>
      </c>
      <c r="E977" s="279"/>
      <c r="F977" s="103" t="str">
        <f>IFERROR(IF(VLOOKUP(E977,'Data Sheet'!$C$29:$E$174,3,FALSE)=0,"",VLOOKUP(E977,'Data Sheet'!$C$29:$E$174,3,FALSE)),"")</f>
        <v/>
      </c>
      <c r="G977" s="106" t="str">
        <f t="shared" si="481"/>
        <v>-</v>
      </c>
      <c r="H977" s="273"/>
      <c r="I977" s="107"/>
      <c r="J977" s="249" t="e">
        <f t="shared" si="482"/>
        <v>#VALUE!</v>
      </c>
      <c r="K977" s="101" t="str">
        <f>IFERROR(INDEX('Data Sheet'!$C$198:$C$275,MATCH(I977,'Data Sheet'!$F$198:$F$275,0)),"")</f>
        <v/>
      </c>
      <c r="L977" s="250" t="str">
        <f>IFERROR(INDEX('Data Sheet'!$G$198:$G$275,MATCH(I977,'Data Sheet'!$F$198:$F$275,0)),"")</f>
        <v/>
      </c>
      <c r="M977" s="194"/>
      <c r="N977" s="248"/>
      <c r="O977" s="248"/>
      <c r="P977" s="108" t="str">
        <f>IFERROR(INDEX(Setup!$D$44:$D$70,MATCH(M977,Setup!$K$44:$K$70,0))&amp;"","")</f>
        <v/>
      </c>
      <c r="Q977" s="108" t="str">
        <f>IFERROR(INDEX(Setup!$E$44:$E$70,MATCH(M977,Setup!$K$44:$K$70,0))&amp;"","")</f>
        <v/>
      </c>
      <c r="R977" s="108" t="str">
        <f>IFERROR(INDEX(Setup!$L$44:$L$70,MATCH(M977,Setup!$K$44:$K$70,0))&amp;"","")</f>
        <v/>
      </c>
      <c r="S977" s="108" t="str">
        <f>Setup!$C$30</f>
        <v>USD</v>
      </c>
      <c r="T977" s="109" t="str">
        <f>IFERROR(INDEX('Data Sheet'!$B$198:$B$275,MATCH(I977,'Data Sheet'!$F$198:$F$275,0)),"")</f>
        <v/>
      </c>
      <c r="U977" s="110" t="str">
        <f>IFERROR(INDEX('Data Sheet'!$D$198:$D$275,MATCH(I977,'Data Sheet'!$F$198:$F$275,0)),"")</f>
        <v/>
      </c>
      <c r="V977" s="99"/>
      <c r="W977" s="195" t="str">
        <f>IF(V977=Setup!$C$30,"Grant",IF(V977=Setup!$C$31,"Local",IF(V977=Setup!$C$32,"Other",IF(ISBLANK(V977),"","Other"))))</f>
        <v/>
      </c>
      <c r="X977" s="255"/>
      <c r="Y977" s="259" t="str">
        <f>IF(X977&lt;&gt;"",X977/VLOOKUP($V977,Setup!$C$30:$D$41,2,0),"")</f>
        <v/>
      </c>
      <c r="Z977" s="262"/>
      <c r="AA977" s="256" t="str">
        <f t="shared" si="455"/>
        <v/>
      </c>
      <c r="AB977" s="262"/>
      <c r="AC977" s="258" t="str">
        <f t="shared" si="456"/>
        <v/>
      </c>
      <c r="AD977" s="262"/>
      <c r="AE977" s="258" t="str">
        <f t="shared" si="457"/>
        <v/>
      </c>
      <c r="AF977" s="262"/>
      <c r="AG977" s="256" t="str">
        <f t="shared" si="458"/>
        <v/>
      </c>
      <c r="AH977" s="256" t="str">
        <f t="shared" si="459"/>
        <v/>
      </c>
      <c r="AI977" s="256" t="str">
        <f t="shared" si="460"/>
        <v/>
      </c>
      <c r="AJ977" s="111"/>
      <c r="AK977" s="255"/>
      <c r="AL977" s="259" t="str">
        <f>IF(AK977&lt;&gt;"",AK977/VLOOKUP($V977,Setup!$C$30:$D$41,2,0),"")</f>
        <v/>
      </c>
      <c r="AM977" s="266"/>
      <c r="AN977" s="258" t="str">
        <f t="shared" si="461"/>
        <v/>
      </c>
      <c r="AO977" s="266"/>
      <c r="AP977" s="258" t="str">
        <f t="shared" si="462"/>
        <v/>
      </c>
      <c r="AQ977" s="266"/>
      <c r="AR977" s="258" t="str">
        <f t="shared" si="463"/>
        <v/>
      </c>
      <c r="AS977" s="266"/>
      <c r="AT977" s="256" t="str">
        <f t="shared" si="464"/>
        <v/>
      </c>
      <c r="AU977" s="256" t="str">
        <f t="shared" si="465"/>
        <v/>
      </c>
      <c r="AV977" s="256" t="str">
        <f t="shared" si="466"/>
        <v/>
      </c>
      <c r="AW977" s="267"/>
      <c r="AX977" s="255"/>
      <c r="AY977" s="259" t="str">
        <f>IF(AX977&lt;&gt;"",AX977/VLOOKUP($V977,Setup!$C$30:$D$41,2,0),"")</f>
        <v/>
      </c>
      <c r="AZ977" s="268"/>
      <c r="BA977" s="258" t="str">
        <f t="shared" si="467"/>
        <v/>
      </c>
      <c r="BB977" s="268"/>
      <c r="BC977" s="258" t="str">
        <f t="shared" si="468"/>
        <v/>
      </c>
      <c r="BD977" s="268"/>
      <c r="BE977" s="258" t="str">
        <f t="shared" si="469"/>
        <v/>
      </c>
      <c r="BF977" s="268"/>
      <c r="BG977" s="256" t="str">
        <f t="shared" si="470"/>
        <v/>
      </c>
      <c r="BH977" s="256" t="str">
        <f t="shared" si="471"/>
        <v/>
      </c>
      <c r="BI977" s="256" t="str">
        <f t="shared" si="472"/>
        <v/>
      </c>
      <c r="BJ977" s="267"/>
      <c r="BK977" s="255"/>
      <c r="BL977" s="259" t="str">
        <f>IF(BK977&lt;&gt;"",BK977/VLOOKUP($V977,Setup!$C$30:$D$41,2,0),"")</f>
        <v/>
      </c>
      <c r="BM977" s="268"/>
      <c r="BN977" s="258" t="str">
        <f t="shared" si="473"/>
        <v/>
      </c>
      <c r="BO977" s="268"/>
      <c r="BP977" s="258" t="str">
        <f t="shared" si="474"/>
        <v/>
      </c>
      <c r="BQ977" s="268"/>
      <c r="BR977" s="258" t="str">
        <f t="shared" si="475"/>
        <v/>
      </c>
      <c r="BS977" s="268"/>
      <c r="BT977" s="256" t="str">
        <f t="shared" si="476"/>
        <v/>
      </c>
      <c r="BU977" s="256" t="str">
        <f t="shared" si="477"/>
        <v/>
      </c>
      <c r="BV977" s="256" t="str">
        <f t="shared" si="478"/>
        <v/>
      </c>
      <c r="BW977" s="267"/>
      <c r="BX977" s="256" t="str">
        <f t="shared" si="479"/>
        <v/>
      </c>
      <c r="BY977" s="256" t="str">
        <f t="shared" si="480"/>
        <v/>
      </c>
      <c r="BZ977" s="281"/>
      <c r="CA977" s="282"/>
      <c r="CF977" s="284"/>
      <c r="CG977" s="284"/>
      <c r="CH977" s="284"/>
      <c r="CI977" s="284"/>
      <c r="CL977" s="356" t="str">
        <f>IFERROR(VLOOKUP(C977,'Data Sheet'!$A$3:$B$26,2,FALSE),"")</f>
        <v/>
      </c>
    </row>
    <row r="978" spans="1:90" ht="15.75" x14ac:dyDescent="0.2">
      <c r="A978" s="97"/>
      <c r="B978" s="105" t="str">
        <f t="shared" si="483"/>
        <v>--</v>
      </c>
      <c r="C978" s="276"/>
      <c r="D978" s="101" t="str">
        <f>IFERROR(IF(VLOOKUP(C978,'Data Sheet'!$A$3:$D$26,4,FALSE)=0,"",VLOOKUP(C978,'Data Sheet'!$A$3:$D$26,4,FALSE)),"")</f>
        <v/>
      </c>
      <c r="E978" s="279"/>
      <c r="F978" s="103" t="str">
        <f>IFERROR(IF(VLOOKUP(E978,'Data Sheet'!$C$29:$E$174,3,FALSE)=0,"",VLOOKUP(E978,'Data Sheet'!$C$29:$E$174,3,FALSE)),"")</f>
        <v/>
      </c>
      <c r="G978" s="106" t="str">
        <f t="shared" si="481"/>
        <v>-</v>
      </c>
      <c r="H978" s="273"/>
      <c r="I978" s="107"/>
      <c r="J978" s="249" t="e">
        <f t="shared" si="482"/>
        <v>#VALUE!</v>
      </c>
      <c r="K978" s="101" t="str">
        <f>IFERROR(INDEX('Data Sheet'!$C$198:$C$275,MATCH(I978,'Data Sheet'!$F$198:$F$275,0)),"")</f>
        <v/>
      </c>
      <c r="L978" s="250" t="str">
        <f>IFERROR(INDEX('Data Sheet'!$G$198:$G$275,MATCH(I978,'Data Sheet'!$F$198:$F$275,0)),"")</f>
        <v/>
      </c>
      <c r="M978" s="194"/>
      <c r="N978" s="248"/>
      <c r="O978" s="248"/>
      <c r="P978" s="108" t="str">
        <f>IFERROR(INDEX(Setup!$D$44:$D$70,MATCH(M978,Setup!$K$44:$K$70,0))&amp;"","")</f>
        <v/>
      </c>
      <c r="Q978" s="108" t="str">
        <f>IFERROR(INDEX(Setup!$E$44:$E$70,MATCH(M978,Setup!$K$44:$K$70,0))&amp;"","")</f>
        <v/>
      </c>
      <c r="R978" s="108" t="str">
        <f>IFERROR(INDEX(Setup!$L$44:$L$70,MATCH(M978,Setup!$K$44:$K$70,0))&amp;"","")</f>
        <v/>
      </c>
      <c r="S978" s="108" t="str">
        <f>Setup!$C$30</f>
        <v>USD</v>
      </c>
      <c r="T978" s="109" t="str">
        <f>IFERROR(INDEX('Data Sheet'!$B$198:$B$275,MATCH(I978,'Data Sheet'!$F$198:$F$275,0)),"")</f>
        <v/>
      </c>
      <c r="U978" s="110" t="str">
        <f>IFERROR(INDEX('Data Sheet'!$D$198:$D$275,MATCH(I978,'Data Sheet'!$F$198:$F$275,0)),"")</f>
        <v/>
      </c>
      <c r="V978" s="99"/>
      <c r="W978" s="195" t="str">
        <f>IF(V978=Setup!$C$30,"Grant",IF(V978=Setup!$C$31,"Local",IF(V978=Setup!$C$32,"Other",IF(ISBLANK(V978),"","Other"))))</f>
        <v/>
      </c>
      <c r="X978" s="255"/>
      <c r="Y978" s="259" t="str">
        <f>IF(X978&lt;&gt;"",X978/VLOOKUP($V978,Setup!$C$30:$D$41,2,0),"")</f>
        <v/>
      </c>
      <c r="Z978" s="262"/>
      <c r="AA978" s="256" t="str">
        <f t="shared" si="455"/>
        <v/>
      </c>
      <c r="AB978" s="262"/>
      <c r="AC978" s="258" t="str">
        <f t="shared" si="456"/>
        <v/>
      </c>
      <c r="AD978" s="262"/>
      <c r="AE978" s="258" t="str">
        <f t="shared" si="457"/>
        <v/>
      </c>
      <c r="AF978" s="262"/>
      <c r="AG978" s="256" t="str">
        <f t="shared" si="458"/>
        <v/>
      </c>
      <c r="AH978" s="256" t="str">
        <f t="shared" si="459"/>
        <v/>
      </c>
      <c r="AI978" s="256" t="str">
        <f t="shared" si="460"/>
        <v/>
      </c>
      <c r="AJ978" s="111"/>
      <c r="AK978" s="255"/>
      <c r="AL978" s="259" t="str">
        <f>IF(AK978&lt;&gt;"",AK978/VLOOKUP($V978,Setup!$C$30:$D$41,2,0),"")</f>
        <v/>
      </c>
      <c r="AM978" s="266"/>
      <c r="AN978" s="258" t="str">
        <f t="shared" si="461"/>
        <v/>
      </c>
      <c r="AO978" s="266"/>
      <c r="AP978" s="258" t="str">
        <f t="shared" si="462"/>
        <v/>
      </c>
      <c r="AQ978" s="266"/>
      <c r="AR978" s="258" t="str">
        <f t="shared" si="463"/>
        <v/>
      </c>
      <c r="AS978" s="266"/>
      <c r="AT978" s="256" t="str">
        <f t="shared" si="464"/>
        <v/>
      </c>
      <c r="AU978" s="256" t="str">
        <f t="shared" si="465"/>
        <v/>
      </c>
      <c r="AV978" s="256" t="str">
        <f t="shared" si="466"/>
        <v/>
      </c>
      <c r="AW978" s="267"/>
      <c r="AX978" s="255"/>
      <c r="AY978" s="259" t="str">
        <f>IF(AX978&lt;&gt;"",AX978/VLOOKUP($V978,Setup!$C$30:$D$41,2,0),"")</f>
        <v/>
      </c>
      <c r="AZ978" s="268"/>
      <c r="BA978" s="258" t="str">
        <f t="shared" si="467"/>
        <v/>
      </c>
      <c r="BB978" s="268"/>
      <c r="BC978" s="258" t="str">
        <f t="shared" si="468"/>
        <v/>
      </c>
      <c r="BD978" s="268"/>
      <c r="BE978" s="258" t="str">
        <f t="shared" si="469"/>
        <v/>
      </c>
      <c r="BF978" s="268"/>
      <c r="BG978" s="256" t="str">
        <f t="shared" si="470"/>
        <v/>
      </c>
      <c r="BH978" s="256" t="str">
        <f t="shared" si="471"/>
        <v/>
      </c>
      <c r="BI978" s="256" t="str">
        <f t="shared" si="472"/>
        <v/>
      </c>
      <c r="BJ978" s="267"/>
      <c r="BK978" s="255"/>
      <c r="BL978" s="259" t="str">
        <f>IF(BK978&lt;&gt;"",BK978/VLOOKUP($V978,Setup!$C$30:$D$41,2,0),"")</f>
        <v/>
      </c>
      <c r="BM978" s="268"/>
      <c r="BN978" s="258" t="str">
        <f t="shared" si="473"/>
        <v/>
      </c>
      <c r="BO978" s="268"/>
      <c r="BP978" s="258" t="str">
        <f t="shared" si="474"/>
        <v/>
      </c>
      <c r="BQ978" s="268"/>
      <c r="BR978" s="258" t="str">
        <f t="shared" si="475"/>
        <v/>
      </c>
      <c r="BS978" s="268"/>
      <c r="BT978" s="256" t="str">
        <f t="shared" si="476"/>
        <v/>
      </c>
      <c r="BU978" s="256" t="str">
        <f t="shared" si="477"/>
        <v/>
      </c>
      <c r="BV978" s="256" t="str">
        <f t="shared" si="478"/>
        <v/>
      </c>
      <c r="BW978" s="267"/>
      <c r="BX978" s="256" t="str">
        <f t="shared" si="479"/>
        <v/>
      </c>
      <c r="BY978" s="256" t="str">
        <f t="shared" si="480"/>
        <v/>
      </c>
      <c r="BZ978" s="281"/>
      <c r="CA978" s="282"/>
      <c r="CF978" s="284"/>
      <c r="CG978" s="284"/>
      <c r="CH978" s="284"/>
      <c r="CI978" s="284"/>
      <c r="CL978" s="356" t="str">
        <f>IFERROR(VLOOKUP(C978,'Data Sheet'!$A$3:$B$26,2,FALSE),"")</f>
        <v/>
      </c>
    </row>
    <row r="979" spans="1:90" ht="15.75" x14ac:dyDescent="0.2">
      <c r="A979" s="97"/>
      <c r="B979" s="105" t="str">
        <f t="shared" si="483"/>
        <v>--</v>
      </c>
      <c r="C979" s="276"/>
      <c r="D979" s="101" t="str">
        <f>IFERROR(IF(VLOOKUP(C979,'Data Sheet'!$A$3:$D$26,4,FALSE)=0,"",VLOOKUP(C979,'Data Sheet'!$A$3:$D$26,4,FALSE)),"")</f>
        <v/>
      </c>
      <c r="E979" s="279"/>
      <c r="F979" s="103" t="str">
        <f>IFERROR(IF(VLOOKUP(E979,'Data Sheet'!$C$29:$E$174,3,FALSE)=0,"",VLOOKUP(E979,'Data Sheet'!$C$29:$E$174,3,FALSE)),"")</f>
        <v/>
      </c>
      <c r="G979" s="106" t="str">
        <f t="shared" si="481"/>
        <v>-</v>
      </c>
      <c r="H979" s="273"/>
      <c r="I979" s="107"/>
      <c r="J979" s="249" t="e">
        <f t="shared" si="482"/>
        <v>#VALUE!</v>
      </c>
      <c r="K979" s="101" t="str">
        <f>IFERROR(INDEX('Data Sheet'!$C$198:$C$275,MATCH(I979,'Data Sheet'!$F$198:$F$275,0)),"")</f>
        <v/>
      </c>
      <c r="L979" s="250" t="str">
        <f>IFERROR(INDEX('Data Sheet'!$G$198:$G$275,MATCH(I979,'Data Sheet'!$F$198:$F$275,0)),"")</f>
        <v/>
      </c>
      <c r="M979" s="194"/>
      <c r="N979" s="248"/>
      <c r="O979" s="248"/>
      <c r="P979" s="108" t="str">
        <f>IFERROR(INDEX(Setup!$D$44:$D$70,MATCH(M979,Setup!$K$44:$K$70,0))&amp;"","")</f>
        <v/>
      </c>
      <c r="Q979" s="108" t="str">
        <f>IFERROR(INDEX(Setup!$E$44:$E$70,MATCH(M979,Setup!$K$44:$K$70,0))&amp;"","")</f>
        <v/>
      </c>
      <c r="R979" s="108" t="str">
        <f>IFERROR(INDEX(Setup!$L$44:$L$70,MATCH(M979,Setup!$K$44:$K$70,0))&amp;"","")</f>
        <v/>
      </c>
      <c r="S979" s="108" t="str">
        <f>Setup!$C$30</f>
        <v>USD</v>
      </c>
      <c r="T979" s="109" t="str">
        <f>IFERROR(INDEX('Data Sheet'!$B$198:$B$275,MATCH(I979,'Data Sheet'!$F$198:$F$275,0)),"")</f>
        <v/>
      </c>
      <c r="U979" s="110" t="str">
        <f>IFERROR(INDEX('Data Sheet'!$D$198:$D$275,MATCH(I979,'Data Sheet'!$F$198:$F$275,0)),"")</f>
        <v/>
      </c>
      <c r="V979" s="99"/>
      <c r="W979" s="195" t="str">
        <f>IF(V979=Setup!$C$30,"Grant",IF(V979=Setup!$C$31,"Local",IF(V979=Setup!$C$32,"Other",IF(ISBLANK(V979),"","Other"))))</f>
        <v/>
      </c>
      <c r="X979" s="255"/>
      <c r="Y979" s="259" t="str">
        <f>IF(X979&lt;&gt;"",X979/VLOOKUP($V979,Setup!$C$30:$D$41,2,0),"")</f>
        <v/>
      </c>
      <c r="Z979" s="262"/>
      <c r="AA979" s="256" t="str">
        <f t="shared" si="455"/>
        <v/>
      </c>
      <c r="AB979" s="262"/>
      <c r="AC979" s="258" t="str">
        <f t="shared" si="456"/>
        <v/>
      </c>
      <c r="AD979" s="262"/>
      <c r="AE979" s="258" t="str">
        <f t="shared" si="457"/>
        <v/>
      </c>
      <c r="AF979" s="262"/>
      <c r="AG979" s="256" t="str">
        <f t="shared" si="458"/>
        <v/>
      </c>
      <c r="AH979" s="256" t="str">
        <f t="shared" si="459"/>
        <v/>
      </c>
      <c r="AI979" s="256" t="str">
        <f t="shared" si="460"/>
        <v/>
      </c>
      <c r="AJ979" s="111"/>
      <c r="AK979" s="255"/>
      <c r="AL979" s="259" t="str">
        <f>IF(AK979&lt;&gt;"",AK979/VLOOKUP($V979,Setup!$C$30:$D$41,2,0),"")</f>
        <v/>
      </c>
      <c r="AM979" s="266"/>
      <c r="AN979" s="258" t="str">
        <f t="shared" si="461"/>
        <v/>
      </c>
      <c r="AO979" s="266"/>
      <c r="AP979" s="258" t="str">
        <f t="shared" si="462"/>
        <v/>
      </c>
      <c r="AQ979" s="266"/>
      <c r="AR979" s="258" t="str">
        <f t="shared" si="463"/>
        <v/>
      </c>
      <c r="AS979" s="266"/>
      <c r="AT979" s="256" t="str">
        <f t="shared" si="464"/>
        <v/>
      </c>
      <c r="AU979" s="256" t="str">
        <f t="shared" si="465"/>
        <v/>
      </c>
      <c r="AV979" s="256" t="str">
        <f t="shared" si="466"/>
        <v/>
      </c>
      <c r="AW979" s="267"/>
      <c r="AX979" s="255"/>
      <c r="AY979" s="259" t="str">
        <f>IF(AX979&lt;&gt;"",AX979/VLOOKUP($V979,Setup!$C$30:$D$41,2,0),"")</f>
        <v/>
      </c>
      <c r="AZ979" s="268"/>
      <c r="BA979" s="258" t="str">
        <f t="shared" si="467"/>
        <v/>
      </c>
      <c r="BB979" s="268"/>
      <c r="BC979" s="258" t="str">
        <f t="shared" si="468"/>
        <v/>
      </c>
      <c r="BD979" s="268"/>
      <c r="BE979" s="258" t="str">
        <f t="shared" si="469"/>
        <v/>
      </c>
      <c r="BF979" s="268"/>
      <c r="BG979" s="256" t="str">
        <f t="shared" si="470"/>
        <v/>
      </c>
      <c r="BH979" s="256" t="str">
        <f t="shared" si="471"/>
        <v/>
      </c>
      <c r="BI979" s="256" t="str">
        <f t="shared" si="472"/>
        <v/>
      </c>
      <c r="BJ979" s="267"/>
      <c r="BK979" s="255"/>
      <c r="BL979" s="259" t="str">
        <f>IF(BK979&lt;&gt;"",BK979/VLOOKUP($V979,Setup!$C$30:$D$41,2,0),"")</f>
        <v/>
      </c>
      <c r="BM979" s="268"/>
      <c r="BN979" s="258" t="str">
        <f t="shared" si="473"/>
        <v/>
      </c>
      <c r="BO979" s="268"/>
      <c r="BP979" s="258" t="str">
        <f t="shared" si="474"/>
        <v/>
      </c>
      <c r="BQ979" s="268"/>
      <c r="BR979" s="258" t="str">
        <f t="shared" si="475"/>
        <v/>
      </c>
      <c r="BS979" s="268"/>
      <c r="BT979" s="256" t="str">
        <f t="shared" si="476"/>
        <v/>
      </c>
      <c r="BU979" s="256" t="str">
        <f t="shared" si="477"/>
        <v/>
      </c>
      <c r="BV979" s="256" t="str">
        <f t="shared" si="478"/>
        <v/>
      </c>
      <c r="BW979" s="267"/>
      <c r="BX979" s="256" t="str">
        <f t="shared" si="479"/>
        <v/>
      </c>
      <c r="BY979" s="256" t="str">
        <f t="shared" si="480"/>
        <v/>
      </c>
      <c r="BZ979" s="281"/>
      <c r="CA979" s="282"/>
      <c r="CF979" s="284"/>
      <c r="CG979" s="284"/>
      <c r="CH979" s="284"/>
      <c r="CI979" s="284"/>
      <c r="CL979" s="356" t="str">
        <f>IFERROR(VLOOKUP(C979,'Data Sheet'!$A$3:$B$26,2,FALSE),"")</f>
        <v/>
      </c>
    </row>
    <row r="980" spans="1:90" ht="15.75" x14ac:dyDescent="0.2">
      <c r="A980" s="97"/>
      <c r="B980" s="105" t="str">
        <f t="shared" si="483"/>
        <v>--</v>
      </c>
      <c r="C980" s="276"/>
      <c r="D980" s="101" t="str">
        <f>IFERROR(IF(VLOOKUP(C980,'Data Sheet'!$A$3:$D$26,4,FALSE)=0,"",VLOOKUP(C980,'Data Sheet'!$A$3:$D$26,4,FALSE)),"")</f>
        <v/>
      </c>
      <c r="E980" s="279"/>
      <c r="F980" s="103" t="str">
        <f>IFERROR(IF(VLOOKUP(E980,'Data Sheet'!$C$29:$E$174,3,FALSE)=0,"",VLOOKUP(E980,'Data Sheet'!$C$29:$E$174,3,FALSE)),"")</f>
        <v/>
      </c>
      <c r="G980" s="106" t="str">
        <f t="shared" si="481"/>
        <v>-</v>
      </c>
      <c r="H980" s="273"/>
      <c r="I980" s="107"/>
      <c r="J980" s="249" t="e">
        <f t="shared" si="482"/>
        <v>#VALUE!</v>
      </c>
      <c r="K980" s="101" t="str">
        <f>IFERROR(INDEX('Data Sheet'!$C$198:$C$275,MATCH(I980,'Data Sheet'!$F$198:$F$275,0)),"")</f>
        <v/>
      </c>
      <c r="L980" s="250" t="str">
        <f>IFERROR(INDEX('Data Sheet'!$G$198:$G$275,MATCH(I980,'Data Sheet'!$F$198:$F$275,0)),"")</f>
        <v/>
      </c>
      <c r="M980" s="194"/>
      <c r="N980" s="248"/>
      <c r="O980" s="248"/>
      <c r="P980" s="108" t="str">
        <f>IFERROR(INDEX(Setup!$D$44:$D$70,MATCH(M980,Setup!$K$44:$K$70,0))&amp;"","")</f>
        <v/>
      </c>
      <c r="Q980" s="108" t="str">
        <f>IFERROR(INDEX(Setup!$E$44:$E$70,MATCH(M980,Setup!$K$44:$K$70,0))&amp;"","")</f>
        <v/>
      </c>
      <c r="R980" s="108" t="str">
        <f>IFERROR(INDEX(Setup!$L$44:$L$70,MATCH(M980,Setup!$K$44:$K$70,0))&amp;"","")</f>
        <v/>
      </c>
      <c r="S980" s="108" t="str">
        <f>Setup!$C$30</f>
        <v>USD</v>
      </c>
      <c r="T980" s="109" t="str">
        <f>IFERROR(INDEX('Data Sheet'!$B$198:$B$275,MATCH(I980,'Data Sheet'!$F$198:$F$275,0)),"")</f>
        <v/>
      </c>
      <c r="U980" s="110" t="str">
        <f>IFERROR(INDEX('Data Sheet'!$D$198:$D$275,MATCH(I980,'Data Sheet'!$F$198:$F$275,0)),"")</f>
        <v/>
      </c>
      <c r="V980" s="99"/>
      <c r="W980" s="195" t="str">
        <f>IF(V980=Setup!$C$30,"Grant",IF(V980=Setup!$C$31,"Local",IF(V980=Setup!$C$32,"Other",IF(ISBLANK(V980),"","Other"))))</f>
        <v/>
      </c>
      <c r="X980" s="255"/>
      <c r="Y980" s="259" t="str">
        <f>IF(X980&lt;&gt;"",X980/VLOOKUP($V980,Setup!$C$30:$D$41,2,0),"")</f>
        <v/>
      </c>
      <c r="Z980" s="262"/>
      <c r="AA980" s="256" t="str">
        <f t="shared" si="455"/>
        <v/>
      </c>
      <c r="AB980" s="262"/>
      <c r="AC980" s="258" t="str">
        <f t="shared" si="456"/>
        <v/>
      </c>
      <c r="AD980" s="262"/>
      <c r="AE980" s="258" t="str">
        <f t="shared" si="457"/>
        <v/>
      </c>
      <c r="AF980" s="262"/>
      <c r="AG980" s="256" t="str">
        <f t="shared" si="458"/>
        <v/>
      </c>
      <c r="AH980" s="256" t="str">
        <f t="shared" si="459"/>
        <v/>
      </c>
      <c r="AI980" s="256" t="str">
        <f t="shared" si="460"/>
        <v/>
      </c>
      <c r="AJ980" s="111"/>
      <c r="AK980" s="255"/>
      <c r="AL980" s="259" t="str">
        <f>IF(AK980&lt;&gt;"",AK980/VLOOKUP($V980,Setup!$C$30:$D$41,2,0),"")</f>
        <v/>
      </c>
      <c r="AM980" s="266"/>
      <c r="AN980" s="258" t="str">
        <f t="shared" si="461"/>
        <v/>
      </c>
      <c r="AO980" s="266"/>
      <c r="AP980" s="258" t="str">
        <f t="shared" si="462"/>
        <v/>
      </c>
      <c r="AQ980" s="266"/>
      <c r="AR980" s="258" t="str">
        <f t="shared" si="463"/>
        <v/>
      </c>
      <c r="AS980" s="266"/>
      <c r="AT980" s="256" t="str">
        <f t="shared" si="464"/>
        <v/>
      </c>
      <c r="AU980" s="256" t="str">
        <f t="shared" si="465"/>
        <v/>
      </c>
      <c r="AV980" s="256" t="str">
        <f t="shared" si="466"/>
        <v/>
      </c>
      <c r="AW980" s="267"/>
      <c r="AX980" s="255"/>
      <c r="AY980" s="259" t="str">
        <f>IF(AX980&lt;&gt;"",AX980/VLOOKUP($V980,Setup!$C$30:$D$41,2,0),"")</f>
        <v/>
      </c>
      <c r="AZ980" s="268"/>
      <c r="BA980" s="258" t="str">
        <f t="shared" si="467"/>
        <v/>
      </c>
      <c r="BB980" s="268"/>
      <c r="BC980" s="258" t="str">
        <f t="shared" si="468"/>
        <v/>
      </c>
      <c r="BD980" s="268"/>
      <c r="BE980" s="258" t="str">
        <f t="shared" si="469"/>
        <v/>
      </c>
      <c r="BF980" s="268"/>
      <c r="BG980" s="256" t="str">
        <f t="shared" si="470"/>
        <v/>
      </c>
      <c r="BH980" s="256" t="str">
        <f t="shared" si="471"/>
        <v/>
      </c>
      <c r="BI980" s="256" t="str">
        <f t="shared" si="472"/>
        <v/>
      </c>
      <c r="BJ980" s="267"/>
      <c r="BK980" s="255"/>
      <c r="BL980" s="259" t="str">
        <f>IF(BK980&lt;&gt;"",BK980/VLOOKUP($V980,Setup!$C$30:$D$41,2,0),"")</f>
        <v/>
      </c>
      <c r="BM980" s="268"/>
      <c r="BN980" s="258" t="str">
        <f t="shared" si="473"/>
        <v/>
      </c>
      <c r="BO980" s="268"/>
      <c r="BP980" s="258" t="str">
        <f t="shared" si="474"/>
        <v/>
      </c>
      <c r="BQ980" s="268"/>
      <c r="BR980" s="258" t="str">
        <f t="shared" si="475"/>
        <v/>
      </c>
      <c r="BS980" s="268"/>
      <c r="BT980" s="256" t="str">
        <f t="shared" si="476"/>
        <v/>
      </c>
      <c r="BU980" s="256" t="str">
        <f t="shared" si="477"/>
        <v/>
      </c>
      <c r="BV980" s="256" t="str">
        <f t="shared" si="478"/>
        <v/>
      </c>
      <c r="BW980" s="267"/>
      <c r="BX980" s="256" t="str">
        <f t="shared" si="479"/>
        <v/>
      </c>
      <c r="BY980" s="256" t="str">
        <f t="shared" si="480"/>
        <v/>
      </c>
      <c r="BZ980" s="281"/>
      <c r="CA980" s="282"/>
      <c r="CF980" s="284"/>
      <c r="CG980" s="284"/>
      <c r="CH980" s="284"/>
      <c r="CI980" s="284"/>
      <c r="CL980" s="356" t="str">
        <f>IFERROR(VLOOKUP(C980,'Data Sheet'!$A$3:$B$26,2,FALSE),"")</f>
        <v/>
      </c>
    </row>
    <row r="981" spans="1:90" ht="15.75" x14ac:dyDescent="0.2">
      <c r="A981" s="97"/>
      <c r="B981" s="105" t="str">
        <f t="shared" si="483"/>
        <v>--</v>
      </c>
      <c r="C981" s="276"/>
      <c r="D981" s="101" t="str">
        <f>IFERROR(IF(VLOOKUP(C981,'Data Sheet'!$A$3:$D$26,4,FALSE)=0,"",VLOOKUP(C981,'Data Sheet'!$A$3:$D$26,4,FALSE)),"")</f>
        <v/>
      </c>
      <c r="E981" s="279"/>
      <c r="F981" s="103" t="str">
        <f>IFERROR(IF(VLOOKUP(E981,'Data Sheet'!$C$29:$E$174,3,FALSE)=0,"",VLOOKUP(E981,'Data Sheet'!$C$29:$E$174,3,FALSE)),"")</f>
        <v/>
      </c>
      <c r="G981" s="106" t="str">
        <f t="shared" si="481"/>
        <v>-</v>
      </c>
      <c r="H981" s="273"/>
      <c r="I981" s="107"/>
      <c r="J981" s="249" t="e">
        <f t="shared" si="482"/>
        <v>#VALUE!</v>
      </c>
      <c r="K981" s="101" t="str">
        <f>IFERROR(INDEX('Data Sheet'!$C$198:$C$275,MATCH(I981,'Data Sheet'!$F$198:$F$275,0)),"")</f>
        <v/>
      </c>
      <c r="L981" s="250" t="str">
        <f>IFERROR(INDEX('Data Sheet'!$G$198:$G$275,MATCH(I981,'Data Sheet'!$F$198:$F$275,0)),"")</f>
        <v/>
      </c>
      <c r="M981" s="194"/>
      <c r="N981" s="248"/>
      <c r="O981" s="248"/>
      <c r="P981" s="108" t="str">
        <f>IFERROR(INDEX(Setup!$D$44:$D$70,MATCH(M981,Setup!$K$44:$K$70,0))&amp;"","")</f>
        <v/>
      </c>
      <c r="Q981" s="108" t="str">
        <f>IFERROR(INDEX(Setup!$E$44:$E$70,MATCH(M981,Setup!$K$44:$K$70,0))&amp;"","")</f>
        <v/>
      </c>
      <c r="R981" s="108" t="str">
        <f>IFERROR(INDEX(Setup!$L$44:$L$70,MATCH(M981,Setup!$K$44:$K$70,0))&amp;"","")</f>
        <v/>
      </c>
      <c r="S981" s="108" t="str">
        <f>Setup!$C$30</f>
        <v>USD</v>
      </c>
      <c r="T981" s="109" t="str">
        <f>IFERROR(INDEX('Data Sheet'!$B$198:$B$275,MATCH(I981,'Data Sheet'!$F$198:$F$275,0)),"")</f>
        <v/>
      </c>
      <c r="U981" s="110" t="str">
        <f>IFERROR(INDEX('Data Sheet'!$D$198:$D$275,MATCH(I981,'Data Sheet'!$F$198:$F$275,0)),"")</f>
        <v/>
      </c>
      <c r="V981" s="99"/>
      <c r="W981" s="195" t="str">
        <f>IF(V981=Setup!$C$30,"Grant",IF(V981=Setup!$C$31,"Local",IF(V981=Setup!$C$32,"Other",IF(ISBLANK(V981),"","Other"))))</f>
        <v/>
      </c>
      <c r="X981" s="255"/>
      <c r="Y981" s="259" t="str">
        <f>IF(X981&lt;&gt;"",X981/VLOOKUP($V981,Setup!$C$30:$D$41,2,0),"")</f>
        <v/>
      </c>
      <c r="Z981" s="262"/>
      <c r="AA981" s="256" t="str">
        <f t="shared" si="455"/>
        <v/>
      </c>
      <c r="AB981" s="262"/>
      <c r="AC981" s="258" t="str">
        <f t="shared" si="456"/>
        <v/>
      </c>
      <c r="AD981" s="262"/>
      <c r="AE981" s="258" t="str">
        <f t="shared" si="457"/>
        <v/>
      </c>
      <c r="AF981" s="262"/>
      <c r="AG981" s="256" t="str">
        <f t="shared" si="458"/>
        <v/>
      </c>
      <c r="AH981" s="256" t="str">
        <f t="shared" si="459"/>
        <v/>
      </c>
      <c r="AI981" s="256" t="str">
        <f t="shared" si="460"/>
        <v/>
      </c>
      <c r="AJ981" s="111"/>
      <c r="AK981" s="255"/>
      <c r="AL981" s="259" t="str">
        <f>IF(AK981&lt;&gt;"",AK981/VLOOKUP($V981,Setup!$C$30:$D$41,2,0),"")</f>
        <v/>
      </c>
      <c r="AM981" s="266"/>
      <c r="AN981" s="258" t="str">
        <f t="shared" si="461"/>
        <v/>
      </c>
      <c r="AO981" s="266"/>
      <c r="AP981" s="258" t="str">
        <f t="shared" si="462"/>
        <v/>
      </c>
      <c r="AQ981" s="266"/>
      <c r="AR981" s="258" t="str">
        <f t="shared" si="463"/>
        <v/>
      </c>
      <c r="AS981" s="266"/>
      <c r="AT981" s="256" t="str">
        <f t="shared" si="464"/>
        <v/>
      </c>
      <c r="AU981" s="256" t="str">
        <f t="shared" si="465"/>
        <v/>
      </c>
      <c r="AV981" s="256" t="str">
        <f t="shared" si="466"/>
        <v/>
      </c>
      <c r="AW981" s="267"/>
      <c r="AX981" s="255"/>
      <c r="AY981" s="259" t="str">
        <f>IF(AX981&lt;&gt;"",AX981/VLOOKUP($V981,Setup!$C$30:$D$41,2,0),"")</f>
        <v/>
      </c>
      <c r="AZ981" s="268"/>
      <c r="BA981" s="258" t="str">
        <f t="shared" si="467"/>
        <v/>
      </c>
      <c r="BB981" s="268"/>
      <c r="BC981" s="258" t="str">
        <f t="shared" si="468"/>
        <v/>
      </c>
      <c r="BD981" s="268"/>
      <c r="BE981" s="258" t="str">
        <f t="shared" si="469"/>
        <v/>
      </c>
      <c r="BF981" s="268"/>
      <c r="BG981" s="256" t="str">
        <f t="shared" si="470"/>
        <v/>
      </c>
      <c r="BH981" s="256" t="str">
        <f t="shared" si="471"/>
        <v/>
      </c>
      <c r="BI981" s="256" t="str">
        <f t="shared" si="472"/>
        <v/>
      </c>
      <c r="BJ981" s="267"/>
      <c r="BK981" s="255"/>
      <c r="BL981" s="259" t="str">
        <f>IF(BK981&lt;&gt;"",BK981/VLOOKUP($V981,Setup!$C$30:$D$41,2,0),"")</f>
        <v/>
      </c>
      <c r="BM981" s="268"/>
      <c r="BN981" s="258" t="str">
        <f t="shared" si="473"/>
        <v/>
      </c>
      <c r="BO981" s="268"/>
      <c r="BP981" s="258" t="str">
        <f t="shared" si="474"/>
        <v/>
      </c>
      <c r="BQ981" s="268"/>
      <c r="BR981" s="258" t="str">
        <f t="shared" si="475"/>
        <v/>
      </c>
      <c r="BS981" s="268"/>
      <c r="BT981" s="256" t="str">
        <f t="shared" si="476"/>
        <v/>
      </c>
      <c r="BU981" s="256" t="str">
        <f t="shared" si="477"/>
        <v/>
      </c>
      <c r="BV981" s="256" t="str">
        <f t="shared" si="478"/>
        <v/>
      </c>
      <c r="BW981" s="267"/>
      <c r="BX981" s="256" t="str">
        <f t="shared" si="479"/>
        <v/>
      </c>
      <c r="BY981" s="256" t="str">
        <f t="shared" si="480"/>
        <v/>
      </c>
      <c r="BZ981" s="281"/>
      <c r="CA981" s="282"/>
      <c r="CF981" s="284"/>
      <c r="CG981" s="284"/>
      <c r="CH981" s="284"/>
      <c r="CI981" s="284"/>
      <c r="CL981" s="356" t="str">
        <f>IFERROR(VLOOKUP(C981,'Data Sheet'!$A$3:$B$26,2,FALSE),"")</f>
        <v/>
      </c>
    </row>
    <row r="982" spans="1:90" ht="15.75" x14ac:dyDescent="0.2">
      <c r="A982" s="97"/>
      <c r="B982" s="105" t="str">
        <f t="shared" si="483"/>
        <v>--</v>
      </c>
      <c r="C982" s="276"/>
      <c r="D982" s="101" t="str">
        <f>IFERROR(IF(VLOOKUP(C982,'Data Sheet'!$A$3:$D$26,4,FALSE)=0,"",VLOOKUP(C982,'Data Sheet'!$A$3:$D$26,4,FALSE)),"")</f>
        <v/>
      </c>
      <c r="E982" s="279"/>
      <c r="F982" s="103" t="str">
        <f>IFERROR(IF(VLOOKUP(E982,'Data Sheet'!$C$29:$E$174,3,FALSE)=0,"",VLOOKUP(E982,'Data Sheet'!$C$29:$E$174,3,FALSE)),"")</f>
        <v/>
      </c>
      <c r="G982" s="106" t="str">
        <f t="shared" si="481"/>
        <v>-</v>
      </c>
      <c r="H982" s="273"/>
      <c r="I982" s="107"/>
      <c r="J982" s="249" t="e">
        <f t="shared" si="482"/>
        <v>#VALUE!</v>
      </c>
      <c r="K982" s="101" t="str">
        <f>IFERROR(INDEX('Data Sheet'!$C$198:$C$275,MATCH(I982,'Data Sheet'!$F$198:$F$275,0)),"")</f>
        <v/>
      </c>
      <c r="L982" s="250" t="str">
        <f>IFERROR(INDEX('Data Sheet'!$G$198:$G$275,MATCH(I982,'Data Sheet'!$F$198:$F$275,0)),"")</f>
        <v/>
      </c>
      <c r="M982" s="194"/>
      <c r="N982" s="248"/>
      <c r="O982" s="248"/>
      <c r="P982" s="108" t="str">
        <f>IFERROR(INDEX(Setup!$D$44:$D$70,MATCH(M982,Setup!$K$44:$K$70,0))&amp;"","")</f>
        <v/>
      </c>
      <c r="Q982" s="108" t="str">
        <f>IFERROR(INDEX(Setup!$E$44:$E$70,MATCH(M982,Setup!$K$44:$K$70,0))&amp;"","")</f>
        <v/>
      </c>
      <c r="R982" s="108" t="str">
        <f>IFERROR(INDEX(Setup!$L$44:$L$70,MATCH(M982,Setup!$K$44:$K$70,0))&amp;"","")</f>
        <v/>
      </c>
      <c r="S982" s="108" t="str">
        <f>Setup!$C$30</f>
        <v>USD</v>
      </c>
      <c r="T982" s="109" t="str">
        <f>IFERROR(INDEX('Data Sheet'!$B$198:$B$275,MATCH(I982,'Data Sheet'!$F$198:$F$275,0)),"")</f>
        <v/>
      </c>
      <c r="U982" s="110" t="str">
        <f>IFERROR(INDEX('Data Sheet'!$D$198:$D$275,MATCH(I982,'Data Sheet'!$F$198:$F$275,0)),"")</f>
        <v/>
      </c>
      <c r="V982" s="99"/>
      <c r="W982" s="195" t="str">
        <f>IF(V982=Setup!$C$30,"Grant",IF(V982=Setup!$C$31,"Local",IF(V982=Setup!$C$32,"Other",IF(ISBLANK(V982),"","Other"))))</f>
        <v/>
      </c>
      <c r="X982" s="255"/>
      <c r="Y982" s="259" t="str">
        <f>IF(X982&lt;&gt;"",X982/VLOOKUP($V982,Setup!$C$30:$D$41,2,0),"")</f>
        <v/>
      </c>
      <c r="Z982" s="262"/>
      <c r="AA982" s="256" t="str">
        <f t="shared" si="455"/>
        <v/>
      </c>
      <c r="AB982" s="262"/>
      <c r="AC982" s="258" t="str">
        <f t="shared" si="456"/>
        <v/>
      </c>
      <c r="AD982" s="262"/>
      <c r="AE982" s="258" t="str">
        <f t="shared" si="457"/>
        <v/>
      </c>
      <c r="AF982" s="262"/>
      <c r="AG982" s="256" t="str">
        <f t="shared" si="458"/>
        <v/>
      </c>
      <c r="AH982" s="256" t="str">
        <f t="shared" si="459"/>
        <v/>
      </c>
      <c r="AI982" s="256" t="str">
        <f t="shared" si="460"/>
        <v/>
      </c>
      <c r="AJ982" s="111"/>
      <c r="AK982" s="255"/>
      <c r="AL982" s="259" t="str">
        <f>IF(AK982&lt;&gt;"",AK982/VLOOKUP($V982,Setup!$C$30:$D$41,2,0),"")</f>
        <v/>
      </c>
      <c r="AM982" s="266"/>
      <c r="AN982" s="258" t="str">
        <f t="shared" si="461"/>
        <v/>
      </c>
      <c r="AO982" s="266"/>
      <c r="AP982" s="258" t="str">
        <f t="shared" si="462"/>
        <v/>
      </c>
      <c r="AQ982" s="266"/>
      <c r="AR982" s="258" t="str">
        <f t="shared" si="463"/>
        <v/>
      </c>
      <c r="AS982" s="266"/>
      <c r="AT982" s="256" t="str">
        <f t="shared" si="464"/>
        <v/>
      </c>
      <c r="AU982" s="256" t="str">
        <f t="shared" si="465"/>
        <v/>
      </c>
      <c r="AV982" s="256" t="str">
        <f t="shared" si="466"/>
        <v/>
      </c>
      <c r="AW982" s="267"/>
      <c r="AX982" s="255"/>
      <c r="AY982" s="259" t="str">
        <f>IF(AX982&lt;&gt;"",AX982/VLOOKUP($V982,Setup!$C$30:$D$41,2,0),"")</f>
        <v/>
      </c>
      <c r="AZ982" s="268"/>
      <c r="BA982" s="258" t="str">
        <f t="shared" si="467"/>
        <v/>
      </c>
      <c r="BB982" s="268"/>
      <c r="BC982" s="258" t="str">
        <f t="shared" si="468"/>
        <v/>
      </c>
      <c r="BD982" s="268"/>
      <c r="BE982" s="258" t="str">
        <f t="shared" si="469"/>
        <v/>
      </c>
      <c r="BF982" s="268"/>
      <c r="BG982" s="256" t="str">
        <f t="shared" si="470"/>
        <v/>
      </c>
      <c r="BH982" s="256" t="str">
        <f t="shared" si="471"/>
        <v/>
      </c>
      <c r="BI982" s="256" t="str">
        <f t="shared" si="472"/>
        <v/>
      </c>
      <c r="BJ982" s="267"/>
      <c r="BK982" s="255"/>
      <c r="BL982" s="259" t="str">
        <f>IF(BK982&lt;&gt;"",BK982/VLOOKUP($V982,Setup!$C$30:$D$41,2,0),"")</f>
        <v/>
      </c>
      <c r="BM982" s="268"/>
      <c r="BN982" s="258" t="str">
        <f t="shared" si="473"/>
        <v/>
      </c>
      <c r="BO982" s="268"/>
      <c r="BP982" s="258" t="str">
        <f t="shared" si="474"/>
        <v/>
      </c>
      <c r="BQ982" s="268"/>
      <c r="BR982" s="258" t="str">
        <f t="shared" si="475"/>
        <v/>
      </c>
      <c r="BS982" s="268"/>
      <c r="BT982" s="256" t="str">
        <f t="shared" si="476"/>
        <v/>
      </c>
      <c r="BU982" s="256" t="str">
        <f t="shared" si="477"/>
        <v/>
      </c>
      <c r="BV982" s="256" t="str">
        <f t="shared" si="478"/>
        <v/>
      </c>
      <c r="BW982" s="267"/>
      <c r="BX982" s="256" t="str">
        <f t="shared" si="479"/>
        <v/>
      </c>
      <c r="BY982" s="256" t="str">
        <f t="shared" si="480"/>
        <v/>
      </c>
      <c r="BZ982" s="281"/>
      <c r="CA982" s="282"/>
      <c r="CF982" s="284"/>
      <c r="CG982" s="284"/>
      <c r="CH982" s="284"/>
      <c r="CI982" s="284"/>
      <c r="CL982" s="356" t="str">
        <f>IFERROR(VLOOKUP(C982,'Data Sheet'!$A$3:$B$26,2,FALSE),"")</f>
        <v/>
      </c>
    </row>
    <row r="983" spans="1:90" ht="15.75" x14ac:dyDescent="0.2">
      <c r="A983" s="97"/>
      <c r="B983" s="105" t="str">
        <f t="shared" si="483"/>
        <v>--</v>
      </c>
      <c r="C983" s="276"/>
      <c r="D983" s="101" t="str">
        <f>IFERROR(IF(VLOOKUP(C983,'Data Sheet'!$A$3:$D$26,4,FALSE)=0,"",VLOOKUP(C983,'Data Sheet'!$A$3:$D$26,4,FALSE)),"")</f>
        <v/>
      </c>
      <c r="E983" s="279"/>
      <c r="F983" s="103" t="str">
        <f>IFERROR(IF(VLOOKUP(E983,'Data Sheet'!$C$29:$E$174,3,FALSE)=0,"",VLOOKUP(E983,'Data Sheet'!$C$29:$E$174,3,FALSE)),"")</f>
        <v/>
      </c>
      <c r="G983" s="106" t="str">
        <f t="shared" si="481"/>
        <v>-</v>
      </c>
      <c r="H983" s="273"/>
      <c r="I983" s="107"/>
      <c r="J983" s="249" t="e">
        <f t="shared" si="482"/>
        <v>#VALUE!</v>
      </c>
      <c r="K983" s="101" t="str">
        <f>IFERROR(INDEX('Data Sheet'!$C$198:$C$275,MATCH(I983,'Data Sheet'!$F$198:$F$275,0)),"")</f>
        <v/>
      </c>
      <c r="L983" s="250" t="str">
        <f>IFERROR(INDEX('Data Sheet'!$G$198:$G$275,MATCH(I983,'Data Sheet'!$F$198:$F$275,0)),"")</f>
        <v/>
      </c>
      <c r="M983" s="194"/>
      <c r="N983" s="248"/>
      <c r="O983" s="248"/>
      <c r="P983" s="108" t="str">
        <f>IFERROR(INDEX(Setup!$D$44:$D$70,MATCH(M983,Setup!$K$44:$K$70,0))&amp;"","")</f>
        <v/>
      </c>
      <c r="Q983" s="108" t="str">
        <f>IFERROR(INDEX(Setup!$E$44:$E$70,MATCH(M983,Setup!$K$44:$K$70,0))&amp;"","")</f>
        <v/>
      </c>
      <c r="R983" s="108" t="str">
        <f>IFERROR(INDEX(Setup!$L$44:$L$70,MATCH(M983,Setup!$K$44:$K$70,0))&amp;"","")</f>
        <v/>
      </c>
      <c r="S983" s="108" t="str">
        <f>Setup!$C$30</f>
        <v>USD</v>
      </c>
      <c r="T983" s="109" t="str">
        <f>IFERROR(INDEX('Data Sheet'!$B$198:$B$275,MATCH(I983,'Data Sheet'!$F$198:$F$275,0)),"")</f>
        <v/>
      </c>
      <c r="U983" s="110" t="str">
        <f>IFERROR(INDEX('Data Sheet'!$D$198:$D$275,MATCH(I983,'Data Sheet'!$F$198:$F$275,0)),"")</f>
        <v/>
      </c>
      <c r="V983" s="99"/>
      <c r="W983" s="195" t="str">
        <f>IF(V983=Setup!$C$30,"Grant",IF(V983=Setup!$C$31,"Local",IF(V983=Setup!$C$32,"Other",IF(ISBLANK(V983),"","Other"))))</f>
        <v/>
      </c>
      <c r="X983" s="255"/>
      <c r="Y983" s="259" t="str">
        <f>IF(X983&lt;&gt;"",X983/VLOOKUP($V983,Setup!$C$30:$D$41,2,0),"")</f>
        <v/>
      </c>
      <c r="Z983" s="262"/>
      <c r="AA983" s="256" t="str">
        <f t="shared" si="455"/>
        <v/>
      </c>
      <c r="AB983" s="262"/>
      <c r="AC983" s="258" t="str">
        <f t="shared" si="456"/>
        <v/>
      </c>
      <c r="AD983" s="262"/>
      <c r="AE983" s="258" t="str">
        <f t="shared" si="457"/>
        <v/>
      </c>
      <c r="AF983" s="262"/>
      <c r="AG983" s="256" t="str">
        <f t="shared" si="458"/>
        <v/>
      </c>
      <c r="AH983" s="256" t="str">
        <f t="shared" si="459"/>
        <v/>
      </c>
      <c r="AI983" s="256" t="str">
        <f t="shared" si="460"/>
        <v/>
      </c>
      <c r="AJ983" s="111"/>
      <c r="AK983" s="255"/>
      <c r="AL983" s="259" t="str">
        <f>IF(AK983&lt;&gt;"",AK983/VLOOKUP($V983,Setup!$C$30:$D$41,2,0),"")</f>
        <v/>
      </c>
      <c r="AM983" s="266"/>
      <c r="AN983" s="258" t="str">
        <f t="shared" si="461"/>
        <v/>
      </c>
      <c r="AO983" s="266"/>
      <c r="AP983" s="258" t="str">
        <f t="shared" si="462"/>
        <v/>
      </c>
      <c r="AQ983" s="266"/>
      <c r="AR983" s="258" t="str">
        <f t="shared" si="463"/>
        <v/>
      </c>
      <c r="AS983" s="266"/>
      <c r="AT983" s="256" t="str">
        <f t="shared" si="464"/>
        <v/>
      </c>
      <c r="AU983" s="256" t="str">
        <f t="shared" si="465"/>
        <v/>
      </c>
      <c r="AV983" s="256" t="str">
        <f t="shared" si="466"/>
        <v/>
      </c>
      <c r="AW983" s="267"/>
      <c r="AX983" s="255"/>
      <c r="AY983" s="259" t="str">
        <f>IF(AX983&lt;&gt;"",AX983/VLOOKUP($V983,Setup!$C$30:$D$41,2,0),"")</f>
        <v/>
      </c>
      <c r="AZ983" s="268"/>
      <c r="BA983" s="258" t="str">
        <f t="shared" si="467"/>
        <v/>
      </c>
      <c r="BB983" s="268"/>
      <c r="BC983" s="258" t="str">
        <f t="shared" si="468"/>
        <v/>
      </c>
      <c r="BD983" s="268"/>
      <c r="BE983" s="258" t="str">
        <f t="shared" si="469"/>
        <v/>
      </c>
      <c r="BF983" s="268"/>
      <c r="BG983" s="256" t="str">
        <f t="shared" si="470"/>
        <v/>
      </c>
      <c r="BH983" s="256" t="str">
        <f t="shared" si="471"/>
        <v/>
      </c>
      <c r="BI983" s="256" t="str">
        <f t="shared" si="472"/>
        <v/>
      </c>
      <c r="BJ983" s="267"/>
      <c r="BK983" s="255"/>
      <c r="BL983" s="259" t="str">
        <f>IF(BK983&lt;&gt;"",BK983/VLOOKUP($V983,Setup!$C$30:$D$41,2,0),"")</f>
        <v/>
      </c>
      <c r="BM983" s="268"/>
      <c r="BN983" s="258" t="str">
        <f t="shared" si="473"/>
        <v/>
      </c>
      <c r="BO983" s="268"/>
      <c r="BP983" s="258" t="str">
        <f t="shared" si="474"/>
        <v/>
      </c>
      <c r="BQ983" s="268"/>
      <c r="BR983" s="258" t="str">
        <f t="shared" si="475"/>
        <v/>
      </c>
      <c r="BS983" s="268"/>
      <c r="BT983" s="256" t="str">
        <f t="shared" si="476"/>
        <v/>
      </c>
      <c r="BU983" s="256" t="str">
        <f t="shared" si="477"/>
        <v/>
      </c>
      <c r="BV983" s="256" t="str">
        <f t="shared" si="478"/>
        <v/>
      </c>
      <c r="BW983" s="267"/>
      <c r="BX983" s="256" t="str">
        <f t="shared" si="479"/>
        <v/>
      </c>
      <c r="BY983" s="256" t="str">
        <f t="shared" si="480"/>
        <v/>
      </c>
      <c r="BZ983" s="281"/>
      <c r="CA983" s="282"/>
      <c r="CF983" s="284"/>
      <c r="CG983" s="284"/>
      <c r="CH983" s="284"/>
      <c r="CI983" s="284"/>
      <c r="CL983" s="356" t="str">
        <f>IFERROR(VLOOKUP(C983,'Data Sheet'!$A$3:$B$26,2,FALSE),"")</f>
        <v/>
      </c>
    </row>
    <row r="984" spans="1:90" ht="15.75" x14ac:dyDescent="0.2">
      <c r="A984" s="97"/>
      <c r="B984" s="105" t="str">
        <f t="shared" si="483"/>
        <v>--</v>
      </c>
      <c r="C984" s="276"/>
      <c r="D984" s="101" t="str">
        <f>IFERROR(IF(VLOOKUP(C984,'Data Sheet'!$A$3:$D$26,4,FALSE)=0,"",VLOOKUP(C984,'Data Sheet'!$A$3:$D$26,4,FALSE)),"")</f>
        <v/>
      </c>
      <c r="E984" s="279"/>
      <c r="F984" s="103" t="str">
        <f>IFERROR(IF(VLOOKUP(E984,'Data Sheet'!$C$29:$E$174,3,FALSE)=0,"",VLOOKUP(E984,'Data Sheet'!$C$29:$E$174,3,FALSE)),"")</f>
        <v/>
      </c>
      <c r="G984" s="106" t="str">
        <f t="shared" si="481"/>
        <v>-</v>
      </c>
      <c r="H984" s="273"/>
      <c r="I984" s="107"/>
      <c r="J984" s="249" t="e">
        <f t="shared" si="482"/>
        <v>#VALUE!</v>
      </c>
      <c r="K984" s="101" t="str">
        <f>IFERROR(INDEX('Data Sheet'!$C$198:$C$275,MATCH(I984,'Data Sheet'!$F$198:$F$275,0)),"")</f>
        <v/>
      </c>
      <c r="L984" s="250" t="str">
        <f>IFERROR(INDEX('Data Sheet'!$G$198:$G$275,MATCH(I984,'Data Sheet'!$F$198:$F$275,0)),"")</f>
        <v/>
      </c>
      <c r="M984" s="194"/>
      <c r="N984" s="248"/>
      <c r="O984" s="248"/>
      <c r="P984" s="108" t="str">
        <f>IFERROR(INDEX(Setup!$D$44:$D$70,MATCH(M984,Setup!$K$44:$K$70,0))&amp;"","")</f>
        <v/>
      </c>
      <c r="Q984" s="108" t="str">
        <f>IFERROR(INDEX(Setup!$E$44:$E$70,MATCH(M984,Setup!$K$44:$K$70,0))&amp;"","")</f>
        <v/>
      </c>
      <c r="R984" s="108" t="str">
        <f>IFERROR(INDEX(Setup!$L$44:$L$70,MATCH(M984,Setup!$K$44:$K$70,0))&amp;"","")</f>
        <v/>
      </c>
      <c r="S984" s="108" t="str">
        <f>Setup!$C$30</f>
        <v>USD</v>
      </c>
      <c r="T984" s="109" t="str">
        <f>IFERROR(INDEX('Data Sheet'!$B$198:$B$275,MATCH(I984,'Data Sheet'!$F$198:$F$275,0)),"")</f>
        <v/>
      </c>
      <c r="U984" s="110" t="str">
        <f>IFERROR(INDEX('Data Sheet'!$D$198:$D$275,MATCH(I984,'Data Sheet'!$F$198:$F$275,0)),"")</f>
        <v/>
      </c>
      <c r="V984" s="99"/>
      <c r="W984" s="195" t="str">
        <f>IF(V984=Setup!$C$30,"Grant",IF(V984=Setup!$C$31,"Local",IF(V984=Setup!$C$32,"Other",IF(ISBLANK(V984),"","Other"))))</f>
        <v/>
      </c>
      <c r="X984" s="255"/>
      <c r="Y984" s="259" t="str">
        <f>IF(X984&lt;&gt;"",X984/VLOOKUP($V984,Setup!$C$30:$D$41,2,0),"")</f>
        <v/>
      </c>
      <c r="Z984" s="262"/>
      <c r="AA984" s="256" t="str">
        <f t="shared" si="455"/>
        <v/>
      </c>
      <c r="AB984" s="262"/>
      <c r="AC984" s="258" t="str">
        <f t="shared" si="456"/>
        <v/>
      </c>
      <c r="AD984" s="262"/>
      <c r="AE984" s="258" t="str">
        <f t="shared" si="457"/>
        <v/>
      </c>
      <c r="AF984" s="262"/>
      <c r="AG984" s="256" t="str">
        <f t="shared" si="458"/>
        <v/>
      </c>
      <c r="AH984" s="256" t="str">
        <f t="shared" si="459"/>
        <v/>
      </c>
      <c r="AI984" s="256" t="str">
        <f t="shared" si="460"/>
        <v/>
      </c>
      <c r="AJ984" s="111"/>
      <c r="AK984" s="255"/>
      <c r="AL984" s="259" t="str">
        <f>IF(AK984&lt;&gt;"",AK984/VLOOKUP($V984,Setup!$C$30:$D$41,2,0),"")</f>
        <v/>
      </c>
      <c r="AM984" s="266"/>
      <c r="AN984" s="258" t="str">
        <f t="shared" si="461"/>
        <v/>
      </c>
      <c r="AO984" s="266"/>
      <c r="AP984" s="258" t="str">
        <f t="shared" si="462"/>
        <v/>
      </c>
      <c r="AQ984" s="266"/>
      <c r="AR984" s="258" t="str">
        <f t="shared" si="463"/>
        <v/>
      </c>
      <c r="AS984" s="266"/>
      <c r="AT984" s="256" t="str">
        <f t="shared" si="464"/>
        <v/>
      </c>
      <c r="AU984" s="256" t="str">
        <f t="shared" si="465"/>
        <v/>
      </c>
      <c r="AV984" s="256" t="str">
        <f t="shared" si="466"/>
        <v/>
      </c>
      <c r="AW984" s="267"/>
      <c r="AX984" s="255"/>
      <c r="AY984" s="259" t="str">
        <f>IF(AX984&lt;&gt;"",AX984/VLOOKUP($V984,Setup!$C$30:$D$41,2,0),"")</f>
        <v/>
      </c>
      <c r="AZ984" s="268"/>
      <c r="BA984" s="258" t="str">
        <f t="shared" si="467"/>
        <v/>
      </c>
      <c r="BB984" s="268"/>
      <c r="BC984" s="258" t="str">
        <f t="shared" si="468"/>
        <v/>
      </c>
      <c r="BD984" s="268"/>
      <c r="BE984" s="258" t="str">
        <f t="shared" si="469"/>
        <v/>
      </c>
      <c r="BF984" s="268"/>
      <c r="BG984" s="256" t="str">
        <f t="shared" si="470"/>
        <v/>
      </c>
      <c r="BH984" s="256" t="str">
        <f t="shared" si="471"/>
        <v/>
      </c>
      <c r="BI984" s="256" t="str">
        <f t="shared" si="472"/>
        <v/>
      </c>
      <c r="BJ984" s="267"/>
      <c r="BK984" s="255"/>
      <c r="BL984" s="259" t="str">
        <f>IF(BK984&lt;&gt;"",BK984/VLOOKUP($V984,Setup!$C$30:$D$41,2,0),"")</f>
        <v/>
      </c>
      <c r="BM984" s="268"/>
      <c r="BN984" s="258" t="str">
        <f t="shared" si="473"/>
        <v/>
      </c>
      <c r="BO984" s="268"/>
      <c r="BP984" s="258" t="str">
        <f t="shared" si="474"/>
        <v/>
      </c>
      <c r="BQ984" s="268"/>
      <c r="BR984" s="258" t="str">
        <f t="shared" si="475"/>
        <v/>
      </c>
      <c r="BS984" s="268"/>
      <c r="BT984" s="256" t="str">
        <f t="shared" si="476"/>
        <v/>
      </c>
      <c r="BU984" s="256" t="str">
        <f t="shared" si="477"/>
        <v/>
      </c>
      <c r="BV984" s="256" t="str">
        <f t="shared" si="478"/>
        <v/>
      </c>
      <c r="BW984" s="267"/>
      <c r="BX984" s="256" t="str">
        <f t="shared" si="479"/>
        <v/>
      </c>
      <c r="BY984" s="256" t="str">
        <f t="shared" si="480"/>
        <v/>
      </c>
      <c r="BZ984" s="281"/>
      <c r="CA984" s="282"/>
      <c r="CF984" s="284"/>
      <c r="CG984" s="284"/>
      <c r="CH984" s="284"/>
      <c r="CI984" s="284"/>
      <c r="CL984" s="356" t="str">
        <f>IFERROR(VLOOKUP(C984,'Data Sheet'!$A$3:$B$26,2,FALSE),"")</f>
        <v/>
      </c>
    </row>
    <row r="985" spans="1:90" ht="15.75" x14ac:dyDescent="0.2">
      <c r="A985" s="97"/>
      <c r="B985" s="105" t="str">
        <f t="shared" si="483"/>
        <v>--</v>
      </c>
      <c r="C985" s="276"/>
      <c r="D985" s="101" t="str">
        <f>IFERROR(IF(VLOOKUP(C985,'Data Sheet'!$A$3:$D$26,4,FALSE)=0,"",VLOOKUP(C985,'Data Sheet'!$A$3:$D$26,4,FALSE)),"")</f>
        <v/>
      </c>
      <c r="E985" s="279"/>
      <c r="F985" s="103" t="str">
        <f>IFERROR(IF(VLOOKUP(E985,'Data Sheet'!$C$29:$E$174,3,FALSE)=0,"",VLOOKUP(E985,'Data Sheet'!$C$29:$E$174,3,FALSE)),"")</f>
        <v/>
      </c>
      <c r="G985" s="106" t="str">
        <f t="shared" si="481"/>
        <v>-</v>
      </c>
      <c r="H985" s="273"/>
      <c r="I985" s="107"/>
      <c r="J985" s="249" t="e">
        <f t="shared" si="482"/>
        <v>#VALUE!</v>
      </c>
      <c r="K985" s="101" t="str">
        <f>IFERROR(INDEX('Data Sheet'!$C$198:$C$275,MATCH(I985,'Data Sheet'!$F$198:$F$275,0)),"")</f>
        <v/>
      </c>
      <c r="L985" s="250" t="str">
        <f>IFERROR(INDEX('Data Sheet'!$G$198:$G$275,MATCH(I985,'Data Sheet'!$F$198:$F$275,0)),"")</f>
        <v/>
      </c>
      <c r="M985" s="194"/>
      <c r="N985" s="248"/>
      <c r="O985" s="248"/>
      <c r="P985" s="108" t="str">
        <f>IFERROR(INDEX(Setup!$D$44:$D$70,MATCH(M985,Setup!$K$44:$K$70,0))&amp;"","")</f>
        <v/>
      </c>
      <c r="Q985" s="108" t="str">
        <f>IFERROR(INDEX(Setup!$E$44:$E$70,MATCH(M985,Setup!$K$44:$K$70,0))&amp;"","")</f>
        <v/>
      </c>
      <c r="R985" s="108" t="str">
        <f>IFERROR(INDEX(Setup!$L$44:$L$70,MATCH(M985,Setup!$K$44:$K$70,0))&amp;"","")</f>
        <v/>
      </c>
      <c r="S985" s="108" t="str">
        <f>Setup!$C$30</f>
        <v>USD</v>
      </c>
      <c r="T985" s="109" t="str">
        <f>IFERROR(INDEX('Data Sheet'!$B$198:$B$275,MATCH(I985,'Data Sheet'!$F$198:$F$275,0)),"")</f>
        <v/>
      </c>
      <c r="U985" s="110" t="str">
        <f>IFERROR(INDEX('Data Sheet'!$D$198:$D$275,MATCH(I985,'Data Sheet'!$F$198:$F$275,0)),"")</f>
        <v/>
      </c>
      <c r="V985" s="99"/>
      <c r="W985" s="195" t="str">
        <f>IF(V985=Setup!$C$30,"Grant",IF(V985=Setup!$C$31,"Local",IF(V985=Setup!$C$32,"Other",IF(ISBLANK(V985),"","Other"))))</f>
        <v/>
      </c>
      <c r="X985" s="255"/>
      <c r="Y985" s="259" t="str">
        <f>IF(X985&lt;&gt;"",X985/VLOOKUP($V985,Setup!$C$30:$D$41,2,0),"")</f>
        <v/>
      </c>
      <c r="Z985" s="262"/>
      <c r="AA985" s="256" t="str">
        <f t="shared" si="455"/>
        <v/>
      </c>
      <c r="AB985" s="262"/>
      <c r="AC985" s="258" t="str">
        <f t="shared" si="456"/>
        <v/>
      </c>
      <c r="AD985" s="262"/>
      <c r="AE985" s="258" t="str">
        <f t="shared" si="457"/>
        <v/>
      </c>
      <c r="AF985" s="262"/>
      <c r="AG985" s="256" t="str">
        <f t="shared" si="458"/>
        <v/>
      </c>
      <c r="AH985" s="256" t="str">
        <f t="shared" si="459"/>
        <v/>
      </c>
      <c r="AI985" s="256" t="str">
        <f t="shared" si="460"/>
        <v/>
      </c>
      <c r="AJ985" s="111"/>
      <c r="AK985" s="255"/>
      <c r="AL985" s="259" t="str">
        <f>IF(AK985&lt;&gt;"",AK985/VLOOKUP($V985,Setup!$C$30:$D$41,2,0),"")</f>
        <v/>
      </c>
      <c r="AM985" s="266"/>
      <c r="AN985" s="258" t="str">
        <f t="shared" si="461"/>
        <v/>
      </c>
      <c r="AO985" s="266"/>
      <c r="AP985" s="258" t="str">
        <f t="shared" si="462"/>
        <v/>
      </c>
      <c r="AQ985" s="266"/>
      <c r="AR985" s="258" t="str">
        <f t="shared" si="463"/>
        <v/>
      </c>
      <c r="AS985" s="266"/>
      <c r="AT985" s="256" t="str">
        <f t="shared" si="464"/>
        <v/>
      </c>
      <c r="AU985" s="256" t="str">
        <f t="shared" si="465"/>
        <v/>
      </c>
      <c r="AV985" s="256" t="str">
        <f t="shared" si="466"/>
        <v/>
      </c>
      <c r="AW985" s="267"/>
      <c r="AX985" s="255"/>
      <c r="AY985" s="259" t="str">
        <f>IF(AX985&lt;&gt;"",AX985/VLOOKUP($V985,Setup!$C$30:$D$41,2,0),"")</f>
        <v/>
      </c>
      <c r="AZ985" s="268"/>
      <c r="BA985" s="258" t="str">
        <f t="shared" si="467"/>
        <v/>
      </c>
      <c r="BB985" s="268"/>
      <c r="BC985" s="258" t="str">
        <f t="shared" si="468"/>
        <v/>
      </c>
      <c r="BD985" s="268"/>
      <c r="BE985" s="258" t="str">
        <f t="shared" si="469"/>
        <v/>
      </c>
      <c r="BF985" s="268"/>
      <c r="BG985" s="256" t="str">
        <f t="shared" si="470"/>
        <v/>
      </c>
      <c r="BH985" s="256" t="str">
        <f t="shared" si="471"/>
        <v/>
      </c>
      <c r="BI985" s="256" t="str">
        <f t="shared" si="472"/>
        <v/>
      </c>
      <c r="BJ985" s="267"/>
      <c r="BK985" s="255"/>
      <c r="BL985" s="259" t="str">
        <f>IF(BK985&lt;&gt;"",BK985/VLOOKUP($V985,Setup!$C$30:$D$41,2,0),"")</f>
        <v/>
      </c>
      <c r="BM985" s="268"/>
      <c r="BN985" s="258" t="str">
        <f t="shared" si="473"/>
        <v/>
      </c>
      <c r="BO985" s="268"/>
      <c r="BP985" s="258" t="str">
        <f t="shared" si="474"/>
        <v/>
      </c>
      <c r="BQ985" s="268"/>
      <c r="BR985" s="258" t="str">
        <f t="shared" si="475"/>
        <v/>
      </c>
      <c r="BS985" s="268"/>
      <c r="BT985" s="256" t="str">
        <f t="shared" si="476"/>
        <v/>
      </c>
      <c r="BU985" s="256" t="str">
        <f t="shared" si="477"/>
        <v/>
      </c>
      <c r="BV985" s="256" t="str">
        <f t="shared" si="478"/>
        <v/>
      </c>
      <c r="BW985" s="267"/>
      <c r="BX985" s="256" t="str">
        <f t="shared" si="479"/>
        <v/>
      </c>
      <c r="BY985" s="256" t="str">
        <f t="shared" si="480"/>
        <v/>
      </c>
      <c r="BZ985" s="281"/>
      <c r="CA985" s="282"/>
      <c r="CF985" s="284"/>
      <c r="CG985" s="284"/>
      <c r="CH985" s="284"/>
      <c r="CI985" s="284"/>
      <c r="CL985" s="356" t="str">
        <f>IFERROR(VLOOKUP(C985,'Data Sheet'!$A$3:$B$26,2,FALSE),"")</f>
        <v/>
      </c>
    </row>
    <row r="986" spans="1:90" ht="15.75" x14ac:dyDescent="0.2">
      <c r="A986" s="97"/>
      <c r="B986" s="105" t="str">
        <f t="shared" si="483"/>
        <v>--</v>
      </c>
      <c r="C986" s="276"/>
      <c r="D986" s="101" t="str">
        <f>IFERROR(IF(VLOOKUP(C986,'Data Sheet'!$A$3:$D$26,4,FALSE)=0,"",VLOOKUP(C986,'Data Sheet'!$A$3:$D$26,4,FALSE)),"")</f>
        <v/>
      </c>
      <c r="E986" s="279"/>
      <c r="F986" s="103" t="str">
        <f>IFERROR(IF(VLOOKUP(E986,'Data Sheet'!$C$29:$E$174,3,FALSE)=0,"",VLOOKUP(E986,'Data Sheet'!$C$29:$E$174,3,FALSE)),"")</f>
        <v/>
      </c>
      <c r="G986" s="106" t="str">
        <f t="shared" si="481"/>
        <v>-</v>
      </c>
      <c r="H986" s="273"/>
      <c r="I986" s="107"/>
      <c r="J986" s="249" t="e">
        <f t="shared" si="482"/>
        <v>#VALUE!</v>
      </c>
      <c r="K986" s="101" t="str">
        <f>IFERROR(INDEX('Data Sheet'!$C$198:$C$275,MATCH(I986,'Data Sheet'!$F$198:$F$275,0)),"")</f>
        <v/>
      </c>
      <c r="L986" s="250" t="str">
        <f>IFERROR(INDEX('Data Sheet'!$G$198:$G$275,MATCH(I986,'Data Sheet'!$F$198:$F$275,0)),"")</f>
        <v/>
      </c>
      <c r="M986" s="194"/>
      <c r="N986" s="248"/>
      <c r="O986" s="248"/>
      <c r="P986" s="108" t="str">
        <f>IFERROR(INDEX(Setup!$D$44:$D$70,MATCH(M986,Setup!$K$44:$K$70,0))&amp;"","")</f>
        <v/>
      </c>
      <c r="Q986" s="108" t="str">
        <f>IFERROR(INDEX(Setup!$E$44:$E$70,MATCH(M986,Setup!$K$44:$K$70,0))&amp;"","")</f>
        <v/>
      </c>
      <c r="R986" s="108" t="str">
        <f>IFERROR(INDEX(Setup!$L$44:$L$70,MATCH(M986,Setup!$K$44:$K$70,0))&amp;"","")</f>
        <v/>
      </c>
      <c r="S986" s="108" t="str">
        <f>Setup!$C$30</f>
        <v>USD</v>
      </c>
      <c r="T986" s="109" t="str">
        <f>IFERROR(INDEX('Data Sheet'!$B$198:$B$275,MATCH(I986,'Data Sheet'!$F$198:$F$275,0)),"")</f>
        <v/>
      </c>
      <c r="U986" s="110" t="str">
        <f>IFERROR(INDEX('Data Sheet'!$D$198:$D$275,MATCH(I986,'Data Sheet'!$F$198:$F$275,0)),"")</f>
        <v/>
      </c>
      <c r="V986" s="99"/>
      <c r="W986" s="195" t="str">
        <f>IF(V986=Setup!$C$30,"Grant",IF(V986=Setup!$C$31,"Local",IF(V986=Setup!$C$32,"Other",IF(ISBLANK(V986),"","Other"))))</f>
        <v/>
      </c>
      <c r="X986" s="255"/>
      <c r="Y986" s="259" t="str">
        <f>IF(X986&lt;&gt;"",X986/VLOOKUP($V986,Setup!$C$30:$D$41,2,0),"")</f>
        <v/>
      </c>
      <c r="Z986" s="262"/>
      <c r="AA986" s="256" t="str">
        <f t="shared" si="455"/>
        <v/>
      </c>
      <c r="AB986" s="262"/>
      <c r="AC986" s="258" t="str">
        <f t="shared" si="456"/>
        <v/>
      </c>
      <c r="AD986" s="262"/>
      <c r="AE986" s="258" t="str">
        <f t="shared" si="457"/>
        <v/>
      </c>
      <c r="AF986" s="262"/>
      <c r="AG986" s="256" t="str">
        <f t="shared" si="458"/>
        <v/>
      </c>
      <c r="AH986" s="256" t="str">
        <f t="shared" si="459"/>
        <v/>
      </c>
      <c r="AI986" s="256" t="str">
        <f t="shared" si="460"/>
        <v/>
      </c>
      <c r="AJ986" s="111"/>
      <c r="AK986" s="255"/>
      <c r="AL986" s="259" t="str">
        <f>IF(AK986&lt;&gt;"",AK986/VLOOKUP($V986,Setup!$C$30:$D$41,2,0),"")</f>
        <v/>
      </c>
      <c r="AM986" s="266"/>
      <c r="AN986" s="258" t="str">
        <f t="shared" si="461"/>
        <v/>
      </c>
      <c r="AO986" s="266"/>
      <c r="AP986" s="258" t="str">
        <f t="shared" si="462"/>
        <v/>
      </c>
      <c r="AQ986" s="266"/>
      <c r="AR986" s="258" t="str">
        <f t="shared" si="463"/>
        <v/>
      </c>
      <c r="AS986" s="266"/>
      <c r="AT986" s="256" t="str">
        <f t="shared" si="464"/>
        <v/>
      </c>
      <c r="AU986" s="256" t="str">
        <f t="shared" si="465"/>
        <v/>
      </c>
      <c r="AV986" s="256" t="str">
        <f t="shared" si="466"/>
        <v/>
      </c>
      <c r="AW986" s="267"/>
      <c r="AX986" s="255"/>
      <c r="AY986" s="259" t="str">
        <f>IF(AX986&lt;&gt;"",AX986/VLOOKUP($V986,Setup!$C$30:$D$41,2,0),"")</f>
        <v/>
      </c>
      <c r="AZ986" s="268"/>
      <c r="BA986" s="258" t="str">
        <f t="shared" si="467"/>
        <v/>
      </c>
      <c r="BB986" s="268"/>
      <c r="BC986" s="258" t="str">
        <f t="shared" si="468"/>
        <v/>
      </c>
      <c r="BD986" s="268"/>
      <c r="BE986" s="258" t="str">
        <f t="shared" si="469"/>
        <v/>
      </c>
      <c r="BF986" s="268"/>
      <c r="BG986" s="256" t="str">
        <f t="shared" si="470"/>
        <v/>
      </c>
      <c r="BH986" s="256" t="str">
        <f t="shared" si="471"/>
        <v/>
      </c>
      <c r="BI986" s="256" t="str">
        <f t="shared" si="472"/>
        <v/>
      </c>
      <c r="BJ986" s="267"/>
      <c r="BK986" s="255"/>
      <c r="BL986" s="259" t="str">
        <f>IF(BK986&lt;&gt;"",BK986/VLOOKUP($V986,Setup!$C$30:$D$41,2,0),"")</f>
        <v/>
      </c>
      <c r="BM986" s="268"/>
      <c r="BN986" s="258" t="str">
        <f t="shared" si="473"/>
        <v/>
      </c>
      <c r="BO986" s="268"/>
      <c r="BP986" s="258" t="str">
        <f t="shared" si="474"/>
        <v/>
      </c>
      <c r="BQ986" s="268"/>
      <c r="BR986" s="258" t="str">
        <f t="shared" si="475"/>
        <v/>
      </c>
      <c r="BS986" s="268"/>
      <c r="BT986" s="256" t="str">
        <f t="shared" si="476"/>
        <v/>
      </c>
      <c r="BU986" s="256" t="str">
        <f t="shared" si="477"/>
        <v/>
      </c>
      <c r="BV986" s="256" t="str">
        <f t="shared" si="478"/>
        <v/>
      </c>
      <c r="BW986" s="267"/>
      <c r="BX986" s="256" t="str">
        <f t="shared" si="479"/>
        <v/>
      </c>
      <c r="BY986" s="256" t="str">
        <f t="shared" si="480"/>
        <v/>
      </c>
      <c r="BZ986" s="281"/>
      <c r="CA986" s="282"/>
      <c r="CF986" s="284"/>
      <c r="CG986" s="284"/>
      <c r="CH986" s="284"/>
      <c r="CI986" s="284"/>
      <c r="CL986" s="356" t="str">
        <f>IFERROR(VLOOKUP(C986,'Data Sheet'!$A$3:$B$26,2,FALSE),"")</f>
        <v/>
      </c>
    </row>
    <row r="987" spans="1:90" ht="15.75" x14ac:dyDescent="0.2">
      <c r="A987" s="97"/>
      <c r="B987" s="105" t="str">
        <f t="shared" si="483"/>
        <v>--</v>
      </c>
      <c r="C987" s="276"/>
      <c r="D987" s="101" t="str">
        <f>IFERROR(IF(VLOOKUP(C987,'Data Sheet'!$A$3:$D$26,4,FALSE)=0,"",VLOOKUP(C987,'Data Sheet'!$A$3:$D$26,4,FALSE)),"")</f>
        <v/>
      </c>
      <c r="E987" s="279"/>
      <c r="F987" s="103" t="str">
        <f>IFERROR(IF(VLOOKUP(E987,'Data Sheet'!$C$29:$E$174,3,FALSE)=0,"",VLOOKUP(E987,'Data Sheet'!$C$29:$E$174,3,FALSE)),"")</f>
        <v/>
      </c>
      <c r="G987" s="106" t="str">
        <f t="shared" si="481"/>
        <v>-</v>
      </c>
      <c r="H987" s="273"/>
      <c r="I987" s="107"/>
      <c r="J987" s="249" t="e">
        <f t="shared" si="482"/>
        <v>#VALUE!</v>
      </c>
      <c r="K987" s="101" t="str">
        <f>IFERROR(INDEX('Data Sheet'!$C$198:$C$275,MATCH(I987,'Data Sheet'!$F$198:$F$275,0)),"")</f>
        <v/>
      </c>
      <c r="L987" s="250" t="str">
        <f>IFERROR(INDEX('Data Sheet'!$G$198:$G$275,MATCH(I987,'Data Sheet'!$F$198:$F$275,0)),"")</f>
        <v/>
      </c>
      <c r="M987" s="194"/>
      <c r="N987" s="248"/>
      <c r="O987" s="248"/>
      <c r="P987" s="108" t="str">
        <f>IFERROR(INDEX(Setup!$D$44:$D$70,MATCH(M987,Setup!$K$44:$K$70,0))&amp;"","")</f>
        <v/>
      </c>
      <c r="Q987" s="108" t="str">
        <f>IFERROR(INDEX(Setup!$E$44:$E$70,MATCH(M987,Setup!$K$44:$K$70,0))&amp;"","")</f>
        <v/>
      </c>
      <c r="R987" s="108" t="str">
        <f>IFERROR(INDEX(Setup!$L$44:$L$70,MATCH(M987,Setup!$K$44:$K$70,0))&amp;"","")</f>
        <v/>
      </c>
      <c r="S987" s="108" t="str">
        <f>Setup!$C$30</f>
        <v>USD</v>
      </c>
      <c r="T987" s="109" t="str">
        <f>IFERROR(INDEX('Data Sheet'!$B$198:$B$275,MATCH(I987,'Data Sheet'!$F$198:$F$275,0)),"")</f>
        <v/>
      </c>
      <c r="U987" s="110" t="str">
        <f>IFERROR(INDEX('Data Sheet'!$D$198:$D$275,MATCH(I987,'Data Sheet'!$F$198:$F$275,0)),"")</f>
        <v/>
      </c>
      <c r="V987" s="99"/>
      <c r="W987" s="195" t="str">
        <f>IF(V987=Setup!$C$30,"Grant",IF(V987=Setup!$C$31,"Local",IF(V987=Setup!$C$32,"Other",IF(ISBLANK(V987),"","Other"))))</f>
        <v/>
      </c>
      <c r="X987" s="255"/>
      <c r="Y987" s="259" t="str">
        <f>IF(X987&lt;&gt;"",X987/VLOOKUP($V987,Setup!$C$30:$D$41,2,0),"")</f>
        <v/>
      </c>
      <c r="Z987" s="262"/>
      <c r="AA987" s="256" t="str">
        <f t="shared" si="455"/>
        <v/>
      </c>
      <c r="AB987" s="262"/>
      <c r="AC987" s="258" t="str">
        <f t="shared" si="456"/>
        <v/>
      </c>
      <c r="AD987" s="262"/>
      <c r="AE987" s="258" t="str">
        <f t="shared" si="457"/>
        <v/>
      </c>
      <c r="AF987" s="262"/>
      <c r="AG987" s="256" t="str">
        <f t="shared" si="458"/>
        <v/>
      </c>
      <c r="AH987" s="256" t="str">
        <f t="shared" si="459"/>
        <v/>
      </c>
      <c r="AI987" s="256" t="str">
        <f t="shared" si="460"/>
        <v/>
      </c>
      <c r="AJ987" s="111"/>
      <c r="AK987" s="255"/>
      <c r="AL987" s="259" t="str">
        <f>IF(AK987&lt;&gt;"",AK987/VLOOKUP($V987,Setup!$C$30:$D$41,2,0),"")</f>
        <v/>
      </c>
      <c r="AM987" s="266"/>
      <c r="AN987" s="258" t="str">
        <f t="shared" si="461"/>
        <v/>
      </c>
      <c r="AO987" s="266"/>
      <c r="AP987" s="258" t="str">
        <f t="shared" si="462"/>
        <v/>
      </c>
      <c r="AQ987" s="266"/>
      <c r="AR987" s="258" t="str">
        <f t="shared" si="463"/>
        <v/>
      </c>
      <c r="AS987" s="266"/>
      <c r="AT987" s="256" t="str">
        <f t="shared" si="464"/>
        <v/>
      </c>
      <c r="AU987" s="256" t="str">
        <f t="shared" si="465"/>
        <v/>
      </c>
      <c r="AV987" s="256" t="str">
        <f t="shared" si="466"/>
        <v/>
      </c>
      <c r="AW987" s="267"/>
      <c r="AX987" s="255"/>
      <c r="AY987" s="259" t="str">
        <f>IF(AX987&lt;&gt;"",AX987/VLOOKUP($V987,Setup!$C$30:$D$41,2,0),"")</f>
        <v/>
      </c>
      <c r="AZ987" s="268"/>
      <c r="BA987" s="258" t="str">
        <f t="shared" si="467"/>
        <v/>
      </c>
      <c r="BB987" s="268"/>
      <c r="BC987" s="258" t="str">
        <f t="shared" si="468"/>
        <v/>
      </c>
      <c r="BD987" s="268"/>
      <c r="BE987" s="258" t="str">
        <f t="shared" si="469"/>
        <v/>
      </c>
      <c r="BF987" s="268"/>
      <c r="BG987" s="256" t="str">
        <f t="shared" si="470"/>
        <v/>
      </c>
      <c r="BH987" s="256" t="str">
        <f t="shared" si="471"/>
        <v/>
      </c>
      <c r="BI987" s="256" t="str">
        <f t="shared" si="472"/>
        <v/>
      </c>
      <c r="BJ987" s="267"/>
      <c r="BK987" s="255"/>
      <c r="BL987" s="259" t="str">
        <f>IF(BK987&lt;&gt;"",BK987/VLOOKUP($V987,Setup!$C$30:$D$41,2,0),"")</f>
        <v/>
      </c>
      <c r="BM987" s="268"/>
      <c r="BN987" s="258" t="str">
        <f t="shared" si="473"/>
        <v/>
      </c>
      <c r="BO987" s="268"/>
      <c r="BP987" s="258" t="str">
        <f t="shared" si="474"/>
        <v/>
      </c>
      <c r="BQ987" s="268"/>
      <c r="BR987" s="258" t="str">
        <f t="shared" si="475"/>
        <v/>
      </c>
      <c r="BS987" s="268"/>
      <c r="BT987" s="256" t="str">
        <f t="shared" si="476"/>
        <v/>
      </c>
      <c r="BU987" s="256" t="str">
        <f t="shared" si="477"/>
        <v/>
      </c>
      <c r="BV987" s="256" t="str">
        <f t="shared" si="478"/>
        <v/>
      </c>
      <c r="BW987" s="267"/>
      <c r="BX987" s="256" t="str">
        <f t="shared" si="479"/>
        <v/>
      </c>
      <c r="BY987" s="256" t="str">
        <f t="shared" si="480"/>
        <v/>
      </c>
      <c r="BZ987" s="281"/>
      <c r="CA987" s="282"/>
      <c r="CF987" s="284"/>
      <c r="CG987" s="284"/>
      <c r="CH987" s="284"/>
      <c r="CI987" s="284"/>
      <c r="CL987" s="356" t="str">
        <f>IFERROR(VLOOKUP(C987,'Data Sheet'!$A$3:$B$26,2,FALSE),"")</f>
        <v/>
      </c>
    </row>
    <row r="988" spans="1:90" ht="15.75" x14ac:dyDescent="0.2">
      <c r="A988" s="97"/>
      <c r="B988" s="105" t="str">
        <f t="shared" si="483"/>
        <v>--</v>
      </c>
      <c r="C988" s="276"/>
      <c r="D988" s="101" t="str">
        <f>IFERROR(IF(VLOOKUP(C988,'Data Sheet'!$A$3:$D$26,4,FALSE)=0,"",VLOOKUP(C988,'Data Sheet'!$A$3:$D$26,4,FALSE)),"")</f>
        <v/>
      </c>
      <c r="E988" s="279"/>
      <c r="F988" s="103" t="str">
        <f>IFERROR(IF(VLOOKUP(E988,'Data Sheet'!$C$29:$E$174,3,FALSE)=0,"",VLOOKUP(E988,'Data Sheet'!$C$29:$E$174,3,FALSE)),"")</f>
        <v/>
      </c>
      <c r="G988" s="106" t="str">
        <f t="shared" si="481"/>
        <v>-</v>
      </c>
      <c r="H988" s="273"/>
      <c r="I988" s="107"/>
      <c r="J988" s="249" t="e">
        <f t="shared" si="482"/>
        <v>#VALUE!</v>
      </c>
      <c r="K988" s="101" t="str">
        <f>IFERROR(INDEX('Data Sheet'!$C$198:$C$275,MATCH(I988,'Data Sheet'!$F$198:$F$275,0)),"")</f>
        <v/>
      </c>
      <c r="L988" s="250" t="str">
        <f>IFERROR(INDEX('Data Sheet'!$G$198:$G$275,MATCH(I988,'Data Sheet'!$F$198:$F$275,0)),"")</f>
        <v/>
      </c>
      <c r="M988" s="194"/>
      <c r="N988" s="248"/>
      <c r="O988" s="248"/>
      <c r="P988" s="108" t="str">
        <f>IFERROR(INDEX(Setup!$D$44:$D$70,MATCH(M988,Setup!$K$44:$K$70,0))&amp;"","")</f>
        <v/>
      </c>
      <c r="Q988" s="108" t="str">
        <f>IFERROR(INDEX(Setup!$E$44:$E$70,MATCH(M988,Setup!$K$44:$K$70,0))&amp;"","")</f>
        <v/>
      </c>
      <c r="R988" s="108" t="str">
        <f>IFERROR(INDEX(Setup!$L$44:$L$70,MATCH(M988,Setup!$K$44:$K$70,0))&amp;"","")</f>
        <v/>
      </c>
      <c r="S988" s="108" t="str">
        <f>Setup!$C$30</f>
        <v>USD</v>
      </c>
      <c r="T988" s="109" t="str">
        <f>IFERROR(INDEX('Data Sheet'!$B$198:$B$275,MATCH(I988,'Data Sheet'!$F$198:$F$275,0)),"")</f>
        <v/>
      </c>
      <c r="U988" s="110" t="str">
        <f>IFERROR(INDEX('Data Sheet'!$D$198:$D$275,MATCH(I988,'Data Sheet'!$F$198:$F$275,0)),"")</f>
        <v/>
      </c>
      <c r="V988" s="99"/>
      <c r="W988" s="195" t="str">
        <f>IF(V988=Setup!$C$30,"Grant",IF(V988=Setup!$C$31,"Local",IF(V988=Setup!$C$32,"Other",IF(ISBLANK(V988),"","Other"))))</f>
        <v/>
      </c>
      <c r="X988" s="255"/>
      <c r="Y988" s="259" t="str">
        <f>IF(X988&lt;&gt;"",X988/VLOOKUP($V988,Setup!$C$30:$D$41,2,0),"")</f>
        <v/>
      </c>
      <c r="Z988" s="262"/>
      <c r="AA988" s="256" t="str">
        <f t="shared" si="455"/>
        <v/>
      </c>
      <c r="AB988" s="262"/>
      <c r="AC988" s="258" t="str">
        <f t="shared" si="456"/>
        <v/>
      </c>
      <c r="AD988" s="262"/>
      <c r="AE988" s="258" t="str">
        <f t="shared" si="457"/>
        <v/>
      </c>
      <c r="AF988" s="262"/>
      <c r="AG988" s="256" t="str">
        <f t="shared" si="458"/>
        <v/>
      </c>
      <c r="AH988" s="256" t="str">
        <f t="shared" si="459"/>
        <v/>
      </c>
      <c r="AI988" s="256" t="str">
        <f t="shared" si="460"/>
        <v/>
      </c>
      <c r="AJ988" s="111"/>
      <c r="AK988" s="255"/>
      <c r="AL988" s="259" t="str">
        <f>IF(AK988&lt;&gt;"",AK988/VLOOKUP($V988,Setup!$C$30:$D$41,2,0),"")</f>
        <v/>
      </c>
      <c r="AM988" s="266"/>
      <c r="AN988" s="258" t="str">
        <f t="shared" si="461"/>
        <v/>
      </c>
      <c r="AO988" s="266"/>
      <c r="AP988" s="258" t="str">
        <f t="shared" si="462"/>
        <v/>
      </c>
      <c r="AQ988" s="266"/>
      <c r="AR988" s="258" t="str">
        <f t="shared" si="463"/>
        <v/>
      </c>
      <c r="AS988" s="266"/>
      <c r="AT988" s="256" t="str">
        <f t="shared" si="464"/>
        <v/>
      </c>
      <c r="AU988" s="256" t="str">
        <f t="shared" si="465"/>
        <v/>
      </c>
      <c r="AV988" s="256" t="str">
        <f t="shared" si="466"/>
        <v/>
      </c>
      <c r="AW988" s="267"/>
      <c r="AX988" s="255"/>
      <c r="AY988" s="259" t="str">
        <f>IF(AX988&lt;&gt;"",AX988/VLOOKUP($V988,Setup!$C$30:$D$41,2,0),"")</f>
        <v/>
      </c>
      <c r="AZ988" s="268"/>
      <c r="BA988" s="258" t="str">
        <f t="shared" si="467"/>
        <v/>
      </c>
      <c r="BB988" s="268"/>
      <c r="BC988" s="258" t="str">
        <f t="shared" si="468"/>
        <v/>
      </c>
      <c r="BD988" s="268"/>
      <c r="BE988" s="258" t="str">
        <f t="shared" si="469"/>
        <v/>
      </c>
      <c r="BF988" s="268"/>
      <c r="BG988" s="256" t="str">
        <f t="shared" si="470"/>
        <v/>
      </c>
      <c r="BH988" s="256" t="str">
        <f t="shared" si="471"/>
        <v/>
      </c>
      <c r="BI988" s="256" t="str">
        <f t="shared" si="472"/>
        <v/>
      </c>
      <c r="BJ988" s="267"/>
      <c r="BK988" s="255"/>
      <c r="BL988" s="259" t="str">
        <f>IF(BK988&lt;&gt;"",BK988/VLOOKUP($V988,Setup!$C$30:$D$41,2,0),"")</f>
        <v/>
      </c>
      <c r="BM988" s="268"/>
      <c r="BN988" s="258" t="str">
        <f t="shared" si="473"/>
        <v/>
      </c>
      <c r="BO988" s="268"/>
      <c r="BP988" s="258" t="str">
        <f t="shared" si="474"/>
        <v/>
      </c>
      <c r="BQ988" s="268"/>
      <c r="BR988" s="258" t="str">
        <f t="shared" si="475"/>
        <v/>
      </c>
      <c r="BS988" s="268"/>
      <c r="BT988" s="256" t="str">
        <f t="shared" si="476"/>
        <v/>
      </c>
      <c r="BU988" s="256" t="str">
        <f t="shared" si="477"/>
        <v/>
      </c>
      <c r="BV988" s="256" t="str">
        <f t="shared" si="478"/>
        <v/>
      </c>
      <c r="BW988" s="267"/>
      <c r="BX988" s="256" t="str">
        <f t="shared" si="479"/>
        <v/>
      </c>
      <c r="BY988" s="256" t="str">
        <f t="shared" si="480"/>
        <v/>
      </c>
      <c r="BZ988" s="281"/>
      <c r="CA988" s="282"/>
      <c r="CF988" s="284"/>
      <c r="CG988" s="284"/>
      <c r="CH988" s="284"/>
      <c r="CI988" s="284"/>
      <c r="CL988" s="356" t="str">
        <f>IFERROR(VLOOKUP(C988,'Data Sheet'!$A$3:$B$26,2,FALSE),"")</f>
        <v/>
      </c>
    </row>
    <row r="989" spans="1:90" ht="15.75" x14ac:dyDescent="0.2">
      <c r="A989" s="97"/>
      <c r="B989" s="105" t="str">
        <f t="shared" si="483"/>
        <v>--</v>
      </c>
      <c r="C989" s="276"/>
      <c r="D989" s="101" t="str">
        <f>IFERROR(IF(VLOOKUP(C989,'Data Sheet'!$A$3:$D$26,4,FALSE)=0,"",VLOOKUP(C989,'Data Sheet'!$A$3:$D$26,4,FALSE)),"")</f>
        <v/>
      </c>
      <c r="E989" s="279"/>
      <c r="F989" s="103" t="str">
        <f>IFERROR(IF(VLOOKUP(E989,'Data Sheet'!$C$29:$E$174,3,FALSE)=0,"",VLOOKUP(E989,'Data Sheet'!$C$29:$E$174,3,FALSE)),"")</f>
        <v/>
      </c>
      <c r="G989" s="106" t="str">
        <f t="shared" si="481"/>
        <v>-</v>
      </c>
      <c r="H989" s="273"/>
      <c r="I989" s="107"/>
      <c r="J989" s="249" t="e">
        <f t="shared" si="482"/>
        <v>#VALUE!</v>
      </c>
      <c r="K989" s="101" t="str">
        <f>IFERROR(INDEX('Data Sheet'!$C$198:$C$275,MATCH(I989,'Data Sheet'!$F$198:$F$275,0)),"")</f>
        <v/>
      </c>
      <c r="L989" s="250" t="str">
        <f>IFERROR(INDEX('Data Sheet'!$G$198:$G$275,MATCH(I989,'Data Sheet'!$F$198:$F$275,0)),"")</f>
        <v/>
      </c>
      <c r="M989" s="194"/>
      <c r="N989" s="248"/>
      <c r="O989" s="248"/>
      <c r="P989" s="108" t="str">
        <f>IFERROR(INDEX(Setup!$D$44:$D$70,MATCH(M989,Setup!$K$44:$K$70,0))&amp;"","")</f>
        <v/>
      </c>
      <c r="Q989" s="108" t="str">
        <f>IFERROR(INDEX(Setup!$E$44:$E$70,MATCH(M989,Setup!$K$44:$K$70,0))&amp;"","")</f>
        <v/>
      </c>
      <c r="R989" s="108" t="str">
        <f>IFERROR(INDEX(Setup!$L$44:$L$70,MATCH(M989,Setup!$K$44:$K$70,0))&amp;"","")</f>
        <v/>
      </c>
      <c r="S989" s="108" t="str">
        <f>Setup!$C$30</f>
        <v>USD</v>
      </c>
      <c r="T989" s="109" t="str">
        <f>IFERROR(INDEX('Data Sheet'!$B$198:$B$275,MATCH(I989,'Data Sheet'!$F$198:$F$275,0)),"")</f>
        <v/>
      </c>
      <c r="U989" s="110" t="str">
        <f>IFERROR(INDEX('Data Sheet'!$D$198:$D$275,MATCH(I989,'Data Sheet'!$F$198:$F$275,0)),"")</f>
        <v/>
      </c>
      <c r="V989" s="99"/>
      <c r="W989" s="195" t="str">
        <f>IF(V989=Setup!$C$30,"Grant",IF(V989=Setup!$C$31,"Local",IF(V989=Setup!$C$32,"Other",IF(ISBLANK(V989),"","Other"))))</f>
        <v/>
      </c>
      <c r="X989" s="255"/>
      <c r="Y989" s="259" t="str">
        <f>IF(X989&lt;&gt;"",X989/VLOOKUP($V989,Setup!$C$30:$D$41,2,0),"")</f>
        <v/>
      </c>
      <c r="Z989" s="262"/>
      <c r="AA989" s="256" t="str">
        <f t="shared" si="455"/>
        <v/>
      </c>
      <c r="AB989" s="262"/>
      <c r="AC989" s="258" t="str">
        <f t="shared" si="456"/>
        <v/>
      </c>
      <c r="AD989" s="262"/>
      <c r="AE989" s="258" t="str">
        <f t="shared" si="457"/>
        <v/>
      </c>
      <c r="AF989" s="262"/>
      <c r="AG989" s="256" t="str">
        <f t="shared" si="458"/>
        <v/>
      </c>
      <c r="AH989" s="256" t="str">
        <f t="shared" si="459"/>
        <v/>
      </c>
      <c r="AI989" s="256" t="str">
        <f t="shared" si="460"/>
        <v/>
      </c>
      <c r="AJ989" s="111"/>
      <c r="AK989" s="255"/>
      <c r="AL989" s="259" t="str">
        <f>IF(AK989&lt;&gt;"",AK989/VLOOKUP($V989,Setup!$C$30:$D$41,2,0),"")</f>
        <v/>
      </c>
      <c r="AM989" s="266"/>
      <c r="AN989" s="258" t="str">
        <f t="shared" si="461"/>
        <v/>
      </c>
      <c r="AO989" s="266"/>
      <c r="AP989" s="258" t="str">
        <f t="shared" si="462"/>
        <v/>
      </c>
      <c r="AQ989" s="266"/>
      <c r="AR989" s="258" t="str">
        <f t="shared" si="463"/>
        <v/>
      </c>
      <c r="AS989" s="266"/>
      <c r="AT989" s="256" t="str">
        <f t="shared" si="464"/>
        <v/>
      </c>
      <c r="AU989" s="256" t="str">
        <f t="shared" si="465"/>
        <v/>
      </c>
      <c r="AV989" s="256" t="str">
        <f t="shared" si="466"/>
        <v/>
      </c>
      <c r="AW989" s="267"/>
      <c r="AX989" s="255"/>
      <c r="AY989" s="259" t="str">
        <f>IF(AX989&lt;&gt;"",AX989/VLOOKUP($V989,Setup!$C$30:$D$41,2,0),"")</f>
        <v/>
      </c>
      <c r="AZ989" s="268"/>
      <c r="BA989" s="258" t="str">
        <f t="shared" si="467"/>
        <v/>
      </c>
      <c r="BB989" s="268"/>
      <c r="BC989" s="258" t="str">
        <f t="shared" si="468"/>
        <v/>
      </c>
      <c r="BD989" s="268"/>
      <c r="BE989" s="258" t="str">
        <f t="shared" si="469"/>
        <v/>
      </c>
      <c r="BF989" s="268"/>
      <c r="BG989" s="256" t="str">
        <f t="shared" si="470"/>
        <v/>
      </c>
      <c r="BH989" s="256" t="str">
        <f t="shared" si="471"/>
        <v/>
      </c>
      <c r="BI989" s="256" t="str">
        <f t="shared" si="472"/>
        <v/>
      </c>
      <c r="BJ989" s="267"/>
      <c r="BK989" s="255"/>
      <c r="BL989" s="259" t="str">
        <f>IF(BK989&lt;&gt;"",BK989/VLOOKUP($V989,Setup!$C$30:$D$41,2,0),"")</f>
        <v/>
      </c>
      <c r="BM989" s="268"/>
      <c r="BN989" s="258" t="str">
        <f t="shared" si="473"/>
        <v/>
      </c>
      <c r="BO989" s="268"/>
      <c r="BP989" s="258" t="str">
        <f t="shared" si="474"/>
        <v/>
      </c>
      <c r="BQ989" s="268"/>
      <c r="BR989" s="258" t="str">
        <f t="shared" si="475"/>
        <v/>
      </c>
      <c r="BS989" s="268"/>
      <c r="BT989" s="256" t="str">
        <f t="shared" si="476"/>
        <v/>
      </c>
      <c r="BU989" s="256" t="str">
        <f t="shared" si="477"/>
        <v/>
      </c>
      <c r="BV989" s="256" t="str">
        <f t="shared" si="478"/>
        <v/>
      </c>
      <c r="BW989" s="267"/>
      <c r="BX989" s="256" t="str">
        <f t="shared" si="479"/>
        <v/>
      </c>
      <c r="BY989" s="256" t="str">
        <f t="shared" si="480"/>
        <v/>
      </c>
      <c r="BZ989" s="281"/>
      <c r="CA989" s="282"/>
      <c r="CF989" s="284"/>
      <c r="CG989" s="284"/>
      <c r="CH989" s="284"/>
      <c r="CI989" s="284"/>
      <c r="CL989" s="356" t="str">
        <f>IFERROR(VLOOKUP(C989,'Data Sheet'!$A$3:$B$26,2,FALSE),"")</f>
        <v/>
      </c>
    </row>
    <row r="990" spans="1:90" ht="15.75" x14ac:dyDescent="0.2">
      <c r="A990" s="97"/>
      <c r="B990" s="105" t="str">
        <f t="shared" si="483"/>
        <v>--</v>
      </c>
      <c r="C990" s="276"/>
      <c r="D990" s="101" t="str">
        <f>IFERROR(IF(VLOOKUP(C990,'Data Sheet'!$A$3:$D$26,4,FALSE)=0,"",VLOOKUP(C990,'Data Sheet'!$A$3:$D$26,4,FALSE)),"")</f>
        <v/>
      </c>
      <c r="E990" s="279"/>
      <c r="F990" s="103" t="str">
        <f>IFERROR(IF(VLOOKUP(E990,'Data Sheet'!$C$29:$E$174,3,FALSE)=0,"",VLOOKUP(E990,'Data Sheet'!$C$29:$E$174,3,FALSE)),"")</f>
        <v/>
      </c>
      <c r="G990" s="106" t="str">
        <f t="shared" si="481"/>
        <v>-</v>
      </c>
      <c r="H990" s="273"/>
      <c r="I990" s="107"/>
      <c r="J990" s="249" t="e">
        <f t="shared" si="482"/>
        <v>#VALUE!</v>
      </c>
      <c r="K990" s="101" t="str">
        <f>IFERROR(INDEX('Data Sheet'!$C$198:$C$275,MATCH(I990,'Data Sheet'!$F$198:$F$275,0)),"")</f>
        <v/>
      </c>
      <c r="L990" s="250" t="str">
        <f>IFERROR(INDEX('Data Sheet'!$G$198:$G$275,MATCH(I990,'Data Sheet'!$F$198:$F$275,0)),"")</f>
        <v/>
      </c>
      <c r="M990" s="194"/>
      <c r="N990" s="248"/>
      <c r="O990" s="248"/>
      <c r="P990" s="108" t="str">
        <f>IFERROR(INDEX(Setup!$D$44:$D$70,MATCH(M990,Setup!$K$44:$K$70,0))&amp;"","")</f>
        <v/>
      </c>
      <c r="Q990" s="108" t="str">
        <f>IFERROR(INDEX(Setup!$E$44:$E$70,MATCH(M990,Setup!$K$44:$K$70,0))&amp;"","")</f>
        <v/>
      </c>
      <c r="R990" s="108" t="str">
        <f>IFERROR(INDEX(Setup!$L$44:$L$70,MATCH(M990,Setup!$K$44:$K$70,0))&amp;"","")</f>
        <v/>
      </c>
      <c r="S990" s="108" t="str">
        <f>Setup!$C$30</f>
        <v>USD</v>
      </c>
      <c r="T990" s="109" t="str">
        <f>IFERROR(INDEX('Data Sheet'!$B$198:$B$275,MATCH(I990,'Data Sheet'!$F$198:$F$275,0)),"")</f>
        <v/>
      </c>
      <c r="U990" s="110" t="str">
        <f>IFERROR(INDEX('Data Sheet'!$D$198:$D$275,MATCH(I990,'Data Sheet'!$F$198:$F$275,0)),"")</f>
        <v/>
      </c>
      <c r="V990" s="99"/>
      <c r="W990" s="195" t="str">
        <f>IF(V990=Setup!$C$30,"Grant",IF(V990=Setup!$C$31,"Local",IF(V990=Setup!$C$32,"Other",IF(ISBLANK(V990),"","Other"))))</f>
        <v/>
      </c>
      <c r="X990" s="255"/>
      <c r="Y990" s="259" t="str">
        <f>IF(X990&lt;&gt;"",X990/VLOOKUP($V990,Setup!$C$30:$D$41,2,0),"")</f>
        <v/>
      </c>
      <c r="Z990" s="262"/>
      <c r="AA990" s="256" t="str">
        <f t="shared" si="455"/>
        <v/>
      </c>
      <c r="AB990" s="262"/>
      <c r="AC990" s="258" t="str">
        <f t="shared" si="456"/>
        <v/>
      </c>
      <c r="AD990" s="262"/>
      <c r="AE990" s="258" t="str">
        <f t="shared" si="457"/>
        <v/>
      </c>
      <c r="AF990" s="262"/>
      <c r="AG990" s="256" t="str">
        <f t="shared" si="458"/>
        <v/>
      </c>
      <c r="AH990" s="256" t="str">
        <f t="shared" si="459"/>
        <v/>
      </c>
      <c r="AI990" s="256" t="str">
        <f t="shared" si="460"/>
        <v/>
      </c>
      <c r="AJ990" s="111"/>
      <c r="AK990" s="255"/>
      <c r="AL990" s="259" t="str">
        <f>IF(AK990&lt;&gt;"",AK990/VLOOKUP($V990,Setup!$C$30:$D$41,2,0),"")</f>
        <v/>
      </c>
      <c r="AM990" s="266"/>
      <c r="AN990" s="258" t="str">
        <f t="shared" si="461"/>
        <v/>
      </c>
      <c r="AO990" s="266"/>
      <c r="AP990" s="258" t="str">
        <f t="shared" si="462"/>
        <v/>
      </c>
      <c r="AQ990" s="266"/>
      <c r="AR990" s="258" t="str">
        <f t="shared" si="463"/>
        <v/>
      </c>
      <c r="AS990" s="266"/>
      <c r="AT990" s="256" t="str">
        <f t="shared" si="464"/>
        <v/>
      </c>
      <c r="AU990" s="256" t="str">
        <f t="shared" si="465"/>
        <v/>
      </c>
      <c r="AV990" s="256" t="str">
        <f t="shared" si="466"/>
        <v/>
      </c>
      <c r="AW990" s="267"/>
      <c r="AX990" s="255"/>
      <c r="AY990" s="259" t="str">
        <f>IF(AX990&lt;&gt;"",AX990/VLOOKUP($V990,Setup!$C$30:$D$41,2,0),"")</f>
        <v/>
      </c>
      <c r="AZ990" s="268"/>
      <c r="BA990" s="258" t="str">
        <f t="shared" si="467"/>
        <v/>
      </c>
      <c r="BB990" s="268"/>
      <c r="BC990" s="258" t="str">
        <f t="shared" si="468"/>
        <v/>
      </c>
      <c r="BD990" s="268"/>
      <c r="BE990" s="258" t="str">
        <f t="shared" si="469"/>
        <v/>
      </c>
      <c r="BF990" s="268"/>
      <c r="BG990" s="256" t="str">
        <f t="shared" si="470"/>
        <v/>
      </c>
      <c r="BH990" s="256" t="str">
        <f t="shared" si="471"/>
        <v/>
      </c>
      <c r="BI990" s="256" t="str">
        <f t="shared" si="472"/>
        <v/>
      </c>
      <c r="BJ990" s="267"/>
      <c r="BK990" s="255"/>
      <c r="BL990" s="259" t="str">
        <f>IF(BK990&lt;&gt;"",BK990/VLOOKUP($V990,Setup!$C$30:$D$41,2,0),"")</f>
        <v/>
      </c>
      <c r="BM990" s="268"/>
      <c r="BN990" s="258" t="str">
        <f t="shared" si="473"/>
        <v/>
      </c>
      <c r="BO990" s="268"/>
      <c r="BP990" s="258" t="str">
        <f t="shared" si="474"/>
        <v/>
      </c>
      <c r="BQ990" s="268"/>
      <c r="BR990" s="258" t="str">
        <f t="shared" si="475"/>
        <v/>
      </c>
      <c r="BS990" s="268"/>
      <c r="BT990" s="256" t="str">
        <f t="shared" si="476"/>
        <v/>
      </c>
      <c r="BU990" s="256" t="str">
        <f t="shared" si="477"/>
        <v/>
      </c>
      <c r="BV990" s="256" t="str">
        <f t="shared" si="478"/>
        <v/>
      </c>
      <c r="BW990" s="267"/>
      <c r="BX990" s="256" t="str">
        <f t="shared" si="479"/>
        <v/>
      </c>
      <c r="BY990" s="256" t="str">
        <f t="shared" si="480"/>
        <v/>
      </c>
      <c r="BZ990" s="281"/>
      <c r="CA990" s="282"/>
      <c r="CF990" s="284"/>
      <c r="CG990" s="284"/>
      <c r="CH990" s="284"/>
      <c r="CI990" s="284"/>
      <c r="CL990" s="356" t="str">
        <f>IFERROR(VLOOKUP(C990,'Data Sheet'!$A$3:$B$26,2,FALSE),"")</f>
        <v/>
      </c>
    </row>
    <row r="991" spans="1:90" ht="15.75" x14ac:dyDescent="0.2">
      <c r="A991" s="97"/>
      <c r="B991" s="105" t="str">
        <f t="shared" si="483"/>
        <v>--</v>
      </c>
      <c r="C991" s="276"/>
      <c r="D991" s="101" t="str">
        <f>IFERROR(IF(VLOOKUP(C991,'Data Sheet'!$A$3:$D$26,4,FALSE)=0,"",VLOOKUP(C991,'Data Sheet'!$A$3:$D$26,4,FALSE)),"")</f>
        <v/>
      </c>
      <c r="E991" s="279"/>
      <c r="F991" s="103" t="str">
        <f>IFERROR(IF(VLOOKUP(E991,'Data Sheet'!$C$29:$E$174,3,FALSE)=0,"",VLOOKUP(E991,'Data Sheet'!$C$29:$E$174,3,FALSE)),"")</f>
        <v/>
      </c>
      <c r="G991" s="106" t="str">
        <f t="shared" si="481"/>
        <v>-</v>
      </c>
      <c r="H991" s="273"/>
      <c r="I991" s="107"/>
      <c r="J991" s="249" t="e">
        <f t="shared" si="482"/>
        <v>#VALUE!</v>
      </c>
      <c r="K991" s="101" t="str">
        <f>IFERROR(INDEX('Data Sheet'!$C$198:$C$275,MATCH(I991,'Data Sheet'!$F$198:$F$275,0)),"")</f>
        <v/>
      </c>
      <c r="L991" s="250" t="str">
        <f>IFERROR(INDEX('Data Sheet'!$G$198:$G$275,MATCH(I991,'Data Sheet'!$F$198:$F$275,0)),"")</f>
        <v/>
      </c>
      <c r="M991" s="194"/>
      <c r="N991" s="248"/>
      <c r="O991" s="248"/>
      <c r="P991" s="108" t="str">
        <f>IFERROR(INDEX(Setup!$D$44:$D$70,MATCH(M991,Setup!$K$44:$K$70,0))&amp;"","")</f>
        <v/>
      </c>
      <c r="Q991" s="108" t="str">
        <f>IFERROR(INDEX(Setup!$E$44:$E$70,MATCH(M991,Setup!$K$44:$K$70,0))&amp;"","")</f>
        <v/>
      </c>
      <c r="R991" s="108" t="str">
        <f>IFERROR(INDEX(Setup!$L$44:$L$70,MATCH(M991,Setup!$K$44:$K$70,0))&amp;"","")</f>
        <v/>
      </c>
      <c r="S991" s="108" t="str">
        <f>Setup!$C$30</f>
        <v>USD</v>
      </c>
      <c r="T991" s="109" t="str">
        <f>IFERROR(INDEX('Data Sheet'!$B$198:$B$275,MATCH(I991,'Data Sheet'!$F$198:$F$275,0)),"")</f>
        <v/>
      </c>
      <c r="U991" s="110" t="str">
        <f>IFERROR(INDEX('Data Sheet'!$D$198:$D$275,MATCH(I991,'Data Sheet'!$F$198:$F$275,0)),"")</f>
        <v/>
      </c>
      <c r="V991" s="99"/>
      <c r="W991" s="195" t="str">
        <f>IF(V991=Setup!$C$30,"Grant",IF(V991=Setup!$C$31,"Local",IF(V991=Setup!$C$32,"Other",IF(ISBLANK(V991),"","Other"))))</f>
        <v/>
      </c>
      <c r="X991" s="255"/>
      <c r="Y991" s="259" t="str">
        <f>IF(X991&lt;&gt;"",X991/VLOOKUP($V991,Setup!$C$30:$D$41,2,0),"")</f>
        <v/>
      </c>
      <c r="Z991" s="262"/>
      <c r="AA991" s="256" t="str">
        <f t="shared" si="455"/>
        <v/>
      </c>
      <c r="AB991" s="262"/>
      <c r="AC991" s="258" t="str">
        <f t="shared" si="456"/>
        <v/>
      </c>
      <c r="AD991" s="262"/>
      <c r="AE991" s="258" t="str">
        <f t="shared" si="457"/>
        <v/>
      </c>
      <c r="AF991" s="262"/>
      <c r="AG991" s="256" t="str">
        <f t="shared" si="458"/>
        <v/>
      </c>
      <c r="AH991" s="256" t="str">
        <f t="shared" si="459"/>
        <v/>
      </c>
      <c r="AI991" s="256" t="str">
        <f t="shared" si="460"/>
        <v/>
      </c>
      <c r="AJ991" s="111"/>
      <c r="AK991" s="255"/>
      <c r="AL991" s="259" t="str">
        <f>IF(AK991&lt;&gt;"",AK991/VLOOKUP($V991,Setup!$C$30:$D$41,2,0),"")</f>
        <v/>
      </c>
      <c r="AM991" s="266"/>
      <c r="AN991" s="258" t="str">
        <f t="shared" si="461"/>
        <v/>
      </c>
      <c r="AO991" s="266"/>
      <c r="AP991" s="258" t="str">
        <f t="shared" si="462"/>
        <v/>
      </c>
      <c r="AQ991" s="266"/>
      <c r="AR991" s="258" t="str">
        <f t="shared" si="463"/>
        <v/>
      </c>
      <c r="AS991" s="266"/>
      <c r="AT991" s="256" t="str">
        <f t="shared" si="464"/>
        <v/>
      </c>
      <c r="AU991" s="256" t="str">
        <f t="shared" si="465"/>
        <v/>
      </c>
      <c r="AV991" s="256" t="str">
        <f t="shared" si="466"/>
        <v/>
      </c>
      <c r="AW991" s="267"/>
      <c r="AX991" s="255"/>
      <c r="AY991" s="259" t="str">
        <f>IF(AX991&lt;&gt;"",AX991/VLOOKUP($V991,Setup!$C$30:$D$41,2,0),"")</f>
        <v/>
      </c>
      <c r="AZ991" s="268"/>
      <c r="BA991" s="258" t="str">
        <f t="shared" si="467"/>
        <v/>
      </c>
      <c r="BB991" s="268"/>
      <c r="BC991" s="258" t="str">
        <f t="shared" si="468"/>
        <v/>
      </c>
      <c r="BD991" s="268"/>
      <c r="BE991" s="258" t="str">
        <f t="shared" si="469"/>
        <v/>
      </c>
      <c r="BF991" s="268"/>
      <c r="BG991" s="256" t="str">
        <f t="shared" si="470"/>
        <v/>
      </c>
      <c r="BH991" s="256" t="str">
        <f t="shared" si="471"/>
        <v/>
      </c>
      <c r="BI991" s="256" t="str">
        <f t="shared" si="472"/>
        <v/>
      </c>
      <c r="BJ991" s="267"/>
      <c r="BK991" s="255"/>
      <c r="BL991" s="259" t="str">
        <f>IF(BK991&lt;&gt;"",BK991/VLOOKUP($V991,Setup!$C$30:$D$41,2,0),"")</f>
        <v/>
      </c>
      <c r="BM991" s="268"/>
      <c r="BN991" s="258" t="str">
        <f t="shared" si="473"/>
        <v/>
      </c>
      <c r="BO991" s="268"/>
      <c r="BP991" s="258" t="str">
        <f t="shared" si="474"/>
        <v/>
      </c>
      <c r="BQ991" s="268"/>
      <c r="BR991" s="258" t="str">
        <f t="shared" si="475"/>
        <v/>
      </c>
      <c r="BS991" s="268"/>
      <c r="BT991" s="256" t="str">
        <f t="shared" si="476"/>
        <v/>
      </c>
      <c r="BU991" s="256" t="str">
        <f t="shared" si="477"/>
        <v/>
      </c>
      <c r="BV991" s="256" t="str">
        <f t="shared" si="478"/>
        <v/>
      </c>
      <c r="BW991" s="267"/>
      <c r="BX991" s="256" t="str">
        <f t="shared" si="479"/>
        <v/>
      </c>
      <c r="BY991" s="256" t="str">
        <f t="shared" si="480"/>
        <v/>
      </c>
      <c r="BZ991" s="281"/>
      <c r="CA991" s="282"/>
      <c r="CF991" s="284"/>
      <c r="CG991" s="284"/>
      <c r="CH991" s="284"/>
      <c r="CI991" s="284"/>
      <c r="CL991" s="356" t="str">
        <f>IFERROR(VLOOKUP(C991,'Data Sheet'!$A$3:$B$26,2,FALSE),"")</f>
        <v/>
      </c>
    </row>
    <row r="992" spans="1:90" ht="15.75" x14ac:dyDescent="0.2">
      <c r="A992" s="97"/>
      <c r="B992" s="105" t="str">
        <f t="shared" si="483"/>
        <v>--</v>
      </c>
      <c r="C992" s="276"/>
      <c r="D992" s="101" t="str">
        <f>IFERROR(IF(VLOOKUP(C992,'Data Sheet'!$A$3:$D$26,4,FALSE)=0,"",VLOOKUP(C992,'Data Sheet'!$A$3:$D$26,4,FALSE)),"")</f>
        <v/>
      </c>
      <c r="E992" s="279"/>
      <c r="F992" s="103" t="str">
        <f>IFERROR(IF(VLOOKUP(E992,'Data Sheet'!$C$29:$E$174,3,FALSE)=0,"",VLOOKUP(E992,'Data Sheet'!$C$29:$E$174,3,FALSE)),"")</f>
        <v/>
      </c>
      <c r="G992" s="106" t="str">
        <f t="shared" si="481"/>
        <v>-</v>
      </c>
      <c r="H992" s="273"/>
      <c r="I992" s="107"/>
      <c r="J992" s="249" t="e">
        <f t="shared" si="482"/>
        <v>#VALUE!</v>
      </c>
      <c r="K992" s="101" t="str">
        <f>IFERROR(INDEX('Data Sheet'!$C$198:$C$275,MATCH(I992,'Data Sheet'!$F$198:$F$275,0)),"")</f>
        <v/>
      </c>
      <c r="L992" s="250" t="str">
        <f>IFERROR(INDEX('Data Sheet'!$G$198:$G$275,MATCH(I992,'Data Sheet'!$F$198:$F$275,0)),"")</f>
        <v/>
      </c>
      <c r="M992" s="194"/>
      <c r="N992" s="248"/>
      <c r="O992" s="248"/>
      <c r="P992" s="108" t="str">
        <f>IFERROR(INDEX(Setup!$D$44:$D$70,MATCH(M992,Setup!$K$44:$K$70,0))&amp;"","")</f>
        <v/>
      </c>
      <c r="Q992" s="108" t="str">
        <f>IFERROR(INDEX(Setup!$E$44:$E$70,MATCH(M992,Setup!$K$44:$K$70,0))&amp;"","")</f>
        <v/>
      </c>
      <c r="R992" s="108" t="str">
        <f>IFERROR(INDEX(Setup!$L$44:$L$70,MATCH(M992,Setup!$K$44:$K$70,0))&amp;"","")</f>
        <v/>
      </c>
      <c r="S992" s="108" t="str">
        <f>Setup!$C$30</f>
        <v>USD</v>
      </c>
      <c r="T992" s="109" t="str">
        <f>IFERROR(INDEX('Data Sheet'!$B$198:$B$275,MATCH(I992,'Data Sheet'!$F$198:$F$275,0)),"")</f>
        <v/>
      </c>
      <c r="U992" s="110" t="str">
        <f>IFERROR(INDEX('Data Sheet'!$D$198:$D$275,MATCH(I992,'Data Sheet'!$F$198:$F$275,0)),"")</f>
        <v/>
      </c>
      <c r="V992" s="99"/>
      <c r="W992" s="195" t="str">
        <f>IF(V992=Setup!$C$30,"Grant",IF(V992=Setup!$C$31,"Local",IF(V992=Setup!$C$32,"Other",IF(ISBLANK(V992),"","Other"))))</f>
        <v/>
      </c>
      <c r="X992" s="255"/>
      <c r="Y992" s="259" t="str">
        <f>IF(X992&lt;&gt;"",X992/VLOOKUP($V992,Setup!$C$30:$D$41,2,0),"")</f>
        <v/>
      </c>
      <c r="Z992" s="262"/>
      <c r="AA992" s="256" t="str">
        <f t="shared" si="455"/>
        <v/>
      </c>
      <c r="AB992" s="262"/>
      <c r="AC992" s="258" t="str">
        <f t="shared" si="456"/>
        <v/>
      </c>
      <c r="AD992" s="262"/>
      <c r="AE992" s="258" t="str">
        <f t="shared" si="457"/>
        <v/>
      </c>
      <c r="AF992" s="262"/>
      <c r="AG992" s="256" t="str">
        <f t="shared" si="458"/>
        <v/>
      </c>
      <c r="AH992" s="256" t="str">
        <f t="shared" si="459"/>
        <v/>
      </c>
      <c r="AI992" s="256" t="str">
        <f t="shared" si="460"/>
        <v/>
      </c>
      <c r="AJ992" s="111"/>
      <c r="AK992" s="255"/>
      <c r="AL992" s="259" t="str">
        <f>IF(AK992&lt;&gt;"",AK992/VLOOKUP($V992,Setup!$C$30:$D$41,2,0),"")</f>
        <v/>
      </c>
      <c r="AM992" s="266"/>
      <c r="AN992" s="258" t="str">
        <f t="shared" si="461"/>
        <v/>
      </c>
      <c r="AO992" s="266"/>
      <c r="AP992" s="258" t="str">
        <f t="shared" si="462"/>
        <v/>
      </c>
      <c r="AQ992" s="266"/>
      <c r="AR992" s="258" t="str">
        <f t="shared" si="463"/>
        <v/>
      </c>
      <c r="AS992" s="266"/>
      <c r="AT992" s="256" t="str">
        <f t="shared" si="464"/>
        <v/>
      </c>
      <c r="AU992" s="256" t="str">
        <f t="shared" si="465"/>
        <v/>
      </c>
      <c r="AV992" s="256" t="str">
        <f t="shared" si="466"/>
        <v/>
      </c>
      <c r="AW992" s="267"/>
      <c r="AX992" s="255"/>
      <c r="AY992" s="259" t="str">
        <f>IF(AX992&lt;&gt;"",AX992/VLOOKUP($V992,Setup!$C$30:$D$41,2,0),"")</f>
        <v/>
      </c>
      <c r="AZ992" s="268"/>
      <c r="BA992" s="258" t="str">
        <f t="shared" si="467"/>
        <v/>
      </c>
      <c r="BB992" s="268"/>
      <c r="BC992" s="258" t="str">
        <f t="shared" si="468"/>
        <v/>
      </c>
      <c r="BD992" s="268"/>
      <c r="BE992" s="258" t="str">
        <f t="shared" si="469"/>
        <v/>
      </c>
      <c r="BF992" s="268"/>
      <c r="BG992" s="256" t="str">
        <f t="shared" si="470"/>
        <v/>
      </c>
      <c r="BH992" s="256" t="str">
        <f t="shared" si="471"/>
        <v/>
      </c>
      <c r="BI992" s="256" t="str">
        <f t="shared" si="472"/>
        <v/>
      </c>
      <c r="BJ992" s="267"/>
      <c r="BK992" s="255"/>
      <c r="BL992" s="259" t="str">
        <f>IF(BK992&lt;&gt;"",BK992/VLOOKUP($V992,Setup!$C$30:$D$41,2,0),"")</f>
        <v/>
      </c>
      <c r="BM992" s="268"/>
      <c r="BN992" s="258" t="str">
        <f t="shared" si="473"/>
        <v/>
      </c>
      <c r="BO992" s="268"/>
      <c r="BP992" s="258" t="str">
        <f t="shared" si="474"/>
        <v/>
      </c>
      <c r="BQ992" s="268"/>
      <c r="BR992" s="258" t="str">
        <f t="shared" si="475"/>
        <v/>
      </c>
      <c r="BS992" s="268"/>
      <c r="BT992" s="256" t="str">
        <f t="shared" si="476"/>
        <v/>
      </c>
      <c r="BU992" s="256" t="str">
        <f t="shared" si="477"/>
        <v/>
      </c>
      <c r="BV992" s="256" t="str">
        <f t="shared" si="478"/>
        <v/>
      </c>
      <c r="BW992" s="267"/>
      <c r="BX992" s="256" t="str">
        <f t="shared" si="479"/>
        <v/>
      </c>
      <c r="BY992" s="256" t="str">
        <f t="shared" si="480"/>
        <v/>
      </c>
      <c r="BZ992" s="281"/>
      <c r="CA992" s="282"/>
      <c r="CF992" s="284"/>
      <c r="CG992" s="284"/>
      <c r="CH992" s="284"/>
      <c r="CI992" s="284"/>
      <c r="CL992" s="356" t="str">
        <f>IFERROR(VLOOKUP(C992,'Data Sheet'!$A$3:$B$26,2,FALSE),"")</f>
        <v/>
      </c>
    </row>
    <row r="993" spans="1:90" ht="15.75" x14ac:dyDescent="0.2">
      <c r="A993" s="97"/>
      <c r="B993" s="105" t="str">
        <f t="shared" si="483"/>
        <v>--</v>
      </c>
      <c r="C993" s="276"/>
      <c r="D993" s="101" t="str">
        <f>IFERROR(IF(VLOOKUP(C993,'Data Sheet'!$A$3:$D$26,4,FALSE)=0,"",VLOOKUP(C993,'Data Sheet'!$A$3:$D$26,4,FALSE)),"")</f>
        <v/>
      </c>
      <c r="E993" s="279"/>
      <c r="F993" s="103" t="str">
        <f>IFERROR(IF(VLOOKUP(E993,'Data Sheet'!$C$29:$E$174,3,FALSE)=0,"",VLOOKUP(E993,'Data Sheet'!$C$29:$E$174,3,FALSE)),"")</f>
        <v/>
      </c>
      <c r="G993" s="106" t="str">
        <f t="shared" si="481"/>
        <v>-</v>
      </c>
      <c r="H993" s="273"/>
      <c r="I993" s="107"/>
      <c r="J993" s="249" t="e">
        <f t="shared" si="482"/>
        <v>#VALUE!</v>
      </c>
      <c r="K993" s="101" t="str">
        <f>IFERROR(INDEX('Data Sheet'!$C$198:$C$275,MATCH(I993,'Data Sheet'!$F$198:$F$275,0)),"")</f>
        <v/>
      </c>
      <c r="L993" s="250" t="str">
        <f>IFERROR(INDEX('Data Sheet'!$G$198:$G$275,MATCH(I993,'Data Sheet'!$F$198:$F$275,0)),"")</f>
        <v/>
      </c>
      <c r="M993" s="194"/>
      <c r="N993" s="248"/>
      <c r="O993" s="248"/>
      <c r="P993" s="108" t="str">
        <f>IFERROR(INDEX(Setup!$D$44:$D$70,MATCH(M993,Setup!$K$44:$K$70,0))&amp;"","")</f>
        <v/>
      </c>
      <c r="Q993" s="108" t="str">
        <f>IFERROR(INDEX(Setup!$E$44:$E$70,MATCH(M993,Setup!$K$44:$K$70,0))&amp;"","")</f>
        <v/>
      </c>
      <c r="R993" s="108" t="str">
        <f>IFERROR(INDEX(Setup!$L$44:$L$70,MATCH(M993,Setup!$K$44:$K$70,0))&amp;"","")</f>
        <v/>
      </c>
      <c r="S993" s="108" t="str">
        <f>Setup!$C$30</f>
        <v>USD</v>
      </c>
      <c r="T993" s="109" t="str">
        <f>IFERROR(INDEX('Data Sheet'!$B$198:$B$275,MATCH(I993,'Data Sheet'!$F$198:$F$275,0)),"")</f>
        <v/>
      </c>
      <c r="U993" s="110" t="str">
        <f>IFERROR(INDEX('Data Sheet'!$D$198:$D$275,MATCH(I993,'Data Sheet'!$F$198:$F$275,0)),"")</f>
        <v/>
      </c>
      <c r="V993" s="99"/>
      <c r="W993" s="195" t="str">
        <f>IF(V993=Setup!$C$30,"Grant",IF(V993=Setup!$C$31,"Local",IF(V993=Setup!$C$32,"Other",IF(ISBLANK(V993),"","Other"))))</f>
        <v/>
      </c>
      <c r="X993" s="255"/>
      <c r="Y993" s="259" t="str">
        <f>IF(X993&lt;&gt;"",X993/VLOOKUP($V993,Setup!$C$30:$D$41,2,0),"")</f>
        <v/>
      </c>
      <c r="Z993" s="262"/>
      <c r="AA993" s="256" t="str">
        <f t="shared" si="455"/>
        <v/>
      </c>
      <c r="AB993" s="262"/>
      <c r="AC993" s="258" t="str">
        <f t="shared" si="456"/>
        <v/>
      </c>
      <c r="AD993" s="262"/>
      <c r="AE993" s="258" t="str">
        <f t="shared" si="457"/>
        <v/>
      </c>
      <c r="AF993" s="262"/>
      <c r="AG993" s="256" t="str">
        <f t="shared" si="458"/>
        <v/>
      </c>
      <c r="AH993" s="256" t="str">
        <f t="shared" si="459"/>
        <v/>
      </c>
      <c r="AI993" s="256" t="str">
        <f t="shared" si="460"/>
        <v/>
      </c>
      <c r="AJ993" s="111"/>
      <c r="AK993" s="255"/>
      <c r="AL993" s="259" t="str">
        <f>IF(AK993&lt;&gt;"",AK993/VLOOKUP($V993,Setup!$C$30:$D$41,2,0),"")</f>
        <v/>
      </c>
      <c r="AM993" s="266"/>
      <c r="AN993" s="258" t="str">
        <f t="shared" si="461"/>
        <v/>
      </c>
      <c r="AO993" s="266"/>
      <c r="AP993" s="258" t="str">
        <f t="shared" si="462"/>
        <v/>
      </c>
      <c r="AQ993" s="266"/>
      <c r="AR993" s="258" t="str">
        <f t="shared" si="463"/>
        <v/>
      </c>
      <c r="AS993" s="266"/>
      <c r="AT993" s="256" t="str">
        <f t="shared" si="464"/>
        <v/>
      </c>
      <c r="AU993" s="256" t="str">
        <f t="shared" si="465"/>
        <v/>
      </c>
      <c r="AV993" s="256" t="str">
        <f t="shared" si="466"/>
        <v/>
      </c>
      <c r="AW993" s="267"/>
      <c r="AX993" s="255"/>
      <c r="AY993" s="259" t="str">
        <f>IF(AX993&lt;&gt;"",AX993/VLOOKUP($V993,Setup!$C$30:$D$41,2,0),"")</f>
        <v/>
      </c>
      <c r="AZ993" s="268"/>
      <c r="BA993" s="258" t="str">
        <f t="shared" si="467"/>
        <v/>
      </c>
      <c r="BB993" s="268"/>
      <c r="BC993" s="258" t="str">
        <f t="shared" si="468"/>
        <v/>
      </c>
      <c r="BD993" s="268"/>
      <c r="BE993" s="258" t="str">
        <f t="shared" si="469"/>
        <v/>
      </c>
      <c r="BF993" s="268"/>
      <c r="BG993" s="256" t="str">
        <f t="shared" si="470"/>
        <v/>
      </c>
      <c r="BH993" s="256" t="str">
        <f t="shared" si="471"/>
        <v/>
      </c>
      <c r="BI993" s="256" t="str">
        <f t="shared" si="472"/>
        <v/>
      </c>
      <c r="BJ993" s="267"/>
      <c r="BK993" s="255"/>
      <c r="BL993" s="259" t="str">
        <f>IF(BK993&lt;&gt;"",BK993/VLOOKUP($V993,Setup!$C$30:$D$41,2,0),"")</f>
        <v/>
      </c>
      <c r="BM993" s="268"/>
      <c r="BN993" s="258" t="str">
        <f t="shared" si="473"/>
        <v/>
      </c>
      <c r="BO993" s="268"/>
      <c r="BP993" s="258" t="str">
        <f t="shared" si="474"/>
        <v/>
      </c>
      <c r="BQ993" s="268"/>
      <c r="BR993" s="258" t="str">
        <f t="shared" si="475"/>
        <v/>
      </c>
      <c r="BS993" s="268"/>
      <c r="BT993" s="256" t="str">
        <f t="shared" si="476"/>
        <v/>
      </c>
      <c r="BU993" s="256" t="str">
        <f t="shared" si="477"/>
        <v/>
      </c>
      <c r="BV993" s="256" t="str">
        <f t="shared" si="478"/>
        <v/>
      </c>
      <c r="BW993" s="267"/>
      <c r="BX993" s="256" t="str">
        <f t="shared" si="479"/>
        <v/>
      </c>
      <c r="BY993" s="256" t="str">
        <f t="shared" si="480"/>
        <v/>
      </c>
      <c r="BZ993" s="281"/>
      <c r="CA993" s="282"/>
      <c r="CF993" s="284"/>
      <c r="CG993" s="284"/>
      <c r="CH993" s="284"/>
      <c r="CI993" s="284"/>
      <c r="CL993" s="356" t="str">
        <f>IFERROR(VLOOKUP(C993,'Data Sheet'!$A$3:$B$26,2,FALSE),"")</f>
        <v/>
      </c>
    </row>
    <row r="994" spans="1:90" ht="15.75" x14ac:dyDescent="0.2">
      <c r="A994" s="97"/>
      <c r="B994" s="105" t="str">
        <f t="shared" si="483"/>
        <v>--</v>
      </c>
      <c r="C994" s="276"/>
      <c r="D994" s="101" t="str">
        <f>IFERROR(IF(VLOOKUP(C994,'Data Sheet'!$A$3:$D$26,4,FALSE)=0,"",VLOOKUP(C994,'Data Sheet'!$A$3:$D$26,4,FALSE)),"")</f>
        <v/>
      </c>
      <c r="E994" s="279"/>
      <c r="F994" s="103" t="str">
        <f>IFERROR(IF(VLOOKUP(E994,'Data Sheet'!$C$29:$E$174,3,FALSE)=0,"",VLOOKUP(E994,'Data Sheet'!$C$29:$E$174,3,FALSE)),"")</f>
        <v/>
      </c>
      <c r="G994" s="106" t="str">
        <f t="shared" si="481"/>
        <v>-</v>
      </c>
      <c r="H994" s="273"/>
      <c r="I994" s="107"/>
      <c r="J994" s="249" t="e">
        <f t="shared" si="482"/>
        <v>#VALUE!</v>
      </c>
      <c r="K994" s="101" t="str">
        <f>IFERROR(INDEX('Data Sheet'!$C$198:$C$275,MATCH(I994,'Data Sheet'!$F$198:$F$275,0)),"")</f>
        <v/>
      </c>
      <c r="L994" s="250" t="str">
        <f>IFERROR(INDEX('Data Sheet'!$G$198:$G$275,MATCH(I994,'Data Sheet'!$F$198:$F$275,0)),"")</f>
        <v/>
      </c>
      <c r="M994" s="194"/>
      <c r="N994" s="248"/>
      <c r="O994" s="248"/>
      <c r="P994" s="108" t="str">
        <f>IFERROR(INDEX(Setup!$D$44:$D$70,MATCH(M994,Setup!$K$44:$K$70,0))&amp;"","")</f>
        <v/>
      </c>
      <c r="Q994" s="108" t="str">
        <f>IFERROR(INDEX(Setup!$E$44:$E$70,MATCH(M994,Setup!$K$44:$K$70,0))&amp;"","")</f>
        <v/>
      </c>
      <c r="R994" s="108" t="str">
        <f>IFERROR(INDEX(Setup!$L$44:$L$70,MATCH(M994,Setup!$K$44:$K$70,0))&amp;"","")</f>
        <v/>
      </c>
      <c r="S994" s="108" t="str">
        <f>Setup!$C$30</f>
        <v>USD</v>
      </c>
      <c r="T994" s="109" t="str">
        <f>IFERROR(INDEX('Data Sheet'!$B$198:$B$275,MATCH(I994,'Data Sheet'!$F$198:$F$275,0)),"")</f>
        <v/>
      </c>
      <c r="U994" s="110" t="str">
        <f>IFERROR(INDEX('Data Sheet'!$D$198:$D$275,MATCH(I994,'Data Sheet'!$F$198:$F$275,0)),"")</f>
        <v/>
      </c>
      <c r="V994" s="99"/>
      <c r="W994" s="195" t="str">
        <f>IF(V994=Setup!$C$30,"Grant",IF(V994=Setup!$C$31,"Local",IF(V994=Setup!$C$32,"Other",IF(ISBLANK(V994),"","Other"))))</f>
        <v/>
      </c>
      <c r="X994" s="255"/>
      <c r="Y994" s="259" t="str">
        <f>IF(X994&lt;&gt;"",X994/VLOOKUP($V994,Setup!$C$30:$D$41,2,0),"")</f>
        <v/>
      </c>
      <c r="Z994" s="262"/>
      <c r="AA994" s="256" t="str">
        <f t="shared" si="455"/>
        <v/>
      </c>
      <c r="AB994" s="262"/>
      <c r="AC994" s="258" t="str">
        <f t="shared" si="456"/>
        <v/>
      </c>
      <c r="AD994" s="262"/>
      <c r="AE994" s="258" t="str">
        <f t="shared" si="457"/>
        <v/>
      </c>
      <c r="AF994" s="262"/>
      <c r="AG994" s="256" t="str">
        <f t="shared" si="458"/>
        <v/>
      </c>
      <c r="AH994" s="256" t="str">
        <f t="shared" si="459"/>
        <v/>
      </c>
      <c r="AI994" s="256" t="str">
        <f t="shared" si="460"/>
        <v/>
      </c>
      <c r="AJ994" s="111"/>
      <c r="AK994" s="255"/>
      <c r="AL994" s="259" t="str">
        <f>IF(AK994&lt;&gt;"",AK994/VLOOKUP($V994,Setup!$C$30:$D$41,2,0),"")</f>
        <v/>
      </c>
      <c r="AM994" s="266"/>
      <c r="AN994" s="258" t="str">
        <f t="shared" si="461"/>
        <v/>
      </c>
      <c r="AO994" s="266"/>
      <c r="AP994" s="258" t="str">
        <f t="shared" si="462"/>
        <v/>
      </c>
      <c r="AQ994" s="266"/>
      <c r="AR994" s="258" t="str">
        <f t="shared" si="463"/>
        <v/>
      </c>
      <c r="AS994" s="266"/>
      <c r="AT994" s="256" t="str">
        <f t="shared" si="464"/>
        <v/>
      </c>
      <c r="AU994" s="256" t="str">
        <f t="shared" si="465"/>
        <v/>
      </c>
      <c r="AV994" s="256" t="str">
        <f t="shared" si="466"/>
        <v/>
      </c>
      <c r="AW994" s="267"/>
      <c r="AX994" s="255"/>
      <c r="AY994" s="259" t="str">
        <f>IF(AX994&lt;&gt;"",AX994/VLOOKUP($V994,Setup!$C$30:$D$41,2,0),"")</f>
        <v/>
      </c>
      <c r="AZ994" s="268"/>
      <c r="BA994" s="258" t="str">
        <f t="shared" si="467"/>
        <v/>
      </c>
      <c r="BB994" s="268"/>
      <c r="BC994" s="258" t="str">
        <f t="shared" si="468"/>
        <v/>
      </c>
      <c r="BD994" s="268"/>
      <c r="BE994" s="258" t="str">
        <f t="shared" si="469"/>
        <v/>
      </c>
      <c r="BF994" s="268"/>
      <c r="BG994" s="256" t="str">
        <f t="shared" si="470"/>
        <v/>
      </c>
      <c r="BH994" s="256" t="str">
        <f t="shared" si="471"/>
        <v/>
      </c>
      <c r="BI994" s="256" t="str">
        <f t="shared" si="472"/>
        <v/>
      </c>
      <c r="BJ994" s="267"/>
      <c r="BK994" s="255"/>
      <c r="BL994" s="259" t="str">
        <f>IF(BK994&lt;&gt;"",BK994/VLOOKUP($V994,Setup!$C$30:$D$41,2,0),"")</f>
        <v/>
      </c>
      <c r="BM994" s="268"/>
      <c r="BN994" s="258" t="str">
        <f t="shared" si="473"/>
        <v/>
      </c>
      <c r="BO994" s="268"/>
      <c r="BP994" s="258" t="str">
        <f t="shared" si="474"/>
        <v/>
      </c>
      <c r="BQ994" s="268"/>
      <c r="BR994" s="258" t="str">
        <f t="shared" si="475"/>
        <v/>
      </c>
      <c r="BS994" s="268"/>
      <c r="BT994" s="256" t="str">
        <f t="shared" si="476"/>
        <v/>
      </c>
      <c r="BU994" s="256" t="str">
        <f t="shared" si="477"/>
        <v/>
      </c>
      <c r="BV994" s="256" t="str">
        <f t="shared" si="478"/>
        <v/>
      </c>
      <c r="BW994" s="267"/>
      <c r="BX994" s="256" t="str">
        <f t="shared" si="479"/>
        <v/>
      </c>
      <c r="BY994" s="256" t="str">
        <f t="shared" si="480"/>
        <v/>
      </c>
      <c r="BZ994" s="281"/>
      <c r="CA994" s="282"/>
      <c r="CF994" s="284"/>
      <c r="CG994" s="284"/>
      <c r="CH994" s="284"/>
      <c r="CI994" s="284"/>
      <c r="CL994" s="356" t="str">
        <f>IFERROR(VLOOKUP(C994,'Data Sheet'!$A$3:$B$26,2,FALSE),"")</f>
        <v/>
      </c>
    </row>
    <row r="995" spans="1:90" ht="15.75" x14ac:dyDescent="0.2">
      <c r="A995" s="97"/>
      <c r="B995" s="105" t="str">
        <f t="shared" si="483"/>
        <v>--</v>
      </c>
      <c r="C995" s="276"/>
      <c r="D995" s="101" t="str">
        <f>IFERROR(IF(VLOOKUP(C995,'Data Sheet'!$A$3:$D$26,4,FALSE)=0,"",VLOOKUP(C995,'Data Sheet'!$A$3:$D$26,4,FALSE)),"")</f>
        <v/>
      </c>
      <c r="E995" s="279"/>
      <c r="F995" s="103" t="str">
        <f>IFERROR(IF(VLOOKUP(E995,'Data Sheet'!$C$29:$E$174,3,FALSE)=0,"",VLOOKUP(E995,'Data Sheet'!$C$29:$E$174,3,FALSE)),"")</f>
        <v/>
      </c>
      <c r="G995" s="106" t="str">
        <f t="shared" si="481"/>
        <v>-</v>
      </c>
      <c r="H995" s="273"/>
      <c r="I995" s="107"/>
      <c r="J995" s="249" t="e">
        <f t="shared" si="482"/>
        <v>#VALUE!</v>
      </c>
      <c r="K995" s="101" t="str">
        <f>IFERROR(INDEX('Data Sheet'!$C$198:$C$275,MATCH(I995,'Data Sheet'!$F$198:$F$275,0)),"")</f>
        <v/>
      </c>
      <c r="L995" s="250" t="str">
        <f>IFERROR(INDEX('Data Sheet'!$G$198:$G$275,MATCH(I995,'Data Sheet'!$F$198:$F$275,0)),"")</f>
        <v/>
      </c>
      <c r="M995" s="194"/>
      <c r="N995" s="248"/>
      <c r="O995" s="248"/>
      <c r="P995" s="108" t="str">
        <f>IFERROR(INDEX(Setup!$D$44:$D$70,MATCH(M995,Setup!$K$44:$K$70,0))&amp;"","")</f>
        <v/>
      </c>
      <c r="Q995" s="108" t="str">
        <f>IFERROR(INDEX(Setup!$E$44:$E$70,MATCH(M995,Setup!$K$44:$K$70,0))&amp;"","")</f>
        <v/>
      </c>
      <c r="R995" s="108" t="str">
        <f>IFERROR(INDEX(Setup!$L$44:$L$70,MATCH(M995,Setup!$K$44:$K$70,0))&amp;"","")</f>
        <v/>
      </c>
      <c r="S995" s="108" t="str">
        <f>Setup!$C$30</f>
        <v>USD</v>
      </c>
      <c r="T995" s="109" t="str">
        <f>IFERROR(INDEX('Data Sheet'!$B$198:$B$275,MATCH(I995,'Data Sheet'!$F$198:$F$275,0)),"")</f>
        <v/>
      </c>
      <c r="U995" s="110" t="str">
        <f>IFERROR(INDEX('Data Sheet'!$D$198:$D$275,MATCH(I995,'Data Sheet'!$F$198:$F$275,0)),"")</f>
        <v/>
      </c>
      <c r="V995" s="99"/>
      <c r="W995" s="195" t="str">
        <f>IF(V995=Setup!$C$30,"Grant",IF(V995=Setup!$C$31,"Local",IF(V995=Setup!$C$32,"Other",IF(ISBLANK(V995),"","Other"))))</f>
        <v/>
      </c>
      <c r="X995" s="255"/>
      <c r="Y995" s="259" t="str">
        <f>IF(X995&lt;&gt;"",X995/VLOOKUP($V995,Setup!$C$30:$D$41,2,0),"")</f>
        <v/>
      </c>
      <c r="Z995" s="262"/>
      <c r="AA995" s="256" t="str">
        <f t="shared" si="455"/>
        <v/>
      </c>
      <c r="AB995" s="262"/>
      <c r="AC995" s="258" t="str">
        <f t="shared" si="456"/>
        <v/>
      </c>
      <c r="AD995" s="262"/>
      <c r="AE995" s="258" t="str">
        <f t="shared" si="457"/>
        <v/>
      </c>
      <c r="AF995" s="262"/>
      <c r="AG995" s="256" t="str">
        <f t="shared" si="458"/>
        <v/>
      </c>
      <c r="AH995" s="256" t="str">
        <f t="shared" si="459"/>
        <v/>
      </c>
      <c r="AI995" s="256" t="str">
        <f t="shared" si="460"/>
        <v/>
      </c>
      <c r="AJ995" s="111"/>
      <c r="AK995" s="255"/>
      <c r="AL995" s="259" t="str">
        <f>IF(AK995&lt;&gt;"",AK995/VLOOKUP($V995,Setup!$C$30:$D$41,2,0),"")</f>
        <v/>
      </c>
      <c r="AM995" s="266"/>
      <c r="AN995" s="258" t="str">
        <f t="shared" si="461"/>
        <v/>
      </c>
      <c r="AO995" s="266"/>
      <c r="AP995" s="258" t="str">
        <f t="shared" si="462"/>
        <v/>
      </c>
      <c r="AQ995" s="266"/>
      <c r="AR995" s="258" t="str">
        <f t="shared" si="463"/>
        <v/>
      </c>
      <c r="AS995" s="266"/>
      <c r="AT995" s="256" t="str">
        <f t="shared" si="464"/>
        <v/>
      </c>
      <c r="AU995" s="256" t="str">
        <f t="shared" si="465"/>
        <v/>
      </c>
      <c r="AV995" s="256" t="str">
        <f t="shared" si="466"/>
        <v/>
      </c>
      <c r="AW995" s="267"/>
      <c r="AX995" s="255"/>
      <c r="AY995" s="259" t="str">
        <f>IF(AX995&lt;&gt;"",AX995/VLOOKUP($V995,Setup!$C$30:$D$41,2,0),"")</f>
        <v/>
      </c>
      <c r="AZ995" s="268"/>
      <c r="BA995" s="258" t="str">
        <f t="shared" si="467"/>
        <v/>
      </c>
      <c r="BB995" s="268"/>
      <c r="BC995" s="258" t="str">
        <f t="shared" si="468"/>
        <v/>
      </c>
      <c r="BD995" s="268"/>
      <c r="BE995" s="258" t="str">
        <f t="shared" si="469"/>
        <v/>
      </c>
      <c r="BF995" s="268"/>
      <c r="BG995" s="256" t="str">
        <f t="shared" si="470"/>
        <v/>
      </c>
      <c r="BH995" s="256" t="str">
        <f t="shared" si="471"/>
        <v/>
      </c>
      <c r="BI995" s="256" t="str">
        <f t="shared" si="472"/>
        <v/>
      </c>
      <c r="BJ995" s="267"/>
      <c r="BK995" s="255"/>
      <c r="BL995" s="259" t="str">
        <f>IF(BK995&lt;&gt;"",BK995/VLOOKUP($V995,Setup!$C$30:$D$41,2,0),"")</f>
        <v/>
      </c>
      <c r="BM995" s="268"/>
      <c r="BN995" s="258" t="str">
        <f t="shared" si="473"/>
        <v/>
      </c>
      <c r="BO995" s="268"/>
      <c r="BP995" s="258" t="str">
        <f t="shared" si="474"/>
        <v/>
      </c>
      <c r="BQ995" s="268"/>
      <c r="BR995" s="258" t="str">
        <f t="shared" si="475"/>
        <v/>
      </c>
      <c r="BS995" s="268"/>
      <c r="BT995" s="256" t="str">
        <f t="shared" si="476"/>
        <v/>
      </c>
      <c r="BU995" s="256" t="str">
        <f t="shared" si="477"/>
        <v/>
      </c>
      <c r="BV995" s="256" t="str">
        <f t="shared" si="478"/>
        <v/>
      </c>
      <c r="BW995" s="267"/>
      <c r="BX995" s="256" t="str">
        <f t="shared" si="479"/>
        <v/>
      </c>
      <c r="BY995" s="256" t="str">
        <f t="shared" si="480"/>
        <v/>
      </c>
      <c r="BZ995" s="281"/>
      <c r="CA995" s="282"/>
      <c r="CF995" s="284"/>
      <c r="CG995" s="284"/>
      <c r="CH995" s="284"/>
      <c r="CI995" s="284"/>
      <c r="CL995" s="356" t="str">
        <f>IFERROR(VLOOKUP(C995,'Data Sheet'!$A$3:$B$26,2,FALSE),"")</f>
        <v/>
      </c>
    </row>
    <row r="996" spans="1:90" ht="15.75" x14ac:dyDescent="0.2">
      <c r="A996" s="97"/>
      <c r="B996" s="105" t="str">
        <f t="shared" si="483"/>
        <v>--</v>
      </c>
      <c r="C996" s="276"/>
      <c r="D996" s="101" t="str">
        <f>IFERROR(IF(VLOOKUP(C996,'Data Sheet'!$A$3:$D$26,4,FALSE)=0,"",VLOOKUP(C996,'Data Sheet'!$A$3:$D$26,4,FALSE)),"")</f>
        <v/>
      </c>
      <c r="E996" s="279"/>
      <c r="F996" s="103" t="str">
        <f>IFERROR(IF(VLOOKUP(E996,'Data Sheet'!$C$29:$E$174,3,FALSE)=0,"",VLOOKUP(E996,'Data Sheet'!$C$29:$E$174,3,FALSE)),"")</f>
        <v/>
      </c>
      <c r="G996" s="106" t="str">
        <f t="shared" si="481"/>
        <v>-</v>
      </c>
      <c r="H996" s="273"/>
      <c r="I996" s="107"/>
      <c r="J996" s="249" t="e">
        <f t="shared" si="482"/>
        <v>#VALUE!</v>
      </c>
      <c r="K996" s="101" t="str">
        <f>IFERROR(INDEX('Data Sheet'!$C$198:$C$275,MATCH(I996,'Data Sheet'!$F$198:$F$275,0)),"")</f>
        <v/>
      </c>
      <c r="L996" s="250" t="str">
        <f>IFERROR(INDEX('Data Sheet'!$G$198:$G$275,MATCH(I996,'Data Sheet'!$F$198:$F$275,0)),"")</f>
        <v/>
      </c>
      <c r="M996" s="194"/>
      <c r="N996" s="248"/>
      <c r="O996" s="248"/>
      <c r="P996" s="108" t="str">
        <f>IFERROR(INDEX(Setup!$D$44:$D$70,MATCH(M996,Setup!$K$44:$K$70,0))&amp;"","")</f>
        <v/>
      </c>
      <c r="Q996" s="108" t="str">
        <f>IFERROR(INDEX(Setup!$E$44:$E$70,MATCH(M996,Setup!$K$44:$K$70,0))&amp;"","")</f>
        <v/>
      </c>
      <c r="R996" s="108" t="str">
        <f>IFERROR(INDEX(Setup!$L$44:$L$70,MATCH(M996,Setup!$K$44:$K$70,0))&amp;"","")</f>
        <v/>
      </c>
      <c r="S996" s="108" t="str">
        <f>Setup!$C$30</f>
        <v>USD</v>
      </c>
      <c r="T996" s="109" t="str">
        <f>IFERROR(INDEX('Data Sheet'!$B$198:$B$275,MATCH(I996,'Data Sheet'!$F$198:$F$275,0)),"")</f>
        <v/>
      </c>
      <c r="U996" s="110" t="str">
        <f>IFERROR(INDEX('Data Sheet'!$D$198:$D$275,MATCH(I996,'Data Sheet'!$F$198:$F$275,0)),"")</f>
        <v/>
      </c>
      <c r="V996" s="99"/>
      <c r="W996" s="195" t="str">
        <f>IF(V996=Setup!$C$30,"Grant",IF(V996=Setup!$C$31,"Local",IF(V996=Setup!$C$32,"Other",IF(ISBLANK(V996),"","Other"))))</f>
        <v/>
      </c>
      <c r="X996" s="255"/>
      <c r="Y996" s="259" t="str">
        <f>IF(X996&lt;&gt;"",X996/VLOOKUP($V996,Setup!$C$30:$D$41,2,0),"")</f>
        <v/>
      </c>
      <c r="Z996" s="262"/>
      <c r="AA996" s="256" t="str">
        <f t="shared" si="455"/>
        <v/>
      </c>
      <c r="AB996" s="262"/>
      <c r="AC996" s="258" t="str">
        <f t="shared" si="456"/>
        <v/>
      </c>
      <c r="AD996" s="262"/>
      <c r="AE996" s="258" t="str">
        <f t="shared" si="457"/>
        <v/>
      </c>
      <c r="AF996" s="262"/>
      <c r="AG996" s="256" t="str">
        <f t="shared" si="458"/>
        <v/>
      </c>
      <c r="AH996" s="256" t="str">
        <f t="shared" si="459"/>
        <v/>
      </c>
      <c r="AI996" s="256" t="str">
        <f t="shared" si="460"/>
        <v/>
      </c>
      <c r="AJ996" s="111"/>
      <c r="AK996" s="255"/>
      <c r="AL996" s="259" t="str">
        <f>IF(AK996&lt;&gt;"",AK996/VLOOKUP($V996,Setup!$C$30:$D$41,2,0),"")</f>
        <v/>
      </c>
      <c r="AM996" s="266"/>
      <c r="AN996" s="258" t="str">
        <f t="shared" si="461"/>
        <v/>
      </c>
      <c r="AO996" s="266"/>
      <c r="AP996" s="258" t="str">
        <f t="shared" si="462"/>
        <v/>
      </c>
      <c r="AQ996" s="266"/>
      <c r="AR996" s="258" t="str">
        <f t="shared" si="463"/>
        <v/>
      </c>
      <c r="AS996" s="266"/>
      <c r="AT996" s="256" t="str">
        <f t="shared" si="464"/>
        <v/>
      </c>
      <c r="AU996" s="256" t="str">
        <f t="shared" si="465"/>
        <v/>
      </c>
      <c r="AV996" s="256" t="str">
        <f t="shared" si="466"/>
        <v/>
      </c>
      <c r="AW996" s="267"/>
      <c r="AX996" s="255"/>
      <c r="AY996" s="259" t="str">
        <f>IF(AX996&lt;&gt;"",AX996/VLOOKUP($V996,Setup!$C$30:$D$41,2,0),"")</f>
        <v/>
      </c>
      <c r="AZ996" s="268"/>
      <c r="BA996" s="258" t="str">
        <f t="shared" si="467"/>
        <v/>
      </c>
      <c r="BB996" s="268"/>
      <c r="BC996" s="258" t="str">
        <f t="shared" si="468"/>
        <v/>
      </c>
      <c r="BD996" s="268"/>
      <c r="BE996" s="258" t="str">
        <f t="shared" si="469"/>
        <v/>
      </c>
      <c r="BF996" s="268"/>
      <c r="BG996" s="256" t="str">
        <f t="shared" si="470"/>
        <v/>
      </c>
      <c r="BH996" s="256" t="str">
        <f t="shared" si="471"/>
        <v/>
      </c>
      <c r="BI996" s="256" t="str">
        <f t="shared" si="472"/>
        <v/>
      </c>
      <c r="BJ996" s="267"/>
      <c r="BK996" s="255"/>
      <c r="BL996" s="259" t="str">
        <f>IF(BK996&lt;&gt;"",BK996/VLOOKUP($V996,Setup!$C$30:$D$41,2,0),"")</f>
        <v/>
      </c>
      <c r="BM996" s="268"/>
      <c r="BN996" s="258" t="str">
        <f t="shared" si="473"/>
        <v/>
      </c>
      <c r="BO996" s="268"/>
      <c r="BP996" s="258" t="str">
        <f t="shared" si="474"/>
        <v/>
      </c>
      <c r="BQ996" s="268"/>
      <c r="BR996" s="258" t="str">
        <f t="shared" si="475"/>
        <v/>
      </c>
      <c r="BS996" s="268"/>
      <c r="BT996" s="256" t="str">
        <f t="shared" si="476"/>
        <v/>
      </c>
      <c r="BU996" s="256" t="str">
        <f t="shared" si="477"/>
        <v/>
      </c>
      <c r="BV996" s="256" t="str">
        <f t="shared" si="478"/>
        <v/>
      </c>
      <c r="BW996" s="267"/>
      <c r="BX996" s="256" t="str">
        <f t="shared" si="479"/>
        <v/>
      </c>
      <c r="BY996" s="256" t="str">
        <f t="shared" si="480"/>
        <v/>
      </c>
      <c r="BZ996" s="281"/>
      <c r="CA996" s="282"/>
      <c r="CF996" s="284"/>
      <c r="CG996" s="284"/>
      <c r="CH996" s="284"/>
      <c r="CI996" s="284"/>
      <c r="CL996" s="356" t="str">
        <f>IFERROR(VLOOKUP(C996,'Data Sheet'!$A$3:$B$26,2,FALSE),"")</f>
        <v/>
      </c>
    </row>
    <row r="997" spans="1:90" ht="15.75" x14ac:dyDescent="0.2">
      <c r="A997" s="97"/>
      <c r="B997" s="105" t="str">
        <f t="shared" si="483"/>
        <v>--</v>
      </c>
      <c r="C997" s="276"/>
      <c r="D997" s="101" t="str">
        <f>IFERROR(IF(VLOOKUP(C997,'Data Sheet'!$A$3:$D$26,4,FALSE)=0,"",VLOOKUP(C997,'Data Sheet'!$A$3:$D$26,4,FALSE)),"")</f>
        <v/>
      </c>
      <c r="E997" s="279"/>
      <c r="F997" s="103" t="str">
        <f>IFERROR(IF(VLOOKUP(E997,'Data Sheet'!$C$29:$E$174,3,FALSE)=0,"",VLOOKUP(E997,'Data Sheet'!$C$29:$E$174,3,FALSE)),"")</f>
        <v/>
      </c>
      <c r="G997" s="106" t="str">
        <f t="shared" si="481"/>
        <v>-</v>
      </c>
      <c r="H997" s="273"/>
      <c r="I997" s="107"/>
      <c r="J997" s="249" t="e">
        <f t="shared" si="482"/>
        <v>#VALUE!</v>
      </c>
      <c r="K997" s="101" t="str">
        <f>IFERROR(INDEX('Data Sheet'!$C$198:$C$275,MATCH(I997,'Data Sheet'!$F$198:$F$275,0)),"")</f>
        <v/>
      </c>
      <c r="L997" s="250" t="str">
        <f>IFERROR(INDEX('Data Sheet'!$G$198:$G$275,MATCH(I997,'Data Sheet'!$F$198:$F$275,0)),"")</f>
        <v/>
      </c>
      <c r="M997" s="194"/>
      <c r="N997" s="248"/>
      <c r="O997" s="248"/>
      <c r="P997" s="108" t="str">
        <f>IFERROR(INDEX(Setup!$D$44:$D$70,MATCH(M997,Setup!$K$44:$K$70,0))&amp;"","")</f>
        <v/>
      </c>
      <c r="Q997" s="108" t="str">
        <f>IFERROR(INDEX(Setup!$E$44:$E$70,MATCH(M997,Setup!$K$44:$K$70,0))&amp;"","")</f>
        <v/>
      </c>
      <c r="R997" s="108" t="str">
        <f>IFERROR(INDEX(Setup!$L$44:$L$70,MATCH(M997,Setup!$K$44:$K$70,0))&amp;"","")</f>
        <v/>
      </c>
      <c r="S997" s="108" t="str">
        <f>Setup!$C$30</f>
        <v>USD</v>
      </c>
      <c r="T997" s="109" t="str">
        <f>IFERROR(INDEX('Data Sheet'!$B$198:$B$275,MATCH(I997,'Data Sheet'!$F$198:$F$275,0)),"")</f>
        <v/>
      </c>
      <c r="U997" s="110" t="str">
        <f>IFERROR(INDEX('Data Sheet'!$D$198:$D$275,MATCH(I997,'Data Sheet'!$F$198:$F$275,0)),"")</f>
        <v/>
      </c>
      <c r="V997" s="99"/>
      <c r="W997" s="195" t="str">
        <f>IF(V997=Setup!$C$30,"Grant",IF(V997=Setup!$C$31,"Local",IF(V997=Setup!$C$32,"Other",IF(ISBLANK(V997),"","Other"))))</f>
        <v/>
      </c>
      <c r="X997" s="255"/>
      <c r="Y997" s="259" t="str">
        <f>IF(X997&lt;&gt;"",X997/VLOOKUP($V997,Setup!$C$30:$D$41,2,0),"")</f>
        <v/>
      </c>
      <c r="Z997" s="262"/>
      <c r="AA997" s="256" t="str">
        <f t="shared" si="455"/>
        <v/>
      </c>
      <c r="AB997" s="262"/>
      <c r="AC997" s="258" t="str">
        <f t="shared" si="456"/>
        <v/>
      </c>
      <c r="AD997" s="262"/>
      <c r="AE997" s="258" t="str">
        <f t="shared" si="457"/>
        <v/>
      </c>
      <c r="AF997" s="262"/>
      <c r="AG997" s="256" t="str">
        <f t="shared" si="458"/>
        <v/>
      </c>
      <c r="AH997" s="256" t="str">
        <f t="shared" si="459"/>
        <v/>
      </c>
      <c r="AI997" s="256" t="str">
        <f t="shared" si="460"/>
        <v/>
      </c>
      <c r="AJ997" s="111"/>
      <c r="AK997" s="255"/>
      <c r="AL997" s="259" t="str">
        <f>IF(AK997&lt;&gt;"",AK997/VLOOKUP($V997,Setup!$C$30:$D$41,2,0),"")</f>
        <v/>
      </c>
      <c r="AM997" s="266"/>
      <c r="AN997" s="258" t="str">
        <f t="shared" si="461"/>
        <v/>
      </c>
      <c r="AO997" s="266"/>
      <c r="AP997" s="258" t="str">
        <f t="shared" si="462"/>
        <v/>
      </c>
      <c r="AQ997" s="266"/>
      <c r="AR997" s="258" t="str">
        <f t="shared" si="463"/>
        <v/>
      </c>
      <c r="AS997" s="266"/>
      <c r="AT997" s="256" t="str">
        <f t="shared" si="464"/>
        <v/>
      </c>
      <c r="AU997" s="256" t="str">
        <f t="shared" si="465"/>
        <v/>
      </c>
      <c r="AV997" s="256" t="str">
        <f t="shared" si="466"/>
        <v/>
      </c>
      <c r="AW997" s="267"/>
      <c r="AX997" s="255"/>
      <c r="AY997" s="259" t="str">
        <f>IF(AX997&lt;&gt;"",AX997/VLOOKUP($V997,Setup!$C$30:$D$41,2,0),"")</f>
        <v/>
      </c>
      <c r="AZ997" s="268"/>
      <c r="BA997" s="258" t="str">
        <f t="shared" si="467"/>
        <v/>
      </c>
      <c r="BB997" s="268"/>
      <c r="BC997" s="258" t="str">
        <f t="shared" si="468"/>
        <v/>
      </c>
      <c r="BD997" s="268"/>
      <c r="BE997" s="258" t="str">
        <f t="shared" si="469"/>
        <v/>
      </c>
      <c r="BF997" s="268"/>
      <c r="BG997" s="256" t="str">
        <f t="shared" si="470"/>
        <v/>
      </c>
      <c r="BH997" s="256" t="str">
        <f t="shared" si="471"/>
        <v/>
      </c>
      <c r="BI997" s="256" t="str">
        <f t="shared" si="472"/>
        <v/>
      </c>
      <c r="BJ997" s="267"/>
      <c r="BK997" s="255"/>
      <c r="BL997" s="259" t="str">
        <f>IF(BK997&lt;&gt;"",BK997/VLOOKUP($V997,Setup!$C$30:$D$41,2,0),"")</f>
        <v/>
      </c>
      <c r="BM997" s="268"/>
      <c r="BN997" s="258" t="str">
        <f t="shared" si="473"/>
        <v/>
      </c>
      <c r="BO997" s="268"/>
      <c r="BP997" s="258" t="str">
        <f t="shared" si="474"/>
        <v/>
      </c>
      <c r="BQ997" s="268"/>
      <c r="BR997" s="258" t="str">
        <f t="shared" si="475"/>
        <v/>
      </c>
      <c r="BS997" s="268"/>
      <c r="BT997" s="256" t="str">
        <f t="shared" si="476"/>
        <v/>
      </c>
      <c r="BU997" s="256" t="str">
        <f t="shared" si="477"/>
        <v/>
      </c>
      <c r="BV997" s="256" t="str">
        <f t="shared" si="478"/>
        <v/>
      </c>
      <c r="BW997" s="267"/>
      <c r="BX997" s="256" t="str">
        <f t="shared" si="479"/>
        <v/>
      </c>
      <c r="BY997" s="256" t="str">
        <f t="shared" si="480"/>
        <v/>
      </c>
      <c r="BZ997" s="281"/>
      <c r="CA997" s="282"/>
      <c r="CF997" s="284"/>
      <c r="CG997" s="284"/>
      <c r="CH997" s="284"/>
      <c r="CI997" s="284"/>
      <c r="CL997" s="356" t="str">
        <f>IFERROR(VLOOKUP(C997,'Data Sheet'!$A$3:$B$26,2,FALSE),"")</f>
        <v/>
      </c>
    </row>
    <row r="998" spans="1:90" ht="15.75" x14ac:dyDescent="0.2">
      <c r="A998" s="97"/>
      <c r="B998" s="105" t="str">
        <f t="shared" si="483"/>
        <v>--</v>
      </c>
      <c r="C998" s="276"/>
      <c r="D998" s="101" t="str">
        <f>IFERROR(IF(VLOOKUP(C998,'Data Sheet'!$A$3:$D$26,4,FALSE)=0,"",VLOOKUP(C998,'Data Sheet'!$A$3:$D$26,4,FALSE)),"")</f>
        <v/>
      </c>
      <c r="E998" s="279"/>
      <c r="F998" s="103" t="str">
        <f>IFERROR(IF(VLOOKUP(E998,'Data Sheet'!$C$29:$E$174,3,FALSE)=0,"",VLOOKUP(E998,'Data Sheet'!$C$29:$E$174,3,FALSE)),"")</f>
        <v/>
      </c>
      <c r="G998" s="106" t="str">
        <f t="shared" si="481"/>
        <v>-</v>
      </c>
      <c r="H998" s="273"/>
      <c r="I998" s="107"/>
      <c r="J998" s="249" t="e">
        <f t="shared" si="482"/>
        <v>#VALUE!</v>
      </c>
      <c r="K998" s="101" t="str">
        <f>IFERROR(INDEX('Data Sheet'!$C$198:$C$275,MATCH(I998,'Data Sheet'!$F$198:$F$275,0)),"")</f>
        <v/>
      </c>
      <c r="L998" s="250" t="str">
        <f>IFERROR(INDEX('Data Sheet'!$G$198:$G$275,MATCH(I998,'Data Sheet'!$F$198:$F$275,0)),"")</f>
        <v/>
      </c>
      <c r="M998" s="194"/>
      <c r="N998" s="248"/>
      <c r="O998" s="248"/>
      <c r="P998" s="108" t="str">
        <f>IFERROR(INDEX(Setup!$D$44:$D$70,MATCH(M998,Setup!$K$44:$K$70,0))&amp;"","")</f>
        <v/>
      </c>
      <c r="Q998" s="108" t="str">
        <f>IFERROR(INDEX(Setup!$E$44:$E$70,MATCH(M998,Setup!$K$44:$K$70,0))&amp;"","")</f>
        <v/>
      </c>
      <c r="R998" s="108" t="str">
        <f>IFERROR(INDEX(Setup!$L$44:$L$70,MATCH(M998,Setup!$K$44:$K$70,0))&amp;"","")</f>
        <v/>
      </c>
      <c r="S998" s="108" t="str">
        <f>Setup!$C$30</f>
        <v>USD</v>
      </c>
      <c r="T998" s="109" t="str">
        <f>IFERROR(INDEX('Data Sheet'!$B$198:$B$275,MATCH(I998,'Data Sheet'!$F$198:$F$275,0)),"")</f>
        <v/>
      </c>
      <c r="U998" s="110" t="str">
        <f>IFERROR(INDEX('Data Sheet'!$D$198:$D$275,MATCH(I998,'Data Sheet'!$F$198:$F$275,0)),"")</f>
        <v/>
      </c>
      <c r="V998" s="99"/>
      <c r="W998" s="195" t="str">
        <f>IF(V998=Setup!$C$30,"Grant",IF(V998=Setup!$C$31,"Local",IF(V998=Setup!$C$32,"Other",IF(ISBLANK(V998),"","Other"))))</f>
        <v/>
      </c>
      <c r="X998" s="255"/>
      <c r="Y998" s="259" t="str">
        <f>IF(X998&lt;&gt;"",X998/VLOOKUP($V998,Setup!$C$30:$D$41,2,0),"")</f>
        <v/>
      </c>
      <c r="Z998" s="262"/>
      <c r="AA998" s="256" t="str">
        <f t="shared" si="455"/>
        <v/>
      </c>
      <c r="AB998" s="262"/>
      <c r="AC998" s="258" t="str">
        <f t="shared" si="456"/>
        <v/>
      </c>
      <c r="AD998" s="262"/>
      <c r="AE998" s="258" t="str">
        <f t="shared" si="457"/>
        <v/>
      </c>
      <c r="AF998" s="262"/>
      <c r="AG998" s="256" t="str">
        <f t="shared" si="458"/>
        <v/>
      </c>
      <c r="AH998" s="256" t="str">
        <f t="shared" si="459"/>
        <v/>
      </c>
      <c r="AI998" s="256" t="str">
        <f t="shared" si="460"/>
        <v/>
      </c>
      <c r="AJ998" s="111"/>
      <c r="AK998" s="255"/>
      <c r="AL998" s="259" t="str">
        <f>IF(AK998&lt;&gt;"",AK998/VLOOKUP($V998,Setup!$C$30:$D$41,2,0),"")</f>
        <v/>
      </c>
      <c r="AM998" s="266"/>
      <c r="AN998" s="258" t="str">
        <f t="shared" si="461"/>
        <v/>
      </c>
      <c r="AO998" s="266"/>
      <c r="AP998" s="258" t="str">
        <f t="shared" si="462"/>
        <v/>
      </c>
      <c r="AQ998" s="266"/>
      <c r="AR998" s="258" t="str">
        <f t="shared" si="463"/>
        <v/>
      </c>
      <c r="AS998" s="266"/>
      <c r="AT998" s="256" t="str">
        <f t="shared" si="464"/>
        <v/>
      </c>
      <c r="AU998" s="256" t="str">
        <f t="shared" si="465"/>
        <v/>
      </c>
      <c r="AV998" s="256" t="str">
        <f t="shared" si="466"/>
        <v/>
      </c>
      <c r="AW998" s="267"/>
      <c r="AX998" s="255"/>
      <c r="AY998" s="259" t="str">
        <f>IF(AX998&lt;&gt;"",AX998/VLOOKUP($V998,Setup!$C$30:$D$41,2,0),"")</f>
        <v/>
      </c>
      <c r="AZ998" s="268"/>
      <c r="BA998" s="258" t="str">
        <f t="shared" si="467"/>
        <v/>
      </c>
      <c r="BB998" s="268"/>
      <c r="BC998" s="258" t="str">
        <f t="shared" si="468"/>
        <v/>
      </c>
      <c r="BD998" s="268"/>
      <c r="BE998" s="258" t="str">
        <f t="shared" si="469"/>
        <v/>
      </c>
      <c r="BF998" s="268"/>
      <c r="BG998" s="256" t="str">
        <f t="shared" si="470"/>
        <v/>
      </c>
      <c r="BH998" s="256" t="str">
        <f t="shared" si="471"/>
        <v/>
      </c>
      <c r="BI998" s="256" t="str">
        <f t="shared" si="472"/>
        <v/>
      </c>
      <c r="BJ998" s="267"/>
      <c r="BK998" s="255"/>
      <c r="BL998" s="259" t="str">
        <f>IF(BK998&lt;&gt;"",BK998/VLOOKUP($V998,Setup!$C$30:$D$41,2,0),"")</f>
        <v/>
      </c>
      <c r="BM998" s="268"/>
      <c r="BN998" s="258" t="str">
        <f t="shared" si="473"/>
        <v/>
      </c>
      <c r="BO998" s="268"/>
      <c r="BP998" s="258" t="str">
        <f t="shared" si="474"/>
        <v/>
      </c>
      <c r="BQ998" s="268"/>
      <c r="BR998" s="258" t="str">
        <f t="shared" si="475"/>
        <v/>
      </c>
      <c r="BS998" s="268"/>
      <c r="BT998" s="256" t="str">
        <f t="shared" si="476"/>
        <v/>
      </c>
      <c r="BU998" s="256" t="str">
        <f t="shared" si="477"/>
        <v/>
      </c>
      <c r="BV998" s="256" t="str">
        <f t="shared" si="478"/>
        <v/>
      </c>
      <c r="BW998" s="267"/>
      <c r="BX998" s="256" t="str">
        <f t="shared" si="479"/>
        <v/>
      </c>
      <c r="BY998" s="256" t="str">
        <f t="shared" si="480"/>
        <v/>
      </c>
      <c r="BZ998" s="281"/>
      <c r="CA998" s="282"/>
      <c r="CF998" s="284"/>
      <c r="CG998" s="284"/>
      <c r="CH998" s="284"/>
      <c r="CI998" s="284"/>
      <c r="CL998" s="356" t="str">
        <f>IFERROR(VLOOKUP(C998,'Data Sheet'!$A$3:$B$26,2,FALSE),"")</f>
        <v/>
      </c>
    </row>
    <row r="999" spans="1:90" ht="15.75" x14ac:dyDescent="0.2">
      <c r="A999" s="97"/>
      <c r="B999" s="105" t="str">
        <f t="shared" si="483"/>
        <v>--</v>
      </c>
      <c r="C999" s="276"/>
      <c r="D999" s="101" t="str">
        <f>IFERROR(IF(VLOOKUP(C999,'Data Sheet'!$A$3:$D$26,4,FALSE)=0,"",VLOOKUP(C999,'Data Sheet'!$A$3:$D$26,4,FALSE)),"")</f>
        <v/>
      </c>
      <c r="E999" s="279"/>
      <c r="F999" s="103" t="str">
        <f>IFERROR(IF(VLOOKUP(E999,'Data Sheet'!$C$29:$E$174,3,FALSE)=0,"",VLOOKUP(E999,'Data Sheet'!$C$29:$E$174,3,FALSE)),"")</f>
        <v/>
      </c>
      <c r="G999" s="106" t="str">
        <f t="shared" si="481"/>
        <v>-</v>
      </c>
      <c r="H999" s="273"/>
      <c r="I999" s="107"/>
      <c r="J999" s="249" t="e">
        <f t="shared" si="482"/>
        <v>#VALUE!</v>
      </c>
      <c r="K999" s="101" t="str">
        <f>IFERROR(INDEX('Data Sheet'!$C$198:$C$275,MATCH(I999,'Data Sheet'!$F$198:$F$275,0)),"")</f>
        <v/>
      </c>
      <c r="L999" s="250" t="str">
        <f>IFERROR(INDEX('Data Sheet'!$G$198:$G$275,MATCH(I999,'Data Sheet'!$F$198:$F$275,0)),"")</f>
        <v/>
      </c>
      <c r="M999" s="194"/>
      <c r="N999" s="248"/>
      <c r="O999" s="248"/>
      <c r="P999" s="108" t="str">
        <f>IFERROR(INDEX(Setup!$D$44:$D$70,MATCH(M999,Setup!$K$44:$K$70,0))&amp;"","")</f>
        <v/>
      </c>
      <c r="Q999" s="108" t="str">
        <f>IFERROR(INDEX(Setup!$E$44:$E$70,MATCH(M999,Setup!$K$44:$K$70,0))&amp;"","")</f>
        <v/>
      </c>
      <c r="R999" s="108" t="str">
        <f>IFERROR(INDEX(Setup!$L$44:$L$70,MATCH(M999,Setup!$K$44:$K$70,0))&amp;"","")</f>
        <v/>
      </c>
      <c r="S999" s="108" t="str">
        <f>Setup!$C$30</f>
        <v>USD</v>
      </c>
      <c r="T999" s="109" t="str">
        <f>IFERROR(INDEX('Data Sheet'!$B$198:$B$275,MATCH(I999,'Data Sheet'!$F$198:$F$275,0)),"")</f>
        <v/>
      </c>
      <c r="U999" s="110" t="str">
        <f>IFERROR(INDEX('Data Sheet'!$D$198:$D$275,MATCH(I999,'Data Sheet'!$F$198:$F$275,0)),"")</f>
        <v/>
      </c>
      <c r="V999" s="99"/>
      <c r="W999" s="195" t="str">
        <f>IF(V999=Setup!$C$30,"Grant",IF(V999=Setup!$C$31,"Local",IF(V999=Setup!$C$32,"Other",IF(ISBLANK(V999),"","Other"))))</f>
        <v/>
      </c>
      <c r="X999" s="255"/>
      <c r="Y999" s="259" t="str">
        <f>IF(X999&lt;&gt;"",X999/VLOOKUP($V999,Setup!$C$30:$D$41,2,0),"")</f>
        <v/>
      </c>
      <c r="Z999" s="262"/>
      <c r="AA999" s="256" t="str">
        <f t="shared" si="455"/>
        <v/>
      </c>
      <c r="AB999" s="262"/>
      <c r="AC999" s="258" t="str">
        <f t="shared" si="456"/>
        <v/>
      </c>
      <c r="AD999" s="262"/>
      <c r="AE999" s="258" t="str">
        <f t="shared" si="457"/>
        <v/>
      </c>
      <c r="AF999" s="262"/>
      <c r="AG999" s="256" t="str">
        <f t="shared" si="458"/>
        <v/>
      </c>
      <c r="AH999" s="256" t="str">
        <f t="shared" si="459"/>
        <v/>
      </c>
      <c r="AI999" s="256" t="str">
        <f t="shared" si="460"/>
        <v/>
      </c>
      <c r="AJ999" s="111"/>
      <c r="AK999" s="255"/>
      <c r="AL999" s="259" t="str">
        <f>IF(AK999&lt;&gt;"",AK999/VLOOKUP($V999,Setup!$C$30:$D$41,2,0),"")</f>
        <v/>
      </c>
      <c r="AM999" s="266"/>
      <c r="AN999" s="258" t="str">
        <f t="shared" si="461"/>
        <v/>
      </c>
      <c r="AO999" s="266"/>
      <c r="AP999" s="258" t="str">
        <f t="shared" si="462"/>
        <v/>
      </c>
      <c r="AQ999" s="266"/>
      <c r="AR999" s="258" t="str">
        <f t="shared" si="463"/>
        <v/>
      </c>
      <c r="AS999" s="266"/>
      <c r="AT999" s="256" t="str">
        <f t="shared" si="464"/>
        <v/>
      </c>
      <c r="AU999" s="256" t="str">
        <f t="shared" si="465"/>
        <v/>
      </c>
      <c r="AV999" s="256" t="str">
        <f t="shared" si="466"/>
        <v/>
      </c>
      <c r="AW999" s="267"/>
      <c r="AX999" s="255"/>
      <c r="AY999" s="259" t="str">
        <f>IF(AX999&lt;&gt;"",AX999/VLOOKUP($V999,Setup!$C$30:$D$41,2,0),"")</f>
        <v/>
      </c>
      <c r="AZ999" s="268"/>
      <c r="BA999" s="258" t="str">
        <f t="shared" si="467"/>
        <v/>
      </c>
      <c r="BB999" s="268"/>
      <c r="BC999" s="258" t="str">
        <f t="shared" si="468"/>
        <v/>
      </c>
      <c r="BD999" s="268"/>
      <c r="BE999" s="258" t="str">
        <f t="shared" si="469"/>
        <v/>
      </c>
      <c r="BF999" s="268"/>
      <c r="BG999" s="256" t="str">
        <f t="shared" si="470"/>
        <v/>
      </c>
      <c r="BH999" s="256" t="str">
        <f t="shared" si="471"/>
        <v/>
      </c>
      <c r="BI999" s="256" t="str">
        <f t="shared" si="472"/>
        <v/>
      </c>
      <c r="BJ999" s="267"/>
      <c r="BK999" s="255"/>
      <c r="BL999" s="259" t="str">
        <f>IF(BK999&lt;&gt;"",BK999/VLOOKUP($V999,Setup!$C$30:$D$41,2,0),"")</f>
        <v/>
      </c>
      <c r="BM999" s="268"/>
      <c r="BN999" s="258" t="str">
        <f t="shared" si="473"/>
        <v/>
      </c>
      <c r="BO999" s="268"/>
      <c r="BP999" s="258" t="str">
        <f t="shared" si="474"/>
        <v/>
      </c>
      <c r="BQ999" s="268"/>
      <c r="BR999" s="258" t="str">
        <f t="shared" si="475"/>
        <v/>
      </c>
      <c r="BS999" s="268"/>
      <c r="BT999" s="256" t="str">
        <f t="shared" si="476"/>
        <v/>
      </c>
      <c r="BU999" s="256" t="str">
        <f t="shared" si="477"/>
        <v/>
      </c>
      <c r="BV999" s="256" t="str">
        <f t="shared" si="478"/>
        <v/>
      </c>
      <c r="BW999" s="267"/>
      <c r="BX999" s="256" t="str">
        <f t="shared" si="479"/>
        <v/>
      </c>
      <c r="BY999" s="256" t="str">
        <f t="shared" si="480"/>
        <v/>
      </c>
      <c r="BZ999" s="281"/>
      <c r="CA999" s="282"/>
      <c r="CF999" s="284"/>
      <c r="CG999" s="284"/>
      <c r="CH999" s="284"/>
      <c r="CI999" s="284"/>
      <c r="CL999" s="356" t="str">
        <f>IFERROR(VLOOKUP(C999,'Data Sheet'!$A$3:$B$26,2,FALSE),"")</f>
        <v/>
      </c>
    </row>
    <row r="1000" spans="1:90" ht="15.75" x14ac:dyDescent="0.2">
      <c r="A1000" s="97"/>
      <c r="B1000" s="105" t="str">
        <f t="shared" si="483"/>
        <v>--</v>
      </c>
      <c r="C1000" s="276"/>
      <c r="D1000" s="101" t="str">
        <f>IFERROR(IF(VLOOKUP(C1000,'Data Sheet'!$A$3:$D$26,4,FALSE)=0,"",VLOOKUP(C1000,'Data Sheet'!$A$3:$D$26,4,FALSE)),"")</f>
        <v/>
      </c>
      <c r="E1000" s="279"/>
      <c r="F1000" s="103" t="str">
        <f>IFERROR(IF(VLOOKUP(E1000,'Data Sheet'!$C$29:$E$174,3,FALSE)=0,"",VLOOKUP(E1000,'Data Sheet'!$C$29:$E$174,3,FALSE)),"")</f>
        <v/>
      </c>
      <c r="G1000" s="106" t="str">
        <f t="shared" si="481"/>
        <v>-</v>
      </c>
      <c r="H1000" s="273"/>
      <c r="I1000" s="107"/>
      <c r="J1000" s="249" t="e">
        <f t="shared" si="482"/>
        <v>#VALUE!</v>
      </c>
      <c r="K1000" s="101" t="str">
        <f>IFERROR(INDEX('Data Sheet'!$C$198:$C$275,MATCH(I1000,'Data Sheet'!$F$198:$F$275,0)),"")</f>
        <v/>
      </c>
      <c r="L1000" s="250" t="str">
        <f>IFERROR(INDEX('Data Sheet'!$G$198:$G$275,MATCH(I1000,'Data Sheet'!$F$198:$F$275,0)),"")</f>
        <v/>
      </c>
      <c r="M1000" s="194"/>
      <c r="N1000" s="248"/>
      <c r="O1000" s="248"/>
      <c r="P1000" s="108" t="str">
        <f>IFERROR(INDEX(Setup!$D$44:$D$70,MATCH(M1000,Setup!$K$44:$K$70,0))&amp;"","")</f>
        <v/>
      </c>
      <c r="Q1000" s="108" t="str">
        <f>IFERROR(INDEX(Setup!$E$44:$E$70,MATCH(M1000,Setup!$K$44:$K$70,0))&amp;"","")</f>
        <v/>
      </c>
      <c r="R1000" s="108" t="str">
        <f>IFERROR(INDEX(Setup!$L$44:$L$70,MATCH(M1000,Setup!$K$44:$K$70,0))&amp;"","")</f>
        <v/>
      </c>
      <c r="S1000" s="108" t="str">
        <f>Setup!$C$30</f>
        <v>USD</v>
      </c>
      <c r="T1000" s="109" t="str">
        <f>IFERROR(INDEX('Data Sheet'!$B$198:$B$275,MATCH(I1000,'Data Sheet'!$F$198:$F$275,0)),"")</f>
        <v/>
      </c>
      <c r="U1000" s="110" t="str">
        <f>IFERROR(INDEX('Data Sheet'!$D$198:$D$275,MATCH(I1000,'Data Sheet'!$F$198:$F$275,0)),"")</f>
        <v/>
      </c>
      <c r="V1000" s="99"/>
      <c r="W1000" s="195" t="str">
        <f>IF(V1000=Setup!$C$30,"Grant",IF(V1000=Setup!$C$31,"Local",IF(V1000=Setup!$C$32,"Other",IF(ISBLANK(V1000),"","Other"))))</f>
        <v/>
      </c>
      <c r="X1000" s="255"/>
      <c r="Y1000" s="259" t="str">
        <f>IF(X1000&lt;&gt;"",X1000/VLOOKUP($V1000,Setup!$C$30:$D$41,2,0),"")</f>
        <v/>
      </c>
      <c r="Z1000" s="262"/>
      <c r="AA1000" s="256" t="str">
        <f t="shared" si="455"/>
        <v/>
      </c>
      <c r="AB1000" s="262"/>
      <c r="AC1000" s="258" t="str">
        <f t="shared" si="456"/>
        <v/>
      </c>
      <c r="AD1000" s="262"/>
      <c r="AE1000" s="258" t="str">
        <f t="shared" si="457"/>
        <v/>
      </c>
      <c r="AF1000" s="262"/>
      <c r="AG1000" s="256" t="str">
        <f t="shared" si="458"/>
        <v/>
      </c>
      <c r="AH1000" s="256" t="str">
        <f t="shared" si="459"/>
        <v/>
      </c>
      <c r="AI1000" s="256" t="str">
        <f t="shared" si="460"/>
        <v/>
      </c>
      <c r="AJ1000" s="111"/>
      <c r="AK1000" s="255"/>
      <c r="AL1000" s="259" t="str">
        <f>IF(AK1000&lt;&gt;"",AK1000/VLOOKUP($V1000,Setup!$C$30:$D$41,2,0),"")</f>
        <v/>
      </c>
      <c r="AM1000" s="266"/>
      <c r="AN1000" s="258" t="str">
        <f t="shared" si="461"/>
        <v/>
      </c>
      <c r="AO1000" s="266"/>
      <c r="AP1000" s="258" t="str">
        <f t="shared" si="462"/>
        <v/>
      </c>
      <c r="AQ1000" s="266"/>
      <c r="AR1000" s="258" t="str">
        <f t="shared" si="463"/>
        <v/>
      </c>
      <c r="AS1000" s="266"/>
      <c r="AT1000" s="256" t="str">
        <f t="shared" si="464"/>
        <v/>
      </c>
      <c r="AU1000" s="256" t="str">
        <f t="shared" si="465"/>
        <v/>
      </c>
      <c r="AV1000" s="256" t="str">
        <f t="shared" si="466"/>
        <v/>
      </c>
      <c r="AW1000" s="267"/>
      <c r="AX1000" s="255"/>
      <c r="AY1000" s="259" t="str">
        <f>IF(AX1000&lt;&gt;"",AX1000/VLOOKUP($V1000,Setup!$C$30:$D$41,2,0),"")</f>
        <v/>
      </c>
      <c r="AZ1000" s="268"/>
      <c r="BA1000" s="258" t="str">
        <f t="shared" si="467"/>
        <v/>
      </c>
      <c r="BB1000" s="268"/>
      <c r="BC1000" s="258" t="str">
        <f t="shared" si="468"/>
        <v/>
      </c>
      <c r="BD1000" s="268"/>
      <c r="BE1000" s="258" t="str">
        <f t="shared" si="469"/>
        <v/>
      </c>
      <c r="BF1000" s="268"/>
      <c r="BG1000" s="256" t="str">
        <f t="shared" si="470"/>
        <v/>
      </c>
      <c r="BH1000" s="256" t="str">
        <f t="shared" si="471"/>
        <v/>
      </c>
      <c r="BI1000" s="256" t="str">
        <f t="shared" si="472"/>
        <v/>
      </c>
      <c r="BJ1000" s="267"/>
      <c r="BK1000" s="255"/>
      <c r="BL1000" s="259" t="str">
        <f>IF(BK1000&lt;&gt;"",BK1000/VLOOKUP($V1000,Setup!$C$30:$D$41,2,0),"")</f>
        <v/>
      </c>
      <c r="BM1000" s="268"/>
      <c r="BN1000" s="258" t="str">
        <f t="shared" si="473"/>
        <v/>
      </c>
      <c r="BO1000" s="268"/>
      <c r="BP1000" s="258" t="str">
        <f t="shared" si="474"/>
        <v/>
      </c>
      <c r="BQ1000" s="268"/>
      <c r="BR1000" s="258" t="str">
        <f t="shared" si="475"/>
        <v/>
      </c>
      <c r="BS1000" s="268"/>
      <c r="BT1000" s="256" t="str">
        <f t="shared" si="476"/>
        <v/>
      </c>
      <c r="BU1000" s="256" t="str">
        <f t="shared" si="477"/>
        <v/>
      </c>
      <c r="BV1000" s="256" t="str">
        <f t="shared" si="478"/>
        <v/>
      </c>
      <c r="BW1000" s="267"/>
      <c r="BX1000" s="256" t="str">
        <f t="shared" si="479"/>
        <v/>
      </c>
      <c r="BY1000" s="256" t="str">
        <f t="shared" si="480"/>
        <v/>
      </c>
      <c r="BZ1000" s="281"/>
      <c r="CA1000" s="282"/>
      <c r="CF1000" s="284"/>
      <c r="CG1000" s="284"/>
      <c r="CH1000" s="284"/>
      <c r="CI1000" s="284"/>
      <c r="CL1000" s="356" t="str">
        <f>IFERROR(VLOOKUP(C1000,'Data Sheet'!$A$3:$B$26,2,FALSE),"")</f>
        <v/>
      </c>
    </row>
    <row r="1001" spans="1:90" ht="15.75" x14ac:dyDescent="0.2">
      <c r="A1001" s="97"/>
      <c r="B1001" s="105" t="str">
        <f t="shared" si="483"/>
        <v>--</v>
      </c>
      <c r="C1001" s="276"/>
      <c r="D1001" s="101" t="str">
        <f>IFERROR(IF(VLOOKUP(C1001,'Data Sheet'!$A$3:$D$26,4,FALSE)=0,"",VLOOKUP(C1001,'Data Sheet'!$A$3:$D$26,4,FALSE)),"")</f>
        <v/>
      </c>
      <c r="E1001" s="279"/>
      <c r="F1001" s="103" t="str">
        <f>IFERROR(IF(VLOOKUP(E1001,'Data Sheet'!$C$29:$E$174,3,FALSE)=0,"",VLOOKUP(E1001,'Data Sheet'!$C$29:$E$174,3,FALSE)),"")</f>
        <v/>
      </c>
      <c r="G1001" s="106" t="str">
        <f t="shared" si="481"/>
        <v>-</v>
      </c>
      <c r="H1001" s="273"/>
      <c r="I1001" s="107"/>
      <c r="J1001" s="249" t="e">
        <f t="shared" si="482"/>
        <v>#VALUE!</v>
      </c>
      <c r="K1001" s="101" t="str">
        <f>IFERROR(INDEX('Data Sheet'!$C$198:$C$275,MATCH(I1001,'Data Sheet'!$F$198:$F$275,0)),"")</f>
        <v/>
      </c>
      <c r="L1001" s="250" t="str">
        <f>IFERROR(INDEX('Data Sheet'!$G$198:$G$275,MATCH(I1001,'Data Sheet'!$F$198:$F$275,0)),"")</f>
        <v/>
      </c>
      <c r="M1001" s="194"/>
      <c r="N1001" s="248"/>
      <c r="O1001" s="248"/>
      <c r="P1001" s="108" t="str">
        <f>IFERROR(INDEX(Setup!$D$44:$D$70,MATCH(M1001,Setup!$K$44:$K$70,0))&amp;"","")</f>
        <v/>
      </c>
      <c r="Q1001" s="108" t="str">
        <f>IFERROR(INDEX(Setup!$E$44:$E$70,MATCH(M1001,Setup!$K$44:$K$70,0))&amp;"","")</f>
        <v/>
      </c>
      <c r="R1001" s="108" t="str">
        <f>IFERROR(INDEX(Setup!$L$44:$L$70,MATCH(M1001,Setup!$K$44:$K$70,0))&amp;"","")</f>
        <v/>
      </c>
      <c r="S1001" s="108" t="str">
        <f>Setup!$C$30</f>
        <v>USD</v>
      </c>
      <c r="T1001" s="109" t="str">
        <f>IFERROR(INDEX('Data Sheet'!$B$198:$B$275,MATCH(I1001,'Data Sheet'!$F$198:$F$275,0)),"")</f>
        <v/>
      </c>
      <c r="U1001" s="110" t="str">
        <f>IFERROR(INDEX('Data Sheet'!$D$198:$D$275,MATCH(I1001,'Data Sheet'!$F$198:$F$275,0)),"")</f>
        <v/>
      </c>
      <c r="V1001" s="99"/>
      <c r="W1001" s="195" t="str">
        <f>IF(V1001=Setup!$C$30,"Grant",IF(V1001=Setup!$C$31,"Local",IF(V1001=Setup!$C$32,"Other",IF(ISBLANK(V1001),"","Other"))))</f>
        <v/>
      </c>
      <c r="X1001" s="255"/>
      <c r="Y1001" s="259" t="str">
        <f>IF(X1001&lt;&gt;"",X1001/VLOOKUP($V1001,Setup!$C$30:$D$41,2,0),"")</f>
        <v/>
      </c>
      <c r="Z1001" s="262"/>
      <c r="AA1001" s="256" t="str">
        <f t="shared" si="455"/>
        <v/>
      </c>
      <c r="AB1001" s="262"/>
      <c r="AC1001" s="258" t="str">
        <f t="shared" si="456"/>
        <v/>
      </c>
      <c r="AD1001" s="262"/>
      <c r="AE1001" s="258" t="str">
        <f t="shared" si="457"/>
        <v/>
      </c>
      <c r="AF1001" s="262"/>
      <c r="AG1001" s="256" t="str">
        <f t="shared" si="458"/>
        <v/>
      </c>
      <c r="AH1001" s="256" t="str">
        <f t="shared" si="459"/>
        <v/>
      </c>
      <c r="AI1001" s="256" t="str">
        <f t="shared" si="460"/>
        <v/>
      </c>
      <c r="AJ1001" s="111"/>
      <c r="AK1001" s="255"/>
      <c r="AL1001" s="259" t="str">
        <f>IF(AK1001&lt;&gt;"",AK1001/VLOOKUP($V1001,Setup!$C$30:$D$41,2,0),"")</f>
        <v/>
      </c>
      <c r="AM1001" s="266"/>
      <c r="AN1001" s="258" t="str">
        <f t="shared" si="461"/>
        <v/>
      </c>
      <c r="AO1001" s="266"/>
      <c r="AP1001" s="258" t="str">
        <f t="shared" si="462"/>
        <v/>
      </c>
      <c r="AQ1001" s="266"/>
      <c r="AR1001" s="258" t="str">
        <f t="shared" si="463"/>
        <v/>
      </c>
      <c r="AS1001" s="266"/>
      <c r="AT1001" s="256" t="str">
        <f t="shared" si="464"/>
        <v/>
      </c>
      <c r="AU1001" s="256" t="str">
        <f t="shared" si="465"/>
        <v/>
      </c>
      <c r="AV1001" s="256" t="str">
        <f t="shared" si="466"/>
        <v/>
      </c>
      <c r="AW1001" s="267"/>
      <c r="AX1001" s="255"/>
      <c r="AY1001" s="259" t="str">
        <f>IF(AX1001&lt;&gt;"",AX1001/VLOOKUP($V1001,Setup!$C$30:$D$41,2,0),"")</f>
        <v/>
      </c>
      <c r="AZ1001" s="268"/>
      <c r="BA1001" s="258" t="str">
        <f t="shared" si="467"/>
        <v/>
      </c>
      <c r="BB1001" s="268"/>
      <c r="BC1001" s="258" t="str">
        <f t="shared" si="468"/>
        <v/>
      </c>
      <c r="BD1001" s="268"/>
      <c r="BE1001" s="258" t="str">
        <f t="shared" si="469"/>
        <v/>
      </c>
      <c r="BF1001" s="268"/>
      <c r="BG1001" s="256" t="str">
        <f t="shared" si="470"/>
        <v/>
      </c>
      <c r="BH1001" s="256" t="str">
        <f t="shared" si="471"/>
        <v/>
      </c>
      <c r="BI1001" s="256" t="str">
        <f t="shared" si="472"/>
        <v/>
      </c>
      <c r="BJ1001" s="267"/>
      <c r="BK1001" s="255"/>
      <c r="BL1001" s="259" t="str">
        <f>IF(BK1001&lt;&gt;"",BK1001/VLOOKUP($V1001,Setup!$C$30:$D$41,2,0),"")</f>
        <v/>
      </c>
      <c r="BM1001" s="268"/>
      <c r="BN1001" s="258" t="str">
        <f t="shared" si="473"/>
        <v/>
      </c>
      <c r="BO1001" s="268"/>
      <c r="BP1001" s="258" t="str">
        <f t="shared" si="474"/>
        <v/>
      </c>
      <c r="BQ1001" s="268"/>
      <c r="BR1001" s="258" t="str">
        <f t="shared" si="475"/>
        <v/>
      </c>
      <c r="BS1001" s="268"/>
      <c r="BT1001" s="256" t="str">
        <f t="shared" si="476"/>
        <v/>
      </c>
      <c r="BU1001" s="256" t="str">
        <f t="shared" si="477"/>
        <v/>
      </c>
      <c r="BV1001" s="256" t="str">
        <f t="shared" si="478"/>
        <v/>
      </c>
      <c r="BW1001" s="267"/>
      <c r="BX1001" s="256" t="str">
        <f t="shared" si="479"/>
        <v/>
      </c>
      <c r="BY1001" s="256" t="str">
        <f t="shared" si="480"/>
        <v/>
      </c>
      <c r="BZ1001" s="281"/>
      <c r="CA1001" s="282"/>
      <c r="CF1001" s="284"/>
      <c r="CG1001" s="284"/>
      <c r="CH1001" s="284"/>
      <c r="CI1001" s="284"/>
      <c r="CL1001" s="356" t="str">
        <f>IFERROR(VLOOKUP(C1001,'Data Sheet'!$A$3:$B$26,2,FALSE),"")</f>
        <v/>
      </c>
    </row>
    <row r="1002" spans="1:90" ht="15.75" x14ac:dyDescent="0.2">
      <c r="A1002" s="97"/>
      <c r="B1002" s="105" t="str">
        <f t="shared" si="483"/>
        <v>--</v>
      </c>
      <c r="C1002" s="276"/>
      <c r="D1002" s="101" t="str">
        <f>IFERROR(IF(VLOOKUP(C1002,'Data Sheet'!$A$3:$D$26,4,FALSE)=0,"",VLOOKUP(C1002,'Data Sheet'!$A$3:$D$26,4,FALSE)),"")</f>
        <v/>
      </c>
      <c r="E1002" s="279"/>
      <c r="F1002" s="103" t="str">
        <f>IFERROR(IF(VLOOKUP(E1002,'Data Sheet'!$C$29:$E$174,3,FALSE)=0,"",VLOOKUP(E1002,'Data Sheet'!$C$29:$E$174,3,FALSE)),"")</f>
        <v/>
      </c>
      <c r="G1002" s="106" t="str">
        <f t="shared" si="481"/>
        <v>-</v>
      </c>
      <c r="H1002" s="273"/>
      <c r="I1002" s="107"/>
      <c r="J1002" s="249" t="e">
        <f t="shared" si="482"/>
        <v>#VALUE!</v>
      </c>
      <c r="K1002" s="101" t="str">
        <f>IFERROR(INDEX('Data Sheet'!$C$198:$C$275,MATCH(I1002,'Data Sheet'!$F$198:$F$275,0)),"")</f>
        <v/>
      </c>
      <c r="L1002" s="250" t="str">
        <f>IFERROR(INDEX('Data Sheet'!$G$198:$G$275,MATCH(I1002,'Data Sheet'!$F$198:$F$275,0)),"")</f>
        <v/>
      </c>
      <c r="M1002" s="194"/>
      <c r="N1002" s="248"/>
      <c r="O1002" s="248"/>
      <c r="P1002" s="108" t="str">
        <f>IFERROR(INDEX(Setup!$D$44:$D$70,MATCH(M1002,Setup!$K$44:$K$70,0))&amp;"","")</f>
        <v/>
      </c>
      <c r="Q1002" s="108" t="str">
        <f>IFERROR(INDEX(Setup!$E$44:$E$70,MATCH(M1002,Setup!$K$44:$K$70,0))&amp;"","")</f>
        <v/>
      </c>
      <c r="R1002" s="108" t="str">
        <f>IFERROR(INDEX(Setup!$L$44:$L$70,MATCH(M1002,Setup!$K$44:$K$70,0))&amp;"","")</f>
        <v/>
      </c>
      <c r="S1002" s="108" t="str">
        <f>Setup!$C$30</f>
        <v>USD</v>
      </c>
      <c r="T1002" s="109" t="str">
        <f>IFERROR(INDEX('Data Sheet'!$B$198:$B$275,MATCH(I1002,'Data Sheet'!$F$198:$F$275,0)),"")</f>
        <v/>
      </c>
      <c r="U1002" s="110" t="str">
        <f>IFERROR(INDEX('Data Sheet'!$D$198:$D$275,MATCH(I1002,'Data Sheet'!$F$198:$F$275,0)),"")</f>
        <v/>
      </c>
      <c r="V1002" s="99"/>
      <c r="W1002" s="195" t="str">
        <f>IF(V1002=Setup!$C$30,"Grant",IF(V1002=Setup!$C$31,"Local",IF(V1002=Setup!$C$32,"Other",IF(ISBLANK(V1002),"","Other"))))</f>
        <v/>
      </c>
      <c r="X1002" s="255"/>
      <c r="Y1002" s="259" t="str">
        <f>IF(X1002&lt;&gt;"",X1002/VLOOKUP($V1002,Setup!$C$30:$D$41,2,0),"")</f>
        <v/>
      </c>
      <c r="Z1002" s="262"/>
      <c r="AA1002" s="256" t="str">
        <f t="shared" si="455"/>
        <v/>
      </c>
      <c r="AB1002" s="262"/>
      <c r="AC1002" s="258" t="str">
        <f t="shared" si="456"/>
        <v/>
      </c>
      <c r="AD1002" s="262"/>
      <c r="AE1002" s="258" t="str">
        <f t="shared" si="457"/>
        <v/>
      </c>
      <c r="AF1002" s="262"/>
      <c r="AG1002" s="256" t="str">
        <f t="shared" si="458"/>
        <v/>
      </c>
      <c r="AH1002" s="256" t="str">
        <f t="shared" si="459"/>
        <v/>
      </c>
      <c r="AI1002" s="256" t="str">
        <f t="shared" si="460"/>
        <v/>
      </c>
      <c r="AJ1002" s="111"/>
      <c r="AK1002" s="255"/>
      <c r="AL1002" s="259" t="str">
        <f>IF(AK1002&lt;&gt;"",AK1002/VLOOKUP($V1002,Setup!$C$30:$D$41,2,0),"")</f>
        <v/>
      </c>
      <c r="AM1002" s="266"/>
      <c r="AN1002" s="258" t="str">
        <f t="shared" si="461"/>
        <v/>
      </c>
      <c r="AO1002" s="266"/>
      <c r="AP1002" s="258" t="str">
        <f t="shared" si="462"/>
        <v/>
      </c>
      <c r="AQ1002" s="266"/>
      <c r="AR1002" s="258" t="str">
        <f t="shared" si="463"/>
        <v/>
      </c>
      <c r="AS1002" s="266"/>
      <c r="AT1002" s="256" t="str">
        <f t="shared" si="464"/>
        <v/>
      </c>
      <c r="AU1002" s="256" t="str">
        <f t="shared" si="465"/>
        <v/>
      </c>
      <c r="AV1002" s="256" t="str">
        <f t="shared" si="466"/>
        <v/>
      </c>
      <c r="AW1002" s="267"/>
      <c r="AX1002" s="255"/>
      <c r="AY1002" s="259" t="str">
        <f>IF(AX1002&lt;&gt;"",AX1002/VLOOKUP($V1002,Setup!$C$30:$D$41,2,0),"")</f>
        <v/>
      </c>
      <c r="AZ1002" s="268"/>
      <c r="BA1002" s="258" t="str">
        <f t="shared" si="467"/>
        <v/>
      </c>
      <c r="BB1002" s="268"/>
      <c r="BC1002" s="258" t="str">
        <f t="shared" si="468"/>
        <v/>
      </c>
      <c r="BD1002" s="268"/>
      <c r="BE1002" s="258" t="str">
        <f t="shared" si="469"/>
        <v/>
      </c>
      <c r="BF1002" s="268"/>
      <c r="BG1002" s="256" t="str">
        <f t="shared" si="470"/>
        <v/>
      </c>
      <c r="BH1002" s="256" t="str">
        <f t="shared" si="471"/>
        <v/>
      </c>
      <c r="BI1002" s="256" t="str">
        <f t="shared" si="472"/>
        <v/>
      </c>
      <c r="BJ1002" s="267"/>
      <c r="BK1002" s="255"/>
      <c r="BL1002" s="259" t="str">
        <f>IF(BK1002&lt;&gt;"",BK1002/VLOOKUP($V1002,Setup!$C$30:$D$41,2,0),"")</f>
        <v/>
      </c>
      <c r="BM1002" s="268"/>
      <c r="BN1002" s="258" t="str">
        <f t="shared" si="473"/>
        <v/>
      </c>
      <c r="BO1002" s="268"/>
      <c r="BP1002" s="258" t="str">
        <f t="shared" si="474"/>
        <v/>
      </c>
      <c r="BQ1002" s="268"/>
      <c r="BR1002" s="258" t="str">
        <f t="shared" si="475"/>
        <v/>
      </c>
      <c r="BS1002" s="268"/>
      <c r="BT1002" s="256" t="str">
        <f t="shared" si="476"/>
        <v/>
      </c>
      <c r="BU1002" s="256" t="str">
        <f t="shared" si="477"/>
        <v/>
      </c>
      <c r="BV1002" s="256" t="str">
        <f t="shared" si="478"/>
        <v/>
      </c>
      <c r="BW1002" s="267"/>
      <c r="BX1002" s="256" t="str">
        <f t="shared" si="479"/>
        <v/>
      </c>
      <c r="BY1002" s="256" t="str">
        <f t="shared" si="480"/>
        <v/>
      </c>
      <c r="BZ1002" s="281"/>
      <c r="CA1002" s="282"/>
      <c r="CF1002" s="284"/>
      <c r="CG1002" s="284"/>
      <c r="CH1002" s="284"/>
      <c r="CI1002" s="284"/>
      <c r="CL1002" s="356" t="str">
        <f>IFERROR(VLOOKUP(C1002,'Data Sheet'!$A$3:$B$26,2,FALSE),"")</f>
        <v/>
      </c>
    </row>
    <row r="1003" spans="1:90" ht="15.75" x14ac:dyDescent="0.2">
      <c r="A1003" s="97"/>
      <c r="B1003" s="105" t="str">
        <f t="shared" si="483"/>
        <v>--</v>
      </c>
      <c r="C1003" s="276"/>
      <c r="D1003" s="101" t="str">
        <f>IFERROR(IF(VLOOKUP(C1003,'Data Sheet'!$A$3:$D$26,4,FALSE)=0,"",VLOOKUP(C1003,'Data Sheet'!$A$3:$D$26,4,FALSE)),"")</f>
        <v/>
      </c>
      <c r="E1003" s="279"/>
      <c r="F1003" s="103" t="str">
        <f>IFERROR(IF(VLOOKUP(E1003,'Data Sheet'!$C$29:$E$174,3,FALSE)=0,"",VLOOKUP(E1003,'Data Sheet'!$C$29:$E$174,3,FALSE)),"")</f>
        <v/>
      </c>
      <c r="G1003" s="106" t="str">
        <f t="shared" si="481"/>
        <v>-</v>
      </c>
      <c r="H1003" s="273"/>
      <c r="I1003" s="107"/>
      <c r="J1003" s="249" t="e">
        <f t="shared" si="482"/>
        <v>#VALUE!</v>
      </c>
      <c r="K1003" s="101" t="str">
        <f>IFERROR(INDEX('Data Sheet'!$C$198:$C$275,MATCH(I1003,'Data Sheet'!$F$198:$F$275,0)),"")</f>
        <v/>
      </c>
      <c r="L1003" s="250" t="str">
        <f>IFERROR(INDEX('Data Sheet'!$G$198:$G$275,MATCH(I1003,'Data Sheet'!$F$198:$F$275,0)),"")</f>
        <v/>
      </c>
      <c r="M1003" s="194"/>
      <c r="N1003" s="248"/>
      <c r="O1003" s="248"/>
      <c r="P1003" s="108" t="str">
        <f>IFERROR(INDEX(Setup!$D$44:$D$70,MATCH(M1003,Setup!$K$44:$K$70,0))&amp;"","")</f>
        <v/>
      </c>
      <c r="Q1003" s="108" t="str">
        <f>IFERROR(INDEX(Setup!$E$44:$E$70,MATCH(M1003,Setup!$K$44:$K$70,0))&amp;"","")</f>
        <v/>
      </c>
      <c r="R1003" s="108" t="str">
        <f>IFERROR(INDEX(Setup!$L$44:$L$70,MATCH(M1003,Setup!$K$44:$K$70,0))&amp;"","")</f>
        <v/>
      </c>
      <c r="S1003" s="108" t="str">
        <f>Setup!$C$30</f>
        <v>USD</v>
      </c>
      <c r="T1003" s="109" t="str">
        <f>IFERROR(INDEX('Data Sheet'!$B$198:$B$275,MATCH(I1003,'Data Sheet'!$F$198:$F$275,0)),"")</f>
        <v/>
      </c>
      <c r="U1003" s="110" t="str">
        <f>IFERROR(INDEX('Data Sheet'!$D$198:$D$275,MATCH(I1003,'Data Sheet'!$F$198:$F$275,0)),"")</f>
        <v/>
      </c>
      <c r="V1003" s="99"/>
      <c r="W1003" s="195" t="str">
        <f>IF(V1003=Setup!$C$30,"Grant",IF(V1003=Setup!$C$31,"Local",IF(V1003=Setup!$C$32,"Other",IF(ISBLANK(V1003),"","Other"))))</f>
        <v/>
      </c>
      <c r="X1003" s="255"/>
      <c r="Y1003" s="259" t="str">
        <f>IF(X1003&lt;&gt;"",X1003/VLOOKUP($V1003,Setup!$C$30:$D$41,2,0),"")</f>
        <v/>
      </c>
      <c r="Z1003" s="262"/>
      <c r="AA1003" s="256" t="str">
        <f t="shared" si="455"/>
        <v/>
      </c>
      <c r="AB1003" s="262"/>
      <c r="AC1003" s="258" t="str">
        <f t="shared" si="456"/>
        <v/>
      </c>
      <c r="AD1003" s="262"/>
      <c r="AE1003" s="258" t="str">
        <f t="shared" si="457"/>
        <v/>
      </c>
      <c r="AF1003" s="262"/>
      <c r="AG1003" s="256" t="str">
        <f t="shared" si="458"/>
        <v/>
      </c>
      <c r="AH1003" s="256" t="str">
        <f t="shared" si="459"/>
        <v/>
      </c>
      <c r="AI1003" s="256" t="str">
        <f t="shared" si="460"/>
        <v/>
      </c>
      <c r="AJ1003" s="111"/>
      <c r="AK1003" s="255"/>
      <c r="AL1003" s="259" t="str">
        <f>IF(AK1003&lt;&gt;"",AK1003/VLOOKUP($V1003,Setup!$C$30:$D$41,2,0),"")</f>
        <v/>
      </c>
      <c r="AM1003" s="266"/>
      <c r="AN1003" s="258" t="str">
        <f t="shared" si="461"/>
        <v/>
      </c>
      <c r="AO1003" s="266"/>
      <c r="AP1003" s="258" t="str">
        <f t="shared" si="462"/>
        <v/>
      </c>
      <c r="AQ1003" s="266"/>
      <c r="AR1003" s="258" t="str">
        <f t="shared" si="463"/>
        <v/>
      </c>
      <c r="AS1003" s="266"/>
      <c r="AT1003" s="256" t="str">
        <f t="shared" si="464"/>
        <v/>
      </c>
      <c r="AU1003" s="256" t="str">
        <f t="shared" si="465"/>
        <v/>
      </c>
      <c r="AV1003" s="256" t="str">
        <f t="shared" si="466"/>
        <v/>
      </c>
      <c r="AW1003" s="267"/>
      <c r="AX1003" s="255"/>
      <c r="AY1003" s="259" t="str">
        <f>IF(AX1003&lt;&gt;"",AX1003/VLOOKUP($V1003,Setup!$C$30:$D$41,2,0),"")</f>
        <v/>
      </c>
      <c r="AZ1003" s="268"/>
      <c r="BA1003" s="258" t="str">
        <f t="shared" si="467"/>
        <v/>
      </c>
      <c r="BB1003" s="268"/>
      <c r="BC1003" s="258" t="str">
        <f t="shared" si="468"/>
        <v/>
      </c>
      <c r="BD1003" s="268"/>
      <c r="BE1003" s="258" t="str">
        <f t="shared" si="469"/>
        <v/>
      </c>
      <c r="BF1003" s="268"/>
      <c r="BG1003" s="256" t="str">
        <f t="shared" si="470"/>
        <v/>
      </c>
      <c r="BH1003" s="256" t="str">
        <f t="shared" si="471"/>
        <v/>
      </c>
      <c r="BI1003" s="256" t="str">
        <f t="shared" si="472"/>
        <v/>
      </c>
      <c r="BJ1003" s="267"/>
      <c r="BK1003" s="255"/>
      <c r="BL1003" s="259" t="str">
        <f>IF(BK1003&lt;&gt;"",BK1003/VLOOKUP($V1003,Setup!$C$30:$D$41,2,0),"")</f>
        <v/>
      </c>
      <c r="BM1003" s="268"/>
      <c r="BN1003" s="258" t="str">
        <f t="shared" si="473"/>
        <v/>
      </c>
      <c r="BO1003" s="268"/>
      <c r="BP1003" s="258" t="str">
        <f t="shared" si="474"/>
        <v/>
      </c>
      <c r="BQ1003" s="268"/>
      <c r="BR1003" s="258" t="str">
        <f t="shared" si="475"/>
        <v/>
      </c>
      <c r="BS1003" s="268"/>
      <c r="BT1003" s="256" t="str">
        <f t="shared" si="476"/>
        <v/>
      </c>
      <c r="BU1003" s="256" t="str">
        <f t="shared" si="477"/>
        <v/>
      </c>
      <c r="BV1003" s="256" t="str">
        <f t="shared" si="478"/>
        <v/>
      </c>
      <c r="BW1003" s="267"/>
      <c r="BX1003" s="256" t="str">
        <f t="shared" si="479"/>
        <v/>
      </c>
      <c r="BY1003" s="256" t="str">
        <f t="shared" si="480"/>
        <v/>
      </c>
      <c r="BZ1003" s="281"/>
      <c r="CA1003" s="282"/>
      <c r="CF1003" s="284"/>
      <c r="CG1003" s="284"/>
      <c r="CH1003" s="284"/>
      <c r="CI1003" s="284"/>
      <c r="CL1003" s="356" t="str">
        <f>IFERROR(VLOOKUP(C1003,'Data Sheet'!$A$3:$B$26,2,FALSE),"")</f>
        <v/>
      </c>
    </row>
    <row r="1004" spans="1:90" ht="15.75" x14ac:dyDescent="0.2">
      <c r="A1004" s="97"/>
      <c r="B1004" s="105" t="str">
        <f t="shared" si="483"/>
        <v>--</v>
      </c>
      <c r="C1004" s="276"/>
      <c r="D1004" s="101" t="str">
        <f>IFERROR(IF(VLOOKUP(C1004,'Data Sheet'!$A$3:$D$26,4,FALSE)=0,"",VLOOKUP(C1004,'Data Sheet'!$A$3:$D$26,4,FALSE)),"")</f>
        <v/>
      </c>
      <c r="E1004" s="279"/>
      <c r="F1004" s="103" t="str">
        <f>IFERROR(IF(VLOOKUP(E1004,'Data Sheet'!$C$29:$E$174,3,FALSE)=0,"",VLOOKUP(E1004,'Data Sheet'!$C$29:$E$174,3,FALSE)),"")</f>
        <v/>
      </c>
      <c r="G1004" s="106" t="str">
        <f t="shared" si="481"/>
        <v>-</v>
      </c>
      <c r="H1004" s="273"/>
      <c r="I1004" s="107"/>
      <c r="J1004" s="249" t="e">
        <f t="shared" si="482"/>
        <v>#VALUE!</v>
      </c>
      <c r="K1004" s="101" t="str">
        <f>IFERROR(INDEX('Data Sheet'!$C$198:$C$275,MATCH(I1004,'Data Sheet'!$F$198:$F$275,0)),"")</f>
        <v/>
      </c>
      <c r="L1004" s="250" t="str">
        <f>IFERROR(INDEX('Data Sheet'!$G$198:$G$275,MATCH(I1004,'Data Sheet'!$F$198:$F$275,0)),"")</f>
        <v/>
      </c>
      <c r="M1004" s="194"/>
      <c r="N1004" s="248"/>
      <c r="O1004" s="248"/>
      <c r="P1004" s="108" t="str">
        <f>IFERROR(INDEX(Setup!$D$44:$D$70,MATCH(M1004,Setup!$K$44:$K$70,0))&amp;"","")</f>
        <v/>
      </c>
      <c r="Q1004" s="108" t="str">
        <f>IFERROR(INDEX(Setup!$E$44:$E$70,MATCH(M1004,Setup!$K$44:$K$70,0))&amp;"","")</f>
        <v/>
      </c>
      <c r="R1004" s="108" t="str">
        <f>IFERROR(INDEX(Setup!$L$44:$L$70,MATCH(M1004,Setup!$K$44:$K$70,0))&amp;"","")</f>
        <v/>
      </c>
      <c r="S1004" s="108" t="str">
        <f>Setup!$C$30</f>
        <v>USD</v>
      </c>
      <c r="T1004" s="109" t="str">
        <f>IFERROR(INDEX('Data Sheet'!$B$198:$B$275,MATCH(I1004,'Data Sheet'!$F$198:$F$275,0)),"")</f>
        <v/>
      </c>
      <c r="U1004" s="110" t="str">
        <f>IFERROR(INDEX('Data Sheet'!$D$198:$D$275,MATCH(I1004,'Data Sheet'!$F$198:$F$275,0)),"")</f>
        <v/>
      </c>
      <c r="V1004" s="99"/>
      <c r="W1004" s="195" t="str">
        <f>IF(V1004=Setup!$C$30,"Grant",IF(V1004=Setup!$C$31,"Local",IF(V1004=Setup!$C$32,"Other",IF(ISBLANK(V1004),"","Other"))))</f>
        <v/>
      </c>
      <c r="X1004" s="255"/>
      <c r="Y1004" s="259" t="str">
        <f>IF(X1004&lt;&gt;"",X1004/VLOOKUP($V1004,Setup!$C$30:$D$41,2,0),"")</f>
        <v/>
      </c>
      <c r="Z1004" s="262"/>
      <c r="AA1004" s="256" t="str">
        <f t="shared" si="455"/>
        <v/>
      </c>
      <c r="AB1004" s="262"/>
      <c r="AC1004" s="258" t="str">
        <f t="shared" si="456"/>
        <v/>
      </c>
      <c r="AD1004" s="262"/>
      <c r="AE1004" s="258" t="str">
        <f t="shared" si="457"/>
        <v/>
      </c>
      <c r="AF1004" s="262"/>
      <c r="AG1004" s="256" t="str">
        <f t="shared" si="458"/>
        <v/>
      </c>
      <c r="AH1004" s="256" t="str">
        <f t="shared" si="459"/>
        <v/>
      </c>
      <c r="AI1004" s="256" t="str">
        <f t="shared" si="460"/>
        <v/>
      </c>
      <c r="AJ1004" s="111"/>
      <c r="AK1004" s="255"/>
      <c r="AL1004" s="259" t="str">
        <f>IF(AK1004&lt;&gt;"",AK1004/VLOOKUP($V1004,Setup!$C$30:$D$41,2,0),"")</f>
        <v/>
      </c>
      <c r="AM1004" s="266"/>
      <c r="AN1004" s="258" t="str">
        <f t="shared" si="461"/>
        <v/>
      </c>
      <c r="AO1004" s="266"/>
      <c r="AP1004" s="258" t="str">
        <f t="shared" si="462"/>
        <v/>
      </c>
      <c r="AQ1004" s="266"/>
      <c r="AR1004" s="258" t="str">
        <f t="shared" si="463"/>
        <v/>
      </c>
      <c r="AS1004" s="266"/>
      <c r="AT1004" s="256" t="str">
        <f t="shared" si="464"/>
        <v/>
      </c>
      <c r="AU1004" s="256" t="str">
        <f t="shared" si="465"/>
        <v/>
      </c>
      <c r="AV1004" s="256" t="str">
        <f t="shared" si="466"/>
        <v/>
      </c>
      <c r="AW1004" s="267"/>
      <c r="AX1004" s="255"/>
      <c r="AY1004" s="259" t="str">
        <f>IF(AX1004&lt;&gt;"",AX1004/VLOOKUP($V1004,Setup!$C$30:$D$41,2,0),"")</f>
        <v/>
      </c>
      <c r="AZ1004" s="268"/>
      <c r="BA1004" s="258" t="str">
        <f t="shared" si="467"/>
        <v/>
      </c>
      <c r="BB1004" s="268"/>
      <c r="BC1004" s="258" t="str">
        <f t="shared" si="468"/>
        <v/>
      </c>
      <c r="BD1004" s="268"/>
      <c r="BE1004" s="258" t="str">
        <f t="shared" si="469"/>
        <v/>
      </c>
      <c r="BF1004" s="268"/>
      <c r="BG1004" s="256" t="str">
        <f t="shared" si="470"/>
        <v/>
      </c>
      <c r="BH1004" s="256" t="str">
        <f t="shared" si="471"/>
        <v/>
      </c>
      <c r="BI1004" s="256" t="str">
        <f t="shared" si="472"/>
        <v/>
      </c>
      <c r="BJ1004" s="267"/>
      <c r="BK1004" s="255"/>
      <c r="BL1004" s="259" t="str">
        <f>IF(BK1004&lt;&gt;"",BK1004/VLOOKUP($V1004,Setup!$C$30:$D$41,2,0),"")</f>
        <v/>
      </c>
      <c r="BM1004" s="268"/>
      <c r="BN1004" s="258" t="str">
        <f t="shared" si="473"/>
        <v/>
      </c>
      <c r="BO1004" s="268"/>
      <c r="BP1004" s="258" t="str">
        <f t="shared" si="474"/>
        <v/>
      </c>
      <c r="BQ1004" s="268"/>
      <c r="BR1004" s="258" t="str">
        <f t="shared" si="475"/>
        <v/>
      </c>
      <c r="BS1004" s="268"/>
      <c r="BT1004" s="256" t="str">
        <f t="shared" si="476"/>
        <v/>
      </c>
      <c r="BU1004" s="256" t="str">
        <f t="shared" si="477"/>
        <v/>
      </c>
      <c r="BV1004" s="256" t="str">
        <f t="shared" si="478"/>
        <v/>
      </c>
      <c r="BW1004" s="267"/>
      <c r="BX1004" s="256" t="str">
        <f t="shared" si="479"/>
        <v/>
      </c>
      <c r="BY1004" s="256" t="str">
        <f t="shared" si="480"/>
        <v/>
      </c>
      <c r="BZ1004" s="281"/>
      <c r="CA1004" s="282"/>
      <c r="CF1004" s="284"/>
      <c r="CG1004" s="284"/>
      <c r="CH1004" s="284"/>
      <c r="CI1004" s="284"/>
      <c r="CL1004" s="356" t="str">
        <f>IFERROR(VLOOKUP(C1004,'Data Sheet'!$A$3:$B$26,2,FALSE),"")</f>
        <v/>
      </c>
    </row>
    <row r="1005" spans="1:90" ht="15.75" x14ac:dyDescent="0.2">
      <c r="A1005" s="97"/>
      <c r="B1005" s="105" t="str">
        <f t="shared" ref="B1005" si="484">CONCATENATE(D1005,"-",F1005,"-",N1005)</f>
        <v>--</v>
      </c>
      <c r="C1005" s="276"/>
      <c r="D1005" s="101" t="str">
        <f>IFERROR(IF(VLOOKUP(C1005,'Data Sheet'!$A$3:$D$26,4,FALSE)=0,"",VLOOKUP(C1005,'Data Sheet'!$A$3:$D$26,4,FALSE)),"")</f>
        <v/>
      </c>
      <c r="E1005" s="279"/>
      <c r="F1005" s="103" t="str">
        <f>IFERROR(IF(VLOOKUP(E1005,'Data Sheet'!$C$29:$E$174,3,FALSE)=0,"",VLOOKUP(E1005,'Data Sheet'!$C$29:$E$174,3,FALSE)),"")</f>
        <v/>
      </c>
      <c r="G1005" s="106" t="str">
        <f t="shared" ref="G1005" si="485">CONCATENATE(D1005,"-",F1005)</f>
        <v>-</v>
      </c>
      <c r="H1005" s="273"/>
      <c r="I1005" s="107"/>
      <c r="J1005" s="249" t="e">
        <f t="shared" ref="J1005" si="486">LEFT(I1005,SEARCH(".",I1005,1)+1)</f>
        <v>#VALUE!</v>
      </c>
      <c r="K1005" s="101" t="str">
        <f>IFERROR(INDEX('Data Sheet'!$C$198:$C$275,MATCH(I1005,'Data Sheet'!$F$198:$F$275,0)),"")</f>
        <v/>
      </c>
      <c r="L1005" s="250" t="str">
        <f>IFERROR(INDEX('Data Sheet'!$G$198:$G$275,MATCH(I1005,'Data Sheet'!$F$198:$F$275,0)),"")</f>
        <v/>
      </c>
      <c r="M1005" s="194"/>
      <c r="N1005" s="248"/>
      <c r="O1005" s="248"/>
      <c r="P1005" s="108" t="str">
        <f>IFERROR(INDEX(Setup!$D$44:$D$70,MATCH(M1005,Setup!$K$44:$K$70,0))&amp;"","")</f>
        <v/>
      </c>
      <c r="Q1005" s="108" t="str">
        <f>IFERROR(INDEX(Setup!$E$44:$E$70,MATCH(M1005,Setup!$K$44:$K$70,0))&amp;"","")</f>
        <v/>
      </c>
      <c r="R1005" s="108" t="str">
        <f>IFERROR(INDEX(Setup!$L$44:$L$70,MATCH(M1005,Setup!$K$44:$K$70,0))&amp;"","")</f>
        <v/>
      </c>
      <c r="S1005" s="108" t="str">
        <f>Setup!$C$30</f>
        <v>USD</v>
      </c>
      <c r="T1005" s="109" t="str">
        <f>IFERROR(INDEX('Data Sheet'!$B$198:$B$275,MATCH(I1005,'Data Sheet'!$F$198:$F$275,0)),"")</f>
        <v/>
      </c>
      <c r="U1005" s="110" t="str">
        <f>IFERROR(INDEX('Data Sheet'!$D$198:$D$275,MATCH(I1005,'Data Sheet'!$F$198:$F$275,0)),"")</f>
        <v/>
      </c>
      <c r="V1005" s="99"/>
      <c r="W1005" s="195" t="str">
        <f>IF(V1005=Setup!$C$30,"Grant",IF(V1005=Setup!$C$31,"Local",IF(V1005=Setup!$C$32,"Other",IF(ISBLANK(V1005),"","Other"))))</f>
        <v/>
      </c>
      <c r="X1005" s="255"/>
      <c r="Y1005" s="259" t="str">
        <f>IF(X1005&lt;&gt;"",X1005/VLOOKUP($V1005,Setup!$C$30:$D$41,2,0),"")</f>
        <v/>
      </c>
      <c r="Z1005" s="262"/>
      <c r="AA1005" s="256" t="str">
        <f t="shared" ref="AA1005" si="487">IFERROR(IF(AND(NOT(Z1005=""),NOT(Y1005="")),Z1005*Y1005,""),"")</f>
        <v/>
      </c>
      <c r="AB1005" s="262"/>
      <c r="AC1005" s="258" t="str">
        <f t="shared" ref="AC1005" si="488">IFERROR(IF(AND(NOT(AB1005=""),NOT(Y1005="")),AB1005*Y1005,""),"")</f>
        <v/>
      </c>
      <c r="AD1005" s="262"/>
      <c r="AE1005" s="258" t="str">
        <f t="shared" ref="AE1005" si="489">IFERROR(IF(AND(NOT(AD1005=""),NOT(Y1005="")),AD1005*Y1005,""),"")</f>
        <v/>
      </c>
      <c r="AF1005" s="262"/>
      <c r="AG1005" s="256" t="str">
        <f t="shared" ref="AG1005" si="490">IFERROR(IF(AND(NOT(AF1005=""),NOT(Y1005="")),AF1005*Y1005,""),"")</f>
        <v/>
      </c>
      <c r="AH1005" s="256" t="str">
        <f t="shared" ref="AH1005" si="491">IFERROR(IF(OR(NOT(Z1005=""),NOT(AF1005=""),NOT(AB1005=""),NOT(AD1005="")),Z1005+AF1005+AB1005+AD1005,""),"")</f>
        <v/>
      </c>
      <c r="AI1005" s="256" t="str">
        <f t="shared" ref="AI1005" si="492">IF(SUM(AA1005,AC1005,AE1005,AG1005)&gt;0,SUM(AA1005,AC1005,AE1005,AG1005),"")</f>
        <v/>
      </c>
      <c r="AJ1005" s="111"/>
      <c r="AK1005" s="255"/>
      <c r="AL1005" s="259" t="str">
        <f>IF(AK1005&lt;&gt;"",AK1005/VLOOKUP($V1005,Setup!$C$30:$D$41,2,0),"")</f>
        <v/>
      </c>
      <c r="AM1005" s="266"/>
      <c r="AN1005" s="258" t="str">
        <f t="shared" ref="AN1005" si="493">IFERROR(IF(AND(NOT(AM1005=""),NOT(AL1005="")),AM1005*$AL1005,""),"")</f>
        <v/>
      </c>
      <c r="AO1005" s="266"/>
      <c r="AP1005" s="258" t="str">
        <f t="shared" ref="AP1005" si="494">IFERROR(IF(AND(NOT(AO1005=""),NOT(AL1005="")),AO1005*$AL1005,""),"")</f>
        <v/>
      </c>
      <c r="AQ1005" s="266"/>
      <c r="AR1005" s="258" t="str">
        <f t="shared" ref="AR1005" si="495">IFERROR(IF(AND(NOT(AQ1005=""),NOT(AL1005="")),AQ1005*$AL1005,""),"")</f>
        <v/>
      </c>
      <c r="AS1005" s="266"/>
      <c r="AT1005" s="256" t="str">
        <f t="shared" ref="AT1005" si="496">IFERROR(IF(AND(NOT(AS1005=""),NOT(AL1005="")),AS1005*$AL1005,""),"")</f>
        <v/>
      </c>
      <c r="AU1005" s="256" t="str">
        <f t="shared" ref="AU1005" si="497">IFERROR(IF(OR(NOT(AM1005=""),NOT(AS1005=""),NOT(AO1005=""),NOT(AQ1005="")),AM1005+AS1005+AO1005+AQ1005,""),"")</f>
        <v/>
      </c>
      <c r="AV1005" s="256" t="str">
        <f t="shared" ref="AV1005" si="498">IF(SUM(AN1005,AT1005,AP1005,AR1005)&gt;0,SUM(AN1005,AT1005,AP1005,AR1005),"")</f>
        <v/>
      </c>
      <c r="AW1005" s="267"/>
      <c r="AX1005" s="255"/>
      <c r="AY1005" s="259" t="str">
        <f>IF(AX1005&lt;&gt;"",AX1005/VLOOKUP($V1005,Setup!$C$30:$D$41,2,0),"")</f>
        <v/>
      </c>
      <c r="AZ1005" s="268"/>
      <c r="BA1005" s="258" t="str">
        <f t="shared" ref="BA1005" si="499">IFERROR(IF(AND(NOT(AZ1005=""),NOT(AY1005="")),AZ1005*$AY1005,""),"")</f>
        <v/>
      </c>
      <c r="BB1005" s="268"/>
      <c r="BC1005" s="258" t="str">
        <f t="shared" ref="BC1005" si="500">IFERROR(IF(AND(NOT(BB1005=""),NOT(AY1005="")),BB1005*$AY1005,""),"")</f>
        <v/>
      </c>
      <c r="BD1005" s="268"/>
      <c r="BE1005" s="258" t="str">
        <f t="shared" ref="BE1005" si="501">IFERROR(IF(AND(NOT(BD1005=""),NOT(AY1005="")),BD1005*$AY1005,""),"")</f>
        <v/>
      </c>
      <c r="BF1005" s="268"/>
      <c r="BG1005" s="256" t="str">
        <f t="shared" ref="BG1005" si="502">IFERROR(IF(AND(NOT(BF1005=""),NOT(AY1005="")),BF1005*$AY1005,""),"")</f>
        <v/>
      </c>
      <c r="BH1005" s="256" t="str">
        <f t="shared" ref="BH1005" si="503">IFERROR(IF(OR(NOT(AZ1005=""),NOT(BF1005=""),NOT(BB1005=""),NOT(BD1005="")),AZ1005+BF1005+BB1005+BD1005,""),"")</f>
        <v/>
      </c>
      <c r="BI1005" s="256" t="str">
        <f t="shared" ref="BI1005" si="504">IF(SUM(BA1005,BG1005,BC1005,BE1005)&gt;0,SUM(BA1005,BG1005,BC1005,BE1005),"")</f>
        <v/>
      </c>
      <c r="BJ1005" s="267"/>
      <c r="BK1005" s="255"/>
      <c r="BL1005" s="259" t="str">
        <f>IF(BK1005&lt;&gt;"",BK1005/VLOOKUP($V1005,Setup!$C$30:$D$41,2,0),"")</f>
        <v/>
      </c>
      <c r="BM1005" s="268"/>
      <c r="BN1005" s="258" t="str">
        <f t="shared" ref="BN1005" si="505">IFERROR(IF(AND(NOT(BM1005=""),NOT(BL1005="")),BM1005*$BL1005,""),"")</f>
        <v/>
      </c>
      <c r="BO1005" s="268"/>
      <c r="BP1005" s="258" t="str">
        <f t="shared" ref="BP1005" si="506">IFERROR(IF(AND(NOT(BO1005=""),NOT(BL1005="")),BO1005*$BL1005,""),"")</f>
        <v/>
      </c>
      <c r="BQ1005" s="268"/>
      <c r="BR1005" s="258" t="str">
        <f t="shared" ref="BR1005" si="507">IFERROR(IF(AND(NOT(BQ1005=""),NOT(BL1005="")),BQ1005*$BL1005,""),"")</f>
        <v/>
      </c>
      <c r="BS1005" s="268"/>
      <c r="BT1005" s="256" t="str">
        <f t="shared" ref="BT1005" si="508">IFERROR(IF(AND(NOT(BS1005=""),NOT(BL1005="")),BS1005*$BL1005,""),"")</f>
        <v/>
      </c>
      <c r="BU1005" s="256" t="str">
        <f t="shared" ref="BU1005" si="509">IFERROR(IF(OR(NOT(BM1005=""),NOT(BS1005=""),NOT(BO1005=""),NOT(BQ1005="")),BM1005+BS1005+BO1005+BQ1005,""),"")</f>
        <v/>
      </c>
      <c r="BV1005" s="256" t="str">
        <f t="shared" ref="BV1005" si="510">IF(SUM(BN1005,BT1005,BP1005,BR1005)&gt;0,SUM(BN1005,BT1005,BP1005,BR1005),"")</f>
        <v/>
      </c>
      <c r="BW1005" s="267"/>
      <c r="BX1005" s="256" t="str">
        <f t="shared" ref="BX1005" si="511">IF(SUM(AH1005,AU1005,BH1005,BU1005)&gt;0,SUM(AH1005,AU1005,BH1005,BU1005),"")</f>
        <v/>
      </c>
      <c r="BY1005" s="256" t="str">
        <f t="shared" ref="BY1005" si="512">IF(SUM(AI1005,AV1005,BI1005,BV1005)&gt;0,SUM(AI1005,AV1005,BI1005,BV1005),"")</f>
        <v/>
      </c>
      <c r="BZ1005" s="281"/>
      <c r="CA1005" s="282"/>
      <c r="CF1005" s="284"/>
      <c r="CG1005" s="284"/>
      <c r="CH1005" s="284"/>
      <c r="CI1005" s="284"/>
      <c r="CL1005" s="356" t="str">
        <f>IFERROR(VLOOKUP(C1005,'Data Sheet'!$A$3:$B$26,2,FALSE),"")</f>
        <v/>
      </c>
    </row>
  </sheetData>
  <sheetProtection password="FB8C" sheet="1" objects="1" scenarios="1" formatCells="0" formatColumns="0" formatRows="0" insertHyperlinks="0" autoFilter="0" pivotTables="0"/>
  <autoFilter ref="A4:CJ1005"/>
  <sortState ref="A2:BU2001">
    <sortCondition ref="I1971"/>
  </sortState>
  <dataConsolidate/>
  <phoneticPr fontId="11" type="noConversion"/>
  <conditionalFormatting sqref="A85:A1005">
    <cfRule type="expression" dxfId="76" priority="163">
      <formula>COUNTIF($A$5:$A$1004,A85)&gt;1</formula>
    </cfRule>
  </conditionalFormatting>
  <conditionalFormatting sqref="J1">
    <cfRule type="expression" dxfId="75" priority="53">
      <formula>AND($D4="",$B4&lt;&gt;"--")</formula>
    </cfRule>
  </conditionalFormatting>
  <conditionalFormatting sqref="I4 I85:I1005">
    <cfRule type="expression" dxfId="74" priority="48">
      <formula>AND(ISERROR($J4),$B4&lt;&gt;"--")</formula>
    </cfRule>
  </conditionalFormatting>
  <conditionalFormatting sqref="E85:E1005">
    <cfRule type="expression" dxfId="73" priority="47">
      <formula>AND($F85="",$B85&lt;&gt;"--")</formula>
    </cfRule>
    <cfRule type="expression" dxfId="72" priority="50">
      <formula>(INDIRECT(ADDRESS(ROW(),COLUMN()))="")*(VALUE(INDIRECT(ADDRESS(ROW(),70)))&gt;0)</formula>
    </cfRule>
  </conditionalFormatting>
  <conditionalFormatting sqref="V4 V85:V1005">
    <cfRule type="expression" dxfId="71" priority="45">
      <formula>AND($W4="",$B4&lt;&gt;"--")</formula>
    </cfRule>
  </conditionalFormatting>
  <conditionalFormatting sqref="J4">
    <cfRule type="expression" dxfId="70" priority="36">
      <formula>(INDIRECT(ADDRESS(ROW(),COLUMN()))="")*(VALUE(INDIRECT(ADDRESS(ROW(),70)))&gt;0)</formula>
    </cfRule>
  </conditionalFormatting>
  <conditionalFormatting sqref="C85:C1005">
    <cfRule type="expression" dxfId="69" priority="34">
      <formula>AND($D85="",$B85&lt;&gt;"--")</formula>
    </cfRule>
    <cfRule type="expression" dxfId="68" priority="51">
      <formula>(INDIRECT(ADDRESS(ROW(),COLUMN()))="")*(VALUE(INDIRECT(ADDRESS(ROW(),70)))&gt;0)</formula>
    </cfRule>
  </conditionalFormatting>
  <conditionalFormatting sqref="M85:M1005">
    <cfRule type="expression" dxfId="67" priority="30">
      <formula>"SUMPRODUCT(--ISNUMBER(SEARCH(Setup!$K$43:$K$69,'Detailed Budget'!$M5)))&gt;0"</formula>
    </cfRule>
  </conditionalFormatting>
  <conditionalFormatting sqref="A5:A82">
    <cfRule type="expression" dxfId="66" priority="27">
      <formula>COUNTIF($A$5:$A$1004,A5)&gt;1</formula>
    </cfRule>
  </conditionalFormatting>
  <conditionalFormatting sqref="C5:C12 C22:C25 C27:C82">
    <cfRule type="expression" dxfId="65" priority="25">
      <formula>AND($D5="",$B5&lt;&gt;"--")</formula>
    </cfRule>
    <cfRule type="expression" dxfId="64" priority="26">
      <formula>(INDIRECT(ADDRESS(ROW(),COLUMN()))="")*(VALUE(INDIRECT(ADDRESS(ROW(),70)))&gt;0)</formula>
    </cfRule>
  </conditionalFormatting>
  <conditionalFormatting sqref="C13:C21">
    <cfRule type="expression" dxfId="63" priority="23">
      <formula>AND($D13="",$B13&lt;&gt;"--")</formula>
    </cfRule>
    <cfRule type="expression" dxfId="62" priority="24">
      <formula>(INDIRECT(ADDRESS(ROW(),COLUMN()))="")*(VALUE(INDIRECT(ADDRESS(ROW(),70)))&gt;0)</formula>
    </cfRule>
  </conditionalFormatting>
  <conditionalFormatting sqref="E5:E12 E22:E25 E27:E82">
    <cfRule type="expression" dxfId="61" priority="21">
      <formula>AND($F5="",$B5&lt;&gt;"--")</formula>
    </cfRule>
    <cfRule type="expression" dxfId="60" priority="22">
      <formula>(INDIRECT(ADDRESS(ROW(),COLUMN()))="")*(VALUE(INDIRECT(ADDRESS(ROW(),70)))&gt;0)</formula>
    </cfRule>
  </conditionalFormatting>
  <conditionalFormatting sqref="E13:E21">
    <cfRule type="expression" dxfId="59" priority="19">
      <formula>AND($F13="",$B13&lt;&gt;"--")</formula>
    </cfRule>
    <cfRule type="expression" dxfId="58" priority="20">
      <formula>(INDIRECT(ADDRESS(ROW(),COLUMN()))="")*(VALUE(INDIRECT(ADDRESS(ROW(),70)))&gt;0)</formula>
    </cfRule>
  </conditionalFormatting>
  <conditionalFormatting sqref="I5:I12 I22:I25 I27:I82">
    <cfRule type="expression" dxfId="57" priority="18">
      <formula>AND(ISERROR($J5),$B5&lt;&gt;"--")</formula>
    </cfRule>
  </conditionalFormatting>
  <conditionalFormatting sqref="I13:I21">
    <cfRule type="expression" dxfId="56" priority="17">
      <formula>AND(ISERROR($J13),$B13&lt;&gt;"--")</formula>
    </cfRule>
  </conditionalFormatting>
  <conditionalFormatting sqref="M5:M25 M27:M82">
    <cfRule type="expression" dxfId="55" priority="16">
      <formula>"SUMPRODUCT(--ISNUMBER(SEARCH(Setup!$K$43:$K$69,'Detailed Budget'!$M5)))&gt;0"</formula>
    </cfRule>
  </conditionalFormatting>
  <conditionalFormatting sqref="V5:V84">
    <cfRule type="expression" dxfId="54" priority="15">
      <formula>AND($W5="",$B5&lt;&gt;"--")</formula>
    </cfRule>
  </conditionalFormatting>
  <conditionalFormatting sqref="C26">
    <cfRule type="expression" dxfId="53" priority="13">
      <formula>AND($D26="",$B26&lt;&gt;"--")</formula>
    </cfRule>
    <cfRule type="expression" dxfId="52" priority="14">
      <formula>(INDIRECT(ADDRESS(ROW(),COLUMN()))="")*(VALUE(INDIRECT(ADDRESS(ROW(),70)))&gt;0)</formula>
    </cfRule>
  </conditionalFormatting>
  <conditionalFormatting sqref="E26">
    <cfRule type="expression" dxfId="51" priority="11">
      <formula>AND($F26="",$B26&lt;&gt;"--")</formula>
    </cfRule>
    <cfRule type="expression" dxfId="50" priority="12">
      <formula>(INDIRECT(ADDRESS(ROW(),COLUMN()))="")*(VALUE(INDIRECT(ADDRESS(ROW(),70)))&gt;0)</formula>
    </cfRule>
  </conditionalFormatting>
  <conditionalFormatting sqref="I26">
    <cfRule type="expression" dxfId="49" priority="10">
      <formula>AND(ISERROR($J26),$B26&lt;&gt;"--")</formula>
    </cfRule>
  </conditionalFormatting>
  <conditionalFormatting sqref="M26">
    <cfRule type="expression" dxfId="48" priority="9">
      <formula>"SUMPRODUCT(--ISNUMBER(SEARCH(Setup!$K$43:$K$69,'Detailed Budget'!$M5)))&gt;0"</formula>
    </cfRule>
  </conditionalFormatting>
  <conditionalFormatting sqref="A83:A84">
    <cfRule type="expression" dxfId="47" priority="8">
      <formula>COUNTIF($A$5:$A$1004,A83)&gt;1</formula>
    </cfRule>
  </conditionalFormatting>
  <conditionalFormatting sqref="C83:C84">
    <cfRule type="expression" dxfId="46" priority="6">
      <formula>AND($D83="",$B83&lt;&gt;"--")</formula>
    </cfRule>
    <cfRule type="expression" dxfId="45" priority="7">
      <formula>(INDIRECT(ADDRESS(ROW(),COLUMN()))="")*(VALUE(INDIRECT(ADDRESS(ROW(),70)))&gt;0)</formula>
    </cfRule>
  </conditionalFormatting>
  <conditionalFormatting sqref="E83:E84">
    <cfRule type="expression" dxfId="44" priority="4">
      <formula>AND($F83="",$B83&lt;&gt;"--")</formula>
    </cfRule>
    <cfRule type="expression" dxfId="43" priority="5">
      <formula>(INDIRECT(ADDRESS(ROW(),COLUMN()))="")*(VALUE(INDIRECT(ADDRESS(ROW(),70)))&gt;0)</formula>
    </cfRule>
  </conditionalFormatting>
  <conditionalFormatting sqref="I83:I84">
    <cfRule type="expression" dxfId="42" priority="3">
      <formula>AND(ISERROR($J83),$B83&lt;&gt;"--")</formula>
    </cfRule>
  </conditionalFormatting>
  <conditionalFormatting sqref="M83">
    <cfRule type="expression" dxfId="41" priority="2">
      <formula>"SUMPRODUCT(--ISNUMBER(SEARCH(Setup!$K$43:$K$69,'Detailed Budget'!$M5)))&gt;0"</formula>
    </cfRule>
  </conditionalFormatting>
  <conditionalFormatting sqref="M84">
    <cfRule type="expression" dxfId="40" priority="1">
      <formula>"SUMPRODUCT(--ISNUMBER(SEARCH(Setup!$K$43:$K$69,'Detailed Budget'!$M5)))&gt;0"</formula>
    </cfRule>
  </conditionalFormatting>
  <dataValidations count="10">
    <dataValidation type="decimal" operator="greaterThan" allowBlank="1" showInputMessage="1" showErrorMessage="1" sqref="AW5:AW1005 AJ5:AJ1005 BO5:BO1005 BJ5:BJ1005 BW5:BW1005 AO5:AO1005 BS5:BS1005 BQ5:BQ1005 AM5:AM1005 BM5:BM1005">
      <formula1>-1</formula1>
    </dataValidation>
    <dataValidation type="decimal" allowBlank="1" showInputMessage="1" showErrorMessage="1" sqref="A5:A1005">
      <formula1>0</formula1>
      <formula2>5000</formula2>
    </dataValidation>
    <dataValidation operator="greaterThan" allowBlank="1" showInputMessage="1" showErrorMessage="1" sqref="BF5:BF1005 BB5:BB1005 AZ5:AZ1005 AQ5:AQ1005 AS5:AS1005 BD5:BD1005 BX1:BX1048576"/>
    <dataValidation type="list" allowBlank="1" showInputMessage="1" showErrorMessage="1" sqref="M5:M1005">
      <formula1>Recipient</formula1>
    </dataValidation>
    <dataValidation type="list" allowBlank="1" showInputMessage="1" showErrorMessage="1" sqref="V5:V1005">
      <formula1>Currencies</formula1>
    </dataValidation>
    <dataValidation type="list" allowBlank="1" showInputMessage="1" showErrorMessage="1" sqref="I5:I1005">
      <formula1>CostInput</formula1>
    </dataValidation>
    <dataValidation type="list" allowBlank="1" showInputMessage="1" showErrorMessage="1" sqref="N5:N1005">
      <formula1>Geographylocation</formula1>
    </dataValidation>
    <dataValidation type="list" allowBlank="1" showInputMessage="1" showErrorMessage="1" sqref="O5:O1005">
      <formula1>"N/A, PPM, ,3rd party  - External Auditor, 3rd party – Fiscal/ Fiduciary Agent, 3rd party – Other Procurement Agent, Other"</formula1>
    </dataValidation>
    <dataValidation type="list" allowBlank="1" showInputMessage="1" showErrorMessage="1" sqref="BZ5:BZ1005">
      <formula1>"Detailed workings, Historical cost, Quote from supplier, Recent invoice, PSM Products &amp; Costs"</formula1>
    </dataValidation>
    <dataValidation type="list" allowBlank="1" showInputMessage="1" showErrorMessage="1" sqref="E5:E1005">
      <formula1>OFFSET(ModuleStart,MATCH(CL5,ModuleColumn,0)-1,1,COUNTIF(ModuleColumn,CL5),1)</formula1>
    </dataValidation>
  </dataValidations>
  <pageMargins left="0.75" right="0.75" top="1" bottom="1" header="0.5" footer="0.5"/>
  <pageSetup paperSize="9" orientation="portrait" horizontalDpi="4294967292" verticalDpi="4294967292" r:id="rId1"/>
  <extLst>
    <ext xmlns:x14="http://schemas.microsoft.com/office/spreadsheetml/2009/9/main" uri="{78C0D931-6437-407d-A8EE-F0AAD7539E65}">
      <x14:conditionalFormattings>
        <x14:conditionalFormatting xmlns:xm="http://schemas.microsoft.com/office/excel/2006/main">
          <x14:cfRule type="expression" priority="28" id="{2EBFD0FD-63AB-4B2B-A686-F17DDBE21763}">
            <xm:f>IF($G85="-",FALSE,NOT(ISNUMBER(MATCH($G85,'Data Sheet'!$F$29:$F$174,0))))</xm:f>
            <x14:dxf>
              <fill>
                <patternFill>
                  <bgColor rgb="FFFF0000"/>
                </patternFill>
              </fill>
            </x14:dxf>
          </x14:cfRule>
          <xm:sqref>E85:E1005</xm:sqref>
        </x14:conditionalFormatting>
        <x14:conditionalFormatting xmlns:xm="http://schemas.microsoft.com/office/excel/2006/main">
          <x14:cfRule type="expression" priority="29" id="{B4FDDE1F-2F4B-4F88-8930-06DBC2A6E3FA}">
            <xm:f>IF($G5="-",FALSE,NOT(ISNUMBER(MATCH($G5,'Data Sheet'!$F$29:$F$174,0))))</xm:f>
            <x14:dxf>
              <fill>
                <patternFill>
                  <bgColor rgb="FFFF0000"/>
                </patternFill>
              </fill>
            </x14:dxf>
          </x14:cfRule>
          <xm:sqref>C85:E1005 D5:D84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OFFSET('Data Sheet'!$C$3,1,0,MATCH(" ",'Data Sheet'!$C$3:$C$26,-1)-1,1)</xm:f>
          </x14:formula1>
          <xm:sqref>C5:C1005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385"/>
  <sheetViews>
    <sheetView zoomScaleNormal="100" workbookViewId="0">
      <selection activeCell="F13" sqref="F13"/>
    </sheetView>
  </sheetViews>
  <sheetFormatPr defaultColWidth="9" defaultRowHeight="12.75" x14ac:dyDescent="0.2"/>
  <cols>
    <col min="1" max="1" width="21.75" style="12" bestFit="1" customWidth="1"/>
    <col min="2" max="2" width="39.25" style="12" bestFit="1" customWidth="1"/>
    <col min="3" max="3" width="13.75" style="12" customWidth="1"/>
    <col min="4" max="4" width="10.125" style="12" customWidth="1"/>
    <col min="5" max="5" width="15.625" style="12" bestFit="1" customWidth="1"/>
    <col min="6" max="6" width="44.75" style="12" customWidth="1"/>
    <col min="7" max="16384" width="9" style="12"/>
  </cols>
  <sheetData>
    <row r="1" spans="1:4" x14ac:dyDescent="0.2">
      <c r="A1" s="242">
        <f>LOOKUP(2,1/('Detailed Budget'!$C$4:$C$1500&lt;&gt;""),ROW('Detailed Budget'!$C$4:$C$1500))-4</f>
        <v>80</v>
      </c>
    </row>
    <row r="2" spans="1:4" x14ac:dyDescent="0.2">
      <c r="A2" s="404" t="s">
        <v>2060</v>
      </c>
      <c r="B2" s="404" t="s">
        <v>14</v>
      </c>
      <c r="C2" s="404" t="s">
        <v>1957</v>
      </c>
      <c r="D2" s="404" t="s">
        <v>1952</v>
      </c>
    </row>
    <row r="3" spans="1:4" ht="11.25" hidden="1" customHeight="1" x14ac:dyDescent="0.2">
      <c r="A3" s="405" t="s">
        <v>1958</v>
      </c>
      <c r="B3" s="406" t="s">
        <v>1956</v>
      </c>
      <c r="C3" s="404" t="str">
        <f t="array" ref="C3">IFERROR(INDEX($A$3:$A$26, MATCH(0, COUNTIF($C$2:C2, $A$3:$A$26&amp;"") + IF($A$3:$A$26="",1,0), 0)), "")</f>
        <v>--Select--</v>
      </c>
      <c r="D3" s="404" t="s">
        <v>1951</v>
      </c>
    </row>
    <row r="4" spans="1:4" ht="11.25" customHeight="1" x14ac:dyDescent="0.2">
      <c r="A4" s="405" t="s">
        <v>2148</v>
      </c>
      <c r="B4" s="406" t="s">
        <v>2149</v>
      </c>
      <c r="C4" s="404" t="str">
        <f t="array" ref="C4">IFERROR(INDEX($A$3:$A$26, MATCH(0, COUNTIF($C$2:C3, $A$3:$A$26&amp;"") + IF($A$3:$A$26="",1,0), 0)), "")</f>
        <v>Comprehensive prevention programs for MSM</v>
      </c>
      <c r="D4" s="404" t="s">
        <v>2150</v>
      </c>
    </row>
    <row r="5" spans="1:4" ht="11.25" customHeight="1" x14ac:dyDescent="0.2">
      <c r="A5" s="405" t="s">
        <v>2151</v>
      </c>
      <c r="B5" s="406" t="s">
        <v>2152</v>
      </c>
      <c r="C5" s="404" t="str">
        <f t="array" ref="C5">IFERROR(INDEX($A$3:$A$26, MATCH(0, COUNTIF($C$2:C4, $A$3:$A$26&amp;"") + IF($A$3:$A$26="",1,0), 0)), "")</f>
        <v>Comprehensive prevention programs for people who inject drugs (PWID) and their partners</v>
      </c>
      <c r="D5" s="404" t="s">
        <v>2153</v>
      </c>
    </row>
    <row r="6" spans="1:4" ht="11.25" customHeight="1" x14ac:dyDescent="0.2">
      <c r="A6" s="405" t="s">
        <v>2154</v>
      </c>
      <c r="B6" s="406" t="s">
        <v>2155</v>
      </c>
      <c r="C6" s="404" t="str">
        <f t="array" ref="C6">IFERROR(INDEX($A$3:$A$26, MATCH(0, COUNTIF($C$2:C5, $A$3:$A$26&amp;"") + IF($A$3:$A$26="",1,0), 0)), "")</f>
        <v>Comprehensive prevention programs for sex workers and their clients</v>
      </c>
      <c r="D6" s="404" t="s">
        <v>2156</v>
      </c>
    </row>
    <row r="7" spans="1:4" ht="11.25" customHeight="1" x14ac:dyDescent="0.2">
      <c r="A7" s="405" t="s">
        <v>2157</v>
      </c>
      <c r="B7" s="406" t="s">
        <v>2158</v>
      </c>
      <c r="C7" s="404" t="str">
        <f t="array" ref="C7">IFERROR(INDEX($A$3:$A$26, MATCH(0, COUNTIF($C$2:C6, $A$3:$A$26&amp;"") + IF($A$3:$A$26="",1,0), 0)), "")</f>
        <v>Comprehensive prevention programs for TGs</v>
      </c>
      <c r="D7" s="404" t="s">
        <v>2159</v>
      </c>
    </row>
    <row r="8" spans="1:4" ht="11.25" customHeight="1" x14ac:dyDescent="0.2">
      <c r="A8" s="405" t="s">
        <v>2160</v>
      </c>
      <c r="B8" s="406" t="s">
        <v>2161</v>
      </c>
      <c r="C8" s="404" t="str">
        <f t="array" ref="C8">IFERROR(INDEX($A$3:$A$26, MATCH(0, COUNTIF($C$2:C7, $A$3:$A$26&amp;"") + IF($A$3:$A$26="",1,0), 0)), "")</f>
        <v>Comprehensive programs for people in prisons and other closed settings</v>
      </c>
      <c r="D8" s="404" t="s">
        <v>2162</v>
      </c>
    </row>
    <row r="9" spans="1:4" ht="11.25" customHeight="1" x14ac:dyDescent="0.2">
      <c r="A9" s="405" t="s">
        <v>2163</v>
      </c>
      <c r="B9" s="406" t="s">
        <v>2164</v>
      </c>
      <c r="C9" s="404" t="str">
        <f t="array" ref="C9">IFERROR(INDEX($A$3:$A$26, MATCH(0, COUNTIF($C$2:C8, $A$3:$A$26&amp;"") + IF($A$3:$A$26="",1,0), 0)), "")</f>
        <v>HIV Testing Services</v>
      </c>
      <c r="D9" s="404" t="s">
        <v>2165</v>
      </c>
    </row>
    <row r="10" spans="1:4" ht="11.25" customHeight="1" x14ac:dyDescent="0.2">
      <c r="A10" s="405" t="s">
        <v>2166</v>
      </c>
      <c r="B10" s="406" t="s">
        <v>2167</v>
      </c>
      <c r="C10" s="404" t="str">
        <f t="array" ref="C10">IFERROR(INDEX($A$3:$A$26, MATCH(0, COUNTIF($C$2:C9, $A$3:$A$26&amp;"") + IF($A$3:$A$26="",1,0), 0)), "")</f>
        <v>Payment for results</v>
      </c>
      <c r="D10" s="404" t="s">
        <v>2168</v>
      </c>
    </row>
    <row r="11" spans="1:4" ht="11.25" customHeight="1" x14ac:dyDescent="0.2">
      <c r="A11" s="405" t="s">
        <v>2169</v>
      </c>
      <c r="B11" s="406" t="s">
        <v>2170</v>
      </c>
      <c r="C11" s="404" t="str">
        <f t="array" ref="C11">IFERROR(INDEX($A$3:$A$26, MATCH(0, COUNTIF($C$2:C10, $A$3:$A$26&amp;"") + IF($A$3:$A$26="",1,0), 0)), "")</f>
        <v>PMTCT</v>
      </c>
      <c r="D11" s="404" t="s">
        <v>2171</v>
      </c>
    </row>
    <row r="12" spans="1:4" ht="11.25" customHeight="1" x14ac:dyDescent="0.2">
      <c r="A12" s="405" t="s">
        <v>2172</v>
      </c>
      <c r="B12" s="406" t="s">
        <v>2173</v>
      </c>
      <c r="C12" s="404" t="str">
        <f t="array" ref="C12">IFERROR(INDEX($A$3:$A$26, MATCH(0, COUNTIF($C$2:C11, $A$3:$A$26&amp;"") + IF($A$3:$A$26="",1,0), 0)), "")</f>
        <v>Prevention programs for adolescents and youth, in and out of school</v>
      </c>
      <c r="D12" s="404" t="s">
        <v>2174</v>
      </c>
    </row>
    <row r="13" spans="1:4" ht="11.25" customHeight="1" x14ac:dyDescent="0.2">
      <c r="A13" s="405" t="s">
        <v>2175</v>
      </c>
      <c r="B13" s="406" t="s">
        <v>2176</v>
      </c>
      <c r="C13" s="404" t="str">
        <f t="array" ref="C13">IFERROR(INDEX($A$3:$A$26, MATCH(0, COUNTIF($C$2:C12, $A$3:$A$26&amp;"") + IF($A$3:$A$26="",1,0), 0)), "")</f>
        <v>Prevention programs for general population</v>
      </c>
      <c r="D13" s="404" t="s">
        <v>2177</v>
      </c>
    </row>
    <row r="14" spans="1:4" ht="11.25" customHeight="1" x14ac:dyDescent="0.2">
      <c r="A14" s="405" t="s">
        <v>2178</v>
      </c>
      <c r="B14" s="406" t="s">
        <v>2179</v>
      </c>
      <c r="C14" s="404" t="str">
        <f t="array" ref="C14">IFERROR(INDEX($A$3:$A$26, MATCH(0, COUNTIF($C$2:C13, $A$3:$A$26&amp;"") + IF($A$3:$A$26="",1,0), 0)), "")</f>
        <v>Prevention programs for other vulnerable populations</v>
      </c>
      <c r="D14" s="404" t="s">
        <v>2180</v>
      </c>
    </row>
    <row r="15" spans="1:4" ht="11.25" customHeight="1" x14ac:dyDescent="0.2">
      <c r="A15" s="405" t="s">
        <v>2181</v>
      </c>
      <c r="B15" s="406" t="s">
        <v>2182</v>
      </c>
      <c r="C15" s="404" t="str">
        <f t="array" ref="C15">IFERROR(INDEX($A$3:$A$26, MATCH(0, COUNTIF($C$2:C14, $A$3:$A$26&amp;"") + IF($A$3:$A$26="",1,0), 0)), "")</f>
        <v>Program management</v>
      </c>
      <c r="D15" s="404" t="s">
        <v>2183</v>
      </c>
    </row>
    <row r="16" spans="1:4" ht="11.25" customHeight="1" x14ac:dyDescent="0.2">
      <c r="A16" s="405" t="s">
        <v>2184</v>
      </c>
      <c r="B16" s="406" t="s">
        <v>2185</v>
      </c>
      <c r="C16" s="404" t="str">
        <f t="array" ref="C16">IFERROR(INDEX($A$3:$A$26, MATCH(0, COUNTIF($C$2:C15, $A$3:$A$26&amp;"") + IF($A$3:$A$26="",1,0), 0)), "")</f>
        <v>Programs to reduce human rights-related barriers to HIV services</v>
      </c>
      <c r="D16" s="404" t="s">
        <v>2186</v>
      </c>
    </row>
    <row r="17" spans="1:18" ht="11.25" customHeight="1" x14ac:dyDescent="0.2">
      <c r="A17" s="405" t="s">
        <v>2187</v>
      </c>
      <c r="B17" s="406" t="s">
        <v>2188</v>
      </c>
      <c r="C17" s="404" t="str">
        <f t="array" ref="C17">IFERROR(INDEX($A$3:$A$26, MATCH(0, COUNTIF($C$2:C16, $A$3:$A$26&amp;"") + IF($A$3:$A$26="",1,0), 0)), "")</f>
        <v>RSSH: Community responses and systems</v>
      </c>
      <c r="D17" s="404" t="s">
        <v>2189</v>
      </c>
    </row>
    <row r="18" spans="1:18" ht="11.25" customHeight="1" x14ac:dyDescent="0.2">
      <c r="A18" s="405" t="s">
        <v>2190</v>
      </c>
      <c r="B18" s="406" t="s">
        <v>2191</v>
      </c>
      <c r="C18" s="404" t="str">
        <f t="array" ref="C18">IFERROR(INDEX($A$3:$A$26, MATCH(0, COUNTIF($C$2:C17, $A$3:$A$26&amp;"") + IF($A$3:$A$26="",1,0), 0)), "")</f>
        <v>RSSH: Financial management systems</v>
      </c>
      <c r="D18" s="404" t="s">
        <v>2192</v>
      </c>
    </row>
    <row r="19" spans="1:18" ht="11.25" customHeight="1" x14ac:dyDescent="0.2">
      <c r="A19" s="405" t="s">
        <v>2193</v>
      </c>
      <c r="B19" s="406" t="s">
        <v>2194</v>
      </c>
      <c r="C19" s="404" t="str">
        <f t="array" ref="C19">IFERROR(INDEX($A$3:$A$26, MATCH(0, COUNTIF($C$2:C18, $A$3:$A$26&amp;"") + IF($A$3:$A$26="",1,0), 0)), "")</f>
        <v>RSSH: Health management information systems and M&amp;E</v>
      </c>
      <c r="D19" s="404" t="s">
        <v>2195</v>
      </c>
    </row>
    <row r="20" spans="1:18" ht="11.25" customHeight="1" x14ac:dyDescent="0.2">
      <c r="A20" s="405" t="s">
        <v>2196</v>
      </c>
      <c r="B20" s="406" t="s">
        <v>2197</v>
      </c>
      <c r="C20" s="404" t="str">
        <f t="array" ref="C20">IFERROR(INDEX($A$3:$A$26, MATCH(0, COUNTIF($C$2:C19, $A$3:$A$26&amp;"") + IF($A$3:$A$26="",1,0), 0)), "")</f>
        <v>RSSH: Human resources for health (HRH), including community health workers</v>
      </c>
      <c r="D20" s="404" t="s">
        <v>2198</v>
      </c>
    </row>
    <row r="21" spans="1:18" ht="11.25" customHeight="1" x14ac:dyDescent="0.2">
      <c r="A21" s="405" t="s">
        <v>2199</v>
      </c>
      <c r="B21" s="406" t="s">
        <v>2200</v>
      </c>
      <c r="C21" s="404" t="str">
        <f t="array" ref="C21">IFERROR(INDEX($A$3:$A$26, MATCH(0, COUNTIF($C$2:C20, $A$3:$A$26&amp;"") + IF($A$3:$A$26="",1,0), 0)), "")</f>
        <v>RSSH: Integrated service delivery and quality improvement</v>
      </c>
      <c r="D21" s="404" t="s">
        <v>2201</v>
      </c>
    </row>
    <row r="22" spans="1:18" ht="11.25" customHeight="1" x14ac:dyDescent="0.2">
      <c r="A22" s="405" t="s">
        <v>2202</v>
      </c>
      <c r="B22" s="406" t="s">
        <v>2203</v>
      </c>
      <c r="C22" s="404" t="str">
        <f t="array" ref="C22">IFERROR(INDEX($A$3:$A$26, MATCH(0, COUNTIF($C$2:C21, $A$3:$A$26&amp;"") + IF($A$3:$A$26="",1,0), 0)), "")</f>
        <v>RSSH: National health strategies</v>
      </c>
      <c r="D22" s="404" t="s">
        <v>2204</v>
      </c>
    </row>
    <row r="23" spans="1:18" ht="11.25" customHeight="1" x14ac:dyDescent="0.2">
      <c r="A23" s="405" t="s">
        <v>2205</v>
      </c>
      <c r="B23" s="406" t="s">
        <v>2206</v>
      </c>
      <c r="C23" s="404" t="str">
        <f t="array" ref="C23">IFERROR(INDEX($A$3:$A$26, MATCH(0, COUNTIF($C$2:C22, $A$3:$A$26&amp;"") + IF($A$3:$A$26="",1,0), 0)), "")</f>
        <v>RSSH: Procurement and supply chain management systems</v>
      </c>
      <c r="D23" s="404" t="s">
        <v>2207</v>
      </c>
    </row>
    <row r="24" spans="1:18" ht="11.25" customHeight="1" x14ac:dyDescent="0.2">
      <c r="A24" s="405" t="s">
        <v>2208</v>
      </c>
      <c r="B24" s="406" t="s">
        <v>2209</v>
      </c>
      <c r="C24" s="404" t="str">
        <f t="array" ref="C24">IFERROR(INDEX($A$3:$A$26, MATCH(0, COUNTIF($C$2:C23, $A$3:$A$26&amp;"") + IF($A$3:$A$26="",1,0), 0)), "")</f>
        <v>TB/HIV</v>
      </c>
      <c r="D24" s="404" t="s">
        <v>2210</v>
      </c>
    </row>
    <row r="25" spans="1:18" ht="11.25" customHeight="1" x14ac:dyDescent="0.2">
      <c r="A25" s="405" t="s">
        <v>2211</v>
      </c>
      <c r="B25" s="406" t="s">
        <v>2212</v>
      </c>
      <c r="C25" s="404" t="str">
        <f t="array" ref="C25">IFERROR(INDEX($A$3:$A$26, MATCH(0, COUNTIF($C$2:C24, $A$3:$A$26&amp;"") + IF($A$3:$A$26="",1,0), 0)), "")</f>
        <v>Treatment, care and support</v>
      </c>
      <c r="D25" s="404" t="s">
        <v>2213</v>
      </c>
    </row>
    <row r="26" spans="1:18" x14ac:dyDescent="0.2">
      <c r="R26" s="12" t="str">
        <f>'Data Sheet'!C276</f>
        <v>a1K360000061p6MEAQ</v>
      </c>
    </row>
    <row r="28" spans="1:18" x14ac:dyDescent="0.2">
      <c r="B28" s="404" t="s">
        <v>14</v>
      </c>
      <c r="C28" s="404" t="s">
        <v>15</v>
      </c>
      <c r="D28" s="404" t="s">
        <v>2061</v>
      </c>
      <c r="E28" s="404" t="s">
        <v>1952</v>
      </c>
      <c r="F28" s="404" t="s">
        <v>2109</v>
      </c>
      <c r="G28" s="404" t="s">
        <v>2108</v>
      </c>
    </row>
    <row r="29" spans="1:18" ht="18" hidden="1" customHeight="1" x14ac:dyDescent="0.2">
      <c r="B29" s="404" t="s">
        <v>2062</v>
      </c>
      <c r="C29" s="407"/>
      <c r="D29" s="404" t="str">
        <f>IFERROR(INDEX('Data Sheet'!$A$3:$A$26,MATCH(B29,'Data Sheet'!$B$3:$B$26,0)),"")</f>
        <v/>
      </c>
      <c r="E29" s="404"/>
      <c r="F29" s="404" t="str">
        <f>CONCATENATE(G29,"-",E29)</f>
        <v>-</v>
      </c>
      <c r="G29" s="404"/>
    </row>
    <row r="30" spans="1:18" ht="18" customHeight="1" x14ac:dyDescent="0.2">
      <c r="B30" s="404" t="s">
        <v>2176</v>
      </c>
      <c r="C30" s="407" t="s">
        <v>2214</v>
      </c>
      <c r="D30" s="404" t="str">
        <f>IFERROR(INDEX('Data Sheet'!$A$3:$A$26,MATCH(B30,'Data Sheet'!$B$3:$B$26,0)),"")</f>
        <v>Prevention programs for general population</v>
      </c>
      <c r="E30" s="404" t="s">
        <v>2215</v>
      </c>
      <c r="F30" s="404" t="str">
        <f t="shared" ref="F30:F93" si="0">CONCATENATE(G30,"-",E30)</f>
        <v>a1O36000001EGFAEA4-a1O36000001EGGKEA4</v>
      </c>
      <c r="G30" s="404" t="s">
        <v>2177</v>
      </c>
    </row>
    <row r="31" spans="1:18" ht="18" customHeight="1" x14ac:dyDescent="0.2">
      <c r="B31" s="404" t="s">
        <v>2176</v>
      </c>
      <c r="C31" s="407" t="s">
        <v>2216</v>
      </c>
      <c r="D31" s="404" t="str">
        <f>IFERROR(INDEX('Data Sheet'!$A$3:$A$26,MATCH(B31,'Data Sheet'!$B$3:$B$26,0)),"")</f>
        <v>Prevention programs for general population</v>
      </c>
      <c r="E31" s="404" t="s">
        <v>2217</v>
      </c>
      <c r="F31" s="404" t="str">
        <f t="shared" si="0"/>
        <v>a1O36000001EGFAEA4-a1O36000001EGGLEA4</v>
      </c>
      <c r="G31" s="404" t="s">
        <v>2177</v>
      </c>
    </row>
    <row r="32" spans="1:18" ht="18" customHeight="1" x14ac:dyDescent="0.2">
      <c r="B32" s="404" t="s">
        <v>2176</v>
      </c>
      <c r="C32" s="407" t="s">
        <v>2218</v>
      </c>
      <c r="D32" s="404" t="str">
        <f>IFERROR(INDEX('Data Sheet'!$A$3:$A$26,MATCH(B32,'Data Sheet'!$B$3:$B$26,0)),"")</f>
        <v>Prevention programs for general population</v>
      </c>
      <c r="E32" s="404" t="s">
        <v>2219</v>
      </c>
      <c r="F32" s="404" t="str">
        <f t="shared" si="0"/>
        <v>a1O36000001EGFAEA4-a1O36000001EGGOEA4</v>
      </c>
      <c r="G32" s="404" t="s">
        <v>2177</v>
      </c>
    </row>
    <row r="33" spans="2:7" ht="18" customHeight="1" x14ac:dyDescent="0.2">
      <c r="B33" s="404" t="s">
        <v>2176</v>
      </c>
      <c r="C33" s="407" t="s">
        <v>2220</v>
      </c>
      <c r="D33" s="404" t="str">
        <f>IFERROR(INDEX('Data Sheet'!$A$3:$A$26,MATCH(B33,'Data Sheet'!$B$3:$B$26,0)),"")</f>
        <v>Prevention programs for general population</v>
      </c>
      <c r="E33" s="404" t="s">
        <v>2221</v>
      </c>
      <c r="F33" s="404" t="str">
        <f t="shared" si="0"/>
        <v>a1O36000001EGFAEA4-a1O36000001EGGREA4</v>
      </c>
      <c r="G33" s="404" t="s">
        <v>2177</v>
      </c>
    </row>
    <row r="34" spans="2:7" ht="18" customHeight="1" x14ac:dyDescent="0.2">
      <c r="B34" s="404" t="s">
        <v>2176</v>
      </c>
      <c r="C34" s="407" t="s">
        <v>2222</v>
      </c>
      <c r="D34" s="404" t="str">
        <f>IFERROR(INDEX('Data Sheet'!$A$3:$A$26,MATCH(B34,'Data Sheet'!$B$3:$B$26,0)),"")</f>
        <v>Prevention programs for general population</v>
      </c>
      <c r="E34" s="404" t="s">
        <v>2223</v>
      </c>
      <c r="F34" s="404" t="str">
        <f t="shared" si="0"/>
        <v>a1O36000001EGFAEA4-a1O36000001qZ7yEAE</v>
      </c>
      <c r="G34" s="404" t="s">
        <v>2177</v>
      </c>
    </row>
    <row r="35" spans="2:7" ht="18" customHeight="1" x14ac:dyDescent="0.2">
      <c r="B35" s="404" t="s">
        <v>2176</v>
      </c>
      <c r="C35" s="407" t="s">
        <v>2224</v>
      </c>
      <c r="D35" s="404" t="str">
        <f>IFERROR(INDEX('Data Sheet'!$A$3:$A$26,MATCH(B35,'Data Sheet'!$B$3:$B$26,0)),"")</f>
        <v>Prevention programs for general population</v>
      </c>
      <c r="E35" s="404" t="s">
        <v>2225</v>
      </c>
      <c r="F35" s="404" t="str">
        <f t="shared" si="0"/>
        <v>a1O36000001EGFAEA4-a1O36000001EGGMEA4</v>
      </c>
      <c r="G35" s="404" t="s">
        <v>2177</v>
      </c>
    </row>
    <row r="36" spans="2:7" ht="18" customHeight="1" x14ac:dyDescent="0.2">
      <c r="B36" s="404" t="s">
        <v>2176</v>
      </c>
      <c r="C36" s="407" t="s">
        <v>2226</v>
      </c>
      <c r="D36" s="404" t="str">
        <f>IFERROR(INDEX('Data Sheet'!$A$3:$A$26,MATCH(B36,'Data Sheet'!$B$3:$B$26,0)),"")</f>
        <v>Prevention programs for general population</v>
      </c>
      <c r="E36" s="404" t="s">
        <v>2227</v>
      </c>
      <c r="F36" s="404" t="str">
        <f t="shared" si="0"/>
        <v>a1O36000001EGFAEA4-a1O36000001EGGQEA4</v>
      </c>
      <c r="G36" s="404" t="s">
        <v>2177</v>
      </c>
    </row>
    <row r="37" spans="2:7" ht="18" customHeight="1" x14ac:dyDescent="0.2">
      <c r="B37" s="404" t="s">
        <v>2176</v>
      </c>
      <c r="C37" s="407" t="s">
        <v>2228</v>
      </c>
      <c r="D37" s="404" t="str">
        <f>IFERROR(INDEX('Data Sheet'!$A$3:$A$26,MATCH(B37,'Data Sheet'!$B$3:$B$26,0)),"")</f>
        <v>Prevention programs for general population</v>
      </c>
      <c r="E37" s="404" t="s">
        <v>2229</v>
      </c>
      <c r="F37" s="404" t="str">
        <f t="shared" si="0"/>
        <v>a1O36000001EGFAEA4-a1O36000001EGGSEA4</v>
      </c>
      <c r="G37" s="404" t="s">
        <v>2177</v>
      </c>
    </row>
    <row r="38" spans="2:7" ht="18" customHeight="1" x14ac:dyDescent="0.2">
      <c r="B38" s="404" t="s">
        <v>2155</v>
      </c>
      <c r="C38" s="407" t="s">
        <v>2230</v>
      </c>
      <c r="D38" s="404" t="str">
        <f>IFERROR(INDEX('Data Sheet'!$A$3:$A$26,MATCH(B38,'Data Sheet'!$B$3:$B$26,0)),"")</f>
        <v>Comprehensive prevention programs for sex workers and their clients</v>
      </c>
      <c r="E38" s="404" t="s">
        <v>2231</v>
      </c>
      <c r="F38" s="404" t="str">
        <f t="shared" si="0"/>
        <v>a1O36000001EGFCEA4-a1O36000001qZ85EAE</v>
      </c>
      <c r="G38" s="404" t="s">
        <v>2156</v>
      </c>
    </row>
    <row r="39" spans="2:7" ht="18" customHeight="1" x14ac:dyDescent="0.2">
      <c r="B39" s="404" t="s">
        <v>2155</v>
      </c>
      <c r="C39" s="407" t="s">
        <v>2232</v>
      </c>
      <c r="D39" s="404" t="str">
        <f>IFERROR(INDEX('Data Sheet'!$A$3:$A$26,MATCH(B39,'Data Sheet'!$B$3:$B$26,0)),"")</f>
        <v>Comprehensive prevention programs for sex workers and their clients</v>
      </c>
      <c r="E39" s="404" t="s">
        <v>2233</v>
      </c>
      <c r="F39" s="404" t="str">
        <f t="shared" si="0"/>
        <v>a1O36000001EGFCEA4-a1O36000001EGGZEA4</v>
      </c>
      <c r="G39" s="404" t="s">
        <v>2156</v>
      </c>
    </row>
    <row r="40" spans="2:7" ht="18" customHeight="1" x14ac:dyDescent="0.2">
      <c r="B40" s="404" t="s">
        <v>2155</v>
      </c>
      <c r="C40" s="407" t="s">
        <v>2234</v>
      </c>
      <c r="D40" s="404" t="str">
        <f>IFERROR(INDEX('Data Sheet'!$A$3:$A$26,MATCH(B40,'Data Sheet'!$B$3:$B$26,0)),"")</f>
        <v>Comprehensive prevention programs for sex workers and their clients</v>
      </c>
      <c r="E40" s="404" t="s">
        <v>2235</v>
      </c>
      <c r="F40" s="404" t="str">
        <f t="shared" si="0"/>
        <v>a1O36000001EGFCEA4-a1O36000001qZ84EAE</v>
      </c>
      <c r="G40" s="404" t="s">
        <v>2156</v>
      </c>
    </row>
    <row r="41" spans="2:7" ht="18" customHeight="1" x14ac:dyDescent="0.2">
      <c r="B41" s="404" t="s">
        <v>2155</v>
      </c>
      <c r="C41" s="407" t="s">
        <v>2236</v>
      </c>
      <c r="D41" s="404" t="str">
        <f>IFERROR(INDEX('Data Sheet'!$A$3:$A$26,MATCH(B41,'Data Sheet'!$B$3:$B$26,0)),"")</f>
        <v>Comprehensive prevention programs for sex workers and their clients</v>
      </c>
      <c r="E41" s="404" t="s">
        <v>2237</v>
      </c>
      <c r="F41" s="404" t="str">
        <f t="shared" si="0"/>
        <v>a1O36000001EGFCEA4-a1O36000001EGGaEAO</v>
      </c>
      <c r="G41" s="404" t="s">
        <v>2156</v>
      </c>
    </row>
    <row r="42" spans="2:7" ht="18" customHeight="1" x14ac:dyDescent="0.2">
      <c r="B42" s="404" t="s">
        <v>2155</v>
      </c>
      <c r="C42" s="407" t="s">
        <v>2238</v>
      </c>
      <c r="D42" s="404" t="str">
        <f>IFERROR(INDEX('Data Sheet'!$A$3:$A$26,MATCH(B42,'Data Sheet'!$B$3:$B$26,0)),"")</f>
        <v>Comprehensive prevention programs for sex workers and their clients</v>
      </c>
      <c r="E42" s="404" t="s">
        <v>2239</v>
      </c>
      <c r="F42" s="404" t="str">
        <f t="shared" si="0"/>
        <v>a1O36000001EGFCEA4-a1O36000001EGGcEAO</v>
      </c>
      <c r="G42" s="404" t="s">
        <v>2156</v>
      </c>
    </row>
    <row r="43" spans="2:7" ht="18" customHeight="1" x14ac:dyDescent="0.2">
      <c r="B43" s="404" t="s">
        <v>2155</v>
      </c>
      <c r="C43" s="407" t="s">
        <v>2240</v>
      </c>
      <c r="D43" s="404" t="str">
        <f>IFERROR(INDEX('Data Sheet'!$A$3:$A$26,MATCH(B43,'Data Sheet'!$B$3:$B$26,0)),"")</f>
        <v>Comprehensive prevention programs for sex workers and their clients</v>
      </c>
      <c r="E43" s="404" t="s">
        <v>2241</v>
      </c>
      <c r="F43" s="404" t="str">
        <f t="shared" si="0"/>
        <v>a1O36000001EGFCEA4-a1O36000001EGGdEAO</v>
      </c>
      <c r="G43" s="404" t="s">
        <v>2156</v>
      </c>
    </row>
    <row r="44" spans="2:7" ht="18" customHeight="1" x14ac:dyDescent="0.2">
      <c r="B44" s="404" t="s">
        <v>2155</v>
      </c>
      <c r="C44" s="407" t="s">
        <v>2242</v>
      </c>
      <c r="D44" s="404" t="str">
        <f>IFERROR(INDEX('Data Sheet'!$A$3:$A$26,MATCH(B44,'Data Sheet'!$B$3:$B$26,0)),"")</f>
        <v>Comprehensive prevention programs for sex workers and their clients</v>
      </c>
      <c r="E44" s="404" t="s">
        <v>2243</v>
      </c>
      <c r="F44" s="404" t="str">
        <f t="shared" si="0"/>
        <v>a1O36000001EGFCEA4-a1O36000001EGGbEAO</v>
      </c>
      <c r="G44" s="404" t="s">
        <v>2156</v>
      </c>
    </row>
    <row r="45" spans="2:7" ht="18" customHeight="1" x14ac:dyDescent="0.2">
      <c r="B45" s="404" t="s">
        <v>2155</v>
      </c>
      <c r="C45" s="407" t="s">
        <v>2244</v>
      </c>
      <c r="D45" s="404" t="str">
        <f>IFERROR(INDEX('Data Sheet'!$A$3:$A$26,MATCH(B45,'Data Sheet'!$B$3:$B$26,0)),"")</f>
        <v>Comprehensive prevention programs for sex workers and their clients</v>
      </c>
      <c r="E45" s="404" t="s">
        <v>2245</v>
      </c>
      <c r="F45" s="404" t="str">
        <f t="shared" si="0"/>
        <v>a1O36000001EGFCEA4-a1O36000001qZ88EAE</v>
      </c>
      <c r="G45" s="404" t="s">
        <v>2156</v>
      </c>
    </row>
    <row r="46" spans="2:7" ht="18" customHeight="1" x14ac:dyDescent="0.2">
      <c r="B46" s="404" t="s">
        <v>2155</v>
      </c>
      <c r="C46" s="407" t="s">
        <v>2246</v>
      </c>
      <c r="D46" s="404" t="str">
        <f>IFERROR(INDEX('Data Sheet'!$A$3:$A$26,MATCH(B46,'Data Sheet'!$B$3:$B$26,0)),"")</f>
        <v>Comprehensive prevention programs for sex workers and their clients</v>
      </c>
      <c r="E46" s="404" t="s">
        <v>2247</v>
      </c>
      <c r="F46" s="404" t="str">
        <f t="shared" si="0"/>
        <v>a1O36000001EGFCEA4-a1O36000001EGGeEAO</v>
      </c>
      <c r="G46" s="404" t="s">
        <v>2156</v>
      </c>
    </row>
    <row r="47" spans="2:7" ht="18" customHeight="1" x14ac:dyDescent="0.2">
      <c r="B47" s="404" t="s">
        <v>2155</v>
      </c>
      <c r="C47" s="407" t="s">
        <v>2248</v>
      </c>
      <c r="D47" s="404" t="str">
        <f>IFERROR(INDEX('Data Sheet'!$A$3:$A$26,MATCH(B47,'Data Sheet'!$B$3:$B$26,0)),"")</f>
        <v>Comprehensive prevention programs for sex workers and their clients</v>
      </c>
      <c r="E47" s="404" t="s">
        <v>2249</v>
      </c>
      <c r="F47" s="404" t="str">
        <f t="shared" si="0"/>
        <v>a1O36000001EGFCEA4-a1O36000001qZ86EAE</v>
      </c>
      <c r="G47" s="404" t="s">
        <v>2156</v>
      </c>
    </row>
    <row r="48" spans="2:7" ht="18" customHeight="1" x14ac:dyDescent="0.2">
      <c r="B48" s="404" t="s">
        <v>2155</v>
      </c>
      <c r="C48" s="407" t="s">
        <v>2250</v>
      </c>
      <c r="D48" s="404" t="str">
        <f>IFERROR(INDEX('Data Sheet'!$A$3:$A$26,MATCH(B48,'Data Sheet'!$B$3:$B$26,0)),"")</f>
        <v>Comprehensive prevention programs for sex workers and their clients</v>
      </c>
      <c r="E48" s="404" t="s">
        <v>2251</v>
      </c>
      <c r="F48" s="404" t="str">
        <f t="shared" si="0"/>
        <v>a1O36000001EGFCEA4-a1O36000001qZ87EAE</v>
      </c>
      <c r="G48" s="404" t="s">
        <v>2156</v>
      </c>
    </row>
    <row r="49" spans="2:7" ht="18" customHeight="1" x14ac:dyDescent="0.2">
      <c r="B49" s="404" t="s">
        <v>2152</v>
      </c>
      <c r="C49" s="407" t="s">
        <v>2252</v>
      </c>
      <c r="D49" s="404" t="str">
        <f>IFERROR(INDEX('Data Sheet'!$A$3:$A$26,MATCH(B49,'Data Sheet'!$B$3:$B$26,0)),"")</f>
        <v>Comprehensive prevention programs for people who inject drugs (PWID) and their partners</v>
      </c>
      <c r="E49" s="404" t="s">
        <v>2253</v>
      </c>
      <c r="F49" s="404" t="str">
        <f t="shared" si="0"/>
        <v>a1O36000001EGFDEA4-a1O36000001qZ8AEAU</v>
      </c>
      <c r="G49" s="404" t="s">
        <v>2153</v>
      </c>
    </row>
    <row r="50" spans="2:7" ht="18" customHeight="1" x14ac:dyDescent="0.2">
      <c r="B50" s="404" t="s">
        <v>2152</v>
      </c>
      <c r="C50" s="407" t="s">
        <v>2254</v>
      </c>
      <c r="D50" s="404" t="str">
        <f>IFERROR(INDEX('Data Sheet'!$A$3:$A$26,MATCH(B50,'Data Sheet'!$B$3:$B$26,0)),"")</f>
        <v>Comprehensive prevention programs for people who inject drugs (PWID) and their partners</v>
      </c>
      <c r="E50" s="404" t="s">
        <v>2255</v>
      </c>
      <c r="F50" s="404" t="str">
        <f t="shared" si="0"/>
        <v>a1O36000001EGFDEA4-a1O36000001EGGfEAO</v>
      </c>
      <c r="G50" s="404" t="s">
        <v>2153</v>
      </c>
    </row>
    <row r="51" spans="2:7" ht="18" customHeight="1" x14ac:dyDescent="0.2">
      <c r="B51" s="404" t="s">
        <v>2152</v>
      </c>
      <c r="C51" s="407" t="s">
        <v>2256</v>
      </c>
      <c r="D51" s="404" t="str">
        <f>IFERROR(INDEX('Data Sheet'!$A$3:$A$26,MATCH(B51,'Data Sheet'!$B$3:$B$26,0)),"")</f>
        <v>Comprehensive prevention programs for people who inject drugs (PWID) and their partners</v>
      </c>
      <c r="E51" s="404" t="s">
        <v>2257</v>
      </c>
      <c r="F51" s="404" t="str">
        <f t="shared" si="0"/>
        <v>a1O36000001EGFDEA4-a1O36000001qZ89EAE</v>
      </c>
      <c r="G51" s="404" t="s">
        <v>2153</v>
      </c>
    </row>
    <row r="52" spans="2:7" ht="18" customHeight="1" x14ac:dyDescent="0.2">
      <c r="B52" s="404" t="s">
        <v>2152</v>
      </c>
      <c r="C52" s="407" t="s">
        <v>2258</v>
      </c>
      <c r="D52" s="404" t="str">
        <f>IFERROR(INDEX('Data Sheet'!$A$3:$A$26,MATCH(B52,'Data Sheet'!$B$3:$B$26,0)),"")</f>
        <v>Comprehensive prevention programs for people who inject drugs (PWID) and their partners</v>
      </c>
      <c r="E52" s="404" t="s">
        <v>2259</v>
      </c>
      <c r="F52" s="404" t="str">
        <f t="shared" si="0"/>
        <v>a1O36000001EGFDEA4-a1O36000001EGGgEAO</v>
      </c>
      <c r="G52" s="404" t="s">
        <v>2153</v>
      </c>
    </row>
    <row r="53" spans="2:7" ht="18" customHeight="1" x14ac:dyDescent="0.2">
      <c r="B53" s="404" t="s">
        <v>2152</v>
      </c>
      <c r="C53" s="407" t="s">
        <v>2260</v>
      </c>
      <c r="D53" s="404" t="str">
        <f>IFERROR(INDEX('Data Sheet'!$A$3:$A$26,MATCH(B53,'Data Sheet'!$B$3:$B$26,0)),"")</f>
        <v>Comprehensive prevention programs for people who inject drugs (PWID) and their partners</v>
      </c>
      <c r="E53" s="404" t="s">
        <v>2261</v>
      </c>
      <c r="F53" s="404" t="str">
        <f t="shared" si="0"/>
        <v>a1O36000001EGFDEA4-a1O36000001EGGiEAO</v>
      </c>
      <c r="G53" s="404" t="s">
        <v>2153</v>
      </c>
    </row>
    <row r="54" spans="2:7" ht="18" customHeight="1" x14ac:dyDescent="0.2">
      <c r="B54" s="404" t="s">
        <v>2152</v>
      </c>
      <c r="C54" s="407" t="s">
        <v>2262</v>
      </c>
      <c r="D54" s="404" t="str">
        <f>IFERROR(INDEX('Data Sheet'!$A$3:$A$26,MATCH(B54,'Data Sheet'!$B$3:$B$26,0)),"")</f>
        <v>Comprehensive prevention programs for people who inject drugs (PWID) and their partners</v>
      </c>
      <c r="E54" s="404" t="s">
        <v>2263</v>
      </c>
      <c r="F54" s="404" t="str">
        <f t="shared" si="0"/>
        <v>a1O36000001EGFDEA4-a1O36000001EGGhEAO</v>
      </c>
      <c r="G54" s="404" t="s">
        <v>2153</v>
      </c>
    </row>
    <row r="55" spans="2:7" ht="18" customHeight="1" x14ac:dyDescent="0.2">
      <c r="B55" s="404" t="s">
        <v>2152</v>
      </c>
      <c r="C55" s="407" t="s">
        <v>2264</v>
      </c>
      <c r="D55" s="404" t="str">
        <f>IFERROR(INDEX('Data Sheet'!$A$3:$A$26,MATCH(B55,'Data Sheet'!$B$3:$B$26,0)),"")</f>
        <v>Comprehensive prevention programs for people who inject drugs (PWID) and their partners</v>
      </c>
      <c r="E55" s="404" t="s">
        <v>2265</v>
      </c>
      <c r="F55" s="404" t="str">
        <f t="shared" si="0"/>
        <v>a1O36000001EGFDEA4-a1O36000001qZ8CEAU</v>
      </c>
      <c r="G55" s="404" t="s">
        <v>2153</v>
      </c>
    </row>
    <row r="56" spans="2:7" ht="18" customHeight="1" x14ac:dyDescent="0.2">
      <c r="B56" s="404" t="s">
        <v>2152</v>
      </c>
      <c r="C56" s="407" t="s">
        <v>2266</v>
      </c>
      <c r="D56" s="404" t="str">
        <f>IFERROR(INDEX('Data Sheet'!$A$3:$A$26,MATCH(B56,'Data Sheet'!$B$3:$B$26,0)),"")</f>
        <v>Comprehensive prevention programs for people who inject drugs (PWID) and their partners</v>
      </c>
      <c r="E56" s="404" t="s">
        <v>2267</v>
      </c>
      <c r="F56" s="404" t="str">
        <f t="shared" si="0"/>
        <v>a1O36000001EGFDEA4-a1O36000001EGGjEAO</v>
      </c>
      <c r="G56" s="404" t="s">
        <v>2153</v>
      </c>
    </row>
    <row r="57" spans="2:7" ht="18" customHeight="1" x14ac:dyDescent="0.2">
      <c r="B57" s="404" t="s">
        <v>2152</v>
      </c>
      <c r="C57" s="407" t="s">
        <v>2268</v>
      </c>
      <c r="D57" s="404" t="str">
        <f>IFERROR(INDEX('Data Sheet'!$A$3:$A$26,MATCH(B57,'Data Sheet'!$B$3:$B$26,0)),"")</f>
        <v>Comprehensive prevention programs for people who inject drugs (PWID) and their partners</v>
      </c>
      <c r="E57" s="404" t="s">
        <v>2269</v>
      </c>
      <c r="F57" s="404" t="str">
        <f t="shared" si="0"/>
        <v>a1O36000001EGFDEA4-a1O36000001EGGkEAO</v>
      </c>
      <c r="G57" s="404" t="s">
        <v>2153</v>
      </c>
    </row>
    <row r="58" spans="2:7" ht="18" customHeight="1" x14ac:dyDescent="0.2">
      <c r="B58" s="404" t="s">
        <v>2152</v>
      </c>
      <c r="C58" s="407" t="s">
        <v>2270</v>
      </c>
      <c r="D58" s="404" t="str">
        <f>IFERROR(INDEX('Data Sheet'!$A$3:$A$26,MATCH(B58,'Data Sheet'!$B$3:$B$26,0)),"")</f>
        <v>Comprehensive prevention programs for people who inject drugs (PWID) and their partners</v>
      </c>
      <c r="E58" s="404" t="s">
        <v>2271</v>
      </c>
      <c r="F58" s="404" t="str">
        <f t="shared" si="0"/>
        <v>a1O36000001EGFDEA4-a1O36000001EGGmEAO</v>
      </c>
      <c r="G58" s="404" t="s">
        <v>2153</v>
      </c>
    </row>
    <row r="59" spans="2:7" ht="18" customHeight="1" x14ac:dyDescent="0.2">
      <c r="B59" s="404" t="s">
        <v>2152</v>
      </c>
      <c r="C59" s="407" t="s">
        <v>2272</v>
      </c>
      <c r="D59" s="404" t="str">
        <f>IFERROR(INDEX('Data Sheet'!$A$3:$A$26,MATCH(B59,'Data Sheet'!$B$3:$B$26,0)),"")</f>
        <v>Comprehensive prevention programs for people who inject drugs (PWID) and their partners</v>
      </c>
      <c r="E59" s="404" t="s">
        <v>2273</v>
      </c>
      <c r="F59" s="404" t="str">
        <f t="shared" si="0"/>
        <v>a1O36000001EGFDEA4-a1O36000001qZ8BEAU</v>
      </c>
      <c r="G59" s="404" t="s">
        <v>2153</v>
      </c>
    </row>
    <row r="60" spans="2:7" ht="18" customHeight="1" x14ac:dyDescent="0.2">
      <c r="B60" s="404" t="s">
        <v>2152</v>
      </c>
      <c r="C60" s="407" t="s">
        <v>2274</v>
      </c>
      <c r="D60" s="404" t="str">
        <f>IFERROR(INDEX('Data Sheet'!$A$3:$A$26,MATCH(B60,'Data Sheet'!$B$3:$B$26,0)),"")</f>
        <v>Comprehensive prevention programs for people who inject drugs (PWID) and their partners</v>
      </c>
      <c r="E60" s="404" t="s">
        <v>2275</v>
      </c>
      <c r="F60" s="404" t="str">
        <f t="shared" si="0"/>
        <v>a1O36000001EGFDEA4-a1O36000001EGGlEAO</v>
      </c>
      <c r="G60" s="404" t="s">
        <v>2153</v>
      </c>
    </row>
    <row r="61" spans="2:7" ht="18" customHeight="1" x14ac:dyDescent="0.2">
      <c r="B61" s="404" t="s">
        <v>2179</v>
      </c>
      <c r="C61" s="407" t="s">
        <v>2276</v>
      </c>
      <c r="D61" s="404" t="str">
        <f>IFERROR(INDEX('Data Sheet'!$A$3:$A$26,MATCH(B61,'Data Sheet'!$B$3:$B$26,0)),"")</f>
        <v>Prevention programs for other vulnerable populations</v>
      </c>
      <c r="E61" s="404" t="s">
        <v>2277</v>
      </c>
      <c r="F61" s="404" t="str">
        <f t="shared" si="0"/>
        <v>a1O36000001EGFEEA4-a1O36000001EGGnEAO</v>
      </c>
      <c r="G61" s="404" t="s">
        <v>2180</v>
      </c>
    </row>
    <row r="62" spans="2:7" ht="18" customHeight="1" x14ac:dyDescent="0.2">
      <c r="B62" s="404" t="s">
        <v>2179</v>
      </c>
      <c r="C62" s="407" t="s">
        <v>2278</v>
      </c>
      <c r="D62" s="404" t="str">
        <f>IFERROR(INDEX('Data Sheet'!$A$3:$A$26,MATCH(B62,'Data Sheet'!$B$3:$B$26,0)),"")</f>
        <v>Prevention programs for other vulnerable populations</v>
      </c>
      <c r="E62" s="404" t="s">
        <v>2279</v>
      </c>
      <c r="F62" s="404" t="str">
        <f t="shared" si="0"/>
        <v>a1O36000001EGFEEA4-a1O36000001EGGqEAO</v>
      </c>
      <c r="G62" s="404" t="s">
        <v>2180</v>
      </c>
    </row>
    <row r="63" spans="2:7" ht="18" customHeight="1" x14ac:dyDescent="0.2">
      <c r="B63" s="404" t="s">
        <v>2179</v>
      </c>
      <c r="C63" s="407" t="s">
        <v>2280</v>
      </c>
      <c r="D63" s="404" t="str">
        <f>IFERROR(INDEX('Data Sheet'!$A$3:$A$26,MATCH(B63,'Data Sheet'!$B$3:$B$26,0)),"")</f>
        <v>Prevention programs for other vulnerable populations</v>
      </c>
      <c r="E63" s="404" t="s">
        <v>2281</v>
      </c>
      <c r="F63" s="404" t="str">
        <f t="shared" si="0"/>
        <v>a1O36000001EGFEEA4-a1O36000001EGGpEAO</v>
      </c>
      <c r="G63" s="404" t="s">
        <v>2180</v>
      </c>
    </row>
    <row r="64" spans="2:7" ht="18" customHeight="1" x14ac:dyDescent="0.2">
      <c r="B64" s="404" t="s">
        <v>2179</v>
      </c>
      <c r="C64" s="407" t="s">
        <v>2282</v>
      </c>
      <c r="D64" s="404" t="str">
        <f>IFERROR(INDEX('Data Sheet'!$A$3:$A$26,MATCH(B64,'Data Sheet'!$B$3:$B$26,0)),"")</f>
        <v>Prevention programs for other vulnerable populations</v>
      </c>
      <c r="E64" s="404" t="s">
        <v>2283</v>
      </c>
      <c r="F64" s="404" t="str">
        <f t="shared" si="0"/>
        <v>a1O36000001EGFEEA4-a1O36000001EGGoEAO</v>
      </c>
      <c r="G64" s="404" t="s">
        <v>2180</v>
      </c>
    </row>
    <row r="65" spans="2:7" ht="18" customHeight="1" x14ac:dyDescent="0.2">
      <c r="B65" s="404" t="s">
        <v>2179</v>
      </c>
      <c r="C65" s="407" t="s">
        <v>2284</v>
      </c>
      <c r="D65" s="404" t="str">
        <f>IFERROR(INDEX('Data Sheet'!$A$3:$A$26,MATCH(B65,'Data Sheet'!$B$3:$B$26,0)),"")</f>
        <v>Prevention programs for other vulnerable populations</v>
      </c>
      <c r="E65" s="404" t="s">
        <v>2285</v>
      </c>
      <c r="F65" s="404" t="str">
        <f t="shared" si="0"/>
        <v>a1O36000001EGFEEA4-a1O36000001EGGrEAO</v>
      </c>
      <c r="G65" s="404" t="s">
        <v>2180</v>
      </c>
    </row>
    <row r="66" spans="2:7" ht="18" customHeight="1" x14ac:dyDescent="0.2">
      <c r="B66" s="404" t="s">
        <v>2173</v>
      </c>
      <c r="C66" s="407" t="s">
        <v>2286</v>
      </c>
      <c r="D66" s="404" t="str">
        <f>IFERROR(INDEX('Data Sheet'!$A$3:$A$26,MATCH(B66,'Data Sheet'!$B$3:$B$26,0)),"")</f>
        <v>Prevention programs for adolescents and youth, in and out of school</v>
      </c>
      <c r="E66" s="404" t="s">
        <v>2287</v>
      </c>
      <c r="F66" s="404" t="str">
        <f t="shared" si="0"/>
        <v>a1O36000001EGFFEA4-a1O36000001qZ8bEAE</v>
      </c>
      <c r="G66" s="404" t="s">
        <v>2174</v>
      </c>
    </row>
    <row r="67" spans="2:7" ht="18" customHeight="1" x14ac:dyDescent="0.2">
      <c r="B67" s="404" t="s">
        <v>2173</v>
      </c>
      <c r="C67" s="407" t="s">
        <v>2288</v>
      </c>
      <c r="D67" s="404" t="str">
        <f>IFERROR(INDEX('Data Sheet'!$A$3:$A$26,MATCH(B67,'Data Sheet'!$B$3:$B$26,0)),"")</f>
        <v>Prevention programs for adolescents and youth, in and out of school</v>
      </c>
      <c r="E67" s="404" t="s">
        <v>2289</v>
      </c>
      <c r="F67" s="404" t="str">
        <f t="shared" si="0"/>
        <v>a1O36000001EGFFEA4-a1O36000001EGGsEAO</v>
      </c>
      <c r="G67" s="404" t="s">
        <v>2174</v>
      </c>
    </row>
    <row r="68" spans="2:7" ht="18" customHeight="1" x14ac:dyDescent="0.2">
      <c r="B68" s="404" t="s">
        <v>2173</v>
      </c>
      <c r="C68" s="407" t="s">
        <v>2290</v>
      </c>
      <c r="D68" s="404" t="str">
        <f>IFERROR(INDEX('Data Sheet'!$A$3:$A$26,MATCH(B68,'Data Sheet'!$B$3:$B$26,0)),"")</f>
        <v>Prevention programs for adolescents and youth, in and out of school</v>
      </c>
      <c r="E68" s="404" t="s">
        <v>2291</v>
      </c>
      <c r="F68" s="404" t="str">
        <f t="shared" si="0"/>
        <v>a1O36000001EGFFEA4-a1O36000001qZ8aEAE</v>
      </c>
      <c r="G68" s="404" t="s">
        <v>2174</v>
      </c>
    </row>
    <row r="69" spans="2:7" ht="18" customHeight="1" x14ac:dyDescent="0.2">
      <c r="B69" s="404" t="s">
        <v>2173</v>
      </c>
      <c r="C69" s="407" t="s">
        <v>2292</v>
      </c>
      <c r="D69" s="404" t="str">
        <f>IFERROR(INDEX('Data Sheet'!$A$3:$A$26,MATCH(B69,'Data Sheet'!$B$3:$B$26,0)),"")</f>
        <v>Prevention programs for adolescents and youth, in and out of school</v>
      </c>
      <c r="E69" s="404" t="s">
        <v>2293</v>
      </c>
      <c r="F69" s="404" t="str">
        <f t="shared" si="0"/>
        <v>a1O36000001EGFFEA4-a1O36000001qZ8YEAU</v>
      </c>
      <c r="G69" s="404" t="s">
        <v>2174</v>
      </c>
    </row>
    <row r="70" spans="2:7" ht="18" customHeight="1" x14ac:dyDescent="0.2">
      <c r="B70" s="404" t="s">
        <v>2173</v>
      </c>
      <c r="C70" s="407" t="s">
        <v>2294</v>
      </c>
      <c r="D70" s="404" t="str">
        <f>IFERROR(INDEX('Data Sheet'!$A$3:$A$26,MATCH(B70,'Data Sheet'!$B$3:$B$26,0)),"")</f>
        <v>Prevention programs for adolescents and youth, in and out of school</v>
      </c>
      <c r="E70" s="404" t="s">
        <v>2295</v>
      </c>
      <c r="F70" s="404" t="str">
        <f t="shared" si="0"/>
        <v>a1O36000001EGFFEA4-a1O36000001EGGuEAO</v>
      </c>
      <c r="G70" s="404" t="s">
        <v>2174</v>
      </c>
    </row>
    <row r="71" spans="2:7" ht="18" customHeight="1" x14ac:dyDescent="0.2">
      <c r="B71" s="404" t="s">
        <v>2173</v>
      </c>
      <c r="C71" s="407" t="s">
        <v>2296</v>
      </c>
      <c r="D71" s="404" t="str">
        <f>IFERROR(INDEX('Data Sheet'!$A$3:$A$26,MATCH(B71,'Data Sheet'!$B$3:$B$26,0)),"")</f>
        <v>Prevention programs for adolescents and youth, in and out of school</v>
      </c>
      <c r="E71" s="404" t="s">
        <v>2297</v>
      </c>
      <c r="F71" s="404" t="str">
        <f t="shared" si="0"/>
        <v>a1O36000001EGFFEA4-a1O36000001qZ8dEAE</v>
      </c>
      <c r="G71" s="404" t="s">
        <v>2174</v>
      </c>
    </row>
    <row r="72" spans="2:7" ht="18" customHeight="1" x14ac:dyDescent="0.2">
      <c r="B72" s="404" t="s">
        <v>2173</v>
      </c>
      <c r="C72" s="407" t="s">
        <v>2298</v>
      </c>
      <c r="D72" s="404" t="str">
        <f>IFERROR(INDEX('Data Sheet'!$A$3:$A$26,MATCH(B72,'Data Sheet'!$B$3:$B$26,0)),"")</f>
        <v>Prevention programs for adolescents and youth, in and out of school</v>
      </c>
      <c r="E72" s="404" t="s">
        <v>2299</v>
      </c>
      <c r="F72" s="404" t="str">
        <f t="shared" si="0"/>
        <v>a1O36000001EGFFEA4-a1O36000001EGGvEAO</v>
      </c>
      <c r="G72" s="404" t="s">
        <v>2174</v>
      </c>
    </row>
    <row r="73" spans="2:7" ht="18" customHeight="1" x14ac:dyDescent="0.2">
      <c r="B73" s="404" t="s">
        <v>2173</v>
      </c>
      <c r="C73" s="407" t="s">
        <v>2300</v>
      </c>
      <c r="D73" s="404" t="str">
        <f>IFERROR(INDEX('Data Sheet'!$A$3:$A$26,MATCH(B73,'Data Sheet'!$B$3:$B$26,0)),"")</f>
        <v>Prevention programs for adolescents and youth, in and out of school</v>
      </c>
      <c r="E73" s="404" t="s">
        <v>2301</v>
      </c>
      <c r="F73" s="404" t="str">
        <f t="shared" si="0"/>
        <v>a1O36000001EGFFEA4-a1O36000001EGGtEAO</v>
      </c>
      <c r="G73" s="404" t="s">
        <v>2174</v>
      </c>
    </row>
    <row r="74" spans="2:7" ht="18" customHeight="1" x14ac:dyDescent="0.2">
      <c r="B74" s="404" t="s">
        <v>2173</v>
      </c>
      <c r="C74" s="407" t="s">
        <v>2302</v>
      </c>
      <c r="D74" s="404" t="str">
        <f>IFERROR(INDEX('Data Sheet'!$A$3:$A$26,MATCH(B74,'Data Sheet'!$B$3:$B$26,0)),"")</f>
        <v>Prevention programs for adolescents and youth, in and out of school</v>
      </c>
      <c r="E74" s="404" t="s">
        <v>2303</v>
      </c>
      <c r="F74" s="404" t="str">
        <f t="shared" si="0"/>
        <v>a1O36000001EGFFEA4-a1O36000001EGGxEAO</v>
      </c>
      <c r="G74" s="404" t="s">
        <v>2174</v>
      </c>
    </row>
    <row r="75" spans="2:7" ht="18" customHeight="1" x14ac:dyDescent="0.2">
      <c r="B75" s="404" t="s">
        <v>2173</v>
      </c>
      <c r="C75" s="407" t="s">
        <v>2304</v>
      </c>
      <c r="D75" s="404" t="str">
        <f>IFERROR(INDEX('Data Sheet'!$A$3:$A$26,MATCH(B75,'Data Sheet'!$B$3:$B$26,0)),"")</f>
        <v>Prevention programs for adolescents and youth, in and out of school</v>
      </c>
      <c r="E75" s="404" t="s">
        <v>2305</v>
      </c>
      <c r="F75" s="404" t="str">
        <f t="shared" si="0"/>
        <v>a1O36000001EGFFEA4-a1O36000001qZ8ZEAU</v>
      </c>
      <c r="G75" s="404" t="s">
        <v>2174</v>
      </c>
    </row>
    <row r="76" spans="2:7" ht="18" customHeight="1" x14ac:dyDescent="0.2">
      <c r="B76" s="404" t="s">
        <v>2173</v>
      </c>
      <c r="C76" s="407" t="s">
        <v>2306</v>
      </c>
      <c r="D76" s="404" t="str">
        <f>IFERROR(INDEX('Data Sheet'!$A$3:$A$26,MATCH(B76,'Data Sheet'!$B$3:$B$26,0)),"")</f>
        <v>Prevention programs for adolescents and youth, in and out of school</v>
      </c>
      <c r="E76" s="404" t="s">
        <v>2307</v>
      </c>
      <c r="F76" s="404" t="str">
        <f t="shared" si="0"/>
        <v>a1O36000001EGFFEA4-a1O36000001qZ8cEAE</v>
      </c>
      <c r="G76" s="404" t="s">
        <v>2174</v>
      </c>
    </row>
    <row r="77" spans="2:7" ht="18" customHeight="1" x14ac:dyDescent="0.2">
      <c r="B77" s="404" t="s">
        <v>2170</v>
      </c>
      <c r="C77" s="407" t="s">
        <v>2308</v>
      </c>
      <c r="D77" s="404" t="str">
        <f>IFERROR(INDEX('Data Sheet'!$A$3:$A$26,MATCH(B77,'Data Sheet'!$B$3:$B$26,0)),"")</f>
        <v>PMTCT</v>
      </c>
      <c r="E77" s="404" t="s">
        <v>2309</v>
      </c>
      <c r="F77" s="404" t="str">
        <f t="shared" si="0"/>
        <v>a1O36000001EGFGEA4-a1O36000001EGH2EAO</v>
      </c>
      <c r="G77" s="404" t="s">
        <v>2171</v>
      </c>
    </row>
    <row r="78" spans="2:7" ht="18" customHeight="1" x14ac:dyDescent="0.2">
      <c r="B78" s="404" t="s">
        <v>2170</v>
      </c>
      <c r="C78" s="407" t="s">
        <v>2310</v>
      </c>
      <c r="D78" s="404" t="str">
        <f>IFERROR(INDEX('Data Sheet'!$A$3:$A$26,MATCH(B78,'Data Sheet'!$B$3:$B$26,0)),"")</f>
        <v>PMTCT</v>
      </c>
      <c r="E78" s="404" t="s">
        <v>2311</v>
      </c>
      <c r="F78" s="404" t="str">
        <f t="shared" si="0"/>
        <v>a1O36000001EGFGEA4-a1O36000001EGGyEAO</v>
      </c>
      <c r="G78" s="404" t="s">
        <v>2171</v>
      </c>
    </row>
    <row r="79" spans="2:7" ht="18" customHeight="1" x14ac:dyDescent="0.2">
      <c r="B79" s="404" t="s">
        <v>2170</v>
      </c>
      <c r="C79" s="407" t="s">
        <v>2312</v>
      </c>
      <c r="D79" s="404" t="str">
        <f>IFERROR(INDEX('Data Sheet'!$A$3:$A$26,MATCH(B79,'Data Sheet'!$B$3:$B$26,0)),"")</f>
        <v>PMTCT</v>
      </c>
      <c r="E79" s="404" t="s">
        <v>2313</v>
      </c>
      <c r="F79" s="404" t="str">
        <f t="shared" si="0"/>
        <v>a1O36000001EGFGEA4-a1O36000001EGGzEAO</v>
      </c>
      <c r="G79" s="404" t="s">
        <v>2171</v>
      </c>
    </row>
    <row r="80" spans="2:7" ht="18" customHeight="1" x14ac:dyDescent="0.2">
      <c r="B80" s="404" t="s">
        <v>2170</v>
      </c>
      <c r="C80" s="407" t="s">
        <v>2314</v>
      </c>
      <c r="D80" s="404" t="str">
        <f>IFERROR(INDEX('Data Sheet'!$A$3:$A$26,MATCH(B80,'Data Sheet'!$B$3:$B$26,0)),"")</f>
        <v>PMTCT</v>
      </c>
      <c r="E80" s="404" t="s">
        <v>2315</v>
      </c>
      <c r="F80" s="404" t="str">
        <f t="shared" si="0"/>
        <v>a1O36000001EGFGEA4-a1O36000001EGH0EAO</v>
      </c>
      <c r="G80" s="404" t="s">
        <v>2171</v>
      </c>
    </row>
    <row r="81" spans="2:7" ht="18" customHeight="1" x14ac:dyDescent="0.2">
      <c r="B81" s="404" t="s">
        <v>2170</v>
      </c>
      <c r="C81" s="407" t="s">
        <v>2316</v>
      </c>
      <c r="D81" s="404" t="str">
        <f>IFERROR(INDEX('Data Sheet'!$A$3:$A$26,MATCH(B81,'Data Sheet'!$B$3:$B$26,0)),"")</f>
        <v>PMTCT</v>
      </c>
      <c r="E81" s="404" t="s">
        <v>2317</v>
      </c>
      <c r="F81" s="404" t="str">
        <f t="shared" si="0"/>
        <v>a1O36000001EGFGEA4-a1O36000001EGH1EAO</v>
      </c>
      <c r="G81" s="404" t="s">
        <v>2171</v>
      </c>
    </row>
    <row r="82" spans="2:7" ht="18" customHeight="1" x14ac:dyDescent="0.2">
      <c r="B82" s="404" t="s">
        <v>2212</v>
      </c>
      <c r="C82" s="407" t="s">
        <v>2318</v>
      </c>
      <c r="D82" s="404" t="str">
        <f>IFERROR(INDEX('Data Sheet'!$A$3:$A$26,MATCH(B82,'Data Sheet'!$B$3:$B$26,0)),"")</f>
        <v>Treatment, care and support</v>
      </c>
      <c r="E82" s="404" t="s">
        <v>2319</v>
      </c>
      <c r="F82" s="404" t="str">
        <f t="shared" si="0"/>
        <v>a1O36000001EGFHEA4-a1O36000001EGH8EAO</v>
      </c>
      <c r="G82" s="404" t="s">
        <v>2213</v>
      </c>
    </row>
    <row r="83" spans="2:7" ht="18" customHeight="1" x14ac:dyDescent="0.2">
      <c r="B83" s="404" t="s">
        <v>2212</v>
      </c>
      <c r="C83" s="407" t="s">
        <v>2320</v>
      </c>
      <c r="D83" s="404" t="str">
        <f>IFERROR(INDEX('Data Sheet'!$A$3:$A$26,MATCH(B83,'Data Sheet'!$B$3:$B$26,0)),"")</f>
        <v>Treatment, care and support</v>
      </c>
      <c r="E83" s="404" t="s">
        <v>2321</v>
      </c>
      <c r="F83" s="404" t="str">
        <f t="shared" si="0"/>
        <v>a1O36000001EGFHEA4-a1O36000001EGH4EAO</v>
      </c>
      <c r="G83" s="404" t="s">
        <v>2213</v>
      </c>
    </row>
    <row r="84" spans="2:7" ht="18" customHeight="1" x14ac:dyDescent="0.2">
      <c r="B84" s="404" t="s">
        <v>2212</v>
      </c>
      <c r="C84" s="407" t="s">
        <v>2322</v>
      </c>
      <c r="D84" s="404" t="str">
        <f>IFERROR(INDEX('Data Sheet'!$A$3:$A$26,MATCH(B84,'Data Sheet'!$B$3:$B$26,0)),"")</f>
        <v>Treatment, care and support</v>
      </c>
      <c r="E84" s="404" t="s">
        <v>2323</v>
      </c>
      <c r="F84" s="404" t="str">
        <f t="shared" si="0"/>
        <v>a1O36000001EGFHEA4-a1O36000001EGH3EAO</v>
      </c>
      <c r="G84" s="404" t="s">
        <v>2213</v>
      </c>
    </row>
    <row r="85" spans="2:7" ht="18" customHeight="1" x14ac:dyDescent="0.2">
      <c r="B85" s="404" t="s">
        <v>2212</v>
      </c>
      <c r="C85" s="407" t="s">
        <v>2324</v>
      </c>
      <c r="D85" s="404" t="str">
        <f>IFERROR(INDEX('Data Sheet'!$A$3:$A$26,MATCH(B85,'Data Sheet'!$B$3:$B$26,0)),"")</f>
        <v>Treatment, care and support</v>
      </c>
      <c r="E85" s="404" t="s">
        <v>2325</v>
      </c>
      <c r="F85" s="404" t="str">
        <f t="shared" si="0"/>
        <v>a1O36000001EGFHEA4-a1O36000001EGHBEA4</v>
      </c>
      <c r="G85" s="404" t="s">
        <v>2213</v>
      </c>
    </row>
    <row r="86" spans="2:7" ht="18" customHeight="1" x14ac:dyDescent="0.2">
      <c r="B86" s="404" t="s">
        <v>2212</v>
      </c>
      <c r="C86" s="407" t="s">
        <v>2326</v>
      </c>
      <c r="D86" s="404" t="str">
        <f>IFERROR(INDEX('Data Sheet'!$A$3:$A$26,MATCH(B86,'Data Sheet'!$B$3:$B$26,0)),"")</f>
        <v>Treatment, care and support</v>
      </c>
      <c r="E86" s="404" t="s">
        <v>2327</v>
      </c>
      <c r="F86" s="404" t="str">
        <f t="shared" si="0"/>
        <v>a1O36000001EGFHEA4-a1O36000001EGH7EAO</v>
      </c>
      <c r="G86" s="404" t="s">
        <v>2213</v>
      </c>
    </row>
    <row r="87" spans="2:7" ht="18" customHeight="1" x14ac:dyDescent="0.2">
      <c r="B87" s="404" t="s">
        <v>2212</v>
      </c>
      <c r="C87" s="407" t="s">
        <v>2328</v>
      </c>
      <c r="D87" s="404" t="str">
        <f>IFERROR(INDEX('Data Sheet'!$A$3:$A$26,MATCH(B87,'Data Sheet'!$B$3:$B$26,0)),"")</f>
        <v>Treatment, care and support</v>
      </c>
      <c r="E87" s="404" t="s">
        <v>2329</v>
      </c>
      <c r="F87" s="404" t="str">
        <f t="shared" si="0"/>
        <v>a1O36000001EGFHEA4-a1O36000001EGH6EAO</v>
      </c>
      <c r="G87" s="404" t="s">
        <v>2213</v>
      </c>
    </row>
    <row r="88" spans="2:7" ht="18" customHeight="1" x14ac:dyDescent="0.2">
      <c r="B88" s="404" t="s">
        <v>2212</v>
      </c>
      <c r="C88" s="407" t="s">
        <v>2330</v>
      </c>
      <c r="D88" s="404" t="str">
        <f>IFERROR(INDEX('Data Sheet'!$A$3:$A$26,MATCH(B88,'Data Sheet'!$B$3:$B$26,0)),"")</f>
        <v>Treatment, care and support</v>
      </c>
      <c r="E88" s="404" t="s">
        <v>2331</v>
      </c>
      <c r="F88" s="404" t="str">
        <f t="shared" si="0"/>
        <v>a1O36000001EGFHEA4-a1O36000001EGH5EAO</v>
      </c>
      <c r="G88" s="404" t="s">
        <v>2213</v>
      </c>
    </row>
    <row r="89" spans="2:7" ht="18" customHeight="1" x14ac:dyDescent="0.2">
      <c r="B89" s="404" t="s">
        <v>2212</v>
      </c>
      <c r="C89" s="407" t="s">
        <v>2332</v>
      </c>
      <c r="D89" s="404" t="str">
        <f>IFERROR(INDEX('Data Sheet'!$A$3:$A$26,MATCH(B89,'Data Sheet'!$B$3:$B$26,0)),"")</f>
        <v>Treatment, care and support</v>
      </c>
      <c r="E89" s="404" t="s">
        <v>2333</v>
      </c>
      <c r="F89" s="404" t="str">
        <f t="shared" si="0"/>
        <v>a1O36000001EGFHEA4-a1O36000001qZ8fEAE</v>
      </c>
      <c r="G89" s="404" t="s">
        <v>2213</v>
      </c>
    </row>
    <row r="90" spans="2:7" ht="18" customHeight="1" x14ac:dyDescent="0.2">
      <c r="B90" s="404" t="s">
        <v>2209</v>
      </c>
      <c r="C90" s="407" t="s">
        <v>2334</v>
      </c>
      <c r="D90" s="404" t="str">
        <f>IFERROR(INDEX('Data Sheet'!$A$3:$A$26,MATCH(B90,'Data Sheet'!$B$3:$B$26,0)),"")</f>
        <v>TB/HIV</v>
      </c>
      <c r="E90" s="404" t="s">
        <v>2335</v>
      </c>
      <c r="F90" s="404" t="str">
        <f t="shared" si="0"/>
        <v>a1O36000001EGFJEA4-a1O36000001EGHOEA4</v>
      </c>
      <c r="G90" s="404" t="s">
        <v>2210</v>
      </c>
    </row>
    <row r="91" spans="2:7" ht="18" customHeight="1" x14ac:dyDescent="0.2">
      <c r="B91" s="404" t="s">
        <v>2209</v>
      </c>
      <c r="C91" s="407" t="s">
        <v>2336</v>
      </c>
      <c r="D91" s="404" t="str">
        <f>IFERROR(INDEX('Data Sheet'!$A$3:$A$26,MATCH(B91,'Data Sheet'!$B$3:$B$26,0)),"")</f>
        <v>TB/HIV</v>
      </c>
      <c r="E91" s="404" t="s">
        <v>2337</v>
      </c>
      <c r="F91" s="404" t="str">
        <f t="shared" si="0"/>
        <v>a1O36000001EGFJEA4-a1O36000001EGHMEA4</v>
      </c>
      <c r="G91" s="404" t="s">
        <v>2210</v>
      </c>
    </row>
    <row r="92" spans="2:7" ht="18" customHeight="1" x14ac:dyDescent="0.2">
      <c r="B92" s="404" t="s">
        <v>2209</v>
      </c>
      <c r="C92" s="407" t="s">
        <v>2338</v>
      </c>
      <c r="D92" s="404" t="str">
        <f>IFERROR(INDEX('Data Sheet'!$A$3:$A$26,MATCH(B92,'Data Sheet'!$B$3:$B$26,0)),"")</f>
        <v>TB/HIV</v>
      </c>
      <c r="E92" s="404" t="s">
        <v>2339</v>
      </c>
      <c r="F92" s="404" t="str">
        <f t="shared" si="0"/>
        <v>a1O36000001EGFJEA4-a1O36000001EGHLEA4</v>
      </c>
      <c r="G92" s="404" t="s">
        <v>2210</v>
      </c>
    </row>
    <row r="93" spans="2:7" ht="18" customHeight="1" x14ac:dyDescent="0.2">
      <c r="B93" s="404" t="s">
        <v>2209</v>
      </c>
      <c r="C93" s="407" t="s">
        <v>2340</v>
      </c>
      <c r="D93" s="404" t="str">
        <f>IFERROR(INDEX('Data Sheet'!$A$3:$A$26,MATCH(B93,'Data Sheet'!$B$3:$B$26,0)),"")</f>
        <v>TB/HIV</v>
      </c>
      <c r="E93" s="404" t="s">
        <v>2341</v>
      </c>
      <c r="F93" s="404" t="str">
        <f t="shared" si="0"/>
        <v>a1O36000001EGFJEA4-a1O36000001EGHNEA4</v>
      </c>
      <c r="G93" s="404" t="s">
        <v>2210</v>
      </c>
    </row>
    <row r="94" spans="2:7" ht="18" customHeight="1" x14ac:dyDescent="0.2">
      <c r="B94" s="404" t="s">
        <v>2209</v>
      </c>
      <c r="C94" s="407" t="s">
        <v>2342</v>
      </c>
      <c r="D94" s="404" t="str">
        <f>IFERROR(INDEX('Data Sheet'!$A$3:$A$26,MATCH(B94,'Data Sheet'!$B$3:$B$26,0)),"")</f>
        <v>TB/HIV</v>
      </c>
      <c r="E94" s="404" t="s">
        <v>2343</v>
      </c>
      <c r="F94" s="404" t="str">
        <f t="shared" ref="F94:F157" si="1">CONCATENATE(G94,"-",E94)</f>
        <v>a1O36000001EGFJEA4-a1O36000001qZ8gEAE</v>
      </c>
      <c r="G94" s="404" t="s">
        <v>2210</v>
      </c>
    </row>
    <row r="95" spans="2:7" ht="18" customHeight="1" x14ac:dyDescent="0.2">
      <c r="B95" s="404" t="s">
        <v>2209</v>
      </c>
      <c r="C95" s="407" t="s">
        <v>2344</v>
      </c>
      <c r="D95" s="404" t="str">
        <f>IFERROR(INDEX('Data Sheet'!$A$3:$A$26,MATCH(B95,'Data Sheet'!$B$3:$B$26,0)),"")</f>
        <v>TB/HIV</v>
      </c>
      <c r="E95" s="404" t="s">
        <v>2345</v>
      </c>
      <c r="F95" s="404" t="str">
        <f t="shared" si="1"/>
        <v>a1O36000001EGFJEA4-a1O36000001EGHPEA4</v>
      </c>
      <c r="G95" s="404" t="s">
        <v>2210</v>
      </c>
    </row>
    <row r="96" spans="2:7" ht="18" customHeight="1" x14ac:dyDescent="0.2">
      <c r="B96" s="404" t="s">
        <v>2209</v>
      </c>
      <c r="C96" s="407" t="s">
        <v>2346</v>
      </c>
      <c r="D96" s="404" t="str">
        <f>IFERROR(INDEX('Data Sheet'!$A$3:$A$26,MATCH(B96,'Data Sheet'!$B$3:$B$26,0)),"")</f>
        <v>TB/HIV</v>
      </c>
      <c r="E96" s="404" t="s">
        <v>2347</v>
      </c>
      <c r="F96" s="404" t="str">
        <f t="shared" si="1"/>
        <v>a1O36000001EGFJEA4-a1O36000001qZ8hEAE</v>
      </c>
      <c r="G96" s="404" t="s">
        <v>2210</v>
      </c>
    </row>
    <row r="97" spans="2:7" ht="18" customHeight="1" x14ac:dyDescent="0.2">
      <c r="B97" s="404" t="s">
        <v>2209</v>
      </c>
      <c r="C97" s="407" t="s">
        <v>2348</v>
      </c>
      <c r="D97" s="404" t="str">
        <f>IFERROR(INDEX('Data Sheet'!$A$3:$A$26,MATCH(B97,'Data Sheet'!$B$3:$B$26,0)),"")</f>
        <v>TB/HIV</v>
      </c>
      <c r="E97" s="404" t="s">
        <v>2349</v>
      </c>
      <c r="F97" s="404" t="str">
        <f t="shared" si="1"/>
        <v>a1O36000001EGFJEA4-a1O36000001EGHKEA4</v>
      </c>
      <c r="G97" s="404" t="s">
        <v>2210</v>
      </c>
    </row>
    <row r="98" spans="2:7" ht="18" customHeight="1" x14ac:dyDescent="0.2">
      <c r="B98" s="404" t="s">
        <v>2200</v>
      </c>
      <c r="C98" s="407" t="s">
        <v>2350</v>
      </c>
      <c r="D98" s="404" t="str">
        <f>IFERROR(INDEX('Data Sheet'!$A$3:$A$26,MATCH(B98,'Data Sheet'!$B$3:$B$26,0)),"")</f>
        <v>RSSH: Integrated service delivery and quality improvement</v>
      </c>
      <c r="E98" s="404" t="s">
        <v>2351</v>
      </c>
      <c r="F98" s="404" t="str">
        <f t="shared" si="1"/>
        <v>a1O36000001EGFOEA4-a1O36000001EGHwEAO</v>
      </c>
      <c r="G98" s="404" t="s">
        <v>2201</v>
      </c>
    </row>
    <row r="99" spans="2:7" ht="18" customHeight="1" x14ac:dyDescent="0.2">
      <c r="B99" s="404" t="s">
        <v>2200</v>
      </c>
      <c r="C99" s="407" t="s">
        <v>2352</v>
      </c>
      <c r="D99" s="404" t="str">
        <f>IFERROR(INDEX('Data Sheet'!$A$3:$A$26,MATCH(B99,'Data Sheet'!$B$3:$B$26,0)),"")</f>
        <v>RSSH: Integrated service delivery and quality improvement</v>
      </c>
      <c r="E99" s="404" t="s">
        <v>2353</v>
      </c>
      <c r="F99" s="404" t="str">
        <f t="shared" si="1"/>
        <v>a1O36000001EGFOEA4-a1O36000001EGHvEAO</v>
      </c>
      <c r="G99" s="404" t="s">
        <v>2201</v>
      </c>
    </row>
    <row r="100" spans="2:7" ht="18" customHeight="1" x14ac:dyDescent="0.2">
      <c r="B100" s="404" t="s">
        <v>2200</v>
      </c>
      <c r="C100" s="407" t="s">
        <v>2354</v>
      </c>
      <c r="D100" s="404" t="str">
        <f>IFERROR(INDEX('Data Sheet'!$A$3:$A$26,MATCH(B100,'Data Sheet'!$B$3:$B$26,0)),"")</f>
        <v>RSSH: Integrated service delivery and quality improvement</v>
      </c>
      <c r="E100" s="404" t="s">
        <v>2355</v>
      </c>
      <c r="F100" s="404" t="str">
        <f t="shared" si="1"/>
        <v>a1O36000001EGFOEA4-a1O36000001EGHxEAO</v>
      </c>
      <c r="G100" s="404" t="s">
        <v>2201</v>
      </c>
    </row>
    <row r="101" spans="2:7" ht="18" customHeight="1" x14ac:dyDescent="0.2">
      <c r="B101" s="404" t="s">
        <v>2200</v>
      </c>
      <c r="C101" s="407" t="s">
        <v>2356</v>
      </c>
      <c r="D101" s="404" t="str">
        <f>IFERROR(INDEX('Data Sheet'!$A$3:$A$26,MATCH(B101,'Data Sheet'!$B$3:$B$26,0)),"")</f>
        <v>RSSH: Integrated service delivery and quality improvement</v>
      </c>
      <c r="E101" s="404" t="s">
        <v>2357</v>
      </c>
      <c r="F101" s="404" t="str">
        <f t="shared" si="1"/>
        <v>a1O36000001EGFOEA4-a1O36000001qZ91EAE</v>
      </c>
      <c r="G101" s="404" t="s">
        <v>2201</v>
      </c>
    </row>
    <row r="102" spans="2:7" ht="18" customHeight="1" x14ac:dyDescent="0.2">
      <c r="B102" s="404" t="s">
        <v>2200</v>
      </c>
      <c r="C102" s="407" t="s">
        <v>2358</v>
      </c>
      <c r="D102" s="404" t="str">
        <f>IFERROR(INDEX('Data Sheet'!$A$3:$A$26,MATCH(B102,'Data Sheet'!$B$3:$B$26,0)),"")</f>
        <v>RSSH: Integrated service delivery and quality improvement</v>
      </c>
      <c r="E102" s="404" t="s">
        <v>2359</v>
      </c>
      <c r="F102" s="404" t="str">
        <f t="shared" si="1"/>
        <v>a1O36000001EGFOEA4-a1O36000001EGHuEAO</v>
      </c>
      <c r="G102" s="404" t="s">
        <v>2201</v>
      </c>
    </row>
    <row r="103" spans="2:7" ht="18" customHeight="1" x14ac:dyDescent="0.2">
      <c r="B103" s="404" t="s">
        <v>2200</v>
      </c>
      <c r="C103" s="407" t="s">
        <v>2360</v>
      </c>
      <c r="D103" s="404" t="str">
        <f>IFERROR(INDEX('Data Sheet'!$A$3:$A$26,MATCH(B103,'Data Sheet'!$B$3:$B$26,0)),"")</f>
        <v>RSSH: Integrated service delivery and quality improvement</v>
      </c>
      <c r="E103" s="404" t="s">
        <v>2361</v>
      </c>
      <c r="F103" s="404" t="str">
        <f t="shared" si="1"/>
        <v>a1O36000001EGFOEA4-a1O36000001qZ90EAE</v>
      </c>
      <c r="G103" s="404" t="s">
        <v>2201</v>
      </c>
    </row>
    <row r="104" spans="2:7" ht="18" customHeight="1" x14ac:dyDescent="0.2">
      <c r="B104" s="404" t="s">
        <v>2197</v>
      </c>
      <c r="C104" s="407" t="s">
        <v>2362</v>
      </c>
      <c r="D104" s="404" t="str">
        <f>IFERROR(INDEX('Data Sheet'!$A$3:$A$26,MATCH(B104,'Data Sheet'!$B$3:$B$26,0)),"")</f>
        <v>RSSH: Human resources for health (HRH), including community health workers</v>
      </c>
      <c r="E104" s="404" t="s">
        <v>2363</v>
      </c>
      <c r="F104" s="404" t="str">
        <f t="shared" si="1"/>
        <v>a1O36000001EGFPEA4-a1O36000001EGHyEAO</v>
      </c>
      <c r="G104" s="404" t="s">
        <v>2198</v>
      </c>
    </row>
    <row r="105" spans="2:7" ht="18" customHeight="1" x14ac:dyDescent="0.2">
      <c r="B105" s="404" t="s">
        <v>2197</v>
      </c>
      <c r="C105" s="407" t="s">
        <v>2364</v>
      </c>
      <c r="D105" s="404" t="str">
        <f>IFERROR(INDEX('Data Sheet'!$A$3:$A$26,MATCH(B105,'Data Sheet'!$B$3:$B$26,0)),"")</f>
        <v>RSSH: Human resources for health (HRH), including community health workers</v>
      </c>
      <c r="E105" s="404" t="s">
        <v>2365</v>
      </c>
      <c r="F105" s="404" t="str">
        <f t="shared" si="1"/>
        <v>a1O36000001EGFPEA4-a1O36000001EGI1EAO</v>
      </c>
      <c r="G105" s="404" t="s">
        <v>2198</v>
      </c>
    </row>
    <row r="106" spans="2:7" ht="18" customHeight="1" x14ac:dyDescent="0.2">
      <c r="B106" s="404" t="s">
        <v>2197</v>
      </c>
      <c r="C106" s="407" t="s">
        <v>2366</v>
      </c>
      <c r="D106" s="404" t="str">
        <f>IFERROR(INDEX('Data Sheet'!$A$3:$A$26,MATCH(B106,'Data Sheet'!$B$3:$B$26,0)),"")</f>
        <v>RSSH: Human resources for health (HRH), including community health workers</v>
      </c>
      <c r="E106" s="404" t="s">
        <v>2367</v>
      </c>
      <c r="F106" s="404" t="str">
        <f t="shared" si="1"/>
        <v>a1O36000001EGFPEA4-a1O36000001EGHzEAO</v>
      </c>
      <c r="G106" s="404" t="s">
        <v>2198</v>
      </c>
    </row>
    <row r="107" spans="2:7" ht="18" customHeight="1" x14ac:dyDescent="0.2">
      <c r="B107" s="404" t="s">
        <v>2206</v>
      </c>
      <c r="C107" s="407" t="s">
        <v>2368</v>
      </c>
      <c r="D107" s="404" t="str">
        <f>IFERROR(INDEX('Data Sheet'!$A$3:$A$26,MATCH(B107,'Data Sheet'!$B$3:$B$26,0)),"")</f>
        <v>RSSH: Procurement and supply chain management systems</v>
      </c>
      <c r="E107" s="404" t="s">
        <v>2369</v>
      </c>
      <c r="F107" s="404" t="str">
        <f t="shared" si="1"/>
        <v>a1O36000001EGFQEA4-a1O36000001EGI2EAO</v>
      </c>
      <c r="G107" s="404" t="s">
        <v>2207</v>
      </c>
    </row>
    <row r="108" spans="2:7" ht="18" customHeight="1" x14ac:dyDescent="0.2">
      <c r="B108" s="404" t="s">
        <v>2206</v>
      </c>
      <c r="C108" s="407" t="s">
        <v>2370</v>
      </c>
      <c r="D108" s="404" t="str">
        <f>IFERROR(INDEX('Data Sheet'!$A$3:$A$26,MATCH(B108,'Data Sheet'!$B$3:$B$26,0)),"")</f>
        <v>RSSH: Procurement and supply chain management systems</v>
      </c>
      <c r="E108" s="404" t="s">
        <v>2371</v>
      </c>
      <c r="F108" s="404" t="str">
        <f t="shared" si="1"/>
        <v>a1O36000001EGFQEA4-a1O36000001qZ8yEAE</v>
      </c>
      <c r="G108" s="404" t="s">
        <v>2207</v>
      </c>
    </row>
    <row r="109" spans="2:7" ht="18" customHeight="1" x14ac:dyDescent="0.2">
      <c r="B109" s="404" t="s">
        <v>2206</v>
      </c>
      <c r="C109" s="407" t="s">
        <v>2372</v>
      </c>
      <c r="D109" s="404" t="str">
        <f>IFERROR(INDEX('Data Sheet'!$A$3:$A$26,MATCH(B109,'Data Sheet'!$B$3:$B$26,0)),"")</f>
        <v>RSSH: Procurement and supply chain management systems</v>
      </c>
      <c r="E109" s="404" t="s">
        <v>2373</v>
      </c>
      <c r="F109" s="404" t="str">
        <f t="shared" si="1"/>
        <v>a1O36000001EGFQEA4-a1O36000001EGI4EAO</v>
      </c>
      <c r="G109" s="404" t="s">
        <v>2207</v>
      </c>
    </row>
    <row r="110" spans="2:7" ht="18" customHeight="1" x14ac:dyDescent="0.2">
      <c r="B110" s="404" t="s">
        <v>2206</v>
      </c>
      <c r="C110" s="407" t="s">
        <v>2374</v>
      </c>
      <c r="D110" s="404" t="str">
        <f>IFERROR(INDEX('Data Sheet'!$A$3:$A$26,MATCH(B110,'Data Sheet'!$B$3:$B$26,0)),"")</f>
        <v>RSSH: Procurement and supply chain management systems</v>
      </c>
      <c r="E110" s="404" t="s">
        <v>2375</v>
      </c>
      <c r="F110" s="404" t="str">
        <f t="shared" si="1"/>
        <v>a1O36000001EGFQEA4-a1O36000001qZ8xEAE</v>
      </c>
      <c r="G110" s="404" t="s">
        <v>2207</v>
      </c>
    </row>
    <row r="111" spans="2:7" ht="18" customHeight="1" x14ac:dyDescent="0.2">
      <c r="B111" s="404" t="s">
        <v>2206</v>
      </c>
      <c r="C111" s="407" t="s">
        <v>2376</v>
      </c>
      <c r="D111" s="404" t="str">
        <f>IFERROR(INDEX('Data Sheet'!$A$3:$A$26,MATCH(B111,'Data Sheet'!$B$3:$B$26,0)),"")</f>
        <v>RSSH: Procurement and supply chain management systems</v>
      </c>
      <c r="E111" s="404" t="s">
        <v>2377</v>
      </c>
      <c r="F111" s="404" t="str">
        <f t="shared" si="1"/>
        <v>a1O36000001EGFQEA4-a1O36000001EGI3EAO</v>
      </c>
      <c r="G111" s="404" t="s">
        <v>2207</v>
      </c>
    </row>
    <row r="112" spans="2:7" ht="18" customHeight="1" x14ac:dyDescent="0.2">
      <c r="B112" s="404" t="s">
        <v>2191</v>
      </c>
      <c r="C112" s="407" t="s">
        <v>2378</v>
      </c>
      <c r="D112" s="404" t="str">
        <f>IFERROR(INDEX('Data Sheet'!$A$3:$A$26,MATCH(B112,'Data Sheet'!$B$3:$B$26,0)),"")</f>
        <v>RSSH: Financial management systems</v>
      </c>
      <c r="E112" s="404" t="s">
        <v>2379</v>
      </c>
      <c r="F112" s="404" t="str">
        <f t="shared" si="1"/>
        <v>a1O36000001EGFTEA4-a1O36000001EGICEA4</v>
      </c>
      <c r="G112" s="404" t="s">
        <v>2192</v>
      </c>
    </row>
    <row r="113" spans="2:7" ht="18" customHeight="1" x14ac:dyDescent="0.2">
      <c r="B113" s="404" t="s">
        <v>2191</v>
      </c>
      <c r="C113" s="407" t="s">
        <v>2380</v>
      </c>
      <c r="D113" s="404" t="str">
        <f>IFERROR(INDEX('Data Sheet'!$A$3:$A$26,MATCH(B113,'Data Sheet'!$B$3:$B$26,0)),"")</f>
        <v>RSSH: Financial management systems</v>
      </c>
      <c r="E113" s="404" t="s">
        <v>2381</v>
      </c>
      <c r="F113" s="404" t="str">
        <f t="shared" si="1"/>
        <v>a1O36000001EGFTEA4-a1O36000001EGIBEA4</v>
      </c>
      <c r="G113" s="404" t="s">
        <v>2192</v>
      </c>
    </row>
    <row r="114" spans="2:7" ht="18" customHeight="1" x14ac:dyDescent="0.2">
      <c r="B114" s="404" t="s">
        <v>2191</v>
      </c>
      <c r="C114" s="407" t="s">
        <v>2382</v>
      </c>
      <c r="D114" s="404" t="str">
        <f>IFERROR(INDEX('Data Sheet'!$A$3:$A$26,MATCH(B114,'Data Sheet'!$B$3:$B$26,0)),"")</f>
        <v>RSSH: Financial management systems</v>
      </c>
      <c r="E114" s="404" t="s">
        <v>2383</v>
      </c>
      <c r="F114" s="404" t="str">
        <f t="shared" si="1"/>
        <v>a1O36000001EGFTEA4-a1O36000001qZ92EAE</v>
      </c>
      <c r="G114" s="404" t="s">
        <v>2192</v>
      </c>
    </row>
    <row r="115" spans="2:7" ht="18" customHeight="1" x14ac:dyDescent="0.2">
      <c r="B115" s="404" t="s">
        <v>2188</v>
      </c>
      <c r="C115" s="407" t="s">
        <v>2384</v>
      </c>
      <c r="D115" s="404" t="str">
        <f>IFERROR(INDEX('Data Sheet'!$A$3:$A$26,MATCH(B115,'Data Sheet'!$B$3:$B$26,0)),"")</f>
        <v>RSSH: Community responses and systems</v>
      </c>
      <c r="E115" s="404" t="s">
        <v>2385</v>
      </c>
      <c r="F115" s="404" t="str">
        <f t="shared" si="1"/>
        <v>a1O36000001EGFVEA4-a1O36000001EGIKEA4</v>
      </c>
      <c r="G115" s="404" t="s">
        <v>2189</v>
      </c>
    </row>
    <row r="116" spans="2:7" ht="18" customHeight="1" x14ac:dyDescent="0.2">
      <c r="B116" s="404" t="s">
        <v>2188</v>
      </c>
      <c r="C116" s="407" t="s">
        <v>2386</v>
      </c>
      <c r="D116" s="404" t="str">
        <f>IFERROR(INDEX('Data Sheet'!$A$3:$A$26,MATCH(B116,'Data Sheet'!$B$3:$B$26,0)),"")</f>
        <v>RSSH: Community responses and systems</v>
      </c>
      <c r="E116" s="404" t="s">
        <v>2387</v>
      </c>
      <c r="F116" s="404" t="str">
        <f t="shared" si="1"/>
        <v>a1O36000001EGFVEA4-a1O36000001EGIJEA4</v>
      </c>
      <c r="G116" s="404" t="s">
        <v>2189</v>
      </c>
    </row>
    <row r="117" spans="2:7" ht="18" customHeight="1" x14ac:dyDescent="0.2">
      <c r="B117" s="404" t="s">
        <v>2188</v>
      </c>
      <c r="C117" s="407" t="s">
        <v>2388</v>
      </c>
      <c r="D117" s="404" t="str">
        <f>IFERROR(INDEX('Data Sheet'!$A$3:$A$26,MATCH(B117,'Data Sheet'!$B$3:$B$26,0)),"")</f>
        <v>RSSH: Community responses and systems</v>
      </c>
      <c r="E117" s="404" t="s">
        <v>2389</v>
      </c>
      <c r="F117" s="404" t="str">
        <f t="shared" si="1"/>
        <v>a1O36000001EGFVEA4-a1O36000001EGIMEA4</v>
      </c>
      <c r="G117" s="404" t="s">
        <v>2189</v>
      </c>
    </row>
    <row r="118" spans="2:7" ht="18" customHeight="1" x14ac:dyDescent="0.2">
      <c r="B118" s="404" t="s">
        <v>2188</v>
      </c>
      <c r="C118" s="407" t="s">
        <v>2390</v>
      </c>
      <c r="D118" s="404" t="str">
        <f>IFERROR(INDEX('Data Sheet'!$A$3:$A$26,MATCH(B118,'Data Sheet'!$B$3:$B$26,0)),"")</f>
        <v>RSSH: Community responses and systems</v>
      </c>
      <c r="E118" s="404" t="s">
        <v>2391</v>
      </c>
      <c r="F118" s="404" t="str">
        <f t="shared" si="1"/>
        <v>a1O36000001EGFVEA4-a1O36000001EGINEA4</v>
      </c>
      <c r="G118" s="404" t="s">
        <v>2189</v>
      </c>
    </row>
    <row r="119" spans="2:7" ht="18" customHeight="1" x14ac:dyDescent="0.2">
      <c r="B119" s="404" t="s">
        <v>2188</v>
      </c>
      <c r="C119" s="407" t="s">
        <v>2392</v>
      </c>
      <c r="D119" s="404" t="str">
        <f>IFERROR(INDEX('Data Sheet'!$A$3:$A$26,MATCH(B119,'Data Sheet'!$B$3:$B$26,0)),"")</f>
        <v>RSSH: Community responses and systems</v>
      </c>
      <c r="E119" s="404" t="s">
        <v>2393</v>
      </c>
      <c r="F119" s="404" t="str">
        <f t="shared" si="1"/>
        <v>a1O36000001EGFVEA4-a1O36000001EGILEA4</v>
      </c>
      <c r="G119" s="404" t="s">
        <v>2189</v>
      </c>
    </row>
    <row r="120" spans="2:7" ht="18" customHeight="1" x14ac:dyDescent="0.2">
      <c r="B120" s="404" t="s">
        <v>2194</v>
      </c>
      <c r="C120" s="407" t="s">
        <v>2394</v>
      </c>
      <c r="D120" s="404" t="str">
        <f>IFERROR(INDEX('Data Sheet'!$A$3:$A$26,MATCH(B120,'Data Sheet'!$B$3:$B$26,0)),"")</f>
        <v>RSSH: Health management information systems and M&amp;E</v>
      </c>
      <c r="E120" s="404" t="s">
        <v>2395</v>
      </c>
      <c r="F120" s="404" t="str">
        <f t="shared" si="1"/>
        <v>a1O36000001EGFWEA4-a1O36000001EGIREA4</v>
      </c>
      <c r="G120" s="404" t="s">
        <v>2195</v>
      </c>
    </row>
    <row r="121" spans="2:7" ht="18" customHeight="1" x14ac:dyDescent="0.2">
      <c r="B121" s="404" t="s">
        <v>2194</v>
      </c>
      <c r="C121" s="407" t="s">
        <v>2396</v>
      </c>
      <c r="D121" s="404" t="str">
        <f>IFERROR(INDEX('Data Sheet'!$A$3:$A$26,MATCH(B121,'Data Sheet'!$B$3:$B$26,0)),"")</f>
        <v>RSSH: Health management information systems and M&amp;E</v>
      </c>
      <c r="E121" s="404" t="s">
        <v>2397</v>
      </c>
      <c r="F121" s="404" t="str">
        <f t="shared" si="1"/>
        <v>a1O36000001EGFWEA4-a1O36000001EGIPEA4</v>
      </c>
      <c r="G121" s="404" t="s">
        <v>2195</v>
      </c>
    </row>
    <row r="122" spans="2:7" ht="18" customHeight="1" x14ac:dyDescent="0.2">
      <c r="B122" s="404" t="s">
        <v>2194</v>
      </c>
      <c r="C122" s="407" t="s">
        <v>2398</v>
      </c>
      <c r="D122" s="404" t="str">
        <f>IFERROR(INDEX('Data Sheet'!$A$3:$A$26,MATCH(B122,'Data Sheet'!$B$3:$B$26,0)),"")</f>
        <v>RSSH: Health management information systems and M&amp;E</v>
      </c>
      <c r="E122" s="404" t="s">
        <v>2399</v>
      </c>
      <c r="F122" s="404" t="str">
        <f t="shared" si="1"/>
        <v>a1O36000001EGFWEA4-a1O36000001EGITEA4</v>
      </c>
      <c r="G122" s="404" t="s">
        <v>2195</v>
      </c>
    </row>
    <row r="123" spans="2:7" ht="18" customHeight="1" x14ac:dyDescent="0.2">
      <c r="B123" s="404" t="s">
        <v>2194</v>
      </c>
      <c r="C123" s="407" t="s">
        <v>2400</v>
      </c>
      <c r="D123" s="404" t="str">
        <f>IFERROR(INDEX('Data Sheet'!$A$3:$A$26,MATCH(B123,'Data Sheet'!$B$3:$B$26,0)),"")</f>
        <v>RSSH: Health management information systems and M&amp;E</v>
      </c>
      <c r="E123" s="404" t="s">
        <v>2401</v>
      </c>
      <c r="F123" s="404" t="str">
        <f t="shared" si="1"/>
        <v>a1O36000001EGFWEA4-a1O36000001qZ8zEAE</v>
      </c>
      <c r="G123" s="404" t="s">
        <v>2195</v>
      </c>
    </row>
    <row r="124" spans="2:7" ht="18" customHeight="1" x14ac:dyDescent="0.2">
      <c r="B124" s="404" t="s">
        <v>2194</v>
      </c>
      <c r="C124" s="407" t="s">
        <v>2402</v>
      </c>
      <c r="D124" s="404" t="str">
        <f>IFERROR(INDEX('Data Sheet'!$A$3:$A$26,MATCH(B124,'Data Sheet'!$B$3:$B$26,0)),"")</f>
        <v>RSSH: Health management information systems and M&amp;E</v>
      </c>
      <c r="E124" s="404" t="s">
        <v>2403</v>
      </c>
      <c r="F124" s="404" t="str">
        <f t="shared" si="1"/>
        <v>a1O36000001EGFWEA4-a1O36000001EGIOEA4</v>
      </c>
      <c r="G124" s="404" t="s">
        <v>2195</v>
      </c>
    </row>
    <row r="125" spans="2:7" ht="18" customHeight="1" x14ac:dyDescent="0.2">
      <c r="B125" s="404" t="s">
        <v>2194</v>
      </c>
      <c r="C125" s="407" t="s">
        <v>2404</v>
      </c>
      <c r="D125" s="404" t="str">
        <f>IFERROR(INDEX('Data Sheet'!$A$3:$A$26,MATCH(B125,'Data Sheet'!$B$3:$B$26,0)),"")</f>
        <v>RSSH: Health management information systems and M&amp;E</v>
      </c>
      <c r="E125" s="404" t="s">
        <v>2405</v>
      </c>
      <c r="F125" s="404" t="str">
        <f t="shared" si="1"/>
        <v>a1O36000001EGFWEA4-a1O36000001EGIQEA4</v>
      </c>
      <c r="G125" s="404" t="s">
        <v>2195</v>
      </c>
    </row>
    <row r="126" spans="2:7" ht="18" customHeight="1" x14ac:dyDescent="0.2">
      <c r="B126" s="404" t="s">
        <v>2194</v>
      </c>
      <c r="C126" s="407" t="s">
        <v>2406</v>
      </c>
      <c r="D126" s="404" t="str">
        <f>IFERROR(INDEX('Data Sheet'!$A$3:$A$26,MATCH(B126,'Data Sheet'!$B$3:$B$26,0)),"")</f>
        <v>RSSH: Health management information systems and M&amp;E</v>
      </c>
      <c r="E126" s="404" t="s">
        <v>2407</v>
      </c>
      <c r="F126" s="404" t="str">
        <f t="shared" si="1"/>
        <v>a1O36000001EGFWEA4-a1O36000001EGISEA4</v>
      </c>
      <c r="G126" s="404" t="s">
        <v>2195</v>
      </c>
    </row>
    <row r="127" spans="2:7" ht="18" customHeight="1" x14ac:dyDescent="0.2">
      <c r="B127" s="404" t="s">
        <v>2182</v>
      </c>
      <c r="C127" s="407" t="s">
        <v>2408</v>
      </c>
      <c r="D127" s="404" t="str">
        <f>IFERROR(INDEX('Data Sheet'!$A$3:$A$26,MATCH(B127,'Data Sheet'!$B$3:$B$26,0)),"")</f>
        <v>Program management</v>
      </c>
      <c r="E127" s="404" t="s">
        <v>2409</v>
      </c>
      <c r="F127" s="404" t="str">
        <f t="shared" si="1"/>
        <v>a1O36000001EGFXEA4-a1O36000001EGIVEA4</v>
      </c>
      <c r="G127" s="404" t="s">
        <v>2183</v>
      </c>
    </row>
    <row r="128" spans="2:7" ht="18" customHeight="1" x14ac:dyDescent="0.2">
      <c r="B128" s="404" t="s">
        <v>2182</v>
      </c>
      <c r="C128" s="407" t="s">
        <v>2410</v>
      </c>
      <c r="D128" s="404" t="str">
        <f>IFERROR(INDEX('Data Sheet'!$A$3:$A$26,MATCH(B128,'Data Sheet'!$B$3:$B$26,0)),"")</f>
        <v>Program management</v>
      </c>
      <c r="E128" s="404" t="s">
        <v>2411</v>
      </c>
      <c r="F128" s="404" t="str">
        <f t="shared" si="1"/>
        <v>a1O36000001EGFXEA4-a1O36000001EGIXEA4</v>
      </c>
      <c r="G128" s="404" t="s">
        <v>2183</v>
      </c>
    </row>
    <row r="129" spans="2:7" ht="18" customHeight="1" x14ac:dyDescent="0.2">
      <c r="B129" s="404" t="s">
        <v>2182</v>
      </c>
      <c r="C129" s="407" t="s">
        <v>2412</v>
      </c>
      <c r="D129" s="404" t="str">
        <f>IFERROR(INDEX('Data Sheet'!$A$3:$A$26,MATCH(B129,'Data Sheet'!$B$3:$B$26,0)),"")</f>
        <v>Program management</v>
      </c>
      <c r="E129" s="404" t="s">
        <v>2413</v>
      </c>
      <c r="F129" s="404" t="str">
        <f t="shared" si="1"/>
        <v>a1O36000001EGFXEA4-a1O36000001EGIUEA4</v>
      </c>
      <c r="G129" s="404" t="s">
        <v>2183</v>
      </c>
    </row>
    <row r="130" spans="2:7" ht="18" customHeight="1" x14ac:dyDescent="0.2">
      <c r="B130" s="404" t="s">
        <v>2167</v>
      </c>
      <c r="C130" s="407" t="s">
        <v>2166</v>
      </c>
      <c r="D130" s="404" t="str">
        <f>IFERROR(INDEX('Data Sheet'!$A$3:$A$26,MATCH(B130,'Data Sheet'!$B$3:$B$26,0)),"")</f>
        <v>Payment for results</v>
      </c>
      <c r="E130" s="404" t="s">
        <v>2414</v>
      </c>
      <c r="F130" s="404" t="str">
        <f t="shared" si="1"/>
        <v>a1O36000001EGFYEA4-a1O36000001EGIYEA4</v>
      </c>
      <c r="G130" s="404" t="s">
        <v>2168</v>
      </c>
    </row>
    <row r="131" spans="2:7" ht="18" customHeight="1" x14ac:dyDescent="0.2">
      <c r="B131" s="404" t="s">
        <v>2158</v>
      </c>
      <c r="C131" s="407" t="s">
        <v>2415</v>
      </c>
      <c r="D131" s="404" t="str">
        <f>IFERROR(INDEX('Data Sheet'!$A$3:$A$26,MATCH(B131,'Data Sheet'!$B$3:$B$26,0)),"")</f>
        <v>Comprehensive prevention programs for TGs</v>
      </c>
      <c r="E131" s="404" t="s">
        <v>2416</v>
      </c>
      <c r="F131" s="404" t="str">
        <f t="shared" si="1"/>
        <v>a1O36000001qZ7sEAE-a1O36000001qZ8EEAU</v>
      </c>
      <c r="G131" s="404" t="s">
        <v>2159</v>
      </c>
    </row>
    <row r="132" spans="2:7" ht="18" customHeight="1" x14ac:dyDescent="0.2">
      <c r="B132" s="404" t="s">
        <v>2158</v>
      </c>
      <c r="C132" s="407" t="s">
        <v>2417</v>
      </c>
      <c r="D132" s="404" t="str">
        <f>IFERROR(INDEX('Data Sheet'!$A$3:$A$26,MATCH(B132,'Data Sheet'!$B$3:$B$26,0)),"")</f>
        <v>Comprehensive prevention programs for TGs</v>
      </c>
      <c r="E132" s="404" t="s">
        <v>2418</v>
      </c>
      <c r="F132" s="404" t="str">
        <f t="shared" si="1"/>
        <v>a1O36000001qZ7sEAE-a1O36000001qZ8FEAU</v>
      </c>
      <c r="G132" s="404" t="s">
        <v>2159</v>
      </c>
    </row>
    <row r="133" spans="2:7" ht="18" customHeight="1" x14ac:dyDescent="0.2">
      <c r="B133" s="404" t="s">
        <v>2158</v>
      </c>
      <c r="C133" s="407" t="s">
        <v>2419</v>
      </c>
      <c r="D133" s="404" t="str">
        <f>IFERROR(INDEX('Data Sheet'!$A$3:$A$26,MATCH(B133,'Data Sheet'!$B$3:$B$26,0)),"")</f>
        <v>Comprehensive prevention programs for TGs</v>
      </c>
      <c r="E133" s="404" t="s">
        <v>2420</v>
      </c>
      <c r="F133" s="404" t="str">
        <f t="shared" si="1"/>
        <v>a1O36000001qZ7sEAE-a1O36000001qZ8DEAU</v>
      </c>
      <c r="G133" s="404" t="s">
        <v>2159</v>
      </c>
    </row>
    <row r="134" spans="2:7" ht="18" customHeight="1" x14ac:dyDescent="0.2">
      <c r="B134" s="404" t="s">
        <v>2158</v>
      </c>
      <c r="C134" s="407" t="s">
        <v>2421</v>
      </c>
      <c r="D134" s="404" t="str">
        <f>IFERROR(INDEX('Data Sheet'!$A$3:$A$26,MATCH(B134,'Data Sheet'!$B$3:$B$26,0)),"")</f>
        <v>Comprehensive prevention programs for TGs</v>
      </c>
      <c r="E134" s="404" t="s">
        <v>2422</v>
      </c>
      <c r="F134" s="404" t="str">
        <f t="shared" si="1"/>
        <v>a1O36000001qZ7sEAE-a1O36000001qZ8GEAU</v>
      </c>
      <c r="G134" s="404" t="s">
        <v>2159</v>
      </c>
    </row>
    <row r="135" spans="2:7" ht="18" customHeight="1" x14ac:dyDescent="0.2">
      <c r="B135" s="404" t="s">
        <v>2158</v>
      </c>
      <c r="C135" s="407" t="s">
        <v>2423</v>
      </c>
      <c r="D135" s="404" t="str">
        <f>IFERROR(INDEX('Data Sheet'!$A$3:$A$26,MATCH(B135,'Data Sheet'!$B$3:$B$26,0)),"")</f>
        <v>Comprehensive prevention programs for TGs</v>
      </c>
      <c r="E135" s="404" t="s">
        <v>2424</v>
      </c>
      <c r="F135" s="404" t="str">
        <f t="shared" si="1"/>
        <v>a1O36000001qZ7sEAE-a1O36000001qZ8KEAU</v>
      </c>
      <c r="G135" s="404" t="s">
        <v>2159</v>
      </c>
    </row>
    <row r="136" spans="2:7" ht="18" customHeight="1" x14ac:dyDescent="0.2">
      <c r="B136" s="404" t="s">
        <v>2158</v>
      </c>
      <c r="C136" s="407" t="s">
        <v>2425</v>
      </c>
      <c r="D136" s="404" t="str">
        <f>IFERROR(INDEX('Data Sheet'!$A$3:$A$26,MATCH(B136,'Data Sheet'!$B$3:$B$26,0)),"")</f>
        <v>Comprehensive prevention programs for TGs</v>
      </c>
      <c r="E136" s="404" t="s">
        <v>2426</v>
      </c>
      <c r="F136" s="404" t="str">
        <f t="shared" si="1"/>
        <v>a1O36000001qZ7sEAE-a1O36000001qZ8IEAU</v>
      </c>
      <c r="G136" s="404" t="s">
        <v>2159</v>
      </c>
    </row>
    <row r="137" spans="2:7" ht="18" customHeight="1" x14ac:dyDescent="0.2">
      <c r="B137" s="404" t="s">
        <v>2158</v>
      </c>
      <c r="C137" s="407" t="s">
        <v>2427</v>
      </c>
      <c r="D137" s="404" t="str">
        <f>IFERROR(INDEX('Data Sheet'!$A$3:$A$26,MATCH(B137,'Data Sheet'!$B$3:$B$26,0)),"")</f>
        <v>Comprehensive prevention programs for TGs</v>
      </c>
      <c r="E137" s="404" t="s">
        <v>2428</v>
      </c>
      <c r="F137" s="404" t="str">
        <f t="shared" si="1"/>
        <v>a1O36000001qZ7sEAE-a1O36000001qZ8JEAU</v>
      </c>
      <c r="G137" s="404" t="s">
        <v>2159</v>
      </c>
    </row>
    <row r="138" spans="2:7" ht="18" customHeight="1" x14ac:dyDescent="0.2">
      <c r="B138" s="404" t="s">
        <v>2158</v>
      </c>
      <c r="C138" s="407" t="s">
        <v>2429</v>
      </c>
      <c r="D138" s="404" t="str">
        <f>IFERROR(INDEX('Data Sheet'!$A$3:$A$26,MATCH(B138,'Data Sheet'!$B$3:$B$26,0)),"")</f>
        <v>Comprehensive prevention programs for TGs</v>
      </c>
      <c r="E138" s="404" t="s">
        <v>2430</v>
      </c>
      <c r="F138" s="404" t="str">
        <f t="shared" si="1"/>
        <v>a1O36000001qZ7sEAE-a1O36000001qZ8MEAU</v>
      </c>
      <c r="G138" s="404" t="s">
        <v>2159</v>
      </c>
    </row>
    <row r="139" spans="2:7" ht="18" customHeight="1" x14ac:dyDescent="0.2">
      <c r="B139" s="404" t="s">
        <v>2158</v>
      </c>
      <c r="C139" s="407" t="s">
        <v>2431</v>
      </c>
      <c r="D139" s="404" t="str">
        <f>IFERROR(INDEX('Data Sheet'!$A$3:$A$26,MATCH(B139,'Data Sheet'!$B$3:$B$26,0)),"")</f>
        <v>Comprehensive prevention programs for TGs</v>
      </c>
      <c r="E139" s="404" t="s">
        <v>2432</v>
      </c>
      <c r="F139" s="404" t="str">
        <f t="shared" si="1"/>
        <v>a1O36000001qZ7sEAE-a1O36000001qZ8NEAU</v>
      </c>
      <c r="G139" s="404" t="s">
        <v>2159</v>
      </c>
    </row>
    <row r="140" spans="2:7" ht="18" customHeight="1" x14ac:dyDescent="0.2">
      <c r="B140" s="404" t="s">
        <v>2158</v>
      </c>
      <c r="C140" s="407" t="s">
        <v>2433</v>
      </c>
      <c r="D140" s="404" t="str">
        <f>IFERROR(INDEX('Data Sheet'!$A$3:$A$26,MATCH(B140,'Data Sheet'!$B$3:$B$26,0)),"")</f>
        <v>Comprehensive prevention programs for TGs</v>
      </c>
      <c r="E140" s="404" t="s">
        <v>2434</v>
      </c>
      <c r="F140" s="404" t="str">
        <f t="shared" si="1"/>
        <v>a1O36000001qZ7sEAE-a1O36000001qZ8HEAU</v>
      </c>
      <c r="G140" s="404" t="s">
        <v>2159</v>
      </c>
    </row>
    <row r="141" spans="2:7" ht="18" customHeight="1" x14ac:dyDescent="0.2">
      <c r="B141" s="404" t="s">
        <v>2158</v>
      </c>
      <c r="C141" s="407" t="s">
        <v>2435</v>
      </c>
      <c r="D141" s="404" t="str">
        <f>IFERROR(INDEX('Data Sheet'!$A$3:$A$26,MATCH(B141,'Data Sheet'!$B$3:$B$26,0)),"")</f>
        <v>Comprehensive prevention programs for TGs</v>
      </c>
      <c r="E141" s="404" t="s">
        <v>2436</v>
      </c>
      <c r="F141" s="404" t="str">
        <f t="shared" si="1"/>
        <v>a1O36000001qZ7sEAE-a1O36000001qZ8LEAU</v>
      </c>
      <c r="G141" s="404" t="s">
        <v>2159</v>
      </c>
    </row>
    <row r="142" spans="2:7" ht="18" customHeight="1" x14ac:dyDescent="0.2">
      <c r="B142" s="404" t="s">
        <v>2161</v>
      </c>
      <c r="C142" s="407" t="s">
        <v>2437</v>
      </c>
      <c r="D142" s="404" t="str">
        <f>IFERROR(INDEX('Data Sheet'!$A$3:$A$26,MATCH(B142,'Data Sheet'!$B$3:$B$26,0)),"")</f>
        <v>Comprehensive programs for people in prisons and other closed settings</v>
      </c>
      <c r="E142" s="404" t="s">
        <v>2438</v>
      </c>
      <c r="F142" s="404" t="str">
        <f t="shared" si="1"/>
        <v>a1O36000001qZ7tEAE-a1O36000001qZ8PEAU</v>
      </c>
      <c r="G142" s="404" t="s">
        <v>2162</v>
      </c>
    </row>
    <row r="143" spans="2:7" ht="18" customHeight="1" x14ac:dyDescent="0.2">
      <c r="B143" s="404" t="s">
        <v>2161</v>
      </c>
      <c r="C143" s="407" t="s">
        <v>2439</v>
      </c>
      <c r="D143" s="404" t="str">
        <f>IFERROR(INDEX('Data Sheet'!$A$3:$A$26,MATCH(B143,'Data Sheet'!$B$3:$B$26,0)),"")</f>
        <v>Comprehensive programs for people in prisons and other closed settings</v>
      </c>
      <c r="E143" s="404" t="s">
        <v>2440</v>
      </c>
      <c r="F143" s="404" t="str">
        <f t="shared" si="1"/>
        <v>a1O36000001qZ7tEAE-a1O36000001qZ8QEAU</v>
      </c>
      <c r="G143" s="404" t="s">
        <v>2162</v>
      </c>
    </row>
    <row r="144" spans="2:7" ht="18" customHeight="1" x14ac:dyDescent="0.2">
      <c r="B144" s="404" t="s">
        <v>2161</v>
      </c>
      <c r="C144" s="407" t="s">
        <v>2441</v>
      </c>
      <c r="D144" s="404" t="str">
        <f>IFERROR(INDEX('Data Sheet'!$A$3:$A$26,MATCH(B144,'Data Sheet'!$B$3:$B$26,0)),"")</f>
        <v>Comprehensive programs for people in prisons and other closed settings</v>
      </c>
      <c r="E144" s="404" t="s">
        <v>2442</v>
      </c>
      <c r="F144" s="404" t="str">
        <f t="shared" si="1"/>
        <v>a1O36000001qZ7tEAE-a1O36000001qZ8OEAU</v>
      </c>
      <c r="G144" s="404" t="s">
        <v>2162</v>
      </c>
    </row>
    <row r="145" spans="2:7" ht="18" customHeight="1" x14ac:dyDescent="0.2">
      <c r="B145" s="404" t="s">
        <v>2161</v>
      </c>
      <c r="C145" s="407" t="s">
        <v>2443</v>
      </c>
      <c r="D145" s="404" t="str">
        <f>IFERROR(INDEX('Data Sheet'!$A$3:$A$26,MATCH(B145,'Data Sheet'!$B$3:$B$26,0)),"")</f>
        <v>Comprehensive programs for people in prisons and other closed settings</v>
      </c>
      <c r="E145" s="404" t="s">
        <v>2444</v>
      </c>
      <c r="F145" s="404" t="str">
        <f t="shared" si="1"/>
        <v>a1O36000001qZ7tEAE-a1O36000001qZ8REAU</v>
      </c>
      <c r="G145" s="404" t="s">
        <v>2162</v>
      </c>
    </row>
    <row r="146" spans="2:7" ht="18" customHeight="1" x14ac:dyDescent="0.2">
      <c r="B146" s="404" t="s">
        <v>2161</v>
      </c>
      <c r="C146" s="407" t="s">
        <v>2445</v>
      </c>
      <c r="D146" s="404" t="str">
        <f>IFERROR(INDEX('Data Sheet'!$A$3:$A$26,MATCH(B146,'Data Sheet'!$B$3:$B$26,0)),"")</f>
        <v>Comprehensive programs for people in prisons and other closed settings</v>
      </c>
      <c r="E146" s="404" t="s">
        <v>2446</v>
      </c>
      <c r="F146" s="404" t="str">
        <f t="shared" si="1"/>
        <v>a1O36000001qZ7tEAE-a1O36000001qZ8VEAU</v>
      </c>
      <c r="G146" s="404" t="s">
        <v>2162</v>
      </c>
    </row>
    <row r="147" spans="2:7" ht="18" customHeight="1" x14ac:dyDescent="0.2">
      <c r="B147" s="404" t="s">
        <v>2161</v>
      </c>
      <c r="C147" s="407" t="s">
        <v>2447</v>
      </c>
      <c r="D147" s="404" t="str">
        <f>IFERROR(INDEX('Data Sheet'!$A$3:$A$26,MATCH(B147,'Data Sheet'!$B$3:$B$26,0)),"")</f>
        <v>Comprehensive programs for people in prisons and other closed settings</v>
      </c>
      <c r="E147" s="404" t="s">
        <v>2448</v>
      </c>
      <c r="F147" s="404" t="str">
        <f t="shared" si="1"/>
        <v>a1O36000001qZ7tEAE-a1O36000001qZ8TEAU</v>
      </c>
      <c r="G147" s="404" t="s">
        <v>2162</v>
      </c>
    </row>
    <row r="148" spans="2:7" ht="18" customHeight="1" x14ac:dyDescent="0.2">
      <c r="B148" s="404" t="s">
        <v>2161</v>
      </c>
      <c r="C148" s="407" t="s">
        <v>2449</v>
      </c>
      <c r="D148" s="404" t="str">
        <f>IFERROR(INDEX('Data Sheet'!$A$3:$A$26,MATCH(B148,'Data Sheet'!$B$3:$B$26,0)),"")</f>
        <v>Comprehensive programs for people in prisons and other closed settings</v>
      </c>
      <c r="E148" s="404" t="s">
        <v>2450</v>
      </c>
      <c r="F148" s="404" t="str">
        <f t="shared" si="1"/>
        <v>a1O36000001qZ7tEAE-a1O36000001qZ8UEAU</v>
      </c>
      <c r="G148" s="404" t="s">
        <v>2162</v>
      </c>
    </row>
    <row r="149" spans="2:7" ht="18" customHeight="1" x14ac:dyDescent="0.2">
      <c r="B149" s="404" t="s">
        <v>2161</v>
      </c>
      <c r="C149" s="407" t="s">
        <v>2451</v>
      </c>
      <c r="D149" s="404" t="str">
        <f>IFERROR(INDEX('Data Sheet'!$A$3:$A$26,MATCH(B149,'Data Sheet'!$B$3:$B$26,0)),"")</f>
        <v>Comprehensive programs for people in prisons and other closed settings</v>
      </c>
      <c r="E149" s="404" t="s">
        <v>2452</v>
      </c>
      <c r="F149" s="404" t="str">
        <f t="shared" si="1"/>
        <v>a1O36000001qZ7tEAE-a1O36000001qZ8XEAU</v>
      </c>
      <c r="G149" s="404" t="s">
        <v>2162</v>
      </c>
    </row>
    <row r="150" spans="2:7" ht="18" customHeight="1" x14ac:dyDescent="0.2">
      <c r="B150" s="404" t="s">
        <v>2161</v>
      </c>
      <c r="C150" s="407" t="s">
        <v>2453</v>
      </c>
      <c r="D150" s="404" t="str">
        <f>IFERROR(INDEX('Data Sheet'!$A$3:$A$26,MATCH(B150,'Data Sheet'!$B$3:$B$26,0)),"")</f>
        <v>Comprehensive programs for people in prisons and other closed settings</v>
      </c>
      <c r="E150" s="404" t="s">
        <v>2454</v>
      </c>
      <c r="F150" s="404" t="str">
        <f t="shared" si="1"/>
        <v>a1O36000001qZ7tEAE-a1O36000001qZ8SEAU</v>
      </c>
      <c r="G150" s="404" t="s">
        <v>2162</v>
      </c>
    </row>
    <row r="151" spans="2:7" ht="18" customHeight="1" x14ac:dyDescent="0.2">
      <c r="B151" s="404" t="s">
        <v>2161</v>
      </c>
      <c r="C151" s="407" t="s">
        <v>2455</v>
      </c>
      <c r="D151" s="404" t="str">
        <f>IFERROR(INDEX('Data Sheet'!$A$3:$A$26,MATCH(B151,'Data Sheet'!$B$3:$B$26,0)),"")</f>
        <v>Comprehensive programs for people in prisons and other closed settings</v>
      </c>
      <c r="E151" s="404" t="s">
        <v>2456</v>
      </c>
      <c r="F151" s="404" t="str">
        <f t="shared" si="1"/>
        <v>a1O36000001qZ7tEAE-a1O36000001qZ8WEAU</v>
      </c>
      <c r="G151" s="404" t="s">
        <v>2162</v>
      </c>
    </row>
    <row r="152" spans="2:7" ht="18" customHeight="1" x14ac:dyDescent="0.2">
      <c r="B152" s="404" t="s">
        <v>2164</v>
      </c>
      <c r="C152" s="407" t="s">
        <v>2457</v>
      </c>
      <c r="D152" s="404" t="str">
        <f>IFERROR(INDEX('Data Sheet'!$A$3:$A$26,MATCH(B152,'Data Sheet'!$B$3:$B$26,0)),"")</f>
        <v>HIV Testing Services</v>
      </c>
      <c r="E152" s="404" t="s">
        <v>2458</v>
      </c>
      <c r="F152" s="404" t="str">
        <f t="shared" si="1"/>
        <v>a1O36000001qZ7uEAE-a1O36000001qZ8eEAE</v>
      </c>
      <c r="G152" s="404" t="s">
        <v>2165</v>
      </c>
    </row>
    <row r="153" spans="2:7" ht="18" customHeight="1" x14ac:dyDescent="0.2">
      <c r="B153" s="404" t="s">
        <v>2149</v>
      </c>
      <c r="C153" s="407" t="s">
        <v>2459</v>
      </c>
      <c r="D153" s="404" t="str">
        <f>IFERROR(INDEX('Data Sheet'!$A$3:$A$26,MATCH(B153,'Data Sheet'!$B$3:$B$26,0)),"")</f>
        <v>Comprehensive prevention programs for MSM</v>
      </c>
      <c r="E153" s="404" t="s">
        <v>2460</v>
      </c>
      <c r="F153" s="404" t="str">
        <f t="shared" si="1"/>
        <v>a1O36000001qZ7vEAE-a1O36000001qZ80EAE</v>
      </c>
      <c r="G153" s="404" t="s">
        <v>2150</v>
      </c>
    </row>
    <row r="154" spans="2:7" ht="18" customHeight="1" x14ac:dyDescent="0.2">
      <c r="B154" s="404" t="s">
        <v>2149</v>
      </c>
      <c r="C154" s="407" t="s">
        <v>2461</v>
      </c>
      <c r="D154" s="404" t="str">
        <f>IFERROR(INDEX('Data Sheet'!$A$3:$A$26,MATCH(B154,'Data Sheet'!$B$3:$B$26,0)),"")</f>
        <v>Comprehensive prevention programs for MSM</v>
      </c>
      <c r="E154" s="404" t="s">
        <v>2462</v>
      </c>
      <c r="F154" s="404" t="str">
        <f t="shared" si="1"/>
        <v>a1O36000001qZ7vEAE-a1O36000001qZ94EAE</v>
      </c>
      <c r="G154" s="404" t="s">
        <v>2150</v>
      </c>
    </row>
    <row r="155" spans="2:7" ht="18" customHeight="1" x14ac:dyDescent="0.2">
      <c r="B155" s="404" t="s">
        <v>2149</v>
      </c>
      <c r="C155" s="407" t="s">
        <v>2463</v>
      </c>
      <c r="D155" s="404" t="str">
        <f>IFERROR(INDEX('Data Sheet'!$A$3:$A$26,MATCH(B155,'Data Sheet'!$B$3:$B$26,0)),"")</f>
        <v>Comprehensive prevention programs for MSM</v>
      </c>
      <c r="E155" s="404" t="s">
        <v>2464</v>
      </c>
      <c r="F155" s="404" t="str">
        <f t="shared" si="1"/>
        <v>a1O36000001qZ7vEAE-a1O36000001qZ7zEAE</v>
      </c>
      <c r="G155" s="404" t="s">
        <v>2150</v>
      </c>
    </row>
    <row r="156" spans="2:7" ht="18" customHeight="1" x14ac:dyDescent="0.2">
      <c r="B156" s="404" t="s">
        <v>2149</v>
      </c>
      <c r="C156" s="407" t="s">
        <v>2465</v>
      </c>
      <c r="D156" s="404" t="str">
        <f>IFERROR(INDEX('Data Sheet'!$A$3:$A$26,MATCH(B156,'Data Sheet'!$B$3:$B$26,0)),"")</f>
        <v>Comprehensive prevention programs for MSM</v>
      </c>
      <c r="E156" s="404" t="s">
        <v>2466</v>
      </c>
      <c r="F156" s="404" t="str">
        <f t="shared" si="1"/>
        <v>a1O36000001qZ7vEAE-a1O36000001qZ95EAE</v>
      </c>
      <c r="G156" s="404" t="s">
        <v>2150</v>
      </c>
    </row>
    <row r="157" spans="2:7" ht="18" customHeight="1" x14ac:dyDescent="0.2">
      <c r="B157" s="404" t="s">
        <v>2149</v>
      </c>
      <c r="C157" s="407" t="s">
        <v>2467</v>
      </c>
      <c r="D157" s="404" t="str">
        <f>IFERROR(INDEX('Data Sheet'!$A$3:$A$26,MATCH(B157,'Data Sheet'!$B$3:$B$26,0)),"")</f>
        <v>Comprehensive prevention programs for MSM</v>
      </c>
      <c r="E157" s="404" t="s">
        <v>2468</v>
      </c>
      <c r="F157" s="404" t="str">
        <f t="shared" si="1"/>
        <v>a1O36000001qZ7vEAE-a1O36000001qZ97EAE</v>
      </c>
      <c r="G157" s="404" t="s">
        <v>2150</v>
      </c>
    </row>
    <row r="158" spans="2:7" ht="18" customHeight="1" x14ac:dyDescent="0.2">
      <c r="B158" s="404" t="s">
        <v>2149</v>
      </c>
      <c r="C158" s="407" t="s">
        <v>2469</v>
      </c>
      <c r="D158" s="404" t="str">
        <f>IFERROR(INDEX('Data Sheet'!$A$3:$A$26,MATCH(B158,'Data Sheet'!$B$3:$B$26,0)),"")</f>
        <v>Comprehensive prevention programs for MSM</v>
      </c>
      <c r="E158" s="404" t="s">
        <v>2470</v>
      </c>
      <c r="F158" s="404" t="str">
        <f t="shared" ref="F158:F173" si="2">CONCATENATE(G158,"-",E158)</f>
        <v>a1O36000001qZ7vEAE-a1O36000001qZ82EAE</v>
      </c>
      <c r="G158" s="404" t="s">
        <v>2150</v>
      </c>
    </row>
    <row r="159" spans="2:7" ht="18" customHeight="1" x14ac:dyDescent="0.2">
      <c r="B159" s="404" t="s">
        <v>2149</v>
      </c>
      <c r="C159" s="407" t="s">
        <v>2471</v>
      </c>
      <c r="D159" s="404" t="str">
        <f>IFERROR(INDEX('Data Sheet'!$A$3:$A$26,MATCH(B159,'Data Sheet'!$B$3:$B$26,0)),"")</f>
        <v>Comprehensive prevention programs for MSM</v>
      </c>
      <c r="E159" s="404" t="s">
        <v>2472</v>
      </c>
      <c r="F159" s="404" t="str">
        <f t="shared" si="2"/>
        <v>a1O36000001qZ7vEAE-a1O36000001qZ96EAE</v>
      </c>
      <c r="G159" s="404" t="s">
        <v>2150</v>
      </c>
    </row>
    <row r="160" spans="2:7" ht="18" customHeight="1" x14ac:dyDescent="0.2">
      <c r="B160" s="404" t="s">
        <v>2149</v>
      </c>
      <c r="C160" s="407" t="s">
        <v>2473</v>
      </c>
      <c r="D160" s="404" t="str">
        <f>IFERROR(INDEX('Data Sheet'!$A$3:$A$26,MATCH(B160,'Data Sheet'!$B$3:$B$26,0)),"")</f>
        <v>Comprehensive prevention programs for MSM</v>
      </c>
      <c r="E160" s="404" t="s">
        <v>2474</v>
      </c>
      <c r="F160" s="404" t="str">
        <f t="shared" si="2"/>
        <v>a1O36000001qZ7vEAE-a1O36000001qZ83EAE</v>
      </c>
      <c r="G160" s="404" t="s">
        <v>2150</v>
      </c>
    </row>
    <row r="161" spans="1:7" ht="18" customHeight="1" x14ac:dyDescent="0.2">
      <c r="B161" s="404" t="s">
        <v>2149</v>
      </c>
      <c r="C161" s="407" t="s">
        <v>2475</v>
      </c>
      <c r="D161" s="404" t="str">
        <f>IFERROR(INDEX('Data Sheet'!$A$3:$A$26,MATCH(B161,'Data Sheet'!$B$3:$B$26,0)),"")</f>
        <v>Comprehensive prevention programs for MSM</v>
      </c>
      <c r="E161" s="404" t="s">
        <v>2476</v>
      </c>
      <c r="F161" s="404" t="str">
        <f t="shared" si="2"/>
        <v>a1O36000001qZ7vEAE-a1O36000001qZ99EAE</v>
      </c>
      <c r="G161" s="404" t="s">
        <v>2150</v>
      </c>
    </row>
    <row r="162" spans="1:7" ht="18" customHeight="1" x14ac:dyDescent="0.2">
      <c r="B162" s="404" t="s">
        <v>2149</v>
      </c>
      <c r="C162" s="407" t="s">
        <v>2477</v>
      </c>
      <c r="D162" s="404" t="str">
        <f>IFERROR(INDEX('Data Sheet'!$A$3:$A$26,MATCH(B162,'Data Sheet'!$B$3:$B$26,0)),"")</f>
        <v>Comprehensive prevention programs for MSM</v>
      </c>
      <c r="E162" s="404" t="s">
        <v>2478</v>
      </c>
      <c r="F162" s="404" t="str">
        <f t="shared" si="2"/>
        <v>a1O36000001qZ7vEAE-a1O36000001qZ81EAE</v>
      </c>
      <c r="G162" s="404" t="s">
        <v>2150</v>
      </c>
    </row>
    <row r="163" spans="1:7" ht="18" customHeight="1" x14ac:dyDescent="0.2">
      <c r="B163" s="404" t="s">
        <v>2149</v>
      </c>
      <c r="C163" s="407" t="s">
        <v>2479</v>
      </c>
      <c r="D163" s="404" t="str">
        <f>IFERROR(INDEX('Data Sheet'!$A$3:$A$26,MATCH(B163,'Data Sheet'!$B$3:$B$26,0)),"")</f>
        <v>Comprehensive prevention programs for MSM</v>
      </c>
      <c r="E163" s="404" t="s">
        <v>2480</v>
      </c>
      <c r="F163" s="404" t="str">
        <f t="shared" si="2"/>
        <v>a1O36000001qZ7vEAE-a1O36000001qZ98EAE</v>
      </c>
      <c r="G163" s="404" t="s">
        <v>2150</v>
      </c>
    </row>
    <row r="164" spans="1:7" ht="18" customHeight="1" x14ac:dyDescent="0.2">
      <c r="B164" s="404" t="s">
        <v>2185</v>
      </c>
      <c r="C164" s="407" t="s">
        <v>2481</v>
      </c>
      <c r="D164" s="404" t="str">
        <f>IFERROR(INDEX('Data Sheet'!$A$3:$A$26,MATCH(B164,'Data Sheet'!$B$3:$B$26,0)),"")</f>
        <v>Programs to reduce human rights-related barriers to HIV services</v>
      </c>
      <c r="E164" s="404" t="s">
        <v>2482</v>
      </c>
      <c r="F164" s="404" t="str">
        <f t="shared" si="2"/>
        <v>a1O36000001qZ7wEAE-a1O36000001qZ8lEAE</v>
      </c>
      <c r="G164" s="404" t="s">
        <v>2186</v>
      </c>
    </row>
    <row r="165" spans="1:7" ht="18" customHeight="1" x14ac:dyDescent="0.2">
      <c r="B165" s="404" t="s">
        <v>2185</v>
      </c>
      <c r="C165" s="407" t="s">
        <v>2483</v>
      </c>
      <c r="D165" s="404" t="str">
        <f>IFERROR(INDEX('Data Sheet'!$A$3:$A$26,MATCH(B165,'Data Sheet'!$B$3:$B$26,0)),"")</f>
        <v>Programs to reduce human rights-related barriers to HIV services</v>
      </c>
      <c r="E165" s="404" t="s">
        <v>2484</v>
      </c>
      <c r="F165" s="404" t="str">
        <f t="shared" si="2"/>
        <v>a1O36000001qZ7wEAE-a1O36000001qZ8nEAE</v>
      </c>
      <c r="G165" s="404" t="s">
        <v>2186</v>
      </c>
    </row>
    <row r="166" spans="1:7" ht="18" customHeight="1" x14ac:dyDescent="0.2">
      <c r="B166" s="404" t="s">
        <v>2185</v>
      </c>
      <c r="C166" s="407" t="s">
        <v>2485</v>
      </c>
      <c r="D166" s="404" t="str">
        <f>IFERROR(INDEX('Data Sheet'!$A$3:$A$26,MATCH(B166,'Data Sheet'!$B$3:$B$26,0)),"")</f>
        <v>Programs to reduce human rights-related barriers to HIV services</v>
      </c>
      <c r="E166" s="404" t="s">
        <v>2486</v>
      </c>
      <c r="F166" s="404" t="str">
        <f t="shared" si="2"/>
        <v>a1O36000001qZ7wEAE-a1O36000001qZ8jEAE</v>
      </c>
      <c r="G166" s="404" t="s">
        <v>2186</v>
      </c>
    </row>
    <row r="167" spans="1:7" ht="18" customHeight="1" x14ac:dyDescent="0.2">
      <c r="B167" s="404" t="s">
        <v>2185</v>
      </c>
      <c r="C167" s="407" t="s">
        <v>2487</v>
      </c>
      <c r="D167" s="404" t="str">
        <f>IFERROR(INDEX('Data Sheet'!$A$3:$A$26,MATCH(B167,'Data Sheet'!$B$3:$B$26,0)),"")</f>
        <v>Programs to reduce human rights-related barriers to HIV services</v>
      </c>
      <c r="E167" s="404" t="s">
        <v>2488</v>
      </c>
      <c r="F167" s="404" t="str">
        <f t="shared" si="2"/>
        <v>a1O36000001qZ7wEAE-a1O36000001qZ93EAE</v>
      </c>
      <c r="G167" s="404" t="s">
        <v>2186</v>
      </c>
    </row>
    <row r="168" spans="1:7" ht="18" customHeight="1" x14ac:dyDescent="0.2">
      <c r="B168" s="404" t="s">
        <v>2185</v>
      </c>
      <c r="C168" s="407" t="s">
        <v>2489</v>
      </c>
      <c r="D168" s="404" t="str">
        <f>IFERROR(INDEX('Data Sheet'!$A$3:$A$26,MATCH(B168,'Data Sheet'!$B$3:$B$26,0)),"")</f>
        <v>Programs to reduce human rights-related barriers to HIV services</v>
      </c>
      <c r="E168" s="404" t="s">
        <v>2490</v>
      </c>
      <c r="F168" s="404" t="str">
        <f t="shared" si="2"/>
        <v>a1O36000001qZ7wEAE-a1O36000001qZ8oEAE</v>
      </c>
      <c r="G168" s="404" t="s">
        <v>2186</v>
      </c>
    </row>
    <row r="169" spans="1:7" ht="18" customHeight="1" x14ac:dyDescent="0.2">
      <c r="B169" s="404" t="s">
        <v>2185</v>
      </c>
      <c r="C169" s="407" t="s">
        <v>2491</v>
      </c>
      <c r="D169" s="404" t="str">
        <f>IFERROR(INDEX('Data Sheet'!$A$3:$A$26,MATCH(B169,'Data Sheet'!$B$3:$B$26,0)),"")</f>
        <v>Programs to reduce human rights-related barriers to HIV services</v>
      </c>
      <c r="E169" s="404" t="s">
        <v>2492</v>
      </c>
      <c r="F169" s="404" t="str">
        <f t="shared" si="2"/>
        <v>a1O36000001qZ7wEAE-a1O36000001qZ8mEAE</v>
      </c>
      <c r="G169" s="404" t="s">
        <v>2186</v>
      </c>
    </row>
    <row r="170" spans="1:7" ht="18" customHeight="1" x14ac:dyDescent="0.2">
      <c r="B170" s="404" t="s">
        <v>2185</v>
      </c>
      <c r="C170" s="407" t="s">
        <v>2493</v>
      </c>
      <c r="D170" s="404" t="str">
        <f>IFERROR(INDEX('Data Sheet'!$A$3:$A$26,MATCH(B170,'Data Sheet'!$B$3:$B$26,0)),"")</f>
        <v>Programs to reduce human rights-related barriers to HIV services</v>
      </c>
      <c r="E170" s="404" t="s">
        <v>2494</v>
      </c>
      <c r="F170" s="404" t="str">
        <f t="shared" si="2"/>
        <v>a1O36000001qZ7wEAE-a1O36000001qZ8iEAE</v>
      </c>
      <c r="G170" s="404" t="s">
        <v>2186</v>
      </c>
    </row>
    <row r="171" spans="1:7" ht="18" customHeight="1" x14ac:dyDescent="0.2">
      <c r="B171" s="404" t="s">
        <v>2185</v>
      </c>
      <c r="C171" s="407" t="s">
        <v>2495</v>
      </c>
      <c r="D171" s="404" t="str">
        <f>IFERROR(INDEX('Data Sheet'!$A$3:$A$26,MATCH(B171,'Data Sheet'!$B$3:$B$26,0)),"")</f>
        <v>Programs to reduce human rights-related barriers to HIV services</v>
      </c>
      <c r="E171" s="404" t="s">
        <v>2496</v>
      </c>
      <c r="F171" s="404" t="str">
        <f t="shared" si="2"/>
        <v>a1O36000001qZ7wEAE-a1O36000001qZ8kEAE</v>
      </c>
      <c r="G171" s="404" t="s">
        <v>2186</v>
      </c>
    </row>
    <row r="172" spans="1:7" ht="18" customHeight="1" x14ac:dyDescent="0.2">
      <c r="B172" s="404" t="s">
        <v>2203</v>
      </c>
      <c r="C172" s="407" t="s">
        <v>2497</v>
      </c>
      <c r="D172" s="404" t="str">
        <f>IFERROR(INDEX('Data Sheet'!$A$3:$A$26,MATCH(B172,'Data Sheet'!$B$3:$B$26,0)),"")</f>
        <v>RSSH: National health strategies</v>
      </c>
      <c r="E172" s="404" t="s">
        <v>2498</v>
      </c>
      <c r="F172" s="404" t="str">
        <f t="shared" si="2"/>
        <v>a1O36000001qZ7xEAE-a1O36000001qZ9AEAU</v>
      </c>
      <c r="G172" s="404" t="s">
        <v>2204</v>
      </c>
    </row>
    <row r="173" spans="1:7" ht="18" customHeight="1" x14ac:dyDescent="0.2">
      <c r="B173" s="404" t="s">
        <v>2203</v>
      </c>
      <c r="C173" s="407" t="s">
        <v>2499</v>
      </c>
      <c r="D173" s="404" t="str">
        <f>IFERROR(INDEX('Data Sheet'!$A$3:$A$26,MATCH(B173,'Data Sheet'!$B$3:$B$26,0)),"")</f>
        <v>RSSH: National health strategies</v>
      </c>
      <c r="E173" s="404" t="s">
        <v>2500</v>
      </c>
      <c r="F173" s="404" t="str">
        <f t="shared" si="2"/>
        <v>a1O36000001qZ7xEAE-a1O36000001qZ9BEAU</v>
      </c>
      <c r="G173" s="404" t="s">
        <v>2204</v>
      </c>
    </row>
    <row r="174" spans="1:7" x14ac:dyDescent="0.2">
      <c r="E174" s="220"/>
      <c r="F174" s="223"/>
      <c r="G174" s="223"/>
    </row>
    <row r="175" spans="1:7" x14ac:dyDescent="0.2">
      <c r="A175" s="221"/>
      <c r="B175" s="221"/>
      <c r="C175" s="221"/>
      <c r="D175" s="221"/>
      <c r="E175" s="220"/>
      <c r="F175" s="223"/>
      <c r="G175" s="223"/>
    </row>
    <row r="176" spans="1:7" x14ac:dyDescent="0.2">
      <c r="A176" s="220"/>
      <c r="B176" s="220"/>
      <c r="C176" s="220"/>
      <c r="D176" s="220"/>
      <c r="E176" s="220"/>
      <c r="F176" s="223"/>
      <c r="G176" s="223"/>
    </row>
    <row r="177" spans="1:7" x14ac:dyDescent="0.2">
      <c r="A177" s="220"/>
      <c r="B177" s="220"/>
      <c r="C177" s="220"/>
      <c r="D177" s="220"/>
      <c r="E177" s="220"/>
      <c r="F177" s="220"/>
      <c r="G177" s="221"/>
    </row>
    <row r="178" spans="1:7" x14ac:dyDescent="0.2">
      <c r="A178" s="222">
        <f>Setup!$C$6</f>
        <v>43101</v>
      </c>
      <c r="B178" s="220"/>
      <c r="C178" s="220"/>
      <c r="D178" s="220"/>
      <c r="E178" s="220"/>
      <c r="F178" s="220"/>
      <c r="G178" s="221"/>
    </row>
    <row r="179" spans="1:7" x14ac:dyDescent="0.2">
      <c r="A179" s="220">
        <f>YEAR(A178)</f>
        <v>2018</v>
      </c>
      <c r="B179" s="220"/>
      <c r="C179" s="220"/>
      <c r="D179" s="220"/>
      <c r="E179" s="220"/>
      <c r="F179" s="220"/>
      <c r="G179" s="221"/>
    </row>
    <row r="180" spans="1:7" x14ac:dyDescent="0.2">
      <c r="A180" s="220"/>
      <c r="B180" s="220"/>
      <c r="C180" s="220"/>
      <c r="D180" s="220"/>
      <c r="E180" s="220"/>
      <c r="F180" s="220"/>
      <c r="G180" s="221"/>
    </row>
    <row r="181" spans="1:7" x14ac:dyDescent="0.2">
      <c r="A181" s="220" t="s">
        <v>1168</v>
      </c>
      <c r="B181" s="223">
        <f>DATE($A$179,1,1)</f>
        <v>43101</v>
      </c>
      <c r="C181" s="223">
        <f>DATE($A$179,3,31)</f>
        <v>43190</v>
      </c>
      <c r="D181" s="220"/>
      <c r="E181" s="220"/>
      <c r="F181" s="220"/>
      <c r="G181" s="221"/>
    </row>
    <row r="182" spans="1:7" x14ac:dyDescent="0.2">
      <c r="A182" s="220" t="s">
        <v>1169</v>
      </c>
      <c r="B182" s="223">
        <f>DATE($A$179,4,1)</f>
        <v>43191</v>
      </c>
      <c r="C182" s="223">
        <f>DATE($A$179,6,30)</f>
        <v>43281</v>
      </c>
      <c r="D182" s="220"/>
      <c r="E182" s="220"/>
      <c r="F182" s="220"/>
      <c r="G182" s="221"/>
    </row>
    <row r="183" spans="1:7" x14ac:dyDescent="0.2">
      <c r="A183" s="220" t="s">
        <v>1170</v>
      </c>
      <c r="B183" s="223">
        <f>DATE($A$179,7,1)</f>
        <v>43282</v>
      </c>
      <c r="C183" s="223">
        <f>DATE($A$179,9,30)</f>
        <v>43373</v>
      </c>
      <c r="D183" s="220"/>
      <c r="E183" s="220"/>
      <c r="F183" s="220"/>
      <c r="G183" s="221"/>
    </row>
    <row r="184" spans="1:7" x14ac:dyDescent="0.2">
      <c r="A184" s="220" t="s">
        <v>1171</v>
      </c>
      <c r="B184" s="223">
        <f>DATE($A$179,10,1)</f>
        <v>43374</v>
      </c>
      <c r="C184" s="223">
        <f>DATE($A$179,12,31)</f>
        <v>43465</v>
      </c>
      <c r="D184" s="220"/>
      <c r="E184" s="220"/>
      <c r="F184" s="220"/>
      <c r="G184" s="221"/>
    </row>
    <row r="185" spans="1:7" x14ac:dyDescent="0.2">
      <c r="A185" s="220"/>
      <c r="B185" s="220"/>
      <c r="C185" s="220"/>
      <c r="D185" s="220"/>
      <c r="E185" s="220"/>
      <c r="F185" s="220"/>
      <c r="G185" s="221"/>
    </row>
    <row r="186" spans="1:7" x14ac:dyDescent="0.2">
      <c r="A186" s="220" t="s">
        <v>2020</v>
      </c>
      <c r="B186" s="223">
        <f>IF(AND(A178&gt;=B181,A178&lt;=C181),C181,IF(AND(A178&gt;=B182,A178&lt;=C182),C182,IF(AND(A178&gt;=B183,A178&lt;=C183),C183,IF(AND(A178&gt;=B184,A178&lt;=C184),C184,""))))</f>
        <v>43190</v>
      </c>
      <c r="C186" s="220"/>
      <c r="D186" s="220"/>
      <c r="E186" s="220"/>
      <c r="F186" s="220"/>
      <c r="G186" s="221"/>
    </row>
    <row r="187" spans="1:7" x14ac:dyDescent="0.2">
      <c r="A187" s="220"/>
      <c r="B187" s="220"/>
      <c r="C187" s="220"/>
      <c r="D187" s="220"/>
      <c r="E187" s="220"/>
      <c r="F187" s="220"/>
      <c r="G187" s="221"/>
    </row>
    <row r="188" spans="1:7" x14ac:dyDescent="0.2">
      <c r="A188" s="220"/>
      <c r="B188" s="220"/>
      <c r="C188" s="220"/>
      <c r="D188" s="220"/>
      <c r="E188" s="220"/>
      <c r="F188" s="220"/>
      <c r="G188" s="221"/>
    </row>
    <row r="189" spans="1:7" x14ac:dyDescent="0.2">
      <c r="A189" s="924" t="s">
        <v>1988</v>
      </c>
      <c r="B189" s="926"/>
      <c r="C189" s="220"/>
      <c r="D189" s="220"/>
      <c r="E189" s="220"/>
      <c r="F189" s="220"/>
      <c r="G189" s="221"/>
    </row>
    <row r="190" spans="1:7" x14ac:dyDescent="0.2">
      <c r="A190" s="226" t="s">
        <v>1985</v>
      </c>
      <c r="B190" s="400" t="s">
        <v>382</v>
      </c>
      <c r="C190" s="220" t="s">
        <v>2033</v>
      </c>
      <c r="D190" s="220" t="s">
        <v>2501</v>
      </c>
      <c r="E190" s="220"/>
      <c r="F190" s="220"/>
      <c r="G190" s="221"/>
    </row>
    <row r="191" spans="1:7" x14ac:dyDescent="0.2">
      <c r="A191" s="226" t="s">
        <v>2052</v>
      </c>
      <c r="B191" s="400"/>
      <c r="C191" s="220" t="s">
        <v>2053</v>
      </c>
      <c r="D191" s="220"/>
      <c r="E191" s="220"/>
      <c r="F191" s="220"/>
      <c r="G191" s="221"/>
    </row>
    <row r="192" spans="1:7" x14ac:dyDescent="0.2">
      <c r="A192" s="220"/>
      <c r="B192" s="220"/>
      <c r="C192" s="220"/>
      <c r="D192" s="220"/>
      <c r="E192" s="220"/>
      <c r="F192" s="220"/>
      <c r="G192" s="221"/>
    </row>
    <row r="193" spans="1:9" x14ac:dyDescent="0.2">
      <c r="A193" s="924" t="s">
        <v>1983</v>
      </c>
      <c r="B193" s="926"/>
      <c r="C193" s="220"/>
      <c r="D193" s="220"/>
      <c r="E193" s="220"/>
      <c r="F193" s="220"/>
      <c r="G193" s="221"/>
    </row>
    <row r="194" spans="1:9" x14ac:dyDescent="0.2">
      <c r="A194" s="226" t="s">
        <v>1985</v>
      </c>
      <c r="B194" s="226" t="s">
        <v>1987</v>
      </c>
      <c r="C194" s="220" t="s">
        <v>2032</v>
      </c>
      <c r="D194" s="220"/>
      <c r="E194" s="220"/>
      <c r="F194" s="220"/>
      <c r="G194" s="221"/>
    </row>
    <row r="195" spans="1:9" hidden="1" x14ac:dyDescent="0.2">
      <c r="A195" s="225" t="s">
        <v>1984</v>
      </c>
      <c r="B195" s="225" t="s">
        <v>1986</v>
      </c>
      <c r="C195" s="220" t="s">
        <v>2031</v>
      </c>
      <c r="D195" s="220"/>
      <c r="E195" s="220"/>
      <c r="F195" s="220"/>
      <c r="G195" s="221"/>
    </row>
    <row r="196" spans="1:9" x14ac:dyDescent="0.2">
      <c r="A196" s="220"/>
      <c r="B196" s="220"/>
      <c r="C196" s="220"/>
      <c r="D196" s="220"/>
      <c r="E196" s="220"/>
      <c r="F196" s="220"/>
      <c r="G196" s="221"/>
    </row>
    <row r="197" spans="1:9" x14ac:dyDescent="0.2">
      <c r="A197" s="924" t="s">
        <v>1991</v>
      </c>
      <c r="B197" s="925"/>
      <c r="C197" s="926"/>
      <c r="D197" s="220"/>
      <c r="E197" s="220"/>
      <c r="F197" s="220"/>
      <c r="G197" s="221"/>
    </row>
    <row r="198" spans="1:9" x14ac:dyDescent="0.2">
      <c r="A198" s="409" t="s">
        <v>1957</v>
      </c>
      <c r="B198" s="409" t="s">
        <v>1993</v>
      </c>
      <c r="C198" s="409" t="s">
        <v>1952</v>
      </c>
      <c r="D198" s="410" t="s">
        <v>2022</v>
      </c>
      <c r="E198" s="410" t="s">
        <v>2030</v>
      </c>
      <c r="F198" s="410" t="str">
        <f>D198 &amp; "." &amp; I198 &amp; " " &amp; A198</f>
        <v>Cost Grouping Number.Cost Input Number Name</v>
      </c>
      <c r="G198" s="410" t="s">
        <v>2040</v>
      </c>
      <c r="H198" s="408"/>
      <c r="I198" s="408" t="s">
        <v>2024</v>
      </c>
    </row>
    <row r="199" spans="1:9" hidden="1" x14ac:dyDescent="0.2">
      <c r="A199" s="411" t="s">
        <v>1953</v>
      </c>
      <c r="B199" s="411" t="s">
        <v>1992</v>
      </c>
      <c r="C199" s="410" t="s">
        <v>1951</v>
      </c>
      <c r="D199" s="412" t="s">
        <v>2021</v>
      </c>
      <c r="E199" s="410" t="s">
        <v>2029</v>
      </c>
      <c r="F199" s="410" t="str">
        <f>D199 &amp; "." &amp; I199 &amp; " " &amp; A199</f>
        <v>[Cost Grouping Number].[Cost Input Number] [Name]</v>
      </c>
      <c r="G199" s="413" t="e">
        <f>D199 + IF(I199&lt;10,I199*0.1,IF(I199&lt;100,I199*0.01,0))</f>
        <v>#VALUE!</v>
      </c>
      <c r="H199" s="408"/>
      <c r="I199" s="412" t="s">
        <v>2023</v>
      </c>
    </row>
    <row r="200" spans="1:9" x14ac:dyDescent="0.2">
      <c r="A200" s="411" t="s">
        <v>2508</v>
      </c>
      <c r="B200" s="411" t="s">
        <v>2120</v>
      </c>
      <c r="C200" s="410" t="s">
        <v>2509</v>
      </c>
      <c r="D200" s="412">
        <v>1</v>
      </c>
      <c r="E200" s="410" t="s">
        <v>2508</v>
      </c>
      <c r="F200" s="410" t="str">
        <f t="shared" ref="F200:F263" si="3">D200 &amp; "." &amp; I200 &amp; " " &amp; A200</f>
        <v>1.0 Human Resources (HR)</v>
      </c>
      <c r="G200" s="413">
        <f t="shared" ref="G200:G263" si="4">D200 + IF(I200&lt;10,I200*0.1,IF(I200&lt;100,I200*0.01,0))</f>
        <v>1</v>
      </c>
      <c r="H200" s="408"/>
      <c r="I200" s="412">
        <v>0</v>
      </c>
    </row>
    <row r="201" spans="1:9" x14ac:dyDescent="0.2">
      <c r="A201" s="411" t="s">
        <v>2510</v>
      </c>
      <c r="B201" s="411" t="s">
        <v>2121</v>
      </c>
      <c r="C201" s="410" t="s">
        <v>2511</v>
      </c>
      <c r="D201" s="412">
        <v>1</v>
      </c>
      <c r="E201" s="410" t="s">
        <v>2508</v>
      </c>
      <c r="F201" s="410" t="str">
        <f t="shared" si="3"/>
        <v>1.1 Salaries - program management</v>
      </c>
      <c r="G201" s="413">
        <f t="shared" si="4"/>
        <v>1.1000000000000001</v>
      </c>
      <c r="H201" s="408"/>
      <c r="I201" s="412">
        <v>1</v>
      </c>
    </row>
    <row r="202" spans="1:9" x14ac:dyDescent="0.2">
      <c r="A202" s="411" t="s">
        <v>2512</v>
      </c>
      <c r="B202" s="411" t="s">
        <v>2120</v>
      </c>
      <c r="C202" s="410" t="s">
        <v>2513</v>
      </c>
      <c r="D202" s="412">
        <v>1</v>
      </c>
      <c r="E202" s="410" t="s">
        <v>2508</v>
      </c>
      <c r="F202" s="410" t="str">
        <f t="shared" si="3"/>
        <v>1.2 Salaries - outreach workers, medical staff and other service providers</v>
      </c>
      <c r="G202" s="413">
        <f t="shared" si="4"/>
        <v>1.2</v>
      </c>
      <c r="H202" s="408"/>
      <c r="I202" s="412">
        <v>2</v>
      </c>
    </row>
    <row r="203" spans="1:9" x14ac:dyDescent="0.2">
      <c r="A203" s="411" t="s">
        <v>2514</v>
      </c>
      <c r="B203" s="411" t="s">
        <v>2120</v>
      </c>
      <c r="C203" s="410" t="s">
        <v>2515</v>
      </c>
      <c r="D203" s="412">
        <v>1</v>
      </c>
      <c r="E203" s="410" t="s">
        <v>2508</v>
      </c>
      <c r="F203" s="410" t="str">
        <f t="shared" si="3"/>
        <v>1.3 Performance based suppliments, incentives</v>
      </c>
      <c r="G203" s="413">
        <f t="shared" si="4"/>
        <v>1.3</v>
      </c>
      <c r="H203" s="408"/>
      <c r="I203" s="412">
        <v>3</v>
      </c>
    </row>
    <row r="204" spans="1:9" x14ac:dyDescent="0.2">
      <c r="A204" s="411" t="s">
        <v>2516</v>
      </c>
      <c r="B204" s="411" t="s">
        <v>2128</v>
      </c>
      <c r="C204" s="410" t="s">
        <v>2517</v>
      </c>
      <c r="D204" s="412">
        <v>1</v>
      </c>
      <c r="E204" s="410" t="s">
        <v>2508</v>
      </c>
      <c r="F204" s="410" t="str">
        <f t="shared" si="3"/>
        <v>1.4 Other HR Costs</v>
      </c>
      <c r="G204" s="413">
        <f t="shared" si="4"/>
        <v>1.4</v>
      </c>
      <c r="H204" s="408"/>
      <c r="I204" s="412">
        <v>4</v>
      </c>
    </row>
    <row r="205" spans="1:9" x14ac:dyDescent="0.2">
      <c r="A205" s="411" t="s">
        <v>2518</v>
      </c>
      <c r="B205" s="411" t="s">
        <v>2122</v>
      </c>
      <c r="C205" s="410" t="s">
        <v>2519</v>
      </c>
      <c r="D205" s="412">
        <v>2</v>
      </c>
      <c r="E205" s="410" t="s">
        <v>2518</v>
      </c>
      <c r="F205" s="410" t="str">
        <f t="shared" si="3"/>
        <v>2.0 Travel related costs (TRC)</v>
      </c>
      <c r="G205" s="413">
        <f t="shared" si="4"/>
        <v>2</v>
      </c>
      <c r="H205" s="408"/>
      <c r="I205" s="412">
        <v>0</v>
      </c>
    </row>
    <row r="206" spans="1:9" x14ac:dyDescent="0.2">
      <c r="A206" s="411" t="s">
        <v>2520</v>
      </c>
      <c r="B206" s="411" t="s">
        <v>2123</v>
      </c>
      <c r="C206" s="410" t="s">
        <v>2521</v>
      </c>
      <c r="D206" s="412">
        <v>2</v>
      </c>
      <c r="E206" s="410" t="s">
        <v>2518</v>
      </c>
      <c r="F206" s="410" t="str">
        <f t="shared" si="3"/>
        <v>2.1 Training related per diems/transport/other costs</v>
      </c>
      <c r="G206" s="413">
        <f t="shared" si="4"/>
        <v>2.1</v>
      </c>
      <c r="H206" s="408"/>
      <c r="I206" s="412">
        <v>1</v>
      </c>
    </row>
    <row r="207" spans="1:9" x14ac:dyDescent="0.2">
      <c r="A207" s="411" t="s">
        <v>2522</v>
      </c>
      <c r="B207" s="411" t="s">
        <v>2124</v>
      </c>
      <c r="C207" s="410" t="s">
        <v>2523</v>
      </c>
      <c r="D207" s="412">
        <v>2</v>
      </c>
      <c r="E207" s="410" t="s">
        <v>2518</v>
      </c>
      <c r="F207" s="410" t="str">
        <f t="shared" si="3"/>
        <v>2.2 Technical Assistance Fees/Consultants</v>
      </c>
      <c r="G207" s="413">
        <f t="shared" si="4"/>
        <v>2.2000000000000002</v>
      </c>
      <c r="H207" s="408"/>
      <c r="I207" s="412">
        <v>2</v>
      </c>
    </row>
    <row r="208" spans="1:9" x14ac:dyDescent="0.2">
      <c r="A208" s="411" t="s">
        <v>2524</v>
      </c>
      <c r="B208" s="411" t="s">
        <v>2124</v>
      </c>
      <c r="C208" s="410" t="s">
        <v>2525</v>
      </c>
      <c r="D208" s="412">
        <v>2</v>
      </c>
      <c r="E208" s="410" t="s">
        <v>2518</v>
      </c>
      <c r="F208" s="410" t="str">
        <f t="shared" si="3"/>
        <v>2.3 Supervision/surveys/data collection related per diems/transport/other costs</v>
      </c>
      <c r="G208" s="413">
        <f t="shared" si="4"/>
        <v>2.2999999999999998</v>
      </c>
      <c r="H208" s="408"/>
      <c r="I208" s="412">
        <v>3</v>
      </c>
    </row>
    <row r="209" spans="1:9" x14ac:dyDescent="0.2">
      <c r="A209" s="411" t="s">
        <v>2526</v>
      </c>
      <c r="B209" s="411" t="s">
        <v>2125</v>
      </c>
      <c r="C209" s="410" t="s">
        <v>2527</v>
      </c>
      <c r="D209" s="412">
        <v>2</v>
      </c>
      <c r="E209" s="410" t="s">
        <v>2518</v>
      </c>
      <c r="F209" s="410" t="str">
        <f t="shared" si="3"/>
        <v>2.4 Meeting/Advocacy related per diems/transport/other costs</v>
      </c>
      <c r="G209" s="413">
        <f t="shared" si="4"/>
        <v>2.4</v>
      </c>
      <c r="H209" s="408"/>
      <c r="I209" s="412">
        <v>4</v>
      </c>
    </row>
    <row r="210" spans="1:9" x14ac:dyDescent="0.2">
      <c r="A210" s="411" t="s">
        <v>2528</v>
      </c>
      <c r="B210" s="411" t="s">
        <v>2128</v>
      </c>
      <c r="C210" s="410" t="s">
        <v>2529</v>
      </c>
      <c r="D210" s="412">
        <v>2</v>
      </c>
      <c r="E210" s="410" t="s">
        <v>2518</v>
      </c>
      <c r="F210" s="410" t="str">
        <f t="shared" si="3"/>
        <v>2.5 Other Transportation costs</v>
      </c>
      <c r="G210" s="413">
        <f t="shared" si="4"/>
        <v>2.5</v>
      </c>
      <c r="H210" s="408"/>
      <c r="I210" s="412">
        <v>5</v>
      </c>
    </row>
    <row r="211" spans="1:9" x14ac:dyDescent="0.2">
      <c r="A211" s="411" t="s">
        <v>2530</v>
      </c>
      <c r="B211" s="411" t="s">
        <v>2126</v>
      </c>
      <c r="C211" s="410" t="s">
        <v>2531</v>
      </c>
      <c r="D211" s="412">
        <v>3</v>
      </c>
      <c r="E211" s="410" t="s">
        <v>2530</v>
      </c>
      <c r="F211" s="410" t="str">
        <f t="shared" si="3"/>
        <v>3.0 External Professional services (EPS)</v>
      </c>
      <c r="G211" s="413">
        <f t="shared" si="4"/>
        <v>3</v>
      </c>
      <c r="H211" s="408"/>
      <c r="I211" s="412">
        <v>0</v>
      </c>
    </row>
    <row r="212" spans="1:9" x14ac:dyDescent="0.2">
      <c r="A212" s="411" t="s">
        <v>2532</v>
      </c>
      <c r="B212" s="411" t="s">
        <v>2127</v>
      </c>
      <c r="C212" s="410" t="s">
        <v>2533</v>
      </c>
      <c r="D212" s="412">
        <v>3</v>
      </c>
      <c r="E212" s="410" t="s">
        <v>2530</v>
      </c>
      <c r="F212" s="410" t="str">
        <f t="shared" si="3"/>
        <v>3.1 TA Fees - Consultants</v>
      </c>
      <c r="G212" s="413">
        <f t="shared" si="4"/>
        <v>3.1</v>
      </c>
      <c r="H212" s="408"/>
      <c r="I212" s="412">
        <v>1</v>
      </c>
    </row>
    <row r="213" spans="1:9" x14ac:dyDescent="0.2">
      <c r="A213" s="411" t="s">
        <v>2534</v>
      </c>
      <c r="B213" s="411" t="s">
        <v>2128</v>
      </c>
      <c r="C213" s="410" t="s">
        <v>2535</v>
      </c>
      <c r="D213" s="412">
        <v>3</v>
      </c>
      <c r="E213" s="410" t="s">
        <v>2530</v>
      </c>
      <c r="F213" s="410" t="str">
        <f t="shared" si="3"/>
        <v>3.2 Fiscal/Fiduciary Agent fees</v>
      </c>
      <c r="G213" s="413">
        <f t="shared" si="4"/>
        <v>3.2</v>
      </c>
      <c r="H213" s="408"/>
      <c r="I213" s="412">
        <v>2</v>
      </c>
    </row>
    <row r="214" spans="1:9" x14ac:dyDescent="0.2">
      <c r="A214" s="411" t="s">
        <v>2536</v>
      </c>
      <c r="B214" s="411" t="s">
        <v>2128</v>
      </c>
      <c r="C214" s="410" t="s">
        <v>2537</v>
      </c>
      <c r="D214" s="412">
        <v>3</v>
      </c>
      <c r="E214" s="410" t="s">
        <v>2530</v>
      </c>
      <c r="F214" s="410" t="str">
        <f t="shared" si="3"/>
        <v>3.3 External audit fees</v>
      </c>
      <c r="G214" s="413">
        <f t="shared" si="4"/>
        <v>3.3</v>
      </c>
      <c r="H214" s="408"/>
      <c r="I214" s="412">
        <v>3</v>
      </c>
    </row>
    <row r="215" spans="1:9" x14ac:dyDescent="0.2">
      <c r="A215" s="411" t="s">
        <v>2538</v>
      </c>
      <c r="B215" s="411" t="s">
        <v>2128</v>
      </c>
      <c r="C215" s="410" t="s">
        <v>2539</v>
      </c>
      <c r="D215" s="412">
        <v>3</v>
      </c>
      <c r="E215" s="410" t="s">
        <v>2530</v>
      </c>
      <c r="F215" s="410" t="str">
        <f t="shared" si="3"/>
        <v>3.4 Other external professional services</v>
      </c>
      <c r="G215" s="413">
        <f t="shared" si="4"/>
        <v>3.4</v>
      </c>
      <c r="H215" s="408"/>
      <c r="I215" s="412">
        <v>4</v>
      </c>
    </row>
    <row r="216" spans="1:9" x14ac:dyDescent="0.2">
      <c r="A216" s="411" t="s">
        <v>2540</v>
      </c>
      <c r="B216" s="411" t="s">
        <v>2128</v>
      </c>
      <c r="C216" s="410" t="s">
        <v>2541</v>
      </c>
      <c r="D216" s="412">
        <v>4</v>
      </c>
      <c r="E216" s="410" t="s">
        <v>2540</v>
      </c>
      <c r="F216" s="410" t="str">
        <f t="shared" si="3"/>
        <v>4.0 Health Products - Pharmaceutical Products (HPPP)</v>
      </c>
      <c r="G216" s="413">
        <f t="shared" si="4"/>
        <v>4</v>
      </c>
      <c r="H216" s="408"/>
      <c r="I216" s="412">
        <v>0</v>
      </c>
    </row>
    <row r="217" spans="1:9" x14ac:dyDescent="0.2">
      <c r="A217" s="411" t="s">
        <v>2542</v>
      </c>
      <c r="B217" s="411" t="s">
        <v>2129</v>
      </c>
      <c r="C217" s="410" t="s">
        <v>2543</v>
      </c>
      <c r="D217" s="412">
        <v>4</v>
      </c>
      <c r="E217" s="410" t="s">
        <v>2540</v>
      </c>
      <c r="F217" s="410" t="str">
        <f t="shared" si="3"/>
        <v>4.1 Antiretroviral medicines</v>
      </c>
      <c r="G217" s="413">
        <f t="shared" si="4"/>
        <v>4.0999999999999996</v>
      </c>
      <c r="H217" s="408"/>
      <c r="I217" s="412">
        <v>1</v>
      </c>
    </row>
    <row r="218" spans="1:9" x14ac:dyDescent="0.2">
      <c r="A218" s="411" t="s">
        <v>2544</v>
      </c>
      <c r="B218" s="411" t="s">
        <v>2129</v>
      </c>
      <c r="C218" s="410" t="s">
        <v>2545</v>
      </c>
      <c r="D218" s="412">
        <v>4</v>
      </c>
      <c r="E218" s="410" t="s">
        <v>2540</v>
      </c>
      <c r="F218" s="410" t="str">
        <f t="shared" si="3"/>
        <v>4.2 Anti-tuberculosis medicines</v>
      </c>
      <c r="G218" s="413">
        <f t="shared" si="4"/>
        <v>4.2</v>
      </c>
      <c r="H218" s="408"/>
      <c r="I218" s="412">
        <v>2</v>
      </c>
    </row>
    <row r="219" spans="1:9" x14ac:dyDescent="0.2">
      <c r="A219" s="411" t="s">
        <v>2546</v>
      </c>
      <c r="B219" s="411" t="s">
        <v>2130</v>
      </c>
      <c r="C219" s="410" t="s">
        <v>2547</v>
      </c>
      <c r="D219" s="412">
        <v>4</v>
      </c>
      <c r="E219" s="410" t="s">
        <v>2540</v>
      </c>
      <c r="F219" s="410" t="str">
        <f t="shared" si="3"/>
        <v>4.3 Antimalarial medicines</v>
      </c>
      <c r="G219" s="413">
        <f t="shared" si="4"/>
        <v>4.3</v>
      </c>
      <c r="H219" s="408"/>
      <c r="I219" s="412">
        <v>3</v>
      </c>
    </row>
    <row r="220" spans="1:9" x14ac:dyDescent="0.2">
      <c r="A220" s="411" t="s">
        <v>2548</v>
      </c>
      <c r="B220" s="411" t="s">
        <v>2129</v>
      </c>
      <c r="C220" s="410" t="s">
        <v>2549</v>
      </c>
      <c r="D220" s="412">
        <v>4</v>
      </c>
      <c r="E220" s="410" t="s">
        <v>2540</v>
      </c>
      <c r="F220" s="410" t="str">
        <f t="shared" si="3"/>
        <v>4.4 Opioid substitution medicines</v>
      </c>
      <c r="G220" s="413">
        <f t="shared" si="4"/>
        <v>4.4000000000000004</v>
      </c>
      <c r="H220" s="408"/>
      <c r="I220" s="412">
        <v>4</v>
      </c>
    </row>
    <row r="221" spans="1:9" x14ac:dyDescent="0.2">
      <c r="A221" s="411" t="s">
        <v>2550</v>
      </c>
      <c r="B221" s="411" t="s">
        <v>2129</v>
      </c>
      <c r="C221" s="410" t="s">
        <v>2551</v>
      </c>
      <c r="D221" s="412">
        <v>4</v>
      </c>
      <c r="E221" s="410" t="s">
        <v>2540</v>
      </c>
      <c r="F221" s="410" t="str">
        <f t="shared" si="3"/>
        <v>4.5 Opportunistic infections and STI medicines</v>
      </c>
      <c r="G221" s="413">
        <f t="shared" si="4"/>
        <v>4.5</v>
      </c>
      <c r="H221" s="408"/>
      <c r="I221" s="412">
        <v>5</v>
      </c>
    </row>
    <row r="222" spans="1:9" x14ac:dyDescent="0.2">
      <c r="A222" s="411" t="s">
        <v>2552</v>
      </c>
      <c r="B222" s="411" t="s">
        <v>2131</v>
      </c>
      <c r="C222" s="410" t="s">
        <v>2553</v>
      </c>
      <c r="D222" s="412">
        <v>4</v>
      </c>
      <c r="E222" s="410" t="s">
        <v>2540</v>
      </c>
      <c r="F222" s="410" t="str">
        <f t="shared" si="3"/>
        <v>4.6 Private Sector subsidies for ACTs (co-payment to 4.3)</v>
      </c>
      <c r="G222" s="413">
        <f t="shared" si="4"/>
        <v>4.5999999999999996</v>
      </c>
      <c r="H222" s="408"/>
      <c r="I222" s="412">
        <v>6</v>
      </c>
    </row>
    <row r="223" spans="1:9" x14ac:dyDescent="0.2">
      <c r="A223" s="411" t="s">
        <v>2554</v>
      </c>
      <c r="B223" s="411" t="s">
        <v>2128</v>
      </c>
      <c r="C223" s="410" t="s">
        <v>2555</v>
      </c>
      <c r="D223" s="412">
        <v>4</v>
      </c>
      <c r="E223" s="410" t="s">
        <v>2540</v>
      </c>
      <c r="F223" s="410" t="str">
        <f t="shared" si="3"/>
        <v>4.7 Other medicines</v>
      </c>
      <c r="G223" s="413">
        <f t="shared" si="4"/>
        <v>4.7</v>
      </c>
      <c r="H223" s="408"/>
      <c r="I223" s="412">
        <v>7</v>
      </c>
    </row>
    <row r="224" spans="1:9" x14ac:dyDescent="0.2">
      <c r="A224" s="411" t="s">
        <v>2556</v>
      </c>
      <c r="B224" s="411" t="s">
        <v>2128</v>
      </c>
      <c r="C224" s="410" t="s">
        <v>2557</v>
      </c>
      <c r="D224" s="412">
        <v>5</v>
      </c>
      <c r="E224" s="410" t="s">
        <v>2556</v>
      </c>
      <c r="F224" s="410" t="str">
        <f t="shared" si="3"/>
        <v>5.0 Health Products - Non-Pharmaceuticals (HPNP)</v>
      </c>
      <c r="G224" s="413">
        <f t="shared" si="4"/>
        <v>5</v>
      </c>
      <c r="H224" s="408"/>
      <c r="I224" s="412">
        <v>0</v>
      </c>
    </row>
    <row r="225" spans="1:9" x14ac:dyDescent="0.2">
      <c r="A225" s="411" t="s">
        <v>2558</v>
      </c>
      <c r="B225" s="411" t="s">
        <v>2132</v>
      </c>
      <c r="C225" s="410" t="s">
        <v>2559</v>
      </c>
      <c r="D225" s="412">
        <v>5</v>
      </c>
      <c r="E225" s="410" t="s">
        <v>2556</v>
      </c>
      <c r="F225" s="410" t="str">
        <f t="shared" si="3"/>
        <v>5.1 Insecticide-treated Nets (LLINs/ITNs)</v>
      </c>
      <c r="G225" s="413">
        <f t="shared" si="4"/>
        <v>5.0999999999999996</v>
      </c>
      <c r="H225" s="408"/>
      <c r="I225" s="412">
        <v>1</v>
      </c>
    </row>
    <row r="226" spans="1:9" x14ac:dyDescent="0.2">
      <c r="A226" s="411" t="s">
        <v>2560</v>
      </c>
      <c r="B226" s="411" t="s">
        <v>2129</v>
      </c>
      <c r="C226" s="410" t="s">
        <v>2561</v>
      </c>
      <c r="D226" s="412">
        <v>5</v>
      </c>
      <c r="E226" s="410" t="s">
        <v>2556</v>
      </c>
      <c r="F226" s="410" t="str">
        <f t="shared" si="3"/>
        <v>5.2 Condoms - Male</v>
      </c>
      <c r="G226" s="413">
        <f t="shared" si="4"/>
        <v>5.2</v>
      </c>
      <c r="H226" s="408"/>
      <c r="I226" s="412">
        <v>2</v>
      </c>
    </row>
    <row r="227" spans="1:9" x14ac:dyDescent="0.2">
      <c r="A227" s="411" t="s">
        <v>2562</v>
      </c>
      <c r="B227" s="411" t="s">
        <v>2129</v>
      </c>
      <c r="C227" s="410" t="s">
        <v>2563</v>
      </c>
      <c r="D227" s="412">
        <v>5</v>
      </c>
      <c r="E227" s="410" t="s">
        <v>2556</v>
      </c>
      <c r="F227" s="410" t="str">
        <f t="shared" si="3"/>
        <v>5.3 Condoms - Female</v>
      </c>
      <c r="G227" s="413">
        <f t="shared" si="4"/>
        <v>5.3</v>
      </c>
      <c r="H227" s="408"/>
      <c r="I227" s="412">
        <v>3</v>
      </c>
    </row>
    <row r="228" spans="1:9" x14ac:dyDescent="0.2">
      <c r="A228" s="411" t="s">
        <v>2564</v>
      </c>
      <c r="B228" s="411" t="s">
        <v>2129</v>
      </c>
      <c r="C228" s="410" t="s">
        <v>2565</v>
      </c>
      <c r="D228" s="412">
        <v>5</v>
      </c>
      <c r="E228" s="410" t="s">
        <v>2556</v>
      </c>
      <c r="F228" s="410" t="str">
        <f t="shared" si="3"/>
        <v>5.4 Rapid Diagnostic Test</v>
      </c>
      <c r="G228" s="413">
        <f t="shared" si="4"/>
        <v>5.4</v>
      </c>
      <c r="H228" s="408"/>
      <c r="I228" s="412">
        <v>4</v>
      </c>
    </row>
    <row r="229" spans="1:9" x14ac:dyDescent="0.2">
      <c r="A229" s="411" t="s">
        <v>2566</v>
      </c>
      <c r="B229" s="411" t="s">
        <v>2133</v>
      </c>
      <c r="C229" s="410" t="s">
        <v>2567</v>
      </c>
      <c r="D229" s="412">
        <v>5</v>
      </c>
      <c r="E229" s="410" t="s">
        <v>2556</v>
      </c>
      <c r="F229" s="410" t="str">
        <f t="shared" si="3"/>
        <v>5.5 Insecticides</v>
      </c>
      <c r="G229" s="413">
        <f t="shared" si="4"/>
        <v>5.5</v>
      </c>
      <c r="H229" s="408"/>
      <c r="I229" s="412">
        <v>5</v>
      </c>
    </row>
    <row r="230" spans="1:9" x14ac:dyDescent="0.2">
      <c r="A230" s="411" t="s">
        <v>2568</v>
      </c>
      <c r="B230" s="411" t="s">
        <v>2128</v>
      </c>
      <c r="C230" s="410" t="s">
        <v>2569</v>
      </c>
      <c r="D230" s="412">
        <v>5</v>
      </c>
      <c r="E230" s="410" t="s">
        <v>2556</v>
      </c>
      <c r="F230" s="410" t="str">
        <f t="shared" si="3"/>
        <v>5.6 Laboratory reagents</v>
      </c>
      <c r="G230" s="413">
        <f t="shared" si="4"/>
        <v>5.6</v>
      </c>
      <c r="H230" s="408"/>
      <c r="I230" s="412">
        <v>6</v>
      </c>
    </row>
    <row r="231" spans="1:9" x14ac:dyDescent="0.2">
      <c r="A231" s="411" t="s">
        <v>2570</v>
      </c>
      <c r="B231" s="411" t="s">
        <v>2129</v>
      </c>
      <c r="C231" s="410" t="s">
        <v>2571</v>
      </c>
      <c r="D231" s="412">
        <v>5</v>
      </c>
      <c r="E231" s="410" t="s">
        <v>2556</v>
      </c>
      <c r="F231" s="410" t="str">
        <f t="shared" si="3"/>
        <v>5.7 Syringes and needles</v>
      </c>
      <c r="G231" s="413">
        <f t="shared" si="4"/>
        <v>5.7</v>
      </c>
      <c r="H231" s="408"/>
      <c r="I231" s="412">
        <v>7</v>
      </c>
    </row>
    <row r="232" spans="1:9" x14ac:dyDescent="0.2">
      <c r="A232" s="411" t="s">
        <v>2572</v>
      </c>
      <c r="B232" s="411" t="s">
        <v>2128</v>
      </c>
      <c r="C232" s="410" t="s">
        <v>2573</v>
      </c>
      <c r="D232" s="412">
        <v>5</v>
      </c>
      <c r="E232" s="410" t="s">
        <v>2556</v>
      </c>
      <c r="F232" s="410" t="str">
        <f t="shared" si="3"/>
        <v>5.8 Other consumables</v>
      </c>
      <c r="G232" s="413">
        <f t="shared" si="4"/>
        <v>5.8</v>
      </c>
      <c r="H232" s="408"/>
      <c r="I232" s="412">
        <v>8</v>
      </c>
    </row>
    <row r="233" spans="1:9" x14ac:dyDescent="0.2">
      <c r="A233" s="411" t="s">
        <v>2574</v>
      </c>
      <c r="B233" s="411" t="s">
        <v>2131</v>
      </c>
      <c r="C233" s="410" t="s">
        <v>2575</v>
      </c>
      <c r="D233" s="412">
        <v>5</v>
      </c>
      <c r="E233" s="410" t="s">
        <v>2556</v>
      </c>
      <c r="F233" s="410" t="str">
        <f t="shared" si="3"/>
        <v>5.9 Private Sector subsidies for RDTs (co-payment to 5.4)</v>
      </c>
      <c r="G233" s="413">
        <f t="shared" si="4"/>
        <v>5.9</v>
      </c>
      <c r="H233" s="408"/>
      <c r="I233" s="412">
        <v>9</v>
      </c>
    </row>
    <row r="234" spans="1:9" x14ac:dyDescent="0.2">
      <c r="A234" s="411" t="s">
        <v>2576</v>
      </c>
      <c r="B234" s="411" t="s">
        <v>2128</v>
      </c>
      <c r="C234" s="410" t="s">
        <v>2577</v>
      </c>
      <c r="D234" s="412">
        <v>6</v>
      </c>
      <c r="E234" s="410" t="s">
        <v>2576</v>
      </c>
      <c r="F234" s="410" t="str">
        <f t="shared" si="3"/>
        <v>6.0 Health Products - Equipment (HPE)</v>
      </c>
      <c r="G234" s="413">
        <f t="shared" si="4"/>
        <v>6</v>
      </c>
      <c r="H234" s="408"/>
      <c r="I234" s="412">
        <v>0</v>
      </c>
    </row>
    <row r="235" spans="1:9" x14ac:dyDescent="0.2">
      <c r="A235" s="411" t="s">
        <v>2578</v>
      </c>
      <c r="B235" s="411" t="s">
        <v>2129</v>
      </c>
      <c r="C235" s="410" t="s">
        <v>2579</v>
      </c>
      <c r="D235" s="412">
        <v>6</v>
      </c>
      <c r="E235" s="410" t="s">
        <v>2576</v>
      </c>
      <c r="F235" s="410" t="str">
        <f t="shared" si="3"/>
        <v>6.1 CD4 analyser/accessories</v>
      </c>
      <c r="G235" s="413">
        <f t="shared" si="4"/>
        <v>6.1</v>
      </c>
      <c r="H235" s="408"/>
      <c r="I235" s="412">
        <v>1</v>
      </c>
    </row>
    <row r="236" spans="1:9" x14ac:dyDescent="0.2">
      <c r="A236" s="411" t="s">
        <v>2580</v>
      </c>
      <c r="B236" s="411" t="s">
        <v>2129</v>
      </c>
      <c r="C236" s="410" t="s">
        <v>2581</v>
      </c>
      <c r="D236" s="412">
        <v>6</v>
      </c>
      <c r="E236" s="410" t="s">
        <v>2576</v>
      </c>
      <c r="F236" s="410" t="str">
        <f t="shared" si="3"/>
        <v>6.2 HIV Viral Load analyser/accessories</v>
      </c>
      <c r="G236" s="413">
        <f t="shared" si="4"/>
        <v>6.2</v>
      </c>
      <c r="H236" s="408"/>
      <c r="I236" s="412">
        <v>2</v>
      </c>
    </row>
    <row r="237" spans="1:9" x14ac:dyDescent="0.2">
      <c r="A237" s="411" t="s">
        <v>2582</v>
      </c>
      <c r="B237" s="411" t="s">
        <v>2129</v>
      </c>
      <c r="C237" s="410" t="s">
        <v>2583</v>
      </c>
      <c r="D237" s="412">
        <v>6</v>
      </c>
      <c r="E237" s="410" t="s">
        <v>2576</v>
      </c>
      <c r="F237" s="410" t="str">
        <f t="shared" si="3"/>
        <v>6.3 Microscopes</v>
      </c>
      <c r="G237" s="413">
        <f t="shared" si="4"/>
        <v>6.3</v>
      </c>
      <c r="H237" s="408"/>
      <c r="I237" s="412">
        <v>3</v>
      </c>
    </row>
    <row r="238" spans="1:9" x14ac:dyDescent="0.2">
      <c r="A238" s="411" t="s">
        <v>2584</v>
      </c>
      <c r="B238" s="411" t="s">
        <v>2129</v>
      </c>
      <c r="C238" s="410" t="s">
        <v>2585</v>
      </c>
      <c r="D238" s="412">
        <v>6</v>
      </c>
      <c r="E238" s="410" t="s">
        <v>2576</v>
      </c>
      <c r="F238" s="410" t="str">
        <f t="shared" si="3"/>
        <v>6.4 TB Molecular Test equipment</v>
      </c>
      <c r="G238" s="413">
        <f t="shared" si="4"/>
        <v>6.4</v>
      </c>
      <c r="H238" s="408"/>
      <c r="I238" s="412">
        <v>4</v>
      </c>
    </row>
    <row r="239" spans="1:9" x14ac:dyDescent="0.2">
      <c r="A239" s="411" t="s">
        <v>2586</v>
      </c>
      <c r="B239" s="411" t="s">
        <v>2128</v>
      </c>
      <c r="C239" s="410" t="s">
        <v>2587</v>
      </c>
      <c r="D239" s="412">
        <v>6</v>
      </c>
      <c r="E239" s="410" t="s">
        <v>2576</v>
      </c>
      <c r="F239" s="410" t="str">
        <f t="shared" si="3"/>
        <v>6.5 Maintenance and service costs for health equipment</v>
      </c>
      <c r="G239" s="413">
        <f t="shared" si="4"/>
        <v>6.5</v>
      </c>
      <c r="H239" s="408"/>
      <c r="I239" s="412">
        <v>5</v>
      </c>
    </row>
    <row r="240" spans="1:9" x14ac:dyDescent="0.2">
      <c r="A240" s="411" t="s">
        <v>2588</v>
      </c>
      <c r="B240" s="411" t="s">
        <v>2128</v>
      </c>
      <c r="C240" s="410" t="s">
        <v>2589</v>
      </c>
      <c r="D240" s="412">
        <v>6</v>
      </c>
      <c r="E240" s="410" t="s">
        <v>2576</v>
      </c>
      <c r="F240" s="410" t="str">
        <f t="shared" si="3"/>
        <v>6.6 Other health equipment</v>
      </c>
      <c r="G240" s="413">
        <f t="shared" si="4"/>
        <v>6.6</v>
      </c>
      <c r="H240" s="408"/>
      <c r="I240" s="412">
        <v>6</v>
      </c>
    </row>
    <row r="241" spans="1:9" x14ac:dyDescent="0.2">
      <c r="A241" s="411" t="s">
        <v>2590</v>
      </c>
      <c r="B241" s="411" t="s">
        <v>2128</v>
      </c>
      <c r="C241" s="410" t="s">
        <v>2591</v>
      </c>
      <c r="D241" s="412">
        <v>7</v>
      </c>
      <c r="E241" s="410" t="s">
        <v>2590</v>
      </c>
      <c r="F241" s="410" t="str">
        <f t="shared" si="3"/>
        <v>7.0 Procurement and Supply-Chain Management costs (PSM)</v>
      </c>
      <c r="G241" s="413">
        <f t="shared" si="4"/>
        <v>7</v>
      </c>
      <c r="H241" s="408"/>
      <c r="I241" s="412">
        <v>0</v>
      </c>
    </row>
    <row r="242" spans="1:9" x14ac:dyDescent="0.2">
      <c r="A242" s="411" t="s">
        <v>2592</v>
      </c>
      <c r="B242" s="411" t="s">
        <v>2128</v>
      </c>
      <c r="C242" s="410" t="s">
        <v>2593</v>
      </c>
      <c r="D242" s="412">
        <v>7</v>
      </c>
      <c r="E242" s="410" t="s">
        <v>2590</v>
      </c>
      <c r="F242" s="410" t="str">
        <f t="shared" si="3"/>
        <v>7.1 Procurement agent and handling fees</v>
      </c>
      <c r="G242" s="413">
        <f t="shared" si="4"/>
        <v>7.1</v>
      </c>
      <c r="H242" s="408"/>
      <c r="I242" s="412">
        <v>1</v>
      </c>
    </row>
    <row r="243" spans="1:9" x14ac:dyDescent="0.2">
      <c r="A243" s="411" t="s">
        <v>2594</v>
      </c>
      <c r="B243" s="411" t="s">
        <v>2128</v>
      </c>
      <c r="C243" s="410" t="s">
        <v>2595</v>
      </c>
      <c r="D243" s="412">
        <v>7</v>
      </c>
      <c r="E243" s="410" t="s">
        <v>2590</v>
      </c>
      <c r="F243" s="410" t="str">
        <f t="shared" si="3"/>
        <v>7.2 Freight and insurance costs (Health products)</v>
      </c>
      <c r="G243" s="413">
        <f t="shared" si="4"/>
        <v>7.2</v>
      </c>
      <c r="H243" s="408"/>
      <c r="I243" s="412">
        <v>2</v>
      </c>
    </row>
    <row r="244" spans="1:9" x14ac:dyDescent="0.2">
      <c r="A244" s="411" t="s">
        <v>2596</v>
      </c>
      <c r="B244" s="411" t="s">
        <v>2128</v>
      </c>
      <c r="C244" s="410" t="s">
        <v>2597</v>
      </c>
      <c r="D244" s="412">
        <v>7</v>
      </c>
      <c r="E244" s="410" t="s">
        <v>2590</v>
      </c>
      <c r="F244" s="410" t="str">
        <f t="shared" si="3"/>
        <v>7.3 Warehouse and Storage Costs</v>
      </c>
      <c r="G244" s="413">
        <f t="shared" si="4"/>
        <v>7.3</v>
      </c>
      <c r="H244" s="408"/>
      <c r="I244" s="412">
        <v>3</v>
      </c>
    </row>
    <row r="245" spans="1:9" x14ac:dyDescent="0.2">
      <c r="A245" s="411" t="s">
        <v>2598</v>
      </c>
      <c r="B245" s="411" t="s">
        <v>2128</v>
      </c>
      <c r="C245" s="410" t="s">
        <v>2599</v>
      </c>
      <c r="D245" s="412">
        <v>7</v>
      </c>
      <c r="E245" s="410" t="s">
        <v>2590</v>
      </c>
      <c r="F245" s="410" t="str">
        <f t="shared" si="3"/>
        <v>7.4 In-country distribution costs</v>
      </c>
      <c r="G245" s="413">
        <f t="shared" si="4"/>
        <v>7.4</v>
      </c>
      <c r="H245" s="408"/>
      <c r="I245" s="412">
        <v>4</v>
      </c>
    </row>
    <row r="246" spans="1:9" x14ac:dyDescent="0.2">
      <c r="A246" s="411" t="s">
        <v>2600</v>
      </c>
      <c r="B246" s="411" t="s">
        <v>2128</v>
      </c>
      <c r="C246" s="410" t="s">
        <v>2601</v>
      </c>
      <c r="D246" s="412">
        <v>7</v>
      </c>
      <c r="E246" s="410" t="s">
        <v>2590</v>
      </c>
      <c r="F246" s="410" t="str">
        <f t="shared" si="3"/>
        <v>7.5 Quality assurance and quality control costs (QA/QC)</v>
      </c>
      <c r="G246" s="413">
        <f t="shared" si="4"/>
        <v>7.5</v>
      </c>
      <c r="H246" s="408"/>
      <c r="I246" s="412">
        <v>5</v>
      </c>
    </row>
    <row r="247" spans="1:9" x14ac:dyDescent="0.2">
      <c r="A247" s="411" t="s">
        <v>2602</v>
      </c>
      <c r="B247" s="411" t="s">
        <v>2128</v>
      </c>
      <c r="C247" s="410" t="s">
        <v>2603</v>
      </c>
      <c r="D247" s="412">
        <v>7</v>
      </c>
      <c r="E247" s="410" t="s">
        <v>2590</v>
      </c>
      <c r="F247" s="410" t="str">
        <f t="shared" si="3"/>
        <v>7.6 PSM Customs Clearance</v>
      </c>
      <c r="G247" s="413">
        <f t="shared" si="4"/>
        <v>7.6</v>
      </c>
      <c r="H247" s="408"/>
      <c r="I247" s="412">
        <v>6</v>
      </c>
    </row>
    <row r="248" spans="1:9" x14ac:dyDescent="0.2">
      <c r="A248" s="411" t="s">
        <v>2604</v>
      </c>
      <c r="B248" s="411" t="s">
        <v>2128</v>
      </c>
      <c r="C248" s="410" t="s">
        <v>2605</v>
      </c>
      <c r="D248" s="412">
        <v>7</v>
      </c>
      <c r="E248" s="410" t="s">
        <v>2590</v>
      </c>
      <c r="F248" s="410" t="str">
        <f t="shared" si="3"/>
        <v>7.7 Other PSM costs</v>
      </c>
      <c r="G248" s="413">
        <f t="shared" si="4"/>
        <v>7.7</v>
      </c>
      <c r="H248" s="408"/>
      <c r="I248" s="412">
        <v>7</v>
      </c>
    </row>
    <row r="249" spans="1:9" x14ac:dyDescent="0.2">
      <c r="A249" s="411" t="s">
        <v>2606</v>
      </c>
      <c r="B249" s="411" t="s">
        <v>2128</v>
      </c>
      <c r="C249" s="410" t="s">
        <v>2607</v>
      </c>
      <c r="D249" s="412">
        <v>8</v>
      </c>
      <c r="E249" s="410" t="s">
        <v>2606</v>
      </c>
      <c r="F249" s="410" t="str">
        <f t="shared" si="3"/>
        <v>8.0 Infrastructure (INF)</v>
      </c>
      <c r="G249" s="413">
        <f t="shared" si="4"/>
        <v>8</v>
      </c>
      <c r="H249" s="408"/>
      <c r="I249" s="412">
        <v>0</v>
      </c>
    </row>
    <row r="250" spans="1:9" x14ac:dyDescent="0.2">
      <c r="A250" s="411" t="s">
        <v>2608</v>
      </c>
      <c r="B250" s="411" t="s">
        <v>2128</v>
      </c>
      <c r="C250" s="410" t="s">
        <v>2609</v>
      </c>
      <c r="D250" s="412">
        <v>8</v>
      </c>
      <c r="E250" s="410" t="s">
        <v>2606</v>
      </c>
      <c r="F250" s="410" t="str">
        <f t="shared" si="3"/>
        <v>8.1 Furniture</v>
      </c>
      <c r="G250" s="413">
        <f t="shared" si="4"/>
        <v>8.1</v>
      </c>
      <c r="H250" s="408"/>
      <c r="I250" s="412">
        <v>1</v>
      </c>
    </row>
    <row r="251" spans="1:9" x14ac:dyDescent="0.2">
      <c r="A251" s="411" t="s">
        <v>2610</v>
      </c>
      <c r="B251" s="411" t="s">
        <v>2128</v>
      </c>
      <c r="C251" s="410" t="s">
        <v>2611</v>
      </c>
      <c r="D251" s="412">
        <v>8</v>
      </c>
      <c r="E251" s="410" t="s">
        <v>2606</v>
      </c>
      <c r="F251" s="410" t="str">
        <f t="shared" si="3"/>
        <v>8.2 Renovation/constructions</v>
      </c>
      <c r="G251" s="413">
        <f t="shared" si="4"/>
        <v>8.1999999999999993</v>
      </c>
      <c r="H251" s="408"/>
      <c r="I251" s="412">
        <v>2</v>
      </c>
    </row>
    <row r="252" spans="1:9" x14ac:dyDescent="0.2">
      <c r="A252" s="411" t="s">
        <v>2612</v>
      </c>
      <c r="B252" s="411" t="s">
        <v>2128</v>
      </c>
      <c r="C252" s="410" t="s">
        <v>2613</v>
      </c>
      <c r="D252" s="412">
        <v>8</v>
      </c>
      <c r="E252" s="410" t="s">
        <v>2606</v>
      </c>
      <c r="F252" s="410" t="str">
        <f t="shared" si="3"/>
        <v>8.3 Infrastructure maintenance and other INF costs</v>
      </c>
      <c r="G252" s="413">
        <f t="shared" si="4"/>
        <v>8.3000000000000007</v>
      </c>
      <c r="H252" s="408"/>
      <c r="I252" s="412">
        <v>3</v>
      </c>
    </row>
    <row r="253" spans="1:9" x14ac:dyDescent="0.2">
      <c r="A253" s="411" t="s">
        <v>2614</v>
      </c>
      <c r="B253" s="411" t="s">
        <v>2128</v>
      </c>
      <c r="C253" s="410" t="s">
        <v>2615</v>
      </c>
      <c r="D253" s="412">
        <v>9</v>
      </c>
      <c r="E253" s="410" t="s">
        <v>2614</v>
      </c>
      <c r="F253" s="410" t="str">
        <f t="shared" si="3"/>
        <v>9.0 Non-health equipment (NHP)</v>
      </c>
      <c r="G253" s="413">
        <f t="shared" si="4"/>
        <v>9</v>
      </c>
      <c r="H253" s="408"/>
      <c r="I253" s="412">
        <v>0</v>
      </c>
    </row>
    <row r="254" spans="1:9" x14ac:dyDescent="0.2">
      <c r="A254" s="411" t="s">
        <v>2616</v>
      </c>
      <c r="B254" s="411" t="s">
        <v>2128</v>
      </c>
      <c r="C254" s="410" t="s">
        <v>2617</v>
      </c>
      <c r="D254" s="412">
        <v>9</v>
      </c>
      <c r="E254" s="410" t="s">
        <v>2614</v>
      </c>
      <c r="F254" s="410" t="str">
        <f t="shared" si="3"/>
        <v>9.1 IT - Computers, computer equipment, Software and applications</v>
      </c>
      <c r="G254" s="413">
        <f t="shared" si="4"/>
        <v>9.1</v>
      </c>
      <c r="H254" s="408"/>
      <c r="I254" s="412">
        <v>1</v>
      </c>
    </row>
    <row r="255" spans="1:9" x14ac:dyDescent="0.2">
      <c r="A255" s="411" t="s">
        <v>2618</v>
      </c>
      <c r="B255" s="411" t="s">
        <v>2134</v>
      </c>
      <c r="C255" s="410" t="s">
        <v>2619</v>
      </c>
      <c r="D255" s="412">
        <v>9</v>
      </c>
      <c r="E255" s="410" t="s">
        <v>2614</v>
      </c>
      <c r="F255" s="410" t="str">
        <f t="shared" si="3"/>
        <v>9.2 Vehicles</v>
      </c>
      <c r="G255" s="413">
        <f t="shared" si="4"/>
        <v>9.1999999999999993</v>
      </c>
      <c r="H255" s="408"/>
      <c r="I255" s="412">
        <v>2</v>
      </c>
    </row>
    <row r="256" spans="1:9" x14ac:dyDescent="0.2">
      <c r="A256" s="411" t="s">
        <v>2620</v>
      </c>
      <c r="B256" s="411" t="s">
        <v>2128</v>
      </c>
      <c r="C256" s="410" t="s">
        <v>2621</v>
      </c>
      <c r="D256" s="412">
        <v>9</v>
      </c>
      <c r="E256" s="410" t="s">
        <v>2614</v>
      </c>
      <c r="F256" s="410" t="str">
        <f t="shared" si="3"/>
        <v>9.3 Other non-health equipment</v>
      </c>
      <c r="G256" s="413">
        <f t="shared" si="4"/>
        <v>9.3000000000000007</v>
      </c>
      <c r="H256" s="408"/>
      <c r="I256" s="412">
        <v>3</v>
      </c>
    </row>
    <row r="257" spans="1:9" x14ac:dyDescent="0.2">
      <c r="A257" s="411" t="s">
        <v>2622</v>
      </c>
      <c r="B257" s="411" t="s">
        <v>2128</v>
      </c>
      <c r="C257" s="410" t="s">
        <v>2623</v>
      </c>
      <c r="D257" s="412">
        <v>9</v>
      </c>
      <c r="E257" s="410" t="s">
        <v>2614</v>
      </c>
      <c r="F257" s="410" t="str">
        <f t="shared" si="3"/>
        <v>9.4 Maintenance and service costs non-health equipment</v>
      </c>
      <c r="G257" s="413">
        <f t="shared" si="4"/>
        <v>9.4</v>
      </c>
      <c r="H257" s="408"/>
      <c r="I257" s="412">
        <v>4</v>
      </c>
    </row>
    <row r="258" spans="1:9" x14ac:dyDescent="0.2">
      <c r="A258" s="411" t="s">
        <v>2624</v>
      </c>
      <c r="B258" s="411" t="s">
        <v>2128</v>
      </c>
      <c r="C258" s="410" t="s">
        <v>2625</v>
      </c>
      <c r="D258" s="412">
        <v>10</v>
      </c>
      <c r="E258" s="410" t="s">
        <v>2624</v>
      </c>
      <c r="F258" s="410" t="str">
        <f t="shared" si="3"/>
        <v>10.0 Communication Material and Publications (CMP)</v>
      </c>
      <c r="G258" s="413">
        <f t="shared" si="4"/>
        <v>10</v>
      </c>
      <c r="H258" s="408"/>
      <c r="I258" s="412">
        <v>0</v>
      </c>
    </row>
    <row r="259" spans="1:9" x14ac:dyDescent="0.2">
      <c r="A259" s="411" t="s">
        <v>2626</v>
      </c>
      <c r="B259" s="411" t="s">
        <v>2128</v>
      </c>
      <c r="C259" s="410" t="s">
        <v>2627</v>
      </c>
      <c r="D259" s="412">
        <v>10</v>
      </c>
      <c r="E259" s="410" t="s">
        <v>2624</v>
      </c>
      <c r="F259" s="410" t="str">
        <f t="shared" si="3"/>
        <v>10.1 Printed materials (forms, books, guidelines, brochure, leaflets...)</v>
      </c>
      <c r="G259" s="413">
        <f t="shared" si="4"/>
        <v>10.1</v>
      </c>
      <c r="H259" s="408"/>
      <c r="I259" s="412">
        <v>1</v>
      </c>
    </row>
    <row r="260" spans="1:9" x14ac:dyDescent="0.2">
      <c r="A260" s="411" t="s">
        <v>2628</v>
      </c>
      <c r="B260" s="411" t="s">
        <v>2135</v>
      </c>
      <c r="C260" s="410" t="s">
        <v>2629</v>
      </c>
      <c r="D260" s="412">
        <v>10</v>
      </c>
      <c r="E260" s="410" t="s">
        <v>2624</v>
      </c>
      <c r="F260" s="410" t="str">
        <f t="shared" si="3"/>
        <v>10.2 Television/Radio spots and programmes</v>
      </c>
      <c r="G260" s="413">
        <f t="shared" si="4"/>
        <v>10.199999999999999</v>
      </c>
      <c r="H260" s="408"/>
      <c r="I260" s="412">
        <v>2</v>
      </c>
    </row>
    <row r="261" spans="1:9" x14ac:dyDescent="0.2">
      <c r="A261" s="411" t="s">
        <v>2630</v>
      </c>
      <c r="B261" s="411" t="s">
        <v>2136</v>
      </c>
      <c r="C261" s="410" t="s">
        <v>2631</v>
      </c>
      <c r="D261" s="412">
        <v>10</v>
      </c>
      <c r="E261" s="410" t="s">
        <v>2624</v>
      </c>
      <c r="F261" s="410" t="str">
        <f t="shared" si="3"/>
        <v>10.3 Promotional Material (t-shirts, mugs, pins...) and other CMP costs</v>
      </c>
      <c r="G261" s="413">
        <f t="shared" si="4"/>
        <v>10.3</v>
      </c>
      <c r="H261" s="408"/>
      <c r="I261" s="412">
        <v>3</v>
      </c>
    </row>
    <row r="262" spans="1:9" x14ac:dyDescent="0.2">
      <c r="A262" s="411" t="s">
        <v>2632</v>
      </c>
      <c r="B262" s="411" t="s">
        <v>2137</v>
      </c>
      <c r="C262" s="410" t="s">
        <v>2633</v>
      </c>
      <c r="D262" s="412">
        <v>11</v>
      </c>
      <c r="E262" s="410" t="s">
        <v>2632</v>
      </c>
      <c r="F262" s="410" t="str">
        <f t="shared" si="3"/>
        <v>11.0 Programme Administration costs (PA)</v>
      </c>
      <c r="G262" s="413">
        <f t="shared" si="4"/>
        <v>11</v>
      </c>
      <c r="H262" s="408"/>
      <c r="I262" s="412">
        <v>0</v>
      </c>
    </row>
    <row r="263" spans="1:9" x14ac:dyDescent="0.2">
      <c r="A263" s="411" t="s">
        <v>2634</v>
      </c>
      <c r="B263" s="411" t="s">
        <v>2137</v>
      </c>
      <c r="C263" s="410" t="s">
        <v>2635</v>
      </c>
      <c r="D263" s="412">
        <v>11</v>
      </c>
      <c r="E263" s="410" t="s">
        <v>2632</v>
      </c>
      <c r="F263" s="410" t="str">
        <f t="shared" si="3"/>
        <v>11.1 Office related costs</v>
      </c>
      <c r="G263" s="413">
        <f t="shared" si="4"/>
        <v>11.1</v>
      </c>
      <c r="H263" s="408"/>
      <c r="I263" s="412">
        <v>1</v>
      </c>
    </row>
    <row r="264" spans="1:9" x14ac:dyDescent="0.2">
      <c r="A264" s="411" t="s">
        <v>2636</v>
      </c>
      <c r="B264" s="411" t="s">
        <v>2128</v>
      </c>
      <c r="C264" s="410" t="s">
        <v>2637</v>
      </c>
      <c r="D264" s="412">
        <v>11</v>
      </c>
      <c r="E264" s="410" t="s">
        <v>2632</v>
      </c>
      <c r="F264" s="410" t="str">
        <f t="shared" ref="F264:F274" si="5">D264 &amp; "." &amp; I264 &amp; " " &amp; A264</f>
        <v>11.2 Unrecoverable taxes and duties</v>
      </c>
      <c r="G264" s="413">
        <f t="shared" ref="G264:G274" si="6">D264 + IF(I264&lt;10,I264*0.1,IF(I264&lt;100,I264*0.01,0))</f>
        <v>11.2</v>
      </c>
      <c r="H264" s="408"/>
      <c r="I264" s="412">
        <v>2</v>
      </c>
    </row>
    <row r="265" spans="1:9" x14ac:dyDescent="0.2">
      <c r="A265" s="411" t="s">
        <v>2638</v>
      </c>
      <c r="B265" s="411" t="s">
        <v>2128</v>
      </c>
      <c r="C265" s="410" t="s">
        <v>2639</v>
      </c>
      <c r="D265" s="412">
        <v>11</v>
      </c>
      <c r="E265" s="410" t="s">
        <v>2632</v>
      </c>
      <c r="F265" s="410" t="str">
        <f t="shared" si="5"/>
        <v>11.3 Indirect cost recovery (ICR) - % based</v>
      </c>
      <c r="G265" s="413">
        <f t="shared" si="6"/>
        <v>11.3</v>
      </c>
      <c r="H265" s="408"/>
      <c r="I265" s="412">
        <v>3</v>
      </c>
    </row>
    <row r="266" spans="1:9" x14ac:dyDescent="0.2">
      <c r="A266" s="411" t="s">
        <v>2640</v>
      </c>
      <c r="B266" s="411" t="s">
        <v>2128</v>
      </c>
      <c r="C266" s="410" t="s">
        <v>2641</v>
      </c>
      <c r="D266" s="412">
        <v>11</v>
      </c>
      <c r="E266" s="410" t="s">
        <v>2632</v>
      </c>
      <c r="F266" s="410" t="str">
        <f t="shared" si="5"/>
        <v>11.4 Other PA costs</v>
      </c>
      <c r="G266" s="413">
        <f t="shared" si="6"/>
        <v>11.4</v>
      </c>
      <c r="H266" s="408"/>
      <c r="I266" s="412">
        <v>4</v>
      </c>
    </row>
    <row r="267" spans="1:9" x14ac:dyDescent="0.2">
      <c r="A267" s="411" t="s">
        <v>2642</v>
      </c>
      <c r="B267" s="411" t="s">
        <v>2128</v>
      </c>
      <c r="C267" s="410" t="s">
        <v>2643</v>
      </c>
      <c r="D267" s="412">
        <v>12</v>
      </c>
      <c r="E267" s="410" t="s">
        <v>2642</v>
      </c>
      <c r="F267" s="410" t="str">
        <f t="shared" si="5"/>
        <v>12.0 Living support to client/ target population (LSCTP)</v>
      </c>
      <c r="G267" s="413">
        <f t="shared" si="6"/>
        <v>12</v>
      </c>
      <c r="H267" s="408"/>
      <c r="I267" s="412">
        <v>0</v>
      </c>
    </row>
    <row r="268" spans="1:9" x14ac:dyDescent="0.2">
      <c r="A268" s="411" t="s">
        <v>2644</v>
      </c>
      <c r="B268" s="411" t="s">
        <v>2138</v>
      </c>
      <c r="C268" s="410" t="s">
        <v>2645</v>
      </c>
      <c r="D268" s="412">
        <v>12</v>
      </c>
      <c r="E268" s="410" t="s">
        <v>2642</v>
      </c>
      <c r="F268" s="410" t="str">
        <f t="shared" si="5"/>
        <v>12.1 OVC Support (school fees, uniforms, books...)</v>
      </c>
      <c r="G268" s="413">
        <f t="shared" si="6"/>
        <v>12.1</v>
      </c>
      <c r="H268" s="408"/>
      <c r="I268" s="412">
        <v>1</v>
      </c>
    </row>
    <row r="269" spans="1:9" x14ac:dyDescent="0.2">
      <c r="A269" s="411" t="s">
        <v>2646</v>
      </c>
      <c r="B269" s="411" t="s">
        <v>2139</v>
      </c>
      <c r="C269" s="410" t="s">
        <v>2647</v>
      </c>
      <c r="D269" s="412">
        <v>12</v>
      </c>
      <c r="E269" s="410" t="s">
        <v>2642</v>
      </c>
      <c r="F269" s="410" t="str">
        <f t="shared" si="5"/>
        <v>12.2 Food and care packages</v>
      </c>
      <c r="G269" s="413">
        <f t="shared" si="6"/>
        <v>12.2</v>
      </c>
      <c r="H269" s="408"/>
      <c r="I269" s="412">
        <v>2</v>
      </c>
    </row>
    <row r="270" spans="1:9" x14ac:dyDescent="0.2">
      <c r="A270" s="411" t="s">
        <v>2648</v>
      </c>
      <c r="B270" s="411" t="s">
        <v>2140</v>
      </c>
      <c r="C270" s="410" t="s">
        <v>2649</v>
      </c>
      <c r="D270" s="412">
        <v>12</v>
      </c>
      <c r="E270" s="410" t="s">
        <v>2642</v>
      </c>
      <c r="F270" s="410" t="str">
        <f t="shared" si="5"/>
        <v>12.3 Cash incentives/transfer to patients/beneficiaries/counsellors/mediators</v>
      </c>
      <c r="G270" s="413">
        <f t="shared" si="6"/>
        <v>12.3</v>
      </c>
      <c r="H270" s="408"/>
      <c r="I270" s="412">
        <v>3</v>
      </c>
    </row>
    <row r="271" spans="1:9" x14ac:dyDescent="0.2">
      <c r="A271" s="411" t="s">
        <v>2650</v>
      </c>
      <c r="B271" s="411" t="s">
        <v>2141</v>
      </c>
      <c r="C271" s="410" t="s">
        <v>2651</v>
      </c>
      <c r="D271" s="412">
        <v>12</v>
      </c>
      <c r="E271" s="410" t="s">
        <v>2642</v>
      </c>
      <c r="F271" s="410" t="str">
        <f t="shared" si="5"/>
        <v>12.4 Micro-loans and micro-grants</v>
      </c>
      <c r="G271" s="413">
        <f t="shared" si="6"/>
        <v>12.4</v>
      </c>
      <c r="H271" s="408"/>
      <c r="I271" s="412">
        <v>4</v>
      </c>
    </row>
    <row r="272" spans="1:9" x14ac:dyDescent="0.2">
      <c r="A272" s="411" t="s">
        <v>2652</v>
      </c>
      <c r="B272" s="411" t="s">
        <v>2128</v>
      </c>
      <c r="C272" s="410" t="s">
        <v>2653</v>
      </c>
      <c r="D272" s="412">
        <v>12</v>
      </c>
      <c r="E272" s="410" t="s">
        <v>2642</v>
      </c>
      <c r="F272" s="410" t="str">
        <f t="shared" si="5"/>
        <v>12.5 Other LSCTP costs</v>
      </c>
      <c r="G272" s="413">
        <f t="shared" si="6"/>
        <v>12.5</v>
      </c>
      <c r="H272" s="408"/>
      <c r="I272" s="412">
        <v>5</v>
      </c>
    </row>
    <row r="273" spans="1:9" x14ac:dyDescent="0.2">
      <c r="A273" s="411" t="s">
        <v>2654</v>
      </c>
      <c r="B273" s="411" t="s">
        <v>2128</v>
      </c>
      <c r="C273" s="410" t="s">
        <v>2655</v>
      </c>
      <c r="D273" s="412">
        <v>13</v>
      </c>
      <c r="E273" s="410" t="s">
        <v>2654</v>
      </c>
      <c r="F273" s="410" t="str">
        <f t="shared" si="5"/>
        <v>13.0 Payment for Results</v>
      </c>
      <c r="G273" s="413">
        <f t="shared" si="6"/>
        <v>13</v>
      </c>
      <c r="H273" s="408"/>
      <c r="I273" s="412">
        <v>0</v>
      </c>
    </row>
    <row r="274" spans="1:9" x14ac:dyDescent="0.2">
      <c r="A274" s="411" t="s">
        <v>2654</v>
      </c>
      <c r="B274" s="411" t="s">
        <v>2128</v>
      </c>
      <c r="C274" s="410" t="s">
        <v>2656</v>
      </c>
      <c r="D274" s="412">
        <v>13</v>
      </c>
      <c r="E274" s="410" t="s">
        <v>2654</v>
      </c>
      <c r="F274" s="410" t="str">
        <f t="shared" si="5"/>
        <v>13.1 Payment for Results</v>
      </c>
      <c r="G274" s="413">
        <f t="shared" si="6"/>
        <v>13.1</v>
      </c>
      <c r="H274" s="408"/>
      <c r="I274" s="412">
        <v>1</v>
      </c>
    </row>
    <row r="275" spans="1:9" x14ac:dyDescent="0.2">
      <c r="A275" s="220"/>
      <c r="B275" s="220"/>
      <c r="C275" s="220"/>
      <c r="D275" s="220"/>
      <c r="E275" s="220"/>
      <c r="F275" s="220"/>
      <c r="G275" s="221"/>
    </row>
    <row r="276" spans="1:9" x14ac:dyDescent="0.2">
      <c r="A276" s="220" t="s">
        <v>2018</v>
      </c>
      <c r="B276" s="399" t="s">
        <v>2143</v>
      </c>
      <c r="C276" s="220" t="s">
        <v>2144</v>
      </c>
      <c r="D276" s="220"/>
      <c r="E276" s="220"/>
      <c r="F276" s="220"/>
      <c r="G276" s="221"/>
    </row>
    <row r="277" spans="1:9" x14ac:dyDescent="0.2">
      <c r="A277" s="220"/>
      <c r="B277" s="220"/>
      <c r="C277" s="220"/>
      <c r="D277" s="220"/>
      <c r="E277" s="220"/>
      <c r="F277" s="220"/>
      <c r="G277" s="221"/>
    </row>
    <row r="278" spans="1:9" x14ac:dyDescent="0.2">
      <c r="A278" s="220"/>
      <c r="B278" s="220"/>
      <c r="C278" s="220"/>
      <c r="D278" s="220"/>
      <c r="E278" s="220"/>
      <c r="F278" s="220"/>
      <c r="G278" s="221"/>
    </row>
    <row r="279" spans="1:9" x14ac:dyDescent="0.2">
      <c r="A279" s="220" t="str">
        <f t="array" ref="A279">IFERROR(INDEX(ComponentList,ROWS(A$278:A278))&amp;"","")</f>
        <v/>
      </c>
      <c r="B279" s="220"/>
      <c r="C279" s="220"/>
      <c r="D279" s="220"/>
      <c r="E279" s="220"/>
      <c r="F279" s="220"/>
      <c r="G279" s="221"/>
    </row>
    <row r="280" spans="1:9" x14ac:dyDescent="0.2">
      <c r="A280" s="220" t="str">
        <f t="array" ref="A280">IFERROR(INDEX(ComponentList,ROWS(A$278:A279))&amp;"","")</f>
        <v>HIV/AIDS</v>
      </c>
      <c r="B280" s="220"/>
      <c r="C280" s="220"/>
      <c r="D280" s="220"/>
      <c r="E280" s="220"/>
      <c r="F280" s="220"/>
      <c r="G280" s="221"/>
    </row>
    <row r="281" spans="1:9" x14ac:dyDescent="0.2">
      <c r="A281" s="220" t="str">
        <f t="array" ref="A281">IFERROR(INDEX(ComponentList,ROWS(A$278:A280))&amp;"","")</f>
        <v/>
      </c>
      <c r="B281" s="220"/>
      <c r="C281" s="220"/>
      <c r="D281" s="220"/>
      <c r="E281" s="220"/>
      <c r="F281" s="220"/>
      <c r="G281" s="221"/>
    </row>
    <row r="282" spans="1:9" x14ac:dyDescent="0.2">
      <c r="A282" s="220" t="str">
        <f t="array" ref="A282">IFERROR(INDEX(ComponentList,ROWS(A$278:A281))&amp;"","")</f>
        <v/>
      </c>
      <c r="B282" s="220"/>
      <c r="C282" s="220"/>
      <c r="D282" s="220"/>
      <c r="E282" s="220"/>
      <c r="F282" s="220"/>
      <c r="G282" s="221"/>
    </row>
    <row r="283" spans="1:9" x14ac:dyDescent="0.2">
      <c r="A283" s="220"/>
      <c r="B283" s="220"/>
      <c r="C283" s="220"/>
      <c r="D283" s="220"/>
      <c r="E283" s="220"/>
      <c r="F283" s="220"/>
      <c r="G283" s="221"/>
    </row>
    <row r="284" spans="1:9" x14ac:dyDescent="0.2">
      <c r="A284" s="220"/>
      <c r="B284" s="220"/>
      <c r="C284" s="220"/>
      <c r="D284" s="220"/>
      <c r="E284" s="220"/>
      <c r="F284" s="220"/>
      <c r="G284" s="221"/>
    </row>
    <row r="285" spans="1:9" x14ac:dyDescent="0.2">
      <c r="A285" s="220"/>
      <c r="B285" s="220"/>
      <c r="C285" s="220"/>
      <c r="D285" s="220"/>
      <c r="E285" s="220"/>
      <c r="F285" s="220"/>
      <c r="G285" s="221"/>
    </row>
    <row r="286" spans="1:9" x14ac:dyDescent="0.2">
      <c r="A286" s="220"/>
      <c r="B286" s="220"/>
      <c r="C286" s="220"/>
      <c r="D286" s="220"/>
      <c r="E286" s="220"/>
      <c r="F286" s="220"/>
      <c r="G286" s="221"/>
    </row>
    <row r="287" spans="1:9" x14ac:dyDescent="0.2">
      <c r="A287" s="220"/>
      <c r="B287" s="220"/>
      <c r="C287" s="220"/>
      <c r="D287" s="220"/>
      <c r="E287" s="220"/>
      <c r="F287" s="220"/>
      <c r="G287" s="221"/>
    </row>
    <row r="288" spans="1:9" x14ac:dyDescent="0.2">
      <c r="A288" s="220"/>
      <c r="B288" s="220"/>
      <c r="C288" s="220"/>
      <c r="D288" s="220"/>
      <c r="E288" s="220"/>
      <c r="F288" s="220"/>
      <c r="G288" s="221"/>
    </row>
    <row r="289" spans="1:7" x14ac:dyDescent="0.2">
      <c r="A289" s="220" t="s">
        <v>2106</v>
      </c>
      <c r="B289" s="220" t="s">
        <v>2146</v>
      </c>
      <c r="C289" s="220"/>
      <c r="D289" s="220"/>
      <c r="E289" s="220"/>
      <c r="F289" s="220"/>
      <c r="G289" s="221"/>
    </row>
    <row r="290" spans="1:7" x14ac:dyDescent="0.2">
      <c r="A290" s="220" t="s">
        <v>2107</v>
      </c>
      <c r="B290" s="399" t="s">
        <v>2145</v>
      </c>
      <c r="C290" s="220"/>
      <c r="D290" s="220"/>
      <c r="E290" s="220"/>
      <c r="F290" s="220"/>
      <c r="G290" s="221"/>
    </row>
    <row r="291" spans="1:7" x14ac:dyDescent="0.2">
      <c r="A291" s="220"/>
      <c r="B291" s="220"/>
      <c r="C291" s="220"/>
      <c r="D291" s="220"/>
      <c r="E291" s="220"/>
      <c r="F291" s="220"/>
      <c r="G291" s="221"/>
    </row>
    <row r="292" spans="1:7" x14ac:dyDescent="0.2">
      <c r="A292" s="220"/>
      <c r="B292" s="220"/>
      <c r="C292" s="220"/>
      <c r="D292" s="220"/>
      <c r="E292" s="220"/>
      <c r="F292" s="220"/>
      <c r="G292" s="221"/>
    </row>
    <row r="293" spans="1:7" x14ac:dyDescent="0.2">
      <c r="A293" s="220"/>
      <c r="B293" s="220"/>
      <c r="C293" s="220"/>
      <c r="D293" s="220"/>
      <c r="E293" s="220"/>
      <c r="F293" s="220"/>
      <c r="G293" s="221"/>
    </row>
    <row r="294" spans="1:7" x14ac:dyDescent="0.2">
      <c r="A294" s="220"/>
      <c r="B294" s="220"/>
      <c r="C294" s="220"/>
      <c r="D294" s="220"/>
      <c r="E294" s="220"/>
      <c r="F294" s="220"/>
      <c r="G294" s="221"/>
    </row>
    <row r="295" spans="1:7" x14ac:dyDescent="0.2">
      <c r="A295" s="220"/>
      <c r="B295" s="220"/>
      <c r="C295" s="220"/>
      <c r="D295" s="220"/>
      <c r="E295" s="220"/>
      <c r="F295" s="220"/>
      <c r="G295" s="221"/>
    </row>
    <row r="296" spans="1:7" x14ac:dyDescent="0.2">
      <c r="A296" s="220"/>
      <c r="B296" s="220"/>
      <c r="C296" s="220"/>
      <c r="D296" s="220"/>
      <c r="E296" s="220"/>
      <c r="F296" s="220"/>
      <c r="G296" s="221"/>
    </row>
    <row r="297" spans="1:7" x14ac:dyDescent="0.2">
      <c r="A297" s="220"/>
      <c r="B297" s="220"/>
      <c r="C297" s="220"/>
      <c r="D297" s="220"/>
      <c r="E297" s="220"/>
      <c r="F297" s="220"/>
      <c r="G297" s="221"/>
    </row>
    <row r="298" spans="1:7" x14ac:dyDescent="0.2">
      <c r="A298" s="220"/>
      <c r="B298" s="220"/>
      <c r="C298" s="220"/>
      <c r="D298" s="220"/>
      <c r="E298" s="220"/>
      <c r="F298" s="220"/>
      <c r="G298" s="221"/>
    </row>
    <row r="299" spans="1:7" x14ac:dyDescent="0.2">
      <c r="A299" s="220"/>
      <c r="B299" s="220"/>
      <c r="C299" s="220"/>
      <c r="D299" s="220"/>
      <c r="E299" s="220"/>
      <c r="F299" s="220"/>
      <c r="G299" s="221"/>
    </row>
    <row r="300" spans="1:7" x14ac:dyDescent="0.2">
      <c r="A300" s="220"/>
      <c r="B300" s="220"/>
      <c r="C300" s="220"/>
      <c r="D300" s="220"/>
      <c r="E300" s="220"/>
      <c r="F300" s="220"/>
      <c r="G300" s="221"/>
    </row>
    <row r="301" spans="1:7" x14ac:dyDescent="0.2">
      <c r="A301" s="220"/>
      <c r="B301" s="220"/>
      <c r="C301" s="220"/>
      <c r="D301" s="220"/>
      <c r="E301" s="220"/>
      <c r="F301" s="220"/>
      <c r="G301" s="221"/>
    </row>
    <row r="302" spans="1:7" x14ac:dyDescent="0.2">
      <c r="A302" s="220"/>
      <c r="B302" s="220"/>
      <c r="C302" s="220"/>
      <c r="D302" s="220"/>
      <c r="E302" s="220"/>
      <c r="F302" s="220"/>
      <c r="G302" s="221"/>
    </row>
    <row r="303" spans="1:7" x14ac:dyDescent="0.2">
      <c r="A303" s="220"/>
      <c r="B303" s="220"/>
      <c r="C303" s="220"/>
      <c r="D303" s="220"/>
      <c r="E303" s="220"/>
      <c r="F303" s="220"/>
      <c r="G303" s="221"/>
    </row>
    <row r="304" spans="1:7" x14ac:dyDescent="0.2">
      <c r="A304" s="220"/>
      <c r="B304" s="220"/>
      <c r="C304" s="220"/>
      <c r="D304" s="220"/>
      <c r="E304" s="220"/>
      <c r="F304" s="220"/>
      <c r="G304" s="221"/>
    </row>
    <row r="305" spans="1:7" x14ac:dyDescent="0.2">
      <c r="A305" s="220"/>
      <c r="B305" s="220"/>
      <c r="C305" s="220"/>
      <c r="D305" s="220"/>
      <c r="E305" s="220"/>
      <c r="F305" s="220"/>
      <c r="G305" s="221"/>
    </row>
    <row r="306" spans="1:7" x14ac:dyDescent="0.2">
      <c r="A306" s="220"/>
      <c r="B306" s="220"/>
      <c r="C306" s="220"/>
      <c r="D306" s="220"/>
      <c r="E306" s="220"/>
      <c r="F306" s="220"/>
      <c r="G306" s="221"/>
    </row>
    <row r="307" spans="1:7" x14ac:dyDescent="0.2">
      <c r="A307" s="221"/>
      <c r="B307" s="221"/>
      <c r="C307" s="221"/>
      <c r="D307" s="221"/>
      <c r="E307" s="221"/>
      <c r="F307" s="221"/>
      <c r="G307" s="221"/>
    </row>
    <row r="308" spans="1:7" x14ac:dyDescent="0.2">
      <c r="A308" s="221"/>
      <c r="B308" s="221"/>
      <c r="C308" s="221"/>
      <c r="D308" s="221"/>
      <c r="E308" s="221"/>
      <c r="F308" s="221"/>
      <c r="G308" s="221"/>
    </row>
    <row r="309" spans="1:7" x14ac:dyDescent="0.2">
      <c r="A309" s="221"/>
      <c r="B309" s="221"/>
      <c r="C309" s="221"/>
      <c r="D309" s="221"/>
      <c r="E309" s="221"/>
      <c r="F309" s="221"/>
      <c r="G309" s="221"/>
    </row>
    <row r="310" spans="1:7" x14ac:dyDescent="0.2">
      <c r="A310" s="221"/>
      <c r="B310" s="221"/>
      <c r="C310" s="221"/>
      <c r="D310" s="221"/>
      <c r="E310" s="221"/>
      <c r="F310" s="221"/>
      <c r="G310" s="221"/>
    </row>
    <row r="311" spans="1:7" x14ac:dyDescent="0.2">
      <c r="A311" s="221"/>
      <c r="B311" s="221"/>
      <c r="C311" s="221"/>
      <c r="D311" s="221"/>
      <c r="E311" s="221"/>
      <c r="F311" s="221"/>
      <c r="G311" s="221"/>
    </row>
    <row r="312" spans="1:7" x14ac:dyDescent="0.2">
      <c r="A312" s="221"/>
      <c r="B312" s="221"/>
      <c r="C312" s="221"/>
      <c r="D312" s="221"/>
      <c r="E312" s="221"/>
      <c r="F312" s="221"/>
      <c r="G312" s="221"/>
    </row>
    <row r="313" spans="1:7" x14ac:dyDescent="0.2">
      <c r="A313" s="221"/>
      <c r="B313" s="221"/>
      <c r="C313" s="221"/>
      <c r="D313" s="221"/>
      <c r="E313" s="221"/>
      <c r="F313" s="221"/>
      <c r="G313" s="221"/>
    </row>
    <row r="314" spans="1:7" x14ac:dyDescent="0.2">
      <c r="A314" s="221"/>
      <c r="B314" s="221"/>
      <c r="C314" s="221"/>
      <c r="D314" s="221"/>
      <c r="E314" s="221"/>
      <c r="F314" s="221"/>
      <c r="G314" s="221"/>
    </row>
    <row r="315" spans="1:7" x14ac:dyDescent="0.2">
      <c r="A315" s="221"/>
      <c r="B315" s="221"/>
      <c r="C315" s="221"/>
      <c r="D315" s="221"/>
      <c r="E315" s="221"/>
      <c r="F315" s="221"/>
      <c r="G315" s="221"/>
    </row>
    <row r="316" spans="1:7" x14ac:dyDescent="0.2">
      <c r="A316" s="221"/>
      <c r="B316" s="221"/>
      <c r="C316" s="221"/>
      <c r="D316" s="221"/>
      <c r="E316" s="221"/>
      <c r="F316" s="221"/>
      <c r="G316" s="221"/>
    </row>
    <row r="317" spans="1:7" x14ac:dyDescent="0.2">
      <c r="A317" s="221"/>
      <c r="B317" s="221"/>
      <c r="C317" s="221"/>
      <c r="D317" s="221"/>
      <c r="E317" s="221"/>
      <c r="F317" s="221"/>
      <c r="G317" s="221"/>
    </row>
    <row r="318" spans="1:7" x14ac:dyDescent="0.2">
      <c r="A318" s="221"/>
      <c r="B318" s="221"/>
      <c r="C318" s="221"/>
      <c r="D318" s="221"/>
      <c r="E318" s="221"/>
      <c r="F318" s="221"/>
      <c r="G318" s="221"/>
    </row>
    <row r="319" spans="1:7" x14ac:dyDescent="0.2">
      <c r="A319" s="221"/>
      <c r="B319" s="221"/>
      <c r="C319" s="221"/>
      <c r="D319" s="221"/>
      <c r="E319" s="221"/>
      <c r="F319" s="221"/>
      <c r="G319" s="221"/>
    </row>
    <row r="320" spans="1:7" x14ac:dyDescent="0.2">
      <c r="A320" s="221"/>
      <c r="B320" s="221"/>
      <c r="C320" s="221"/>
      <c r="D320" s="221"/>
      <c r="E320" s="221"/>
      <c r="F320" s="221"/>
      <c r="G320" s="221"/>
    </row>
    <row r="321" spans="1:7" x14ac:dyDescent="0.2">
      <c r="A321" s="221"/>
      <c r="B321" s="221"/>
      <c r="C321" s="221"/>
      <c r="D321" s="221"/>
      <c r="E321" s="221"/>
      <c r="F321" s="221"/>
      <c r="G321" s="221"/>
    </row>
    <row r="322" spans="1:7" x14ac:dyDescent="0.2">
      <c r="A322" s="221"/>
      <c r="B322" s="221"/>
      <c r="C322" s="221"/>
      <c r="D322" s="221"/>
      <c r="E322" s="221"/>
      <c r="F322" s="221"/>
      <c r="G322" s="221"/>
    </row>
    <row r="323" spans="1:7" x14ac:dyDescent="0.2">
      <c r="A323" s="221"/>
      <c r="B323" s="221"/>
      <c r="C323" s="221"/>
      <c r="D323" s="221"/>
      <c r="E323" s="221"/>
      <c r="F323" s="221"/>
      <c r="G323" s="221"/>
    </row>
    <row r="324" spans="1:7" x14ac:dyDescent="0.2">
      <c r="A324" s="221"/>
      <c r="B324" s="221"/>
      <c r="C324" s="221"/>
      <c r="D324" s="221"/>
      <c r="E324" s="221"/>
      <c r="F324" s="221"/>
      <c r="G324" s="221"/>
    </row>
    <row r="325" spans="1:7" x14ac:dyDescent="0.2">
      <c r="A325" s="221"/>
      <c r="B325" s="221"/>
      <c r="C325" s="221"/>
      <c r="D325" s="221"/>
      <c r="E325" s="221"/>
      <c r="F325" s="221"/>
      <c r="G325" s="221"/>
    </row>
    <row r="326" spans="1:7" x14ac:dyDescent="0.2">
      <c r="A326" s="221"/>
      <c r="B326" s="221"/>
      <c r="C326" s="221"/>
      <c r="D326" s="221"/>
      <c r="E326" s="221"/>
      <c r="F326" s="221"/>
      <c r="G326" s="221"/>
    </row>
    <row r="327" spans="1:7" x14ac:dyDescent="0.2">
      <c r="A327" s="221"/>
      <c r="B327" s="221"/>
      <c r="C327" s="221"/>
      <c r="D327" s="221"/>
      <c r="E327" s="221"/>
      <c r="F327" s="221"/>
      <c r="G327" s="221"/>
    </row>
    <row r="328" spans="1:7" x14ac:dyDescent="0.2">
      <c r="A328" s="221"/>
      <c r="B328" s="221"/>
      <c r="C328" s="221"/>
      <c r="D328" s="221"/>
      <c r="E328" s="221"/>
      <c r="F328" s="221"/>
      <c r="G328" s="221"/>
    </row>
    <row r="329" spans="1:7" x14ac:dyDescent="0.2">
      <c r="A329" s="221"/>
      <c r="B329" s="221"/>
      <c r="C329" s="221"/>
      <c r="D329" s="221"/>
      <c r="E329" s="221"/>
      <c r="F329" s="221"/>
      <c r="G329" s="221"/>
    </row>
    <row r="330" spans="1:7" x14ac:dyDescent="0.2">
      <c r="A330" s="221"/>
      <c r="B330" s="221"/>
      <c r="C330" s="221"/>
      <c r="D330" s="221"/>
      <c r="E330" s="221"/>
      <c r="F330" s="221"/>
      <c r="G330" s="221"/>
    </row>
    <row r="331" spans="1:7" x14ac:dyDescent="0.2">
      <c r="A331" s="221"/>
      <c r="B331" s="221"/>
      <c r="C331" s="221"/>
      <c r="D331" s="221"/>
      <c r="E331" s="221"/>
      <c r="F331" s="221"/>
      <c r="G331" s="221"/>
    </row>
    <row r="332" spans="1:7" x14ac:dyDescent="0.2">
      <c r="A332" s="221"/>
      <c r="B332" s="221"/>
      <c r="C332" s="221"/>
      <c r="D332" s="221"/>
      <c r="E332" s="221"/>
      <c r="F332" s="221"/>
      <c r="G332" s="221"/>
    </row>
    <row r="333" spans="1:7" x14ac:dyDescent="0.2">
      <c r="A333" s="221"/>
      <c r="B333" s="221"/>
      <c r="C333" s="221"/>
      <c r="D333" s="221"/>
      <c r="E333" s="221"/>
      <c r="F333" s="221"/>
      <c r="G333" s="221"/>
    </row>
    <row r="336" spans="1:7" x14ac:dyDescent="0.2">
      <c r="A336" s="12" t="str">
        <f>IFERROR(INDEX(List1,ROWS(A$175:$A335)),IFERROR(INDEX(List2,ROWS(A$175:$A335)-ROWS(List1)),IFERROR(INDEX(List3,ROWS(A$175:$A335)-ROWS(List1)-ROWS(List2)),"")))</f>
        <v/>
      </c>
    </row>
    <row r="337" spans="1:1" x14ac:dyDescent="0.2">
      <c r="A337" s="12" t="str">
        <f>IFERROR(INDEX(List1,ROWS(A$175:$A336)),IFERROR(INDEX(List2,ROWS(A$175:$A336)-ROWS(List1)),IFERROR(INDEX(List3,ROWS(A$175:$A336)-ROWS(List1)-ROWS(List2)),"")))</f>
        <v/>
      </c>
    </row>
    <row r="338" spans="1:1" x14ac:dyDescent="0.2">
      <c r="A338" s="12" t="str">
        <f>IFERROR(INDEX(List1,ROWS(A$175:$A337)),IFERROR(INDEX(List2,ROWS(A$175:$A337)-ROWS(List1)),IFERROR(INDEX(List3,ROWS(A$175:$A337)-ROWS(List1)-ROWS(List2)),"")))</f>
        <v/>
      </c>
    </row>
    <row r="339" spans="1:1" x14ac:dyDescent="0.2">
      <c r="A339" s="12" t="str">
        <f>IFERROR(INDEX(List1,ROWS(A$175:$A338)),IFERROR(INDEX(List2,ROWS(A$175:$A338)-ROWS(List1)),IFERROR(INDEX(List3,ROWS(A$175:$A338)-ROWS(List1)-ROWS(List2)),"")))</f>
        <v/>
      </c>
    </row>
    <row r="340" spans="1:1" x14ac:dyDescent="0.2">
      <c r="A340" s="12" t="str">
        <f>IFERROR(INDEX(List1,ROWS(A$175:$A339)),IFERROR(INDEX(List2,ROWS(A$175:$A339)-ROWS(List1)),IFERROR(INDEX(List3,ROWS(A$175:$A339)-ROWS(List1)-ROWS(List2)),"")))</f>
        <v/>
      </c>
    </row>
    <row r="341" spans="1:1" x14ac:dyDescent="0.2">
      <c r="A341" s="12" t="str">
        <f>IFERROR(INDEX(List1,ROWS(A$175:$A340)),IFERROR(INDEX(List2,ROWS(A$175:$A340)-ROWS(List1)),IFERROR(INDEX(List3,ROWS(A$175:$A340)-ROWS(List1)-ROWS(List2)),"")))</f>
        <v/>
      </c>
    </row>
    <row r="342" spans="1:1" x14ac:dyDescent="0.2">
      <c r="A342" s="12" t="str">
        <f>IFERROR(INDEX(List1,ROWS(A$175:$A341)),IFERROR(INDEX(List2,ROWS(A$175:$A341)-ROWS(List1)),IFERROR(INDEX(List3,ROWS(A$175:$A341)-ROWS(List1)-ROWS(List2)),"")))</f>
        <v/>
      </c>
    </row>
    <row r="343" spans="1:1" x14ac:dyDescent="0.2">
      <c r="A343" s="12" t="str">
        <f>IFERROR(INDEX(List1,ROWS(A$175:$A342)),IFERROR(INDEX(List2,ROWS(A$175:$A342)-ROWS(List1)),IFERROR(INDEX(List3,ROWS(A$175:$A342)-ROWS(List1)-ROWS(List2)),"")))</f>
        <v/>
      </c>
    </row>
    <row r="344" spans="1:1" x14ac:dyDescent="0.2">
      <c r="A344" s="12" t="str">
        <f>IFERROR(INDEX(List1,ROWS(A$175:$A343)),IFERROR(INDEX(List2,ROWS(A$175:$A343)-ROWS(List1)),IFERROR(INDEX(List3,ROWS(A$175:$A343)-ROWS(List1)-ROWS(List2)),"")))</f>
        <v/>
      </c>
    </row>
    <row r="345" spans="1:1" x14ac:dyDescent="0.2">
      <c r="A345" s="12" t="str">
        <f>IFERROR(INDEX(List1,ROWS(A$175:$A344)),IFERROR(INDEX(List2,ROWS(A$175:$A344)-ROWS(List1)),IFERROR(INDEX(List3,ROWS(A$175:$A344)-ROWS(List1)-ROWS(List2)),"")))</f>
        <v/>
      </c>
    </row>
    <row r="346" spans="1:1" x14ac:dyDescent="0.2">
      <c r="A346" s="12" t="str">
        <f>IFERROR(INDEX(List1,ROWS(A$175:$A345)),IFERROR(INDEX(List2,ROWS(A$175:$A345)-ROWS(List1)),IFERROR(INDEX(List3,ROWS(A$175:$A345)-ROWS(List1)-ROWS(List2)),"")))</f>
        <v/>
      </c>
    </row>
    <row r="347" spans="1:1" x14ac:dyDescent="0.2">
      <c r="A347" s="12" t="str">
        <f>IFERROR(INDEX(List1,ROWS(A$175:$A346)),IFERROR(INDEX(List2,ROWS(A$175:$A346)-ROWS(List1)),IFERROR(INDEX(List3,ROWS(A$175:$A346)-ROWS(List1)-ROWS(List2)),"")))</f>
        <v/>
      </c>
    </row>
    <row r="348" spans="1:1" x14ac:dyDescent="0.2">
      <c r="A348" s="12" t="str">
        <f>IFERROR(INDEX(List1,ROWS(A$175:$A347)),IFERROR(INDEX(List2,ROWS(A$175:$A347)-ROWS(List1)),IFERROR(INDEX(List3,ROWS(A$175:$A347)-ROWS(List1)-ROWS(List2)),"")))</f>
        <v/>
      </c>
    </row>
    <row r="349" spans="1:1" x14ac:dyDescent="0.2">
      <c r="A349" s="12" t="str">
        <f>IFERROR(INDEX(List1,ROWS(A$175:$A348)),IFERROR(INDEX(List2,ROWS(A$175:$A348)-ROWS(List1)),IFERROR(INDEX(List3,ROWS(A$175:$A348)-ROWS(List1)-ROWS(List2)),"")))</f>
        <v/>
      </c>
    </row>
    <row r="350" spans="1:1" x14ac:dyDescent="0.2">
      <c r="A350" s="12" t="str">
        <f t="array" ref="A350">IFERROR(INDEX(List1,ROWS(D$1:$D341)),IFERROR(INDEX(List2,ROWS(D$1:$D341)-ROWS(List1)),IFERROR(INDEX(List3,ROWS(D$1:$D341)-ROWS(List1)-ROWS(List2)),"")))</f>
        <v/>
      </c>
    </row>
    <row r="351" spans="1:1" x14ac:dyDescent="0.2">
      <c r="A351" s="12" t="str">
        <f t="array" ref="A351">IFERROR(INDEX(List1,ROWS(D$1:$D342)),IFERROR(INDEX(List2,ROWS(D$1:$D342)-ROWS(List1)),IFERROR(INDEX(List3,ROWS(D$1:$D342)-ROWS(List1)-ROWS(List2)),"")))</f>
        <v/>
      </c>
    </row>
    <row r="352" spans="1:1" x14ac:dyDescent="0.2">
      <c r="A352" s="12" t="str">
        <f t="array" ref="A352">IFERROR(INDEX(List1,ROWS(D$1:$D343)),IFERROR(INDEX(List2,ROWS(D$1:$D343)-ROWS(List1)),IFERROR(INDEX(List3,ROWS(D$1:$D343)-ROWS(List1)-ROWS(List2)),"")))</f>
        <v/>
      </c>
    </row>
    <row r="353" spans="1:1" x14ac:dyDescent="0.2">
      <c r="A353" s="12" t="str">
        <f t="array" ref="A353">IFERROR(INDEX(List1,ROWS(D$1:$D344)),IFERROR(INDEX(List2,ROWS(D$1:$D344)-ROWS(List1)),IFERROR(INDEX(List3,ROWS(D$1:$D344)-ROWS(List1)-ROWS(List2)),"")))</f>
        <v/>
      </c>
    </row>
    <row r="354" spans="1:1" x14ac:dyDescent="0.2">
      <c r="A354" s="12" t="str">
        <f t="array" ref="A354">IFERROR(INDEX(List1,ROWS(D$1:$D345)),IFERROR(INDEX(List2,ROWS(D$1:$D345)-ROWS(List1)),IFERROR(INDEX(List3,ROWS(D$1:$D345)-ROWS(List1)-ROWS(List2)),"")))</f>
        <v/>
      </c>
    </row>
    <row r="355" spans="1:1" x14ac:dyDescent="0.2">
      <c r="A355" s="12" t="str">
        <f t="array" ref="A355">IFERROR(INDEX(List1,ROWS(D$1:$D346)),IFERROR(INDEX(List2,ROWS(D$1:$D346)-ROWS(List1)),IFERROR(INDEX(List3,ROWS(D$1:$D346)-ROWS(List1)-ROWS(List2)),"")))</f>
        <v/>
      </c>
    </row>
    <row r="356" spans="1:1" x14ac:dyDescent="0.2">
      <c r="A356" s="12" t="str">
        <f t="array" ref="A356">IFERROR(INDEX(List1,ROWS(D$1:$D347)),IFERROR(INDEX(List2,ROWS(D$1:$D347)-ROWS(List1)),IFERROR(INDEX(List3,ROWS(D$1:$D347)-ROWS(List1)-ROWS(List2)),"")))</f>
        <v/>
      </c>
    </row>
    <row r="357" spans="1:1" x14ac:dyDescent="0.2">
      <c r="A357" s="12" t="str">
        <f t="array" ref="A357">IFERROR(INDEX(List1,ROWS(D$1:$D348)),IFERROR(INDEX(List2,ROWS(D$1:$D348)-ROWS(List1)),IFERROR(INDEX(List3,ROWS(D$1:$D348)-ROWS(List1)-ROWS(List2)),"")))</f>
        <v/>
      </c>
    </row>
    <row r="358" spans="1:1" x14ac:dyDescent="0.2">
      <c r="A358" s="12" t="str">
        <f t="array" ref="A358">IFERROR(INDEX(List1,ROWS(D$1:$D349)),IFERROR(INDEX(List2,ROWS(D$1:$D349)-ROWS(List1)),IFERROR(INDEX(List3,ROWS(D$1:$D349)-ROWS(List1)-ROWS(List2)),"")))</f>
        <v/>
      </c>
    </row>
    <row r="359" spans="1:1" x14ac:dyDescent="0.2">
      <c r="A359" s="12" t="str">
        <f t="array" ref="A359">IFERROR(INDEX(List1,ROWS(D$1:$D350)),IFERROR(INDEX(List2,ROWS(D$1:$D350)-ROWS(List1)),IFERROR(INDEX(List3,ROWS(D$1:$D350)-ROWS(List1)-ROWS(List2)),"")))</f>
        <v/>
      </c>
    </row>
    <row r="360" spans="1:1" x14ac:dyDescent="0.2">
      <c r="A360" s="12" t="str">
        <f t="array" ref="A360">IFERROR(INDEX(List1,ROWS(D$1:$D351)),IFERROR(INDEX(List2,ROWS(D$1:$D351)-ROWS(List1)),IFERROR(INDEX(List3,ROWS(D$1:$D351)-ROWS(List1)-ROWS(List2)),"")))</f>
        <v/>
      </c>
    </row>
    <row r="361" spans="1:1" x14ac:dyDescent="0.2">
      <c r="A361" s="12" t="str">
        <f t="array" ref="A361">IFERROR(INDEX(List1,ROWS(D$1:$D352)),IFERROR(INDEX(List2,ROWS(D$1:$D352)-ROWS(List1)),IFERROR(INDEX(List3,ROWS(D$1:$D352)-ROWS(List1)-ROWS(List2)),"")))</f>
        <v/>
      </c>
    </row>
    <row r="362" spans="1:1" x14ac:dyDescent="0.2">
      <c r="A362" s="12" t="str">
        <f t="array" ref="A362">IFERROR(INDEX(List1,ROWS(D$1:$D353)),IFERROR(INDEX(List2,ROWS(D$1:$D353)-ROWS(List1)),IFERROR(INDEX(List3,ROWS(D$1:$D353)-ROWS(List1)-ROWS(List2)),"")))</f>
        <v/>
      </c>
    </row>
    <row r="363" spans="1:1" x14ac:dyDescent="0.2">
      <c r="A363" s="12" t="str">
        <f t="array" ref="A363">IFERROR(INDEX(List1,ROWS(D$1:$D354)),IFERROR(INDEX(List2,ROWS(D$1:$D354)-ROWS(List1)),IFERROR(INDEX(List3,ROWS(D$1:$D354)-ROWS(List1)-ROWS(List2)),"")))</f>
        <v/>
      </c>
    </row>
    <row r="364" spans="1:1" x14ac:dyDescent="0.2">
      <c r="A364" s="12" t="str">
        <f t="array" ref="A364">IFERROR(INDEX(List1,ROWS(D$1:$D355)),IFERROR(INDEX(List2,ROWS(D$1:$D355)-ROWS(List1)),IFERROR(INDEX(List3,ROWS(D$1:$D355)-ROWS(List1)-ROWS(List2)),"")))</f>
        <v/>
      </c>
    </row>
    <row r="365" spans="1:1" x14ac:dyDescent="0.2">
      <c r="A365" s="12" t="str">
        <f t="array" ref="A365">IFERROR(INDEX(List1,ROWS(D$1:$D356)),IFERROR(INDEX(List2,ROWS(D$1:$D356)-ROWS(List1)),IFERROR(INDEX(List3,ROWS(D$1:$D356)-ROWS(List1)-ROWS(List2)),"")))</f>
        <v/>
      </c>
    </row>
    <row r="366" spans="1:1" x14ac:dyDescent="0.2">
      <c r="A366" s="12" t="str">
        <f t="array" ref="A366">IFERROR(INDEX(List1,ROWS(D$1:$D357)),IFERROR(INDEX(List2,ROWS(D$1:$D357)-ROWS(List1)),IFERROR(INDEX(List3,ROWS(D$1:$D357)-ROWS(List1)-ROWS(List2)),"")))</f>
        <v/>
      </c>
    </row>
    <row r="367" spans="1:1" x14ac:dyDescent="0.2">
      <c r="A367" s="12" t="str">
        <f t="array" ref="A367">IFERROR(INDEX(List1,ROWS(D$1:$D358)),IFERROR(INDEX(List2,ROWS(D$1:$D358)-ROWS(List1)),IFERROR(INDEX(List3,ROWS(D$1:$D358)-ROWS(List1)-ROWS(List2)),"")))</f>
        <v/>
      </c>
    </row>
    <row r="368" spans="1:1" x14ac:dyDescent="0.2">
      <c r="A368" s="12" t="str">
        <f t="array" ref="A368">IFERROR(INDEX(List1,ROWS(D$1:$D359)),IFERROR(INDEX(List2,ROWS(D$1:$D359)-ROWS(List1)),IFERROR(INDEX(List3,ROWS(D$1:$D359)-ROWS(List1)-ROWS(List2)),"")))</f>
        <v/>
      </c>
    </row>
    <row r="369" spans="1:1" x14ac:dyDescent="0.2">
      <c r="A369" s="12" t="str">
        <f t="array" ref="A369">IFERROR(INDEX(List1,ROWS(D$1:$D360)),IFERROR(INDEX(List2,ROWS(D$1:$D360)-ROWS(List1)),IFERROR(INDEX(List3,ROWS(D$1:$D360)-ROWS(List1)-ROWS(List2)),"")))</f>
        <v/>
      </c>
    </row>
    <row r="370" spans="1:1" x14ac:dyDescent="0.2">
      <c r="A370" s="12" t="str">
        <f t="array" ref="A370">IFERROR(INDEX(List1,ROWS(D$1:$D361)),IFERROR(INDEX(List2,ROWS(D$1:$D361)-ROWS(List1)),IFERROR(INDEX(List3,ROWS(D$1:$D361)-ROWS(List1)-ROWS(List2)),"")))</f>
        <v/>
      </c>
    </row>
    <row r="371" spans="1:1" x14ac:dyDescent="0.2">
      <c r="A371" s="12" t="str">
        <f t="array" ref="A371">IFERROR(INDEX(List1,ROWS(D$1:$D362)),IFERROR(INDEX(List2,ROWS(D$1:$D362)-ROWS(List1)),IFERROR(INDEX(List3,ROWS(D$1:$D362)-ROWS(List1)-ROWS(List2)),"")))</f>
        <v/>
      </c>
    </row>
    <row r="372" spans="1:1" x14ac:dyDescent="0.2">
      <c r="A372" s="12" t="str">
        <f t="array" ref="A372">IFERROR(INDEX(List1,ROWS(D$1:$D363)),IFERROR(INDEX(List2,ROWS(D$1:$D363)-ROWS(List1)),IFERROR(INDEX(List3,ROWS(D$1:$D363)-ROWS(List1)-ROWS(List2)),"")))</f>
        <v/>
      </c>
    </row>
    <row r="373" spans="1:1" x14ac:dyDescent="0.2">
      <c r="A373" s="12" t="str">
        <f t="array" ref="A373">IFERROR(INDEX(List1,ROWS(D$1:$D364)),IFERROR(INDEX(List2,ROWS(D$1:$D364)-ROWS(List1)),IFERROR(INDEX(List3,ROWS(D$1:$D364)-ROWS(List1)-ROWS(List2)),"")))</f>
        <v/>
      </c>
    </row>
    <row r="374" spans="1:1" x14ac:dyDescent="0.2">
      <c r="A374" s="12" t="str">
        <f t="array" ref="A374">IFERROR(INDEX(List1,ROWS(D$1:$D365)),IFERROR(INDEX(List2,ROWS(D$1:$D365)-ROWS(List1)),IFERROR(INDEX(List3,ROWS(D$1:$D365)-ROWS(List1)-ROWS(List2)),"")))</f>
        <v/>
      </c>
    </row>
    <row r="375" spans="1:1" x14ac:dyDescent="0.2">
      <c r="A375" s="12" t="str">
        <f t="array" ref="A375">IFERROR(INDEX(List1,ROWS(D$1:$D366)),IFERROR(INDEX(List2,ROWS(D$1:$D366)-ROWS(List1)),IFERROR(INDEX(List3,ROWS(D$1:$D366)-ROWS(List1)-ROWS(List2)),"")))</f>
        <v/>
      </c>
    </row>
    <row r="376" spans="1:1" x14ac:dyDescent="0.2">
      <c r="A376" s="12" t="str">
        <f t="array" ref="A376">IFERROR(INDEX(List1,ROWS(D$1:$D367)),IFERROR(INDEX(List2,ROWS(D$1:$D367)-ROWS(List1)),IFERROR(INDEX(List3,ROWS(D$1:$D367)-ROWS(List1)-ROWS(List2)),"")))</f>
        <v/>
      </c>
    </row>
    <row r="377" spans="1:1" x14ac:dyDescent="0.2">
      <c r="A377" s="12" t="str">
        <f t="array" ref="A377">IFERROR(INDEX(List1,ROWS(D$1:$D368)),IFERROR(INDEX(List2,ROWS(D$1:$D368)-ROWS(List1)),IFERROR(INDEX(List3,ROWS(D$1:$D368)-ROWS(List1)-ROWS(List2)),"")))</f>
        <v/>
      </c>
    </row>
    <row r="378" spans="1:1" x14ac:dyDescent="0.2">
      <c r="A378" s="12" t="str">
        <f t="array" ref="A378">IFERROR(INDEX(List1,ROWS(D$1:$D369)),IFERROR(INDEX(List2,ROWS(D$1:$D369)-ROWS(List1)),IFERROR(INDEX(List3,ROWS(D$1:$D369)-ROWS(List1)-ROWS(List2)),"")))</f>
        <v/>
      </c>
    </row>
    <row r="379" spans="1:1" x14ac:dyDescent="0.2">
      <c r="A379" s="12" t="str">
        <f t="array" ref="A379">IFERROR(INDEX(List1,ROWS(D$1:$D370)),IFERROR(INDEX(List2,ROWS(D$1:$D370)-ROWS(List1)),IFERROR(INDEX(List3,ROWS(D$1:$D370)-ROWS(List1)-ROWS(List2)),"")))</f>
        <v/>
      </c>
    </row>
    <row r="380" spans="1:1" x14ac:dyDescent="0.2">
      <c r="A380" s="12" t="str">
        <f t="array" ref="A380">IFERROR(INDEX(List1,ROWS(D$1:$D371)),IFERROR(INDEX(List2,ROWS(D$1:$D371)-ROWS(List1)),IFERROR(INDEX(List3,ROWS(D$1:$D371)-ROWS(List1)-ROWS(List2)),"")))</f>
        <v/>
      </c>
    </row>
    <row r="381" spans="1:1" x14ac:dyDescent="0.2">
      <c r="A381" s="12" t="str">
        <f t="array" ref="A381">IFERROR(INDEX(List1,ROWS(D$1:$D372)),IFERROR(INDEX(List2,ROWS(D$1:$D372)-ROWS(List1)),IFERROR(INDEX(List3,ROWS(D$1:$D372)-ROWS(List1)-ROWS(List2)),"")))</f>
        <v/>
      </c>
    </row>
    <row r="382" spans="1:1" x14ac:dyDescent="0.2">
      <c r="A382" s="12" t="str">
        <f t="array" ref="A382">IFERROR(INDEX(List1,ROWS(D$1:$D373)),IFERROR(INDEX(List2,ROWS(D$1:$D373)-ROWS(List1)),IFERROR(INDEX(List3,ROWS(D$1:$D373)-ROWS(List1)-ROWS(List2)),"")))</f>
        <v/>
      </c>
    </row>
    <row r="383" spans="1:1" x14ac:dyDescent="0.2">
      <c r="A383" s="12" t="str">
        <f t="array" ref="A383">IFERROR(INDEX(List1,ROWS(D$1:$D374)),IFERROR(INDEX(List2,ROWS(D$1:$D374)-ROWS(List1)),IFERROR(INDEX(List3,ROWS(D$1:$D374)-ROWS(List1)-ROWS(List2)),"")))</f>
        <v/>
      </c>
    </row>
    <row r="384" spans="1:1" x14ac:dyDescent="0.2">
      <c r="A384" s="12" t="str">
        <f t="array" ref="A384">IFERROR(INDEX(List1,ROWS(D$1:$D375)),IFERROR(INDEX(List2,ROWS(D$1:$D375)-ROWS(List1)),IFERROR(INDEX(List3,ROWS(D$1:$D375)-ROWS(List1)-ROWS(List2)),"")))</f>
        <v/>
      </c>
    </row>
    <row r="385" spans="1:1" x14ac:dyDescent="0.2">
      <c r="A385" s="12" t="str">
        <f t="array" ref="A385">IFERROR(INDEX(List1,ROWS(D$1:$D376)),IFERROR(INDEX(List2,ROWS(D$1:$D376)-ROWS(List1)),IFERROR(INDEX(List3,ROWS(D$1:$D376)-ROWS(List1)-ROWS(List2)),"")))</f>
        <v/>
      </c>
    </row>
  </sheetData>
  <sheetProtection algorithmName="SHA-512" hashValue="47UHQ3kYD8kJK4iqoU8ERchfVJio6jNw/ZMHEU+7auxUlSqjgg2ScQsRvmUaocLc+xwYTyhMdAf0SRyBM3NYEA==" saltValue="3dUuJRftp9HuWMXnJN4Fuw==" spinCount="100000" sheet="1" objects="1" scenarios="1" selectLockedCells="1" selectUnlockedCells="1"/>
  <mergeCells count="3">
    <mergeCell ref="A197:C197"/>
    <mergeCell ref="A193:B193"/>
    <mergeCell ref="A189:B189"/>
  </mergeCells>
  <dataValidations count="4">
    <dataValidation type="custom" allowBlank="1" showInputMessage="1" showErrorMessage="1" errorTitle="X-Author for Excel" error="Id and Lookup fields are not editable." promptTitle="X-Author for Excel" sqref="C276 D3:D25 D190:D191 B289 G29:G173 E29:E173 C199:C274">
      <formula1>""</formula1>
    </dataValidation>
    <dataValidation type="list" allowBlank="1" showInputMessage="1" showErrorMessage="1" errorTitle="X-Author for Excel" error="Please select a value from the drop-down." promptTitle="X-Author for Excel" sqref="B199:B274">
      <formula1>IF(IFERROR(ROWS(INDIRECT(SUBSTITUTE("AIM_Cost_Grouping__c.AIM_Unit_Cost_Definition__c"," ","_"))),-1) &lt; 0, XAuthorInvalidPicklistData,INDIRECT(SUBSTITUTE("AIM_Cost_Grouping__c.AIM_Unit_Cost_Definition__c"," ","_")))</formula1>
    </dataValidation>
    <dataValidation type="decimal" allowBlank="1" showInputMessage="1" showErrorMessage="1" errorTitle="X-Author for Excel" error="Please enter a valid numeric value. Valid range for Cost Grouping Number is -99999 to 99999." promptTitle="X-Author for Excel" sqref="D199:D274">
      <formula1>-99999</formula1>
      <formula2>99999</formula2>
    </dataValidation>
    <dataValidation type="decimal" allowBlank="1" showInputMessage="1" showErrorMessage="1" errorTitle="X-Author for Excel" error="Please enter a valid numeric value. Valid range for Cost Input Number is -99999 to 99999." promptTitle="X-Author for Excel" sqref="I199:I274">
      <formula1>-99999</formula1>
      <formula2>99999</formula2>
    </dataValidation>
  </dataValidations>
  <pageMargins left="0.75" right="0.75" top="1" bottom="1" header="0.5" footer="0.5"/>
  <pageSetup orientation="portrait" horizontalDpi="200" verticalDpi="200" r:id="rId1"/>
  <headerFooter alignWithMargins="0"/>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W79"/>
  <sheetViews>
    <sheetView topLeftCell="B1" zoomScale="80" zoomScaleNormal="80" workbookViewId="0">
      <selection activeCell="H4" sqref="H4"/>
    </sheetView>
  </sheetViews>
  <sheetFormatPr defaultColWidth="9" defaultRowHeight="12.75" x14ac:dyDescent="0.25"/>
  <cols>
    <col min="1" max="2" width="9.25" style="228" bestFit="1" customWidth="1"/>
    <col min="3" max="3" width="8.75" style="228" bestFit="1" customWidth="1"/>
    <col min="4" max="4" width="17.75" style="228" bestFit="1" customWidth="1"/>
    <col min="5" max="5" width="21.25" style="228" bestFit="1" customWidth="1"/>
    <col min="6" max="6" width="15.25" style="228" bestFit="1" customWidth="1"/>
    <col min="7" max="7" width="10.5" style="228" bestFit="1" customWidth="1"/>
    <col min="8" max="8" width="16.75" style="228" bestFit="1" customWidth="1"/>
    <col min="9" max="9" width="13.125" style="228" bestFit="1" customWidth="1"/>
    <col min="10" max="10" width="22.75" style="228" bestFit="1" customWidth="1"/>
    <col min="11" max="11" width="8.75" style="228" bestFit="1" customWidth="1"/>
    <col min="12" max="12" width="8.625" style="228" bestFit="1" customWidth="1"/>
    <col min="13" max="13" width="10.75" style="228" bestFit="1" customWidth="1"/>
    <col min="14" max="14" width="14.625" style="228" bestFit="1" customWidth="1"/>
    <col min="15" max="15" width="7.25" style="228" bestFit="1" customWidth="1"/>
    <col min="16" max="16" width="5.25" style="228" bestFit="1" customWidth="1"/>
    <col min="17" max="17" width="14.625" style="228" bestFit="1" customWidth="1"/>
    <col min="18" max="18" width="21.75" style="228" bestFit="1" customWidth="1"/>
    <col min="19" max="19" width="15.75" style="228" bestFit="1" customWidth="1"/>
    <col min="20" max="20" width="25.75" style="228" bestFit="1" customWidth="1"/>
    <col min="21" max="21" width="22.75" style="228" bestFit="1" customWidth="1"/>
    <col min="22" max="22" width="10.125" style="228" hidden="1" customWidth="1"/>
    <col min="23" max="23" width="17.75" style="228" bestFit="1" customWidth="1"/>
    <col min="24" max="16384" width="9" style="228"/>
  </cols>
  <sheetData>
    <row r="2" spans="1:23" ht="15.75" x14ac:dyDescent="0.25">
      <c r="B2" s="927" t="s">
        <v>1997</v>
      </c>
      <c r="C2" s="927"/>
      <c r="D2" s="927"/>
      <c r="E2" s="927"/>
      <c r="F2" s="927"/>
      <c r="G2" s="927"/>
      <c r="H2" s="927"/>
      <c r="I2" s="927"/>
      <c r="J2" s="927"/>
      <c r="K2" s="927"/>
      <c r="L2" s="927"/>
      <c r="M2" s="927"/>
      <c r="N2" s="927"/>
      <c r="O2" s="927"/>
      <c r="P2" s="927"/>
      <c r="Q2" s="927"/>
      <c r="R2" s="927"/>
      <c r="S2" s="927"/>
      <c r="T2" s="927"/>
      <c r="U2" s="927"/>
      <c r="V2" s="927"/>
      <c r="W2" s="927"/>
    </row>
    <row r="3" spans="1:23" s="227" customFormat="1" x14ac:dyDescent="0.25">
      <c r="A3" s="241" t="s">
        <v>1952</v>
      </c>
      <c r="B3" s="241" t="s">
        <v>1981</v>
      </c>
      <c r="C3" s="241" t="s">
        <v>1982</v>
      </c>
      <c r="D3" s="241" t="s">
        <v>1995</v>
      </c>
      <c r="E3" s="241" t="s">
        <v>1996</v>
      </c>
      <c r="F3" s="241" t="s">
        <v>1994</v>
      </c>
      <c r="G3" s="241" t="s">
        <v>17</v>
      </c>
      <c r="H3" s="241" t="s">
        <v>2003</v>
      </c>
      <c r="I3" s="241" t="s">
        <v>1961</v>
      </c>
      <c r="J3" s="241" t="s">
        <v>1979</v>
      </c>
      <c r="K3" s="241" t="s">
        <v>1964</v>
      </c>
      <c r="L3" s="241" t="s">
        <v>1942</v>
      </c>
      <c r="M3" s="241" t="s">
        <v>1943</v>
      </c>
      <c r="N3" s="241" t="s">
        <v>1946</v>
      </c>
      <c r="O3" s="241" t="s">
        <v>1944</v>
      </c>
      <c r="P3" s="241" t="s">
        <v>1945</v>
      </c>
      <c r="Q3" s="241" t="s">
        <v>1235</v>
      </c>
      <c r="R3" s="241" t="s">
        <v>2017</v>
      </c>
      <c r="S3" s="241" t="s">
        <v>2036</v>
      </c>
      <c r="T3" s="241" t="s">
        <v>2037</v>
      </c>
      <c r="U3" s="241" t="s">
        <v>2038</v>
      </c>
      <c r="V3" s="241"/>
      <c r="W3" s="241" t="s">
        <v>2039</v>
      </c>
    </row>
    <row r="4" spans="1:23" hidden="1" x14ac:dyDescent="0.25">
      <c r="A4" s="228" t="s">
        <v>1951</v>
      </c>
      <c r="B4" s="230">
        <f ca="1">IF('Detailed Budget'!Z4 = "","",'Detailed Budget'!$AA$2)</f>
        <v>43101</v>
      </c>
      <c r="C4" s="230">
        <f ca="1">IF('Detailed Budget'!Z4 = "","",'Detailed Budget'!$AA$3)</f>
        <v>43190</v>
      </c>
      <c r="D4" s="229" t="str">
        <f ca="1">IF('Detailed Budget'!Z4 = "","",'Detailed Budget'!D4)</f>
        <v>Module Id</v>
      </c>
      <c r="E4" s="229" t="str">
        <f ca="1">IF('Detailed Budget'!Z4 = "","",'Detailed Budget'!F4)</f>
        <v>IntID</v>
      </c>
      <c r="F4" s="229" t="str">
        <f ca="1">IF('Detailed Budget'!Z4="","",IF('Detailed Budget'!H4="","",'Detailed Budget'!H4))</f>
        <v>Activity Description</v>
      </c>
      <c r="G4" s="229" t="str">
        <f ca="1">IF('Detailed Budget'!Z4="","",'Detailed Budget'!K4)</f>
        <v>Cost Input Id</v>
      </c>
      <c r="H4" s="229" t="str">
        <f ca="1">IF('Detailed Budget'!Z4="","",IF('Detailed Budget'!M4="","",IF('Detailed Budget'!R4="",'Detailed Budget'!M4,"")))</f>
        <v/>
      </c>
      <c r="I4" s="229" t="str">
        <f ca="1">IF('Detailed Budget'!Z4="","",'Detailed Budget'!P4)</f>
        <v>Recipient Type</v>
      </c>
      <c r="J4" s="229" t="str">
        <f ca="1">IF('Detailed Budget'!Z4="","",'Detailed Budget'!Q4)</f>
        <v>Type of Implementation Entity</v>
      </c>
      <c r="K4" s="229" t="str">
        <f ca="1">IF('Detailed Budget'!Z4="","",'Detailed Budget'!R4)</f>
        <v>Account Id</v>
      </c>
      <c r="L4" s="229" t="str">
        <f ca="1">IF('Detailed Budget'!Z4="","",'Detailed Budget'!S4)</f>
        <v>Currency</v>
      </c>
      <c r="M4" s="229" t="str">
        <f ca="1">IF('Detailed Budget'!Z4="","",'Detailed Budget'!Z4)</f>
        <v>Q1 Quantity</v>
      </c>
      <c r="N4" s="229" t="str">
        <f ca="1">IF('Detailed Budget'!Z4="","",'Detailed Budget'!AA4)</f>
        <v>Q1 Cash Outflow</v>
      </c>
      <c r="O4" s="229" t="str">
        <f ca="1">IF('Detailed Budget'!Z4="","","Q1")</f>
        <v>Q1</v>
      </c>
      <c r="P4" s="229" t="str">
        <f ca="1">IF('Detailed Budget'!Z4="","","Y1")</f>
        <v>Y1</v>
      </c>
      <c r="Q4" s="229" t="str">
        <f ca="1">IF('Detailed Budget'!Z4="","",'Detailed Budget'!AA4)</f>
        <v>Q1 Cash Outflow</v>
      </c>
      <c r="R4" s="229" t="str">
        <f ca="1">IF('Detailed Budget'!Z4="","",'Data Sheet'!$C$276)</f>
        <v>a1K360000061p6MEAQ</v>
      </c>
      <c r="S4" s="229" t="str">
        <f ca="1">IF('Detailed Budget'!Z4="","",IF('Detailed Budget'!V4="","",'Detailed Budget'!V4))</f>
        <v>Payment Currency</v>
      </c>
      <c r="T4" s="229" t="str">
        <f ca="1">IF('Detailed Budget'!Z4="","",IF('Detailed Budget'!X4="","",'Detailed Budget'!X4))</f>
        <v>Y1 Unit Cost (Payment Currency)</v>
      </c>
      <c r="U4" s="229" t="str">
        <f ca="1">IF('Detailed Budget'!Z4="","",'Detailed Budget'!Y4)</f>
        <v>Y1 Unit Cost (Grant Currency)</v>
      </c>
      <c r="V4" s="229"/>
      <c r="W4" s="229" t="str">
        <f ca="1">IF('Detailed Budget'!Z4="","",IF('Detailed Budget'!A4="","",'Detailed Budget'!A4))</f>
        <v>Budget Line No.</v>
      </c>
    </row>
    <row r="7" spans="1:23" ht="15.75" x14ac:dyDescent="0.25">
      <c r="B7" s="927" t="s">
        <v>1998</v>
      </c>
      <c r="C7" s="927"/>
      <c r="D7" s="927"/>
      <c r="E7" s="927"/>
      <c r="F7" s="927"/>
      <c r="G7" s="927"/>
      <c r="H7" s="927"/>
      <c r="I7" s="927"/>
      <c r="J7" s="927"/>
      <c r="K7" s="927"/>
      <c r="L7" s="927"/>
      <c r="M7" s="927"/>
      <c r="N7" s="927"/>
      <c r="O7" s="927"/>
      <c r="P7" s="927"/>
      <c r="Q7" s="927"/>
      <c r="R7" s="927"/>
      <c r="S7" s="927"/>
      <c r="T7" s="927"/>
      <c r="U7" s="927"/>
      <c r="V7" s="927"/>
      <c r="W7" s="927"/>
    </row>
    <row r="8" spans="1:23" s="227" customFormat="1" x14ac:dyDescent="0.25">
      <c r="A8" s="241" t="s">
        <v>1952</v>
      </c>
      <c r="B8" s="241" t="s">
        <v>1981</v>
      </c>
      <c r="C8" s="241" t="s">
        <v>1982</v>
      </c>
      <c r="D8" s="241" t="s">
        <v>1995</v>
      </c>
      <c r="E8" s="241" t="s">
        <v>15</v>
      </c>
      <c r="F8" s="241" t="s">
        <v>1994</v>
      </c>
      <c r="G8" s="241" t="s">
        <v>17</v>
      </c>
      <c r="H8" s="241" t="s">
        <v>2003</v>
      </c>
      <c r="I8" s="241" t="s">
        <v>1961</v>
      </c>
      <c r="J8" s="241" t="s">
        <v>1979</v>
      </c>
      <c r="K8" s="241" t="s">
        <v>1964</v>
      </c>
      <c r="L8" s="241" t="s">
        <v>1942</v>
      </c>
      <c r="M8" s="241" t="s">
        <v>1943</v>
      </c>
      <c r="N8" s="241" t="s">
        <v>1946</v>
      </c>
      <c r="O8" s="241" t="s">
        <v>1944</v>
      </c>
      <c r="P8" s="241" t="s">
        <v>1945</v>
      </c>
      <c r="Q8" s="241" t="s">
        <v>1235</v>
      </c>
      <c r="R8" s="241" t="s">
        <v>2017</v>
      </c>
      <c r="S8" s="241" t="s">
        <v>2036</v>
      </c>
      <c r="T8" s="241" t="s">
        <v>2037</v>
      </c>
      <c r="U8" s="241" t="s">
        <v>2038</v>
      </c>
      <c r="V8" s="241"/>
      <c r="W8" s="241" t="s">
        <v>2039</v>
      </c>
    </row>
    <row r="9" spans="1:23" hidden="1" x14ac:dyDescent="0.25">
      <c r="A9" s="228" t="s">
        <v>1951</v>
      </c>
      <c r="B9" s="230">
        <f ca="1">IF('Detailed Budget'!AB4 = "","",'Detailed Budget'!$AC$2)</f>
        <v>43191</v>
      </c>
      <c r="C9" s="229">
        <f ca="1">IF('Detailed Budget'!AB4 = "","",'Detailed Budget'!$AC$3)</f>
        <v>43281</v>
      </c>
      <c r="D9" s="229" t="str">
        <f ca="1">IF('Detailed Budget'!AB4 = "","",'Detailed Budget'!D4)</f>
        <v>Module Id</v>
      </c>
      <c r="E9" s="229" t="str">
        <f ca="1">IF('Detailed Budget'!AB4 = "","",'Detailed Budget'!F4)</f>
        <v>IntID</v>
      </c>
      <c r="F9" s="229" t="str">
        <f ca="1">IF('Detailed Budget'!AB4="","",IF('Detailed Budget'!H4="","",'Detailed Budget'!H4))</f>
        <v>Activity Description</v>
      </c>
      <c r="G9" s="229" t="str">
        <f ca="1">IF('Detailed Budget'!AB4="","",'Detailed Budget'!K4)</f>
        <v>Cost Input Id</v>
      </c>
      <c r="H9" s="229" t="str">
        <f ca="1">IF('Detailed Budget'!AB4="","",IF('Detailed Budget'!M4="","",IF('Detailed Budget'!R4="",'Detailed Budget'!M4,"")))</f>
        <v/>
      </c>
      <c r="I9" s="229" t="str">
        <f ca="1">IF('Detailed Budget'!AB4="","",'Detailed Budget'!P4)</f>
        <v>Recipient Type</v>
      </c>
      <c r="J9" s="229" t="str">
        <f ca="1">IF('Detailed Budget'!AB4="","",'Detailed Budget'!Q4)</f>
        <v>Type of Implementation Entity</v>
      </c>
      <c r="K9" s="229" t="str">
        <f ca="1">IF('Detailed Budget'!AB4="","",'Detailed Budget'!R4)</f>
        <v>Account Id</v>
      </c>
      <c r="L9" s="229" t="str">
        <f ca="1">IF('Detailed Budget'!AB4="","",'Detailed Budget'!S4)</f>
        <v>Currency</v>
      </c>
      <c r="M9" s="229" t="str">
        <f ca="1">IF('Detailed Budget'!AB4="","",'Detailed Budget'!AB4)</f>
        <v>Q2 Quantity</v>
      </c>
      <c r="N9" s="229" t="str">
        <f ca="1">IF('Detailed Budget'!AB4="","",'Detailed Budget'!AC4)</f>
        <v>Q2 Cash Outflow</v>
      </c>
      <c r="O9" s="229" t="str">
        <f ca="1">IF('Detailed Budget'!AB4="","","Q2")</f>
        <v>Q2</v>
      </c>
      <c r="P9" s="229" t="str">
        <f ca="1">IF('Detailed Budget'!AB4="","","Y1")</f>
        <v>Y1</v>
      </c>
      <c r="Q9" s="229" t="str">
        <f ca="1">IF('Detailed Budget'!AB4="","",'Detailed Budget'!AC4)</f>
        <v>Q2 Cash Outflow</v>
      </c>
      <c r="R9" s="229" t="str">
        <f ca="1">IF('Detailed Budget'!AB4="","",'Data Sheet'!$C$276)</f>
        <v>a1K360000061p6MEAQ</v>
      </c>
      <c r="S9" s="229" t="str">
        <f ca="1">IF('Detailed Budget'!AB4="","",IF('Detailed Budget'!V4="","",'Detailed Budget'!V4))</f>
        <v>Payment Currency</v>
      </c>
      <c r="T9" s="229" t="str">
        <f ca="1">IF('Detailed Budget'!AB4="","",IF('Detailed Budget'!X4="","",'Detailed Budget'!X4))</f>
        <v>Y1 Unit Cost (Payment Currency)</v>
      </c>
      <c r="U9" s="229" t="str">
        <f ca="1">IF('Detailed Budget'!AB4="","",'Detailed Budget'!Y4)</f>
        <v>Y1 Unit Cost (Grant Currency)</v>
      </c>
      <c r="V9" s="229"/>
      <c r="W9" s="229" t="str">
        <f ca="1">IF('Detailed Budget'!AB4="","",IF('Detailed Budget'!A4="","",'Detailed Budget'!A4))</f>
        <v>Budget Line No.</v>
      </c>
    </row>
    <row r="12" spans="1:23" ht="15.75" x14ac:dyDescent="0.25">
      <c r="B12" s="927" t="s">
        <v>2000</v>
      </c>
      <c r="C12" s="927"/>
      <c r="D12" s="927"/>
      <c r="E12" s="927"/>
      <c r="F12" s="927"/>
      <c r="G12" s="927"/>
      <c r="H12" s="927"/>
      <c r="I12" s="927"/>
      <c r="J12" s="927"/>
      <c r="K12" s="927"/>
      <c r="L12" s="927"/>
      <c r="M12" s="927"/>
      <c r="N12" s="927"/>
      <c r="O12" s="927"/>
      <c r="P12" s="927"/>
      <c r="Q12" s="927"/>
      <c r="R12" s="927"/>
      <c r="S12" s="927"/>
      <c r="T12" s="927"/>
      <c r="U12" s="927"/>
      <c r="V12" s="927"/>
      <c r="W12" s="927"/>
    </row>
    <row r="13" spans="1:23" s="227" customFormat="1" x14ac:dyDescent="0.25">
      <c r="A13" s="241" t="s">
        <v>1952</v>
      </c>
      <c r="B13" s="241" t="s">
        <v>1981</v>
      </c>
      <c r="C13" s="241" t="s">
        <v>1982</v>
      </c>
      <c r="D13" s="241" t="s">
        <v>14</v>
      </c>
      <c r="E13" s="241" t="s">
        <v>15</v>
      </c>
      <c r="F13" s="241" t="s">
        <v>1994</v>
      </c>
      <c r="G13" s="241" t="s">
        <v>17</v>
      </c>
      <c r="H13" s="241" t="s">
        <v>2003</v>
      </c>
      <c r="I13" s="241" t="s">
        <v>1961</v>
      </c>
      <c r="J13" s="241" t="s">
        <v>1979</v>
      </c>
      <c r="K13" s="241" t="s">
        <v>1964</v>
      </c>
      <c r="L13" s="241" t="s">
        <v>1942</v>
      </c>
      <c r="M13" s="241" t="s">
        <v>1943</v>
      </c>
      <c r="N13" s="241" t="s">
        <v>1946</v>
      </c>
      <c r="O13" s="241" t="s">
        <v>1944</v>
      </c>
      <c r="P13" s="241" t="s">
        <v>1945</v>
      </c>
      <c r="Q13" s="241" t="s">
        <v>1235</v>
      </c>
      <c r="R13" s="241" t="s">
        <v>2017</v>
      </c>
      <c r="S13" s="241" t="s">
        <v>2036</v>
      </c>
      <c r="T13" s="241" t="s">
        <v>2037</v>
      </c>
      <c r="U13" s="241" t="s">
        <v>2038</v>
      </c>
      <c r="V13" s="241"/>
      <c r="W13" s="241" t="s">
        <v>2039</v>
      </c>
    </row>
    <row r="14" spans="1:23" hidden="1" x14ac:dyDescent="0.25">
      <c r="A14" s="228" t="s">
        <v>1951</v>
      </c>
      <c r="B14" s="229">
        <f ca="1">IF('Detailed Budget'!AD4 = "","",'Detailed Budget'!AE$2)</f>
        <v>43282</v>
      </c>
      <c r="C14" s="229">
        <f ca="1">IF('Detailed Budget'!AD4 = "","",'Detailed Budget'!$AE$3)</f>
        <v>43373</v>
      </c>
      <c r="D14" s="229" t="str">
        <f ca="1">IF('Detailed Budget'!AD4 = "","",'Detailed Budget'!D4)</f>
        <v>Module Id</v>
      </c>
      <c r="E14" s="229" t="str">
        <f ca="1">IF('Detailed Budget'!AD4 = "","",'Detailed Budget'!F4)</f>
        <v>IntID</v>
      </c>
      <c r="F14" s="229" t="str">
        <f ca="1">IF('Detailed Budget'!AD4="","",IF('Detailed Budget'!H4="","",'Detailed Budget'!H4))</f>
        <v>Activity Description</v>
      </c>
      <c r="G14" s="229" t="str">
        <f ca="1">IF('Detailed Budget'!AD4="","",'Detailed Budget'!K4)</f>
        <v>Cost Input Id</v>
      </c>
      <c r="H14" s="229" t="str">
        <f ca="1">IF('Detailed Budget'!AD4="","",IF('Detailed Budget'!M4="","",IF('Detailed Budget'!R4="",'Detailed Budget'!M4,"")))</f>
        <v/>
      </c>
      <c r="I14" s="229" t="str">
        <f ca="1">IF('Detailed Budget'!AD4="","",'Detailed Budget'!P4)</f>
        <v>Recipient Type</v>
      </c>
      <c r="J14" s="229" t="str">
        <f ca="1">IF('Detailed Budget'!AD4="","",'Detailed Budget'!Q4)</f>
        <v>Type of Implementation Entity</v>
      </c>
      <c r="K14" s="229" t="str">
        <f ca="1">IF('Detailed Budget'!AD4="","",'Detailed Budget'!R4)</f>
        <v>Account Id</v>
      </c>
      <c r="L14" s="229" t="str">
        <f ca="1">IF('Detailed Budget'!AD4="","",'Detailed Budget'!S4)</f>
        <v>Currency</v>
      </c>
      <c r="M14" s="229" t="str">
        <f ca="1">IF('Detailed Budget'!AD4="","",'Detailed Budget'!AD4)</f>
        <v>Q3 Quantity</v>
      </c>
      <c r="N14" s="229" t="str">
        <f ca="1">IF('Detailed Budget'!AD4="","",'Detailed Budget'!AE4)</f>
        <v xml:space="preserve">Q3 Cash Outflow </v>
      </c>
      <c r="O14" s="229" t="str">
        <f ca="1">IF('Detailed Budget'!AD4="","","Q3")</f>
        <v>Q3</v>
      </c>
      <c r="P14" s="229" t="str">
        <f ca="1">IF('Detailed Budget'!AD4="","","Y1")</f>
        <v>Y1</v>
      </c>
      <c r="Q14" s="229" t="str">
        <f ca="1">IF('Detailed Budget'!AD4="","",'Detailed Budget'!AE4)</f>
        <v xml:space="preserve">Q3 Cash Outflow </v>
      </c>
      <c r="R14" s="229" t="str">
        <f ca="1">IF('Detailed Budget'!AD4="","",'Data Sheet'!$C$276)</f>
        <v>a1K360000061p6MEAQ</v>
      </c>
      <c r="S14" s="229" t="str">
        <f ca="1">IF('Detailed Budget'!AD4="","",IF('Detailed Budget'!V4="","",'Detailed Budget'!V4))</f>
        <v>Payment Currency</v>
      </c>
      <c r="T14" s="229" t="str">
        <f ca="1">IF('Detailed Budget'!AD4="","",IF('Detailed Budget'!X4="","",'Detailed Budget'!X4))</f>
        <v>Y1 Unit Cost (Payment Currency)</v>
      </c>
      <c r="U14" s="229" t="str">
        <f ca="1">IF('Detailed Budget'!AD4="","",'Detailed Budget'!Y4)</f>
        <v>Y1 Unit Cost (Grant Currency)</v>
      </c>
      <c r="V14" s="229"/>
      <c r="W14" s="229" t="str">
        <f ca="1">IF('Detailed Budget'!AD4="","",IF('Detailed Budget'!A4="","",'Detailed Budget'!A4))</f>
        <v>Budget Line No.</v>
      </c>
    </row>
    <row r="17" spans="1:23" ht="15.75" x14ac:dyDescent="0.25">
      <c r="B17" s="927" t="s">
        <v>2004</v>
      </c>
      <c r="C17" s="927"/>
      <c r="D17" s="927"/>
      <c r="E17" s="927"/>
      <c r="F17" s="927"/>
      <c r="G17" s="927"/>
      <c r="H17" s="927"/>
      <c r="I17" s="927"/>
      <c r="J17" s="927"/>
      <c r="K17" s="927"/>
      <c r="L17" s="927"/>
      <c r="M17" s="927"/>
      <c r="N17" s="927"/>
      <c r="O17" s="927"/>
      <c r="P17" s="927"/>
      <c r="Q17" s="927"/>
      <c r="R17" s="927"/>
      <c r="S17" s="927"/>
      <c r="T17" s="927"/>
      <c r="U17" s="927"/>
      <c r="V17" s="927"/>
      <c r="W17" s="927"/>
    </row>
    <row r="18" spans="1:23" s="227" customFormat="1" x14ac:dyDescent="0.25">
      <c r="A18" s="241" t="s">
        <v>1952</v>
      </c>
      <c r="B18" s="241" t="s">
        <v>1981</v>
      </c>
      <c r="C18" s="241" t="s">
        <v>1982</v>
      </c>
      <c r="D18" s="241" t="s">
        <v>14</v>
      </c>
      <c r="E18" s="241" t="s">
        <v>15</v>
      </c>
      <c r="F18" s="241" t="s">
        <v>1994</v>
      </c>
      <c r="G18" s="241" t="s">
        <v>17</v>
      </c>
      <c r="H18" s="241" t="s">
        <v>2003</v>
      </c>
      <c r="I18" s="241" t="s">
        <v>1961</v>
      </c>
      <c r="J18" s="241" t="s">
        <v>1979</v>
      </c>
      <c r="K18" s="241" t="s">
        <v>1964</v>
      </c>
      <c r="L18" s="241" t="s">
        <v>1942</v>
      </c>
      <c r="M18" s="241" t="s">
        <v>1943</v>
      </c>
      <c r="N18" s="241" t="s">
        <v>1946</v>
      </c>
      <c r="O18" s="241" t="s">
        <v>1944</v>
      </c>
      <c r="P18" s="241" t="s">
        <v>1945</v>
      </c>
      <c r="Q18" s="241" t="s">
        <v>1235</v>
      </c>
      <c r="R18" s="241" t="s">
        <v>2017</v>
      </c>
      <c r="S18" s="241" t="s">
        <v>2036</v>
      </c>
      <c r="T18" s="241" t="s">
        <v>2037</v>
      </c>
      <c r="U18" s="241" t="s">
        <v>2038</v>
      </c>
      <c r="V18" s="241"/>
      <c r="W18" s="241" t="s">
        <v>2039</v>
      </c>
    </row>
    <row r="19" spans="1:23" hidden="1" x14ac:dyDescent="0.25">
      <c r="A19" s="228" t="s">
        <v>1951</v>
      </c>
      <c r="B19" s="229">
        <f ca="1">IF('Detailed Budget'!AF4 = "","",'Detailed Budget'!$AG$2)</f>
        <v>43374</v>
      </c>
      <c r="C19" s="229">
        <f ca="1">IF('Detailed Budget'!AF4 = "","",'Detailed Budget'!$AG$3)</f>
        <v>43465</v>
      </c>
      <c r="D19" s="229" t="str">
        <f ca="1">IF('Detailed Budget'!AF4 = "","",'Detailed Budget'!D4)</f>
        <v>Module Id</v>
      </c>
      <c r="E19" s="229" t="str">
        <f ca="1">IF('Detailed Budget'!AF4 = "","",'Detailed Budget'!F4)</f>
        <v>IntID</v>
      </c>
      <c r="F19" s="229" t="str">
        <f ca="1">IF('Detailed Budget'!AF4="","",IF('Detailed Budget'!H4="","",'Detailed Budget'!H4))</f>
        <v>Activity Description</v>
      </c>
      <c r="G19" s="229" t="str">
        <f ca="1">IF('Detailed Budget'!AF4="","",'Detailed Budget'!K4)</f>
        <v>Cost Input Id</v>
      </c>
      <c r="H19" s="229" t="str">
        <f ca="1">IF('Detailed Budget'!AF4="","",IF('Detailed Budget'!M4="","",IF('Detailed Budget'!R4="",'Detailed Budget'!M4,"")))</f>
        <v/>
      </c>
      <c r="I19" s="229" t="str">
        <f ca="1">IF('Detailed Budget'!AF4="","",'Detailed Budget'!P4)</f>
        <v>Recipient Type</v>
      </c>
      <c r="J19" s="229" t="str">
        <f ca="1">IF('Detailed Budget'!AF4="","",'Detailed Budget'!Q4)</f>
        <v>Type of Implementation Entity</v>
      </c>
      <c r="K19" s="229" t="str">
        <f ca="1">IF('Detailed Budget'!AF4="","",'Detailed Budget'!R4)</f>
        <v>Account Id</v>
      </c>
      <c r="L19" s="229" t="str">
        <f ca="1">IF('Detailed Budget'!AF4="","",'Detailed Budget'!S4)</f>
        <v>Currency</v>
      </c>
      <c r="M19" s="229" t="str">
        <f ca="1">IF('Detailed Budget'!AF4="","",'Detailed Budget'!AF4)</f>
        <v>Q4 Quantity</v>
      </c>
      <c r="N19" s="229" t="str">
        <f ca="1">IF('Detailed Budget'!AF4="","",'Detailed Budget'!AG4)</f>
        <v>Q4 Cash Outflow</v>
      </c>
      <c r="O19" s="229" t="str">
        <f ca="1">IF('Detailed Budget'!AF4="","","Q4")</f>
        <v>Q4</v>
      </c>
      <c r="P19" s="229" t="str">
        <f ca="1">IF('Detailed Budget'!AF4="","","Y1")</f>
        <v>Y1</v>
      </c>
      <c r="Q19" s="229" t="str">
        <f ca="1">IF('Detailed Budget'!AF4="","",'Detailed Budget'!AG4)</f>
        <v>Q4 Cash Outflow</v>
      </c>
      <c r="R19" s="229" t="str">
        <f ca="1">IF('Detailed Budget'!AF4="","",'Data Sheet'!$C$276)</f>
        <v>a1K360000061p6MEAQ</v>
      </c>
      <c r="S19" s="229" t="str">
        <f ca="1">IF('Detailed Budget'!AF4="","",IF('Detailed Budget'!V4="","",'Detailed Budget'!V4))</f>
        <v>Payment Currency</v>
      </c>
      <c r="T19" s="229" t="str">
        <f ca="1">IF('Detailed Budget'!AF4="","",IF('Detailed Budget'!X4="","",'Detailed Budget'!X4))</f>
        <v>Y1 Unit Cost (Payment Currency)</v>
      </c>
      <c r="U19" s="229" t="str">
        <f ca="1">IF('Detailed Budget'!AF4="","",'Detailed Budget'!Y4)</f>
        <v>Y1 Unit Cost (Grant Currency)</v>
      </c>
      <c r="V19" s="229"/>
      <c r="W19" s="229" t="str">
        <f ca="1">IF('Detailed Budget'!AF4="","",IF('Detailed Budget'!A4="","",'Detailed Budget'!A4))</f>
        <v>Budget Line No.</v>
      </c>
    </row>
    <row r="22" spans="1:23" ht="15.75" x14ac:dyDescent="0.25">
      <c r="B22" s="927" t="s">
        <v>2005</v>
      </c>
      <c r="C22" s="927"/>
      <c r="D22" s="927"/>
      <c r="E22" s="927"/>
      <c r="F22" s="927"/>
      <c r="G22" s="927"/>
      <c r="H22" s="927"/>
      <c r="I22" s="927"/>
      <c r="J22" s="927"/>
      <c r="K22" s="927"/>
      <c r="L22" s="927"/>
      <c r="M22" s="927"/>
      <c r="N22" s="927"/>
      <c r="O22" s="927"/>
      <c r="P22" s="927"/>
      <c r="Q22" s="927"/>
      <c r="R22" s="927"/>
      <c r="S22" s="927"/>
      <c r="T22" s="927"/>
      <c r="U22" s="927"/>
      <c r="V22" s="927"/>
      <c r="W22" s="927"/>
    </row>
    <row r="23" spans="1:23" s="227" customFormat="1" x14ac:dyDescent="0.25">
      <c r="A23" s="241" t="s">
        <v>1952</v>
      </c>
      <c r="B23" s="241" t="s">
        <v>1981</v>
      </c>
      <c r="C23" s="241" t="s">
        <v>1982</v>
      </c>
      <c r="D23" s="241" t="s">
        <v>2001</v>
      </c>
      <c r="E23" s="241" t="s">
        <v>2002</v>
      </c>
      <c r="F23" s="241" t="s">
        <v>1994</v>
      </c>
      <c r="G23" s="241" t="s">
        <v>17</v>
      </c>
      <c r="H23" s="241" t="s">
        <v>2003</v>
      </c>
      <c r="I23" s="241" t="s">
        <v>1961</v>
      </c>
      <c r="J23" s="241" t="s">
        <v>1979</v>
      </c>
      <c r="K23" s="241" t="s">
        <v>1964</v>
      </c>
      <c r="L23" s="241" t="s">
        <v>1942</v>
      </c>
      <c r="M23" s="241" t="s">
        <v>1943</v>
      </c>
      <c r="N23" s="241" t="s">
        <v>1999</v>
      </c>
      <c r="O23" s="241" t="s">
        <v>1944</v>
      </c>
      <c r="P23" s="241" t="s">
        <v>1945</v>
      </c>
      <c r="Q23" s="241" t="s">
        <v>1235</v>
      </c>
      <c r="R23" s="241" t="s">
        <v>2017</v>
      </c>
      <c r="S23" s="241" t="s">
        <v>2036</v>
      </c>
      <c r="T23" s="241" t="s">
        <v>2037</v>
      </c>
      <c r="U23" s="241" t="s">
        <v>2038</v>
      </c>
      <c r="V23" s="241"/>
      <c r="W23" s="241" t="s">
        <v>2039</v>
      </c>
    </row>
    <row r="24" spans="1:23" hidden="1" x14ac:dyDescent="0.25">
      <c r="A24" s="228" t="s">
        <v>1951</v>
      </c>
      <c r="B24" s="229">
        <f ca="1">IF('Detailed Budget'!AM4 = "","",'Detailed Budget'!$AN$2)</f>
        <v>43466</v>
      </c>
      <c r="C24" s="229">
        <f ca="1">IF('Detailed Budget'!AM4 = "","",'Detailed Budget'!AN$3)</f>
        <v>43555</v>
      </c>
      <c r="D24" s="229" t="str">
        <f ca="1">IF('Detailed Budget'!AM4 = "","",'Detailed Budget'!D4)</f>
        <v>Module Id</v>
      </c>
      <c r="E24" s="229" t="str">
        <f ca="1">IF('Detailed Budget'!AM4 = "","",'Detailed Budget'!F4)</f>
        <v>IntID</v>
      </c>
      <c r="F24" s="229" t="str">
        <f ca="1">IF('Detailed Budget'!AM4="","",IF('Detailed Budget'!H4="","",'Detailed Budget'!H4))</f>
        <v>Activity Description</v>
      </c>
      <c r="G24" s="229" t="str">
        <f ca="1">IF('Detailed Budget'!AM4="","",'Detailed Budget'!K4)</f>
        <v>Cost Input Id</v>
      </c>
      <c r="H24" s="229" t="str">
        <f ca="1">IF('Detailed Budget'!AM4="","",IF('Detailed Budget'!M4="","",IF('Detailed Budget'!R4="",'Detailed Budget'!M4,"")))</f>
        <v/>
      </c>
      <c r="I24" s="229" t="str">
        <f ca="1">IF('Detailed Budget'!AM4="","",'Detailed Budget'!P4)</f>
        <v>Recipient Type</v>
      </c>
      <c r="J24" s="229" t="str">
        <f ca="1">IF('Detailed Budget'!AM4="","",'Detailed Budget'!Q4)</f>
        <v>Type of Implementation Entity</v>
      </c>
      <c r="K24" s="229" t="str">
        <f ca="1">IF('Detailed Budget'!AM4="","",'Detailed Budget'!R4)</f>
        <v>Account Id</v>
      </c>
      <c r="L24" s="229" t="str">
        <f ca="1">IF('Detailed Budget'!AM4="","",'Detailed Budget'!S4)</f>
        <v>Currency</v>
      </c>
      <c r="M24" s="229" t="str">
        <f ca="1">IF('Detailed Budget'!AM4="","",'Detailed Budget'!AM4)</f>
        <v>Q5 Quantity</v>
      </c>
      <c r="N24" s="229" t="str">
        <f ca="1">IF('Detailed Budget'!AM4="","",'Detailed Budget'!AN4)</f>
        <v>Q5 Cash Outflow</v>
      </c>
      <c r="O24" s="229" t="str">
        <f ca="1">IF('Detailed Budget'!AM4="","","Q1")</f>
        <v>Q1</v>
      </c>
      <c r="P24" s="229" t="str">
        <f ca="1">IF('Detailed Budget'!AM4="","","Y2")</f>
        <v>Y2</v>
      </c>
      <c r="Q24" s="229" t="str">
        <f ca="1">IF('Detailed Budget'!AM4="","",'Detailed Budget'!AN4)</f>
        <v>Q5 Cash Outflow</v>
      </c>
      <c r="R24" s="229" t="str">
        <f ca="1">IF('Detailed Budget'!AM4="","",'Data Sheet'!$C$276)</f>
        <v>a1K360000061p6MEAQ</v>
      </c>
      <c r="S24" s="229" t="str">
        <f ca="1">IF('Detailed Budget'!AM4="","",IF('Detailed Budget'!V4="","",'Detailed Budget'!V4))</f>
        <v>Payment Currency</v>
      </c>
      <c r="T24" s="229" t="str">
        <f ca="1">IF('Detailed Budget'!AM4="","",IF('Detailed Budget'!AK4="","",'Detailed Budget'!AK4))</f>
        <v>Y2 Unit Cost (Payment Currency)</v>
      </c>
      <c r="U24" s="229" t="str">
        <f ca="1">IF('Detailed Budget'!AM4="","",'Detailed Budget'!AL4)</f>
        <v>Y2 Unit Cost (Grant Currency)</v>
      </c>
      <c r="V24" s="229"/>
      <c r="W24" s="229" t="str">
        <f ca="1">IF('Detailed Budget'!AM4="","",IF('Detailed Budget'!A4="","",'Detailed Budget'!A4))</f>
        <v>Budget Line No.</v>
      </c>
    </row>
    <row r="27" spans="1:23" ht="15.75" x14ac:dyDescent="0.25">
      <c r="B27" s="927" t="s">
        <v>2006</v>
      </c>
      <c r="C27" s="927"/>
      <c r="D27" s="927"/>
      <c r="E27" s="927"/>
      <c r="F27" s="927"/>
      <c r="G27" s="927"/>
      <c r="H27" s="927"/>
      <c r="I27" s="927"/>
      <c r="J27" s="927"/>
      <c r="K27" s="927"/>
      <c r="L27" s="927"/>
      <c r="M27" s="927"/>
      <c r="N27" s="927"/>
      <c r="O27" s="927"/>
      <c r="P27" s="927"/>
      <c r="Q27" s="927"/>
      <c r="R27" s="927"/>
      <c r="S27" s="927"/>
      <c r="T27" s="927"/>
      <c r="U27" s="927"/>
      <c r="V27" s="927"/>
      <c r="W27" s="927"/>
    </row>
    <row r="28" spans="1:23" s="227" customFormat="1" x14ac:dyDescent="0.25">
      <c r="A28" s="241" t="s">
        <v>1952</v>
      </c>
      <c r="B28" s="241" t="s">
        <v>1981</v>
      </c>
      <c r="C28" s="241" t="s">
        <v>1982</v>
      </c>
      <c r="D28" s="241" t="s">
        <v>2001</v>
      </c>
      <c r="E28" s="241" t="s">
        <v>2002</v>
      </c>
      <c r="F28" s="241" t="s">
        <v>1994</v>
      </c>
      <c r="G28" s="241" t="s">
        <v>17</v>
      </c>
      <c r="H28" s="241" t="s">
        <v>2003</v>
      </c>
      <c r="I28" s="241" t="s">
        <v>1961</v>
      </c>
      <c r="J28" s="241" t="s">
        <v>1979</v>
      </c>
      <c r="K28" s="241" t="s">
        <v>1964</v>
      </c>
      <c r="L28" s="241" t="s">
        <v>1942</v>
      </c>
      <c r="M28" s="241" t="s">
        <v>1943</v>
      </c>
      <c r="N28" s="241" t="s">
        <v>1999</v>
      </c>
      <c r="O28" s="241" t="s">
        <v>1944</v>
      </c>
      <c r="P28" s="241" t="s">
        <v>1945</v>
      </c>
      <c r="Q28" s="241" t="s">
        <v>1235</v>
      </c>
      <c r="R28" s="241" t="s">
        <v>2017</v>
      </c>
      <c r="S28" s="241" t="s">
        <v>2036</v>
      </c>
      <c r="T28" s="241" t="s">
        <v>2037</v>
      </c>
      <c r="U28" s="241" t="s">
        <v>2038</v>
      </c>
      <c r="V28" s="241"/>
      <c r="W28" s="241" t="s">
        <v>2039</v>
      </c>
    </row>
    <row r="29" spans="1:23" hidden="1" x14ac:dyDescent="0.25">
      <c r="A29" s="228" t="s">
        <v>1951</v>
      </c>
      <c r="B29" s="229">
        <f ca="1">IF('Detailed Budget'!AO4 = "","",'Detailed Budget'!$AP$2)</f>
        <v>43556</v>
      </c>
      <c r="C29" s="229">
        <f ca="1">IF('Detailed Budget'!AO4 = "","",'Detailed Budget'!$AP$3)</f>
        <v>43646</v>
      </c>
      <c r="D29" s="229" t="str">
        <f ca="1">IF('Detailed Budget'!AO4 = "","",'Detailed Budget'!D4)</f>
        <v>Module Id</v>
      </c>
      <c r="E29" s="229" t="str">
        <f ca="1">IF('Detailed Budget'!AO4 = "","",'Detailed Budget'!F4)</f>
        <v>IntID</v>
      </c>
      <c r="F29" s="229" t="str">
        <f ca="1">IF('Detailed Budget'!AO4="","",IF('Detailed Budget'!H4="","",'Detailed Budget'!H4))</f>
        <v>Activity Description</v>
      </c>
      <c r="G29" s="229" t="str">
        <f ca="1">IF('Detailed Budget'!AO4="","",'Detailed Budget'!K4)</f>
        <v>Cost Input Id</v>
      </c>
      <c r="H29" s="229" t="str">
        <f ca="1">IF('Detailed Budget'!AO4="","",IF('Detailed Budget'!M4="","",IF('Detailed Budget'!R4="",'Detailed Budget'!M4,"")))</f>
        <v/>
      </c>
      <c r="I29" s="229" t="str">
        <f ca="1">IF('Detailed Budget'!AO4="","",'Detailed Budget'!P4)</f>
        <v>Recipient Type</v>
      </c>
      <c r="J29" s="229" t="str">
        <f ca="1">IF('Detailed Budget'!AO4="","",'Detailed Budget'!Q4)</f>
        <v>Type of Implementation Entity</v>
      </c>
      <c r="K29" s="229" t="str">
        <f ca="1">IF('Detailed Budget'!AO4="","",'Detailed Budget'!R4)</f>
        <v>Account Id</v>
      </c>
      <c r="L29" s="229" t="str">
        <f ca="1">IF('Detailed Budget'!AO4="","",'Detailed Budget'!S4)</f>
        <v>Currency</v>
      </c>
      <c r="M29" s="229" t="str">
        <f ca="1">IF('Detailed Budget'!AO4="","",'Detailed Budget'!AO4)</f>
        <v>Q6 Quantity</v>
      </c>
      <c r="N29" s="229" t="str">
        <f ca="1">IF('Detailed Budget'!AO4="","",'Detailed Budget'!AP4)</f>
        <v>Q6 Cash Outflow</v>
      </c>
      <c r="O29" s="229" t="str">
        <f ca="1">IF('Detailed Budget'!AO4="","","Q2")</f>
        <v>Q2</v>
      </c>
      <c r="P29" s="229" t="str">
        <f ca="1">IF('Detailed Budget'!AO4="","","Y2")</f>
        <v>Y2</v>
      </c>
      <c r="Q29" s="229" t="str">
        <f ca="1">IF('Detailed Budget'!AO4="","",'Detailed Budget'!AP4)</f>
        <v>Q6 Cash Outflow</v>
      </c>
      <c r="R29" s="229" t="str">
        <f ca="1">IF('Detailed Budget'!AO4="","",'Data Sheet'!$C$276)</f>
        <v>a1K360000061p6MEAQ</v>
      </c>
      <c r="S29" s="229" t="str">
        <f ca="1">IF('Detailed Budget'!AO4="","",IF('Detailed Budget'!V4="","",'Detailed Budget'!V4))</f>
        <v>Payment Currency</v>
      </c>
      <c r="T29" s="229" t="str">
        <f ca="1">IF('Detailed Budget'!AO4="","",IF('Detailed Budget'!AK4="","",'Detailed Budget'!AK4))</f>
        <v>Y2 Unit Cost (Payment Currency)</v>
      </c>
      <c r="U29" s="229" t="str">
        <f ca="1">IF('Detailed Budget'!AO4="","",'Detailed Budget'!AL4)</f>
        <v>Y2 Unit Cost (Grant Currency)</v>
      </c>
      <c r="V29" s="229"/>
      <c r="W29" s="229" t="str">
        <f ca="1">IF('Detailed Budget'!AO4="","",IF('Detailed Budget'!A4="","",'Detailed Budget'!A4))</f>
        <v>Budget Line No.</v>
      </c>
    </row>
    <row r="32" spans="1:23" ht="15.75" x14ac:dyDescent="0.25">
      <c r="B32" s="927" t="s">
        <v>2007</v>
      </c>
      <c r="C32" s="927"/>
      <c r="D32" s="927"/>
      <c r="E32" s="927"/>
      <c r="F32" s="927"/>
      <c r="G32" s="927"/>
      <c r="H32" s="927"/>
      <c r="I32" s="927"/>
      <c r="J32" s="927"/>
      <c r="K32" s="927"/>
      <c r="L32" s="927"/>
      <c r="M32" s="927"/>
      <c r="N32" s="927"/>
      <c r="O32" s="927"/>
      <c r="P32" s="927"/>
      <c r="Q32" s="927"/>
      <c r="R32" s="927"/>
      <c r="S32" s="927"/>
      <c r="T32" s="927"/>
      <c r="U32" s="927"/>
      <c r="V32" s="927"/>
      <c r="W32" s="927"/>
    </row>
    <row r="33" spans="1:23" s="227" customFormat="1" x14ac:dyDescent="0.25">
      <c r="A33" s="241" t="s">
        <v>1952</v>
      </c>
      <c r="B33" s="241" t="s">
        <v>1981</v>
      </c>
      <c r="C33" s="241" t="s">
        <v>1982</v>
      </c>
      <c r="D33" s="241" t="s">
        <v>2001</v>
      </c>
      <c r="E33" s="241" t="s">
        <v>2002</v>
      </c>
      <c r="F33" s="241" t="s">
        <v>1994</v>
      </c>
      <c r="G33" s="241" t="s">
        <v>17</v>
      </c>
      <c r="H33" s="241" t="s">
        <v>2003</v>
      </c>
      <c r="I33" s="241" t="s">
        <v>1961</v>
      </c>
      <c r="J33" s="241" t="s">
        <v>1979</v>
      </c>
      <c r="K33" s="241" t="s">
        <v>1964</v>
      </c>
      <c r="L33" s="241" t="s">
        <v>1942</v>
      </c>
      <c r="M33" s="241" t="s">
        <v>1943</v>
      </c>
      <c r="N33" s="241" t="s">
        <v>1999</v>
      </c>
      <c r="O33" s="241" t="s">
        <v>1944</v>
      </c>
      <c r="P33" s="241" t="s">
        <v>1945</v>
      </c>
      <c r="Q33" s="241" t="s">
        <v>1235</v>
      </c>
      <c r="R33" s="241" t="s">
        <v>2017</v>
      </c>
      <c r="S33" s="241" t="s">
        <v>2036</v>
      </c>
      <c r="T33" s="241" t="s">
        <v>2037</v>
      </c>
      <c r="U33" s="241" t="s">
        <v>2038</v>
      </c>
      <c r="V33" s="241"/>
      <c r="W33" s="241" t="s">
        <v>2039</v>
      </c>
    </row>
    <row r="34" spans="1:23" hidden="1" x14ac:dyDescent="0.25">
      <c r="A34" s="228" t="s">
        <v>1951</v>
      </c>
      <c r="B34" s="229">
        <f ca="1">IF('Detailed Budget'!AQ4 = "","",'Detailed Budget'!$AR$2)</f>
        <v>43647</v>
      </c>
      <c r="C34" s="229">
        <f ca="1">IF('Detailed Budget'!AQ4 = "","",'Detailed Budget'!$AR$3)</f>
        <v>43738</v>
      </c>
      <c r="D34" s="229" t="str">
        <f ca="1">IF('Detailed Budget'!AQ4 = "","",'Detailed Budget'!D4)</f>
        <v>Module Id</v>
      </c>
      <c r="E34" s="229" t="str">
        <f ca="1">IF('Detailed Budget'!AQ4 = "","",'Detailed Budget'!F4)</f>
        <v>IntID</v>
      </c>
      <c r="F34" s="229" t="str">
        <f ca="1">IF('Detailed Budget'!AQ4="","",IF('Detailed Budget'!H4="","",'Detailed Budget'!H4))</f>
        <v>Activity Description</v>
      </c>
      <c r="G34" s="229" t="str">
        <f ca="1">IF('Detailed Budget'!AQ4="","",'Detailed Budget'!K4)</f>
        <v>Cost Input Id</v>
      </c>
      <c r="H34" s="229" t="str">
        <f ca="1">IF('Detailed Budget'!AQ4="","",IF('Detailed Budget'!M4="","",IF('Detailed Budget'!R4="",'Detailed Budget'!M4,"")))</f>
        <v/>
      </c>
      <c r="I34" s="229" t="str">
        <f ca="1">IF('Detailed Budget'!AQ4="","",'Detailed Budget'!P4)</f>
        <v>Recipient Type</v>
      </c>
      <c r="J34" s="229" t="str">
        <f ca="1">IF('Detailed Budget'!AQ4="","",'Detailed Budget'!Q4)</f>
        <v>Type of Implementation Entity</v>
      </c>
      <c r="K34" s="229" t="str">
        <f ca="1">IF('Detailed Budget'!AQ4="","",'Detailed Budget'!R4)</f>
        <v>Account Id</v>
      </c>
      <c r="L34" s="229" t="str">
        <f ca="1">IF('Detailed Budget'!AQ4="","",'Detailed Budget'!S4)</f>
        <v>Currency</v>
      </c>
      <c r="M34" s="229" t="str">
        <f ca="1">IF('Detailed Budget'!AQ4="","",'Detailed Budget'!AQ4)</f>
        <v>Q7 Quantity</v>
      </c>
      <c r="N34" s="229" t="str">
        <f ca="1">IF('Detailed Budget'!AQ4="","",'Detailed Budget'!AR4)</f>
        <v>Q7 Cash Outflow</v>
      </c>
      <c r="O34" s="229" t="str">
        <f ca="1">IF('Detailed Budget'!AQ4="","","Q3")</f>
        <v>Q3</v>
      </c>
      <c r="P34" s="229" t="str">
        <f ca="1">IF('Detailed Budget'!AQ4="","","Y2")</f>
        <v>Y2</v>
      </c>
      <c r="Q34" s="229" t="str">
        <f ca="1">IF('Detailed Budget'!AQ4="","",'Detailed Budget'!AR4)</f>
        <v>Q7 Cash Outflow</v>
      </c>
      <c r="R34" s="229" t="str">
        <f ca="1">IF('Detailed Budget'!AQ4="","",'Data Sheet'!$C$276)</f>
        <v>a1K360000061p6MEAQ</v>
      </c>
      <c r="S34" s="229" t="str">
        <f ca="1">IF('Detailed Budget'!AQ4="","",IF('Detailed Budget'!V4="","",'Detailed Budget'!V4))</f>
        <v>Payment Currency</v>
      </c>
      <c r="T34" s="229" t="str">
        <f ca="1">IF('Detailed Budget'!AQ4="","",IF('Detailed Budget'!AK4="","",'Detailed Budget'!AK4))</f>
        <v>Y2 Unit Cost (Payment Currency)</v>
      </c>
      <c r="U34" s="229" t="str">
        <f ca="1">IF('Detailed Budget'!AQ4="","",'Detailed Budget'!AL4)</f>
        <v>Y2 Unit Cost (Grant Currency)</v>
      </c>
      <c r="V34" s="229"/>
      <c r="W34" s="229" t="str">
        <f ca="1">IF('Detailed Budget'!AQ4="","",IF('Detailed Budget'!A4="","",'Detailed Budget'!A4))</f>
        <v>Budget Line No.</v>
      </c>
    </row>
    <row r="37" spans="1:23" ht="15.75" x14ac:dyDescent="0.25">
      <c r="B37" s="927" t="s">
        <v>2008</v>
      </c>
      <c r="C37" s="927"/>
      <c r="D37" s="927"/>
      <c r="E37" s="927"/>
      <c r="F37" s="927"/>
      <c r="G37" s="927"/>
      <c r="H37" s="927"/>
      <c r="I37" s="927"/>
      <c r="J37" s="927"/>
      <c r="K37" s="927"/>
      <c r="L37" s="927"/>
      <c r="M37" s="927"/>
      <c r="N37" s="927"/>
      <c r="O37" s="927"/>
      <c r="P37" s="927"/>
      <c r="Q37" s="927"/>
      <c r="R37" s="927"/>
      <c r="S37" s="927"/>
      <c r="T37" s="927"/>
      <c r="U37" s="927"/>
      <c r="V37" s="927"/>
      <c r="W37" s="927"/>
    </row>
    <row r="38" spans="1:23" s="227" customFormat="1" x14ac:dyDescent="0.25">
      <c r="A38" s="241" t="s">
        <v>1952</v>
      </c>
      <c r="B38" s="241" t="s">
        <v>1981</v>
      </c>
      <c r="C38" s="241" t="s">
        <v>1982</v>
      </c>
      <c r="D38" s="241" t="s">
        <v>2001</v>
      </c>
      <c r="E38" s="241" t="s">
        <v>2002</v>
      </c>
      <c r="F38" s="241" t="s">
        <v>1994</v>
      </c>
      <c r="G38" s="241" t="s">
        <v>17</v>
      </c>
      <c r="H38" s="241" t="s">
        <v>2003</v>
      </c>
      <c r="I38" s="241" t="s">
        <v>1961</v>
      </c>
      <c r="J38" s="241" t="s">
        <v>1979</v>
      </c>
      <c r="K38" s="241" t="s">
        <v>1964</v>
      </c>
      <c r="L38" s="241" t="s">
        <v>1942</v>
      </c>
      <c r="M38" s="241" t="s">
        <v>1943</v>
      </c>
      <c r="N38" s="241" t="s">
        <v>1999</v>
      </c>
      <c r="O38" s="241" t="s">
        <v>1944</v>
      </c>
      <c r="P38" s="241" t="s">
        <v>1945</v>
      </c>
      <c r="Q38" s="241" t="s">
        <v>1235</v>
      </c>
      <c r="R38" s="241" t="s">
        <v>2017</v>
      </c>
      <c r="S38" s="241" t="s">
        <v>2036</v>
      </c>
      <c r="T38" s="241" t="s">
        <v>2037</v>
      </c>
      <c r="U38" s="241" t="s">
        <v>2038</v>
      </c>
      <c r="V38" s="241"/>
      <c r="W38" s="241" t="s">
        <v>2039</v>
      </c>
    </row>
    <row r="39" spans="1:23" hidden="1" x14ac:dyDescent="0.25">
      <c r="A39" s="228" t="s">
        <v>1951</v>
      </c>
      <c r="B39" s="229">
        <f ca="1">IF('Detailed Budget'!AS4 = "","",'Detailed Budget'!$AT$2)</f>
        <v>43739</v>
      </c>
      <c r="C39" s="229">
        <f ca="1">IF('Detailed Budget'!AS4 = "","",'Detailed Budget'!$AT$3)</f>
        <v>43830</v>
      </c>
      <c r="D39" s="229" t="str">
        <f ca="1">IF('Detailed Budget'!AS4 = "","",'Detailed Budget'!D4)</f>
        <v>Module Id</v>
      </c>
      <c r="E39" s="229" t="str">
        <f ca="1">IF('Detailed Budget'!AS4 = "","",'Detailed Budget'!F4)</f>
        <v>IntID</v>
      </c>
      <c r="F39" s="229" t="str">
        <f ca="1">IF('Detailed Budget'!AS4="","",IF('Detailed Budget'!H4="","",'Detailed Budget'!H4))</f>
        <v>Activity Description</v>
      </c>
      <c r="G39" s="229" t="str">
        <f ca="1">IF('Detailed Budget'!AS4="","",'Detailed Budget'!K4)</f>
        <v>Cost Input Id</v>
      </c>
      <c r="H39" s="229" t="str">
        <f ca="1">IF('Detailed Budget'!AS4="","",IF('Detailed Budget'!M4="","",IF('Detailed Budget'!R4="",'Detailed Budget'!M4,"")))</f>
        <v/>
      </c>
      <c r="I39" s="229" t="str">
        <f ca="1">IF('Detailed Budget'!AS4="","",'Detailed Budget'!P4)</f>
        <v>Recipient Type</v>
      </c>
      <c r="J39" s="229" t="str">
        <f ca="1">IF('Detailed Budget'!AS4="","",'Detailed Budget'!Q4)</f>
        <v>Type of Implementation Entity</v>
      </c>
      <c r="K39" s="229" t="str">
        <f ca="1">IF('Detailed Budget'!AS4="","",'Detailed Budget'!R4)</f>
        <v>Account Id</v>
      </c>
      <c r="L39" s="229" t="str">
        <f ca="1">IF('Detailed Budget'!AS4="","",'Detailed Budget'!S4)</f>
        <v>Currency</v>
      </c>
      <c r="M39" s="229" t="str">
        <f ca="1">IF('Detailed Budget'!AS4="","",'Detailed Budget'!AS4)</f>
        <v>Q8 Quantity</v>
      </c>
      <c r="N39" s="229" t="str">
        <f ca="1">IF('Detailed Budget'!AS4="","",'Detailed Budget'!AT4)</f>
        <v>Q8 Cash Outflow</v>
      </c>
      <c r="O39" s="229" t="str">
        <f ca="1">IF('Detailed Budget'!AS4="","","Q4")</f>
        <v>Q4</v>
      </c>
      <c r="P39" s="229" t="str">
        <f ca="1">IF('Detailed Budget'!AS4="","","Y2")</f>
        <v>Y2</v>
      </c>
      <c r="Q39" s="229" t="str">
        <f ca="1">IF('Detailed Budget'!AS4="","",'Detailed Budget'!AT4)</f>
        <v>Q8 Cash Outflow</v>
      </c>
      <c r="R39" s="229" t="str">
        <f ca="1">IF('Detailed Budget'!AS4="","",'Data Sheet'!$C$276)</f>
        <v>a1K360000061p6MEAQ</v>
      </c>
      <c r="S39" s="229" t="str">
        <f ca="1">IF('Detailed Budget'!AS4="","",IF('Detailed Budget'!V4="","",'Detailed Budget'!V4))</f>
        <v>Payment Currency</v>
      </c>
      <c r="T39" s="229" t="str">
        <f ca="1">IF('Detailed Budget'!AS4="","",IF('Detailed Budget'!AK4="","",'Detailed Budget'!AK4))</f>
        <v>Y2 Unit Cost (Payment Currency)</v>
      </c>
      <c r="U39" s="229" t="str">
        <f ca="1">IF('Detailed Budget'!AS4="","",'Detailed Budget'!AL4)</f>
        <v>Y2 Unit Cost (Grant Currency)</v>
      </c>
      <c r="V39" s="229"/>
      <c r="W39" s="229" t="str">
        <f ca="1">IF('Detailed Budget'!AS4="","",IF('Detailed Budget'!A4="","",'Detailed Budget'!A4))</f>
        <v>Budget Line No.</v>
      </c>
    </row>
    <row r="42" spans="1:23" ht="15.75" x14ac:dyDescent="0.25">
      <c r="B42" s="927" t="s">
        <v>2009</v>
      </c>
      <c r="C42" s="927"/>
      <c r="D42" s="927"/>
      <c r="E42" s="927"/>
      <c r="F42" s="927"/>
      <c r="G42" s="927"/>
      <c r="H42" s="927"/>
      <c r="I42" s="927"/>
      <c r="J42" s="927"/>
      <c r="K42" s="927"/>
      <c r="L42" s="927"/>
      <c r="M42" s="927"/>
      <c r="N42" s="927"/>
      <c r="O42" s="927"/>
      <c r="P42" s="927"/>
      <c r="Q42" s="927"/>
      <c r="R42" s="927"/>
      <c r="S42" s="927"/>
      <c r="T42" s="927"/>
      <c r="U42" s="927"/>
      <c r="V42" s="927"/>
      <c r="W42" s="927"/>
    </row>
    <row r="43" spans="1:23" s="227" customFormat="1" x14ac:dyDescent="0.25">
      <c r="A43" s="241" t="s">
        <v>1952</v>
      </c>
      <c r="B43" s="241" t="s">
        <v>1981</v>
      </c>
      <c r="C43" s="241" t="s">
        <v>1982</v>
      </c>
      <c r="D43" s="241" t="s">
        <v>2001</v>
      </c>
      <c r="E43" s="241" t="s">
        <v>2002</v>
      </c>
      <c r="F43" s="241" t="s">
        <v>1994</v>
      </c>
      <c r="G43" s="241" t="s">
        <v>17</v>
      </c>
      <c r="H43" s="241" t="s">
        <v>2003</v>
      </c>
      <c r="I43" s="241" t="s">
        <v>1961</v>
      </c>
      <c r="J43" s="241" t="s">
        <v>1979</v>
      </c>
      <c r="K43" s="241" t="s">
        <v>1964</v>
      </c>
      <c r="L43" s="241" t="s">
        <v>1942</v>
      </c>
      <c r="M43" s="241" t="s">
        <v>1943</v>
      </c>
      <c r="N43" s="241" t="s">
        <v>1999</v>
      </c>
      <c r="O43" s="241" t="s">
        <v>1944</v>
      </c>
      <c r="P43" s="241" t="s">
        <v>1945</v>
      </c>
      <c r="Q43" s="241" t="s">
        <v>1235</v>
      </c>
      <c r="R43" s="241" t="s">
        <v>2017</v>
      </c>
      <c r="S43" s="241" t="s">
        <v>2036</v>
      </c>
      <c r="T43" s="241" t="s">
        <v>2037</v>
      </c>
      <c r="U43" s="241" t="s">
        <v>2038</v>
      </c>
      <c r="V43" s="241"/>
      <c r="W43" s="241" t="s">
        <v>2039</v>
      </c>
    </row>
    <row r="44" spans="1:23" hidden="1" x14ac:dyDescent="0.25">
      <c r="A44" s="228" t="s">
        <v>1951</v>
      </c>
      <c r="B44" s="229">
        <f ca="1">IF('Detailed Budget'!AZ4 = "","",'Detailed Budget'!$BA$2)</f>
        <v>43831</v>
      </c>
      <c r="C44" s="229">
        <f ca="1">IF('Detailed Budget'!AZ4 = "","",'Detailed Budget'!$BA$3)</f>
        <v>43921</v>
      </c>
      <c r="D44" s="229" t="str">
        <f ca="1">IF('Detailed Budget'!AZ4 = "","",'Detailed Budget'!D4)</f>
        <v>Module Id</v>
      </c>
      <c r="E44" s="229" t="str">
        <f ca="1">IF('Detailed Budget'!AZ4 = "","",'Detailed Budget'!F4)</f>
        <v>IntID</v>
      </c>
      <c r="F44" s="229" t="str">
        <f ca="1">IF('Detailed Budget'!AZ4="","",IF('Detailed Budget'!H4="","",'Detailed Budget'!H4))</f>
        <v>Activity Description</v>
      </c>
      <c r="G44" s="229" t="str">
        <f ca="1">IF('Detailed Budget'!AZ4="","",'Detailed Budget'!K4)</f>
        <v>Cost Input Id</v>
      </c>
      <c r="H44" s="229" t="str">
        <f ca="1">IF('Detailed Budget'!AZ4="","",IF('Detailed Budget'!M4="","",IF('Detailed Budget'!R4="",'Detailed Budget'!M4,"")))</f>
        <v/>
      </c>
      <c r="I44" s="229" t="str">
        <f ca="1">IF('Detailed Budget'!AZ4="","",'Detailed Budget'!P4)</f>
        <v>Recipient Type</v>
      </c>
      <c r="J44" s="229" t="str">
        <f ca="1">IF('Detailed Budget'!AZ4="","",'Detailed Budget'!Q4)</f>
        <v>Type of Implementation Entity</v>
      </c>
      <c r="K44" s="229" t="str">
        <f ca="1">IF('Detailed Budget'!AZ4="","",'Detailed Budget'!R4)</f>
        <v>Account Id</v>
      </c>
      <c r="L44" s="229" t="str">
        <f ca="1">IF('Detailed Budget'!AZ4="","",'Detailed Budget'!S4)</f>
        <v>Currency</v>
      </c>
      <c r="M44" s="229" t="str">
        <f ca="1">IF('Detailed Budget'!AZ4="","",'Detailed Budget'!AZ4)</f>
        <v>Q9 Quantity</v>
      </c>
      <c r="N44" s="229" t="str">
        <f ca="1">IF('Detailed Budget'!AZ4="","",'Detailed Budget'!BA4)</f>
        <v>Q9 Cash Outflow</v>
      </c>
      <c r="O44" s="229" t="str">
        <f ca="1">IF('Detailed Budget'!AZ4="","","Q1")</f>
        <v>Q1</v>
      </c>
      <c r="P44" s="229" t="str">
        <f ca="1">IF('Detailed Budget'!AZ4="","","Y3")</f>
        <v>Y3</v>
      </c>
      <c r="Q44" s="229" t="str">
        <f ca="1">IF('Detailed Budget'!AZ4="","",'Detailed Budget'!BA4)</f>
        <v>Q9 Cash Outflow</v>
      </c>
      <c r="R44" s="229" t="str">
        <f ca="1">IF('Detailed Budget'!AZ4="","",'Data Sheet'!$C$276)</f>
        <v>a1K360000061p6MEAQ</v>
      </c>
      <c r="S44" s="229" t="str">
        <f ca="1">IF('Detailed Budget'!AZ4="","",IF('Detailed Budget'!V4="","",'Detailed Budget'!V4))</f>
        <v>Payment Currency</v>
      </c>
      <c r="T44" s="229" t="str">
        <f ca="1">IF('Detailed Budget'!AZ4="","",IF('Detailed Budget'!AX4="","",'Detailed Budget'!AX4))</f>
        <v>Y3 Unit Cost (Payment Currency)</v>
      </c>
      <c r="U44" s="229" t="str">
        <f ca="1">IF('Detailed Budget'!AZ4="","",'Detailed Budget'!AY4)</f>
        <v>Y3 Unit Cost (Grant Currency)</v>
      </c>
      <c r="V44" s="229"/>
      <c r="W44" s="229" t="str">
        <f ca="1">IF('Detailed Budget'!AZ4="","",IF('Detailed Budget'!A4="","",'Detailed Budget'!A4))</f>
        <v>Budget Line No.</v>
      </c>
    </row>
    <row r="47" spans="1:23" ht="15.75" x14ac:dyDescent="0.25">
      <c r="B47" s="927" t="s">
        <v>2010</v>
      </c>
      <c r="C47" s="927"/>
      <c r="D47" s="927"/>
      <c r="E47" s="927"/>
      <c r="F47" s="927"/>
      <c r="G47" s="927"/>
      <c r="H47" s="927"/>
      <c r="I47" s="927"/>
      <c r="J47" s="927"/>
      <c r="K47" s="927"/>
      <c r="L47" s="927"/>
      <c r="M47" s="927"/>
      <c r="N47" s="927"/>
      <c r="O47" s="927"/>
      <c r="P47" s="927"/>
      <c r="Q47" s="927"/>
      <c r="R47" s="927"/>
      <c r="S47" s="927"/>
      <c r="T47" s="927"/>
      <c r="U47" s="927"/>
      <c r="V47" s="927"/>
      <c r="W47" s="927"/>
    </row>
    <row r="48" spans="1:23" s="227" customFormat="1" x14ac:dyDescent="0.25">
      <c r="A48" s="241" t="s">
        <v>1952</v>
      </c>
      <c r="B48" s="241" t="s">
        <v>1981</v>
      </c>
      <c r="C48" s="241" t="s">
        <v>1982</v>
      </c>
      <c r="D48" s="241" t="s">
        <v>2001</v>
      </c>
      <c r="E48" s="241" t="s">
        <v>2002</v>
      </c>
      <c r="F48" s="241" t="s">
        <v>1994</v>
      </c>
      <c r="G48" s="241" t="s">
        <v>17</v>
      </c>
      <c r="H48" s="241" t="s">
        <v>2003</v>
      </c>
      <c r="I48" s="241" t="s">
        <v>1961</v>
      </c>
      <c r="J48" s="241" t="s">
        <v>1979</v>
      </c>
      <c r="K48" s="241" t="s">
        <v>1964</v>
      </c>
      <c r="L48" s="241" t="s">
        <v>1942</v>
      </c>
      <c r="M48" s="241" t="s">
        <v>1943</v>
      </c>
      <c r="N48" s="241" t="s">
        <v>1999</v>
      </c>
      <c r="O48" s="241" t="s">
        <v>1944</v>
      </c>
      <c r="P48" s="241" t="s">
        <v>1945</v>
      </c>
      <c r="Q48" s="241" t="s">
        <v>1235</v>
      </c>
      <c r="R48" s="241" t="s">
        <v>2017</v>
      </c>
      <c r="S48" s="241" t="s">
        <v>2036</v>
      </c>
      <c r="T48" s="241" t="s">
        <v>2037</v>
      </c>
      <c r="U48" s="241" t="s">
        <v>2038</v>
      </c>
      <c r="V48" s="241"/>
      <c r="W48" s="241" t="s">
        <v>2039</v>
      </c>
    </row>
    <row r="49" spans="1:23" hidden="1" x14ac:dyDescent="0.25">
      <c r="A49" s="228" t="s">
        <v>1951</v>
      </c>
      <c r="B49" s="229">
        <f ca="1">IF('Detailed Budget'!BB4 = "","",'Detailed Budget'!$BC$2)</f>
        <v>43922</v>
      </c>
      <c r="C49" s="229">
        <f ca="1">IF('Detailed Budget'!BB4 = "","",'Detailed Budget'!$BC$3)</f>
        <v>44012</v>
      </c>
      <c r="D49" s="229" t="str">
        <f ca="1">IF('Detailed Budget'!BB4 = "","",'Detailed Budget'!D4)</f>
        <v>Module Id</v>
      </c>
      <c r="E49" s="229" t="str">
        <f ca="1">IF('Detailed Budget'!BB4 = "","",'Detailed Budget'!F4)</f>
        <v>IntID</v>
      </c>
      <c r="F49" s="229" t="str">
        <f ca="1">IF('Detailed Budget'!BB4="","",IF('Detailed Budget'!H4="","",'Detailed Budget'!H4))</f>
        <v>Activity Description</v>
      </c>
      <c r="G49" s="229" t="str">
        <f ca="1">IF('Detailed Budget'!BB4="","",'Detailed Budget'!K4)</f>
        <v>Cost Input Id</v>
      </c>
      <c r="H49" s="229" t="str">
        <f ca="1">IF('Detailed Budget'!BB4="","",IF('Detailed Budget'!M4="","",IF('Detailed Budget'!R4="",'Detailed Budget'!M4,"")))</f>
        <v/>
      </c>
      <c r="I49" s="229" t="str">
        <f ca="1">IF('Detailed Budget'!BB4="","",'Detailed Budget'!P4)</f>
        <v>Recipient Type</v>
      </c>
      <c r="J49" s="229" t="str">
        <f ca="1">IF('Detailed Budget'!BB4="","",'Detailed Budget'!Q4)</f>
        <v>Type of Implementation Entity</v>
      </c>
      <c r="K49" s="229" t="str">
        <f ca="1">IF('Detailed Budget'!BB4="","",'Detailed Budget'!R4)</f>
        <v>Account Id</v>
      </c>
      <c r="L49" s="229" t="str">
        <f ca="1">IF('Detailed Budget'!BB4="","",'Detailed Budget'!S4)</f>
        <v>Currency</v>
      </c>
      <c r="M49" s="229" t="str">
        <f ca="1">IF('Detailed Budget'!BB4="","",'Detailed Budget'!BB4)</f>
        <v>Q10 Quantity</v>
      </c>
      <c r="N49" s="229" t="str">
        <f ca="1">IF('Detailed Budget'!BB4="","",'Detailed Budget'!BC4)</f>
        <v>Q10 Cash Outflow</v>
      </c>
      <c r="O49" s="229" t="str">
        <f ca="1">IF('Detailed Budget'!BB4="","","Q2")</f>
        <v>Q2</v>
      </c>
      <c r="P49" s="229" t="str">
        <f ca="1">IF('Detailed Budget'!BB4="","","Y3")</f>
        <v>Y3</v>
      </c>
      <c r="Q49" s="229" t="str">
        <f ca="1">IF('Detailed Budget'!BB4="","",'Detailed Budget'!BC4)</f>
        <v>Q10 Cash Outflow</v>
      </c>
      <c r="R49" s="229" t="str">
        <f ca="1">IF('Detailed Budget'!BB4="","",'Data Sheet'!$C$276)</f>
        <v>a1K360000061p6MEAQ</v>
      </c>
      <c r="S49" s="229" t="str">
        <f ca="1">IF('Detailed Budget'!BB4="","",IF('Detailed Budget'!V4="","",'Detailed Budget'!V4))</f>
        <v>Payment Currency</v>
      </c>
      <c r="T49" s="229" t="str">
        <f ca="1">IF('Detailed Budget'!BB4="","",IF('Detailed Budget'!AX4="","",'Detailed Budget'!AX4))</f>
        <v>Y3 Unit Cost (Payment Currency)</v>
      </c>
      <c r="U49" s="229" t="str">
        <f ca="1">IF('Detailed Budget'!BB4="","",'Detailed Budget'!AY4)</f>
        <v>Y3 Unit Cost (Grant Currency)</v>
      </c>
      <c r="V49" s="229"/>
      <c r="W49" s="229" t="str">
        <f ca="1">IF('Detailed Budget'!BB4="","",IF('Detailed Budget'!A4="","",'Detailed Budget'!A4))</f>
        <v>Budget Line No.</v>
      </c>
    </row>
    <row r="52" spans="1:23" ht="15.75" x14ac:dyDescent="0.25">
      <c r="B52" s="927" t="s">
        <v>2011</v>
      </c>
      <c r="C52" s="927"/>
      <c r="D52" s="927"/>
      <c r="E52" s="927"/>
      <c r="F52" s="927"/>
      <c r="G52" s="927"/>
      <c r="H52" s="927"/>
      <c r="I52" s="927"/>
      <c r="J52" s="927"/>
      <c r="K52" s="927"/>
      <c r="L52" s="927"/>
      <c r="M52" s="927"/>
      <c r="N52" s="927"/>
      <c r="O52" s="927"/>
      <c r="P52" s="927"/>
      <c r="Q52" s="927"/>
      <c r="R52" s="927"/>
      <c r="S52" s="927"/>
      <c r="T52" s="927"/>
      <c r="U52" s="927"/>
      <c r="V52" s="927"/>
      <c r="W52" s="927"/>
    </row>
    <row r="53" spans="1:23" s="227" customFormat="1" x14ac:dyDescent="0.25">
      <c r="A53" s="241" t="s">
        <v>1952</v>
      </c>
      <c r="B53" s="241" t="s">
        <v>1981</v>
      </c>
      <c r="C53" s="241" t="s">
        <v>1982</v>
      </c>
      <c r="D53" s="241" t="s">
        <v>2001</v>
      </c>
      <c r="E53" s="241" t="s">
        <v>2002</v>
      </c>
      <c r="F53" s="241" t="s">
        <v>1994</v>
      </c>
      <c r="G53" s="241" t="s">
        <v>17</v>
      </c>
      <c r="H53" s="241" t="s">
        <v>2003</v>
      </c>
      <c r="I53" s="241" t="s">
        <v>1961</v>
      </c>
      <c r="J53" s="241" t="s">
        <v>1979</v>
      </c>
      <c r="K53" s="241" t="s">
        <v>1964</v>
      </c>
      <c r="L53" s="241" t="s">
        <v>1942</v>
      </c>
      <c r="M53" s="241" t="s">
        <v>1943</v>
      </c>
      <c r="N53" s="241" t="s">
        <v>1999</v>
      </c>
      <c r="O53" s="241" t="s">
        <v>1944</v>
      </c>
      <c r="P53" s="241" t="s">
        <v>1945</v>
      </c>
      <c r="Q53" s="241" t="s">
        <v>1235</v>
      </c>
      <c r="R53" s="241" t="s">
        <v>2017</v>
      </c>
      <c r="S53" s="241" t="s">
        <v>2036</v>
      </c>
      <c r="T53" s="241" t="s">
        <v>2037</v>
      </c>
      <c r="U53" s="241" t="s">
        <v>2038</v>
      </c>
      <c r="V53" s="241"/>
      <c r="W53" s="241" t="s">
        <v>2039</v>
      </c>
    </row>
    <row r="54" spans="1:23" hidden="1" x14ac:dyDescent="0.25">
      <c r="A54" s="228" t="s">
        <v>1951</v>
      </c>
      <c r="B54" s="229">
        <f ca="1">IF('Detailed Budget'!BD4 = "","",'Detailed Budget'!$BE$2)</f>
        <v>44013</v>
      </c>
      <c r="C54" s="229">
        <f ca="1">IF('Detailed Budget'!BD4 = "","",'Detailed Budget'!$BE$3)</f>
        <v>44104</v>
      </c>
      <c r="D54" s="229" t="str">
        <f ca="1">IF('Detailed Budget'!BD4 = "","",'Detailed Budget'!D4)</f>
        <v>Module Id</v>
      </c>
      <c r="E54" s="229" t="str">
        <f ca="1">IF('Detailed Budget'!BD4 = "","",'Detailed Budget'!F4)</f>
        <v>IntID</v>
      </c>
      <c r="F54" s="229" t="str">
        <f ca="1">IF('Detailed Budget'!BD4="","",IF('Detailed Budget'!H4="","",'Detailed Budget'!H4))</f>
        <v>Activity Description</v>
      </c>
      <c r="G54" s="229" t="str">
        <f ca="1">IF('Detailed Budget'!BD4="","",'Detailed Budget'!K4)</f>
        <v>Cost Input Id</v>
      </c>
      <c r="H54" s="229" t="str">
        <f ca="1">IF('Detailed Budget'!BD4="","",IF('Detailed Budget'!M4="","",IF('Detailed Budget'!R4="",'Detailed Budget'!M4,"")))</f>
        <v/>
      </c>
      <c r="I54" s="229" t="str">
        <f ca="1">IF('Detailed Budget'!BD4="","",'Detailed Budget'!P4)</f>
        <v>Recipient Type</v>
      </c>
      <c r="J54" s="229" t="str">
        <f ca="1">IF('Detailed Budget'!BD4="","",'Detailed Budget'!Q4)</f>
        <v>Type of Implementation Entity</v>
      </c>
      <c r="K54" s="229" t="str">
        <f ca="1">IF('Detailed Budget'!BD4="","",'Detailed Budget'!R4)</f>
        <v>Account Id</v>
      </c>
      <c r="L54" s="229" t="str">
        <f ca="1">IF('Detailed Budget'!BD4="","",'Detailed Budget'!S4)</f>
        <v>Currency</v>
      </c>
      <c r="M54" s="229" t="str">
        <f ca="1">IF('Detailed Budget'!BD4="","",'Detailed Budget'!BD4)</f>
        <v>Q11 Quantity</v>
      </c>
      <c r="N54" s="229" t="str">
        <f ca="1">IF('Detailed Budget'!BD4="","",'Detailed Budget'!BE4)</f>
        <v>Q11 Cash Outflow</v>
      </c>
      <c r="O54" s="229" t="str">
        <f ca="1">IF('Detailed Budget'!BD4="","","Q3")</f>
        <v>Q3</v>
      </c>
      <c r="P54" s="229" t="str">
        <f ca="1">IF('Detailed Budget'!BD4="","","Y3")</f>
        <v>Y3</v>
      </c>
      <c r="Q54" s="229" t="str">
        <f ca="1">IF('Detailed Budget'!BD4="","",'Detailed Budget'!BE4)</f>
        <v>Q11 Cash Outflow</v>
      </c>
      <c r="R54" s="229" t="str">
        <f ca="1">IF('Detailed Budget'!BD4="","",'Data Sheet'!$C$276)</f>
        <v>a1K360000061p6MEAQ</v>
      </c>
      <c r="S54" s="229" t="str">
        <f ca="1">IF('Detailed Budget'!BD4="","",IF('Detailed Budget'!V4="","",'Detailed Budget'!V4))</f>
        <v>Payment Currency</v>
      </c>
      <c r="T54" s="229" t="str">
        <f ca="1">IF('Detailed Budget'!BD4="","",IF('Detailed Budget'!AX4="","",'Detailed Budget'!AX4))</f>
        <v>Y3 Unit Cost (Payment Currency)</v>
      </c>
      <c r="U54" s="229" t="str">
        <f ca="1">IF('Detailed Budget'!BD4="","",'Detailed Budget'!AY4)</f>
        <v>Y3 Unit Cost (Grant Currency)</v>
      </c>
      <c r="V54" s="229"/>
      <c r="W54" s="229" t="str">
        <f ca="1">IF('Detailed Budget'!BD4="","",IF('Detailed Budget'!A4="","",'Detailed Budget'!A4))</f>
        <v>Budget Line No.</v>
      </c>
    </row>
    <row r="57" spans="1:23" ht="15.75" x14ac:dyDescent="0.25">
      <c r="B57" s="927" t="s">
        <v>2012</v>
      </c>
      <c r="C57" s="927"/>
      <c r="D57" s="927"/>
      <c r="E57" s="927"/>
      <c r="F57" s="927"/>
      <c r="G57" s="927"/>
      <c r="H57" s="927"/>
      <c r="I57" s="927"/>
      <c r="J57" s="927"/>
      <c r="K57" s="927"/>
      <c r="L57" s="927"/>
      <c r="M57" s="927"/>
      <c r="N57" s="927"/>
      <c r="O57" s="927"/>
      <c r="P57" s="927"/>
      <c r="Q57" s="927"/>
      <c r="R57" s="927"/>
      <c r="S57" s="927"/>
      <c r="T57" s="927"/>
      <c r="U57" s="927"/>
      <c r="V57" s="927"/>
      <c r="W57" s="927"/>
    </row>
    <row r="58" spans="1:23" s="227" customFormat="1" x14ac:dyDescent="0.25">
      <c r="A58" s="241" t="s">
        <v>1952</v>
      </c>
      <c r="B58" s="241" t="s">
        <v>1981</v>
      </c>
      <c r="C58" s="241" t="s">
        <v>1982</v>
      </c>
      <c r="D58" s="241" t="s">
        <v>2001</v>
      </c>
      <c r="E58" s="241" t="s">
        <v>2002</v>
      </c>
      <c r="F58" s="241" t="s">
        <v>1994</v>
      </c>
      <c r="G58" s="241" t="s">
        <v>17</v>
      </c>
      <c r="H58" s="241" t="s">
        <v>2003</v>
      </c>
      <c r="I58" s="241" t="s">
        <v>1961</v>
      </c>
      <c r="J58" s="241" t="s">
        <v>1979</v>
      </c>
      <c r="K58" s="241" t="s">
        <v>1964</v>
      </c>
      <c r="L58" s="241" t="s">
        <v>1942</v>
      </c>
      <c r="M58" s="241" t="s">
        <v>1943</v>
      </c>
      <c r="N58" s="241" t="s">
        <v>1999</v>
      </c>
      <c r="O58" s="241" t="s">
        <v>1944</v>
      </c>
      <c r="P58" s="241" t="s">
        <v>1945</v>
      </c>
      <c r="Q58" s="241" t="s">
        <v>1235</v>
      </c>
      <c r="R58" s="241" t="s">
        <v>2017</v>
      </c>
      <c r="S58" s="241" t="s">
        <v>2036</v>
      </c>
      <c r="T58" s="241" t="s">
        <v>2037</v>
      </c>
      <c r="U58" s="241" t="s">
        <v>2038</v>
      </c>
      <c r="V58" s="241"/>
      <c r="W58" s="241" t="s">
        <v>2039</v>
      </c>
    </row>
    <row r="59" spans="1:23" hidden="1" x14ac:dyDescent="0.25">
      <c r="A59" s="228" t="s">
        <v>1951</v>
      </c>
      <c r="B59" s="229">
        <f ca="1">IF('Detailed Budget'!BF4 = "","",'Detailed Budget'!$BG$2)</f>
        <v>44105</v>
      </c>
      <c r="C59" s="229">
        <f ca="1">IF('Detailed Budget'!BF4 = "","",'Detailed Budget'!$BG$3)</f>
        <v>44196</v>
      </c>
      <c r="D59" s="229" t="str">
        <f ca="1">IF('Detailed Budget'!BF4 = "","",'Detailed Budget'!D4)</f>
        <v>Module Id</v>
      </c>
      <c r="E59" s="229" t="str">
        <f ca="1">IF('Detailed Budget'!BF4 = "","",'Detailed Budget'!F4)</f>
        <v>IntID</v>
      </c>
      <c r="F59" s="229" t="str">
        <f ca="1">IF('Detailed Budget'!BF4="","",IF('Detailed Budget'!H4="","",'Detailed Budget'!H4))</f>
        <v>Activity Description</v>
      </c>
      <c r="G59" s="229" t="str">
        <f ca="1">IF('Detailed Budget'!BF4="","",'Detailed Budget'!K4)</f>
        <v>Cost Input Id</v>
      </c>
      <c r="H59" s="229" t="str">
        <f ca="1">IF('Detailed Budget'!BF4="","",IF('Detailed Budget'!M4="","",IF('Detailed Budget'!R4="",'Detailed Budget'!M4,"")))</f>
        <v/>
      </c>
      <c r="I59" s="229" t="str">
        <f ca="1">IF('Detailed Budget'!BF4="","",'Detailed Budget'!P4)</f>
        <v>Recipient Type</v>
      </c>
      <c r="J59" s="229" t="str">
        <f ca="1">IF('Detailed Budget'!BF4="","",'Detailed Budget'!Q4)</f>
        <v>Type of Implementation Entity</v>
      </c>
      <c r="K59" s="229" t="str">
        <f ca="1">IF('Detailed Budget'!BF4="","",'Detailed Budget'!R4)</f>
        <v>Account Id</v>
      </c>
      <c r="L59" s="229" t="str">
        <f ca="1">IF('Detailed Budget'!BF4="","",'Detailed Budget'!S4)</f>
        <v>Currency</v>
      </c>
      <c r="M59" s="229" t="str">
        <f ca="1">IF('Detailed Budget'!BF4="","",'Detailed Budget'!BF4)</f>
        <v>Q12 Quantity</v>
      </c>
      <c r="N59" s="229" t="str">
        <f ca="1">IF('Detailed Budget'!BF4="","",'Detailed Budget'!BG4)</f>
        <v>Q12 Cash Outflow</v>
      </c>
      <c r="O59" s="229" t="str">
        <f ca="1">IF('Detailed Budget'!BF4="","","Q4")</f>
        <v>Q4</v>
      </c>
      <c r="P59" s="229" t="str">
        <f ca="1">IF('Detailed Budget'!BF4="","","Y3")</f>
        <v>Y3</v>
      </c>
      <c r="Q59" s="229" t="str">
        <f ca="1">IF('Detailed Budget'!BF4="","",'Detailed Budget'!BG4)</f>
        <v>Q12 Cash Outflow</v>
      </c>
      <c r="R59" s="229" t="str">
        <f ca="1">IF('Detailed Budget'!BF4="","",'Data Sheet'!$C$276)</f>
        <v>a1K360000061p6MEAQ</v>
      </c>
      <c r="S59" s="229" t="str">
        <f ca="1">IF('Detailed Budget'!BF4="","",IF('Detailed Budget'!V4="","",'Detailed Budget'!V4))</f>
        <v>Payment Currency</v>
      </c>
      <c r="T59" s="229" t="str">
        <f ca="1">IF('Detailed Budget'!BF4="","",IF('Detailed Budget'!AX4="","",'Detailed Budget'!AX4))</f>
        <v>Y3 Unit Cost (Payment Currency)</v>
      </c>
      <c r="U59" s="229" t="str">
        <f ca="1">IF('Detailed Budget'!BF4="","",'Detailed Budget'!AY4)</f>
        <v>Y3 Unit Cost (Grant Currency)</v>
      </c>
      <c r="V59" s="229"/>
      <c r="W59" s="229" t="str">
        <f ca="1">IF('Detailed Budget'!BF4="","",IF('Detailed Budget'!A4="","",'Detailed Budget'!A4))</f>
        <v>Budget Line No.</v>
      </c>
    </row>
    <row r="62" spans="1:23" ht="15.75" x14ac:dyDescent="0.25">
      <c r="B62" s="927" t="s">
        <v>2013</v>
      </c>
      <c r="C62" s="927"/>
      <c r="D62" s="927"/>
      <c r="E62" s="927"/>
      <c r="F62" s="927"/>
      <c r="G62" s="927"/>
      <c r="H62" s="927"/>
      <c r="I62" s="927"/>
      <c r="J62" s="927"/>
      <c r="K62" s="927"/>
      <c r="L62" s="927"/>
      <c r="M62" s="927"/>
      <c r="N62" s="927"/>
      <c r="O62" s="927"/>
      <c r="P62" s="927"/>
      <c r="Q62" s="927"/>
      <c r="R62" s="927"/>
      <c r="S62" s="927"/>
      <c r="T62" s="927"/>
      <c r="U62" s="927"/>
      <c r="V62" s="927"/>
      <c r="W62" s="927"/>
    </row>
    <row r="63" spans="1:23" s="227" customFormat="1" x14ac:dyDescent="0.25">
      <c r="A63" s="241" t="s">
        <v>1952</v>
      </c>
      <c r="B63" s="241" t="s">
        <v>1981</v>
      </c>
      <c r="C63" s="241" t="s">
        <v>1982</v>
      </c>
      <c r="D63" s="241" t="s">
        <v>2001</v>
      </c>
      <c r="E63" s="241" t="s">
        <v>2002</v>
      </c>
      <c r="F63" s="241" t="s">
        <v>1994</v>
      </c>
      <c r="G63" s="241" t="s">
        <v>17</v>
      </c>
      <c r="H63" s="241" t="s">
        <v>2003</v>
      </c>
      <c r="I63" s="241" t="s">
        <v>1961</v>
      </c>
      <c r="J63" s="241" t="s">
        <v>1979</v>
      </c>
      <c r="K63" s="241" t="s">
        <v>1964</v>
      </c>
      <c r="L63" s="241" t="s">
        <v>1942</v>
      </c>
      <c r="M63" s="241" t="s">
        <v>1943</v>
      </c>
      <c r="N63" s="241" t="s">
        <v>1999</v>
      </c>
      <c r="O63" s="241" t="s">
        <v>1944</v>
      </c>
      <c r="P63" s="241" t="s">
        <v>1945</v>
      </c>
      <c r="Q63" s="241" t="s">
        <v>1235</v>
      </c>
      <c r="R63" s="241" t="s">
        <v>2017</v>
      </c>
      <c r="S63" s="241" t="s">
        <v>2036</v>
      </c>
      <c r="T63" s="241" t="s">
        <v>2037</v>
      </c>
      <c r="U63" s="241" t="s">
        <v>2038</v>
      </c>
      <c r="V63" s="241"/>
      <c r="W63" s="241" t="s">
        <v>2039</v>
      </c>
    </row>
    <row r="64" spans="1:23" hidden="1" x14ac:dyDescent="0.25">
      <c r="A64" s="228" t="s">
        <v>1951</v>
      </c>
      <c r="B64" s="229" t="str">
        <f ca="1">IF('Detailed Budget'!BM4 = "","",'Detailed Budget'!$BN$3)</f>
        <v/>
      </c>
      <c r="C64" s="229" t="str">
        <f ca="1">IF('Detailed Budget'!BM4 = "","",'Detailed Budget'!$BN$3)</f>
        <v/>
      </c>
      <c r="D64" s="229" t="str">
        <f ca="1">IF('Detailed Budget'!BM4 = "","",'Detailed Budget'!D4)</f>
        <v>Module Id</v>
      </c>
      <c r="E64" s="229" t="str">
        <f ca="1">IF('Detailed Budget'!BM4 = "","",'Detailed Budget'!F4)</f>
        <v>IntID</v>
      </c>
      <c r="F64" s="229" t="str">
        <f ca="1">IF('Detailed Budget'!BM4="","",IF('Detailed Budget'!H4="","",'Detailed Budget'!H4))</f>
        <v>Activity Description</v>
      </c>
      <c r="G64" s="229" t="str">
        <f ca="1">IF('Detailed Budget'!BM4="","",'Detailed Budget'!K4)</f>
        <v>Cost Input Id</v>
      </c>
      <c r="H64" s="229" t="str">
        <f ca="1">IF('Detailed Budget'!BM4="","",IF('Detailed Budget'!M4="","",IF('Detailed Budget'!R4="",'Detailed Budget'!M4,"")))</f>
        <v/>
      </c>
      <c r="I64" s="229" t="str">
        <f ca="1">IF('Detailed Budget'!BM4="","",'Detailed Budget'!P4)</f>
        <v>Recipient Type</v>
      </c>
      <c r="J64" s="229" t="str">
        <f ca="1">IF('Detailed Budget'!BM4="","",'Detailed Budget'!Q4)</f>
        <v>Type of Implementation Entity</v>
      </c>
      <c r="K64" s="229" t="str">
        <f ca="1">IF('Detailed Budget'!BM4="","",'Detailed Budget'!R4)</f>
        <v>Account Id</v>
      </c>
      <c r="L64" s="229" t="str">
        <f ca="1">IF('Detailed Budget'!BM4="","",'Detailed Budget'!S4)</f>
        <v>Currency</v>
      </c>
      <c r="M64" s="229" t="str">
        <f ca="1">IF('Detailed Budget'!BM4="","",'Detailed Budget'!BM4)</f>
        <v>Q13 Quantity</v>
      </c>
      <c r="N64" s="229" t="str">
        <f ca="1">IF('Detailed Budget'!BM4="","",'Detailed Budget'!BN4)</f>
        <v>Q13 Cash Outflow</v>
      </c>
      <c r="O64" s="229" t="str">
        <f ca="1">IF('Detailed Budget'!BM4="","","Q1")</f>
        <v>Q1</v>
      </c>
      <c r="P64" s="229" t="str">
        <f ca="1">IF('Detailed Budget'!BM4="","","Y4")</f>
        <v>Y4</v>
      </c>
      <c r="Q64" s="229" t="str">
        <f ca="1">IF('Detailed Budget'!BM4="","",'Detailed Budget'!BN4)</f>
        <v>Q13 Cash Outflow</v>
      </c>
      <c r="R64" s="229" t="str">
        <f ca="1">IF('Detailed Budget'!BM4="","",'Data Sheet'!$C$276)</f>
        <v>a1K360000061p6MEAQ</v>
      </c>
      <c r="S64" s="229" t="str">
        <f ca="1">IF('Detailed Budget'!BM4="","",IF('Detailed Budget'!V4="","",'Detailed Budget'!V4))</f>
        <v>Payment Currency</v>
      </c>
      <c r="T64" s="229" t="str">
        <f ca="1">IF('Detailed Budget'!BM4="","",IF('Detailed Budget'!BK4="","",'Detailed Budget'!BK4))</f>
        <v>Y4 Unit Cost (Payment Currency)</v>
      </c>
      <c r="U64" s="229" t="str">
        <f ca="1">IF('Detailed Budget'!BM4="","",'Detailed Budget'!BL4)</f>
        <v>Y4 Unit Cost (Grant Currency)</v>
      </c>
      <c r="V64" s="229"/>
      <c r="W64" s="229" t="str">
        <f ca="1">IF('Detailed Budget'!BM4="","",IF('Detailed Budget'!A4="","",'Detailed Budget'!A4))</f>
        <v>Budget Line No.</v>
      </c>
    </row>
    <row r="67" spans="1:23" ht="15.75" x14ac:dyDescent="0.25">
      <c r="B67" s="927" t="s">
        <v>2014</v>
      </c>
      <c r="C67" s="927"/>
      <c r="D67" s="927"/>
      <c r="E67" s="927"/>
      <c r="F67" s="927"/>
      <c r="G67" s="927"/>
      <c r="H67" s="927"/>
      <c r="I67" s="927"/>
      <c r="J67" s="927"/>
      <c r="K67" s="927"/>
      <c r="L67" s="927"/>
      <c r="M67" s="927"/>
      <c r="N67" s="927"/>
      <c r="O67" s="927"/>
      <c r="P67" s="927"/>
      <c r="Q67" s="927"/>
      <c r="R67" s="927"/>
      <c r="S67" s="927"/>
      <c r="T67" s="927"/>
      <c r="U67" s="927"/>
      <c r="V67" s="927"/>
      <c r="W67" s="927"/>
    </row>
    <row r="68" spans="1:23" s="227" customFormat="1" x14ac:dyDescent="0.25">
      <c r="A68" s="241" t="s">
        <v>1952</v>
      </c>
      <c r="B68" s="241" t="s">
        <v>1981</v>
      </c>
      <c r="C68" s="241" t="s">
        <v>1982</v>
      </c>
      <c r="D68" s="241" t="s">
        <v>2001</v>
      </c>
      <c r="E68" s="241" t="s">
        <v>2002</v>
      </c>
      <c r="F68" s="241" t="s">
        <v>1994</v>
      </c>
      <c r="G68" s="241" t="s">
        <v>17</v>
      </c>
      <c r="H68" s="241" t="s">
        <v>2003</v>
      </c>
      <c r="I68" s="241" t="s">
        <v>1961</v>
      </c>
      <c r="J68" s="241" t="s">
        <v>1979</v>
      </c>
      <c r="K68" s="241" t="s">
        <v>1964</v>
      </c>
      <c r="L68" s="241" t="s">
        <v>1942</v>
      </c>
      <c r="M68" s="241" t="s">
        <v>1943</v>
      </c>
      <c r="N68" s="241" t="s">
        <v>1999</v>
      </c>
      <c r="O68" s="241" t="s">
        <v>1944</v>
      </c>
      <c r="P68" s="241" t="s">
        <v>1945</v>
      </c>
      <c r="Q68" s="241" t="s">
        <v>1235</v>
      </c>
      <c r="R68" s="241" t="s">
        <v>2017</v>
      </c>
      <c r="S68" s="241" t="s">
        <v>2036</v>
      </c>
      <c r="T68" s="241" t="s">
        <v>2037</v>
      </c>
      <c r="U68" s="241" t="s">
        <v>2038</v>
      </c>
      <c r="V68" s="241"/>
      <c r="W68" s="241" t="s">
        <v>2039</v>
      </c>
    </row>
    <row r="69" spans="1:23" hidden="1" x14ac:dyDescent="0.25">
      <c r="A69" s="228" t="s">
        <v>1951</v>
      </c>
      <c r="B69" s="229" t="str">
        <f ca="1">IF('Detailed Budget'!BO4 = "","",'Detailed Budget'!$BP$3)</f>
        <v/>
      </c>
      <c r="C69" s="229" t="str">
        <f ca="1">IF('Detailed Budget'!BO4 = "","",'Detailed Budget'!$BP$3)</f>
        <v/>
      </c>
      <c r="D69" s="229" t="str">
        <f ca="1">IF('Detailed Budget'!BO4 = "","",'Detailed Budget'!D4)</f>
        <v>Module Id</v>
      </c>
      <c r="E69" s="229" t="str">
        <f ca="1">IF('Detailed Budget'!BO4 = "","",'Detailed Budget'!F4)</f>
        <v>IntID</v>
      </c>
      <c r="F69" s="229" t="str">
        <f ca="1">IF('Detailed Budget'!BO4="","",IF('Detailed Budget'!H4="","",'Detailed Budget'!H4))</f>
        <v>Activity Description</v>
      </c>
      <c r="G69" s="229" t="str">
        <f ca="1">IF('Detailed Budget'!BO4="","",'Detailed Budget'!K4)</f>
        <v>Cost Input Id</v>
      </c>
      <c r="H69" s="229" t="str">
        <f ca="1">IF('Detailed Budget'!BO4="","",IF('Detailed Budget'!M4="","",IF('Detailed Budget'!R4="",'Detailed Budget'!M4,"")))</f>
        <v/>
      </c>
      <c r="I69" s="229" t="str">
        <f ca="1">IF('Detailed Budget'!BO4="","",'Detailed Budget'!P4)</f>
        <v>Recipient Type</v>
      </c>
      <c r="J69" s="229" t="str">
        <f ca="1">IF('Detailed Budget'!BO4="","",'Detailed Budget'!Q4)</f>
        <v>Type of Implementation Entity</v>
      </c>
      <c r="K69" s="229" t="str">
        <f ca="1">IF('Detailed Budget'!BO4="","",'Detailed Budget'!R4)</f>
        <v>Account Id</v>
      </c>
      <c r="L69" s="229" t="str">
        <f ca="1">IF('Detailed Budget'!BO4="","",'Detailed Budget'!S4)</f>
        <v>Currency</v>
      </c>
      <c r="M69" s="229" t="str">
        <f ca="1">IF('Detailed Budget'!BO4="","",'Detailed Budget'!BO4)</f>
        <v>Q14 Quantity</v>
      </c>
      <c r="N69" s="229" t="str">
        <f ca="1">IF('Detailed Budget'!BO4="","",'Detailed Budget'!BP4)</f>
        <v>Q14 Cash Outflow</v>
      </c>
      <c r="O69" s="229" t="str">
        <f ca="1">IF('Detailed Budget'!BO4="","","Q2")</f>
        <v>Q2</v>
      </c>
      <c r="P69" s="229" t="str">
        <f ca="1">IF('Detailed Budget'!BO4="","","Y4")</f>
        <v>Y4</v>
      </c>
      <c r="Q69" s="229" t="str">
        <f ca="1">IF('Detailed Budget'!BO4="","",'Detailed Budget'!BP4)</f>
        <v>Q14 Cash Outflow</v>
      </c>
      <c r="R69" s="229" t="str">
        <f ca="1">IF('Detailed Budget'!BO4="","",'Data Sheet'!$C$276)</f>
        <v>a1K360000061p6MEAQ</v>
      </c>
      <c r="S69" s="229" t="str">
        <f ca="1">IF('Detailed Budget'!BO4="","",IF('Detailed Budget'!V4="","",'Detailed Budget'!V4))</f>
        <v>Payment Currency</v>
      </c>
      <c r="T69" s="229" t="str">
        <f ca="1">IF('Detailed Budget'!BO4="","",IF('Detailed Budget'!BK4="","",'Detailed Budget'!BK4))</f>
        <v>Y4 Unit Cost (Payment Currency)</v>
      </c>
      <c r="U69" s="229" t="str">
        <f ca="1">IF('Detailed Budget'!BO4="","",'Detailed Budget'!BL4)</f>
        <v>Y4 Unit Cost (Grant Currency)</v>
      </c>
      <c r="V69" s="229"/>
      <c r="W69" s="229" t="str">
        <f ca="1">IF('Detailed Budget'!BO4="","",IF('Detailed Budget'!A4="","",'Detailed Budget'!A4))</f>
        <v>Budget Line No.</v>
      </c>
    </row>
    <row r="72" spans="1:23" ht="15.75" x14ac:dyDescent="0.25">
      <c r="B72" s="927" t="s">
        <v>2015</v>
      </c>
      <c r="C72" s="927"/>
      <c r="D72" s="927"/>
      <c r="E72" s="927"/>
      <c r="F72" s="927"/>
      <c r="G72" s="927"/>
      <c r="H72" s="927"/>
      <c r="I72" s="927"/>
      <c r="J72" s="927"/>
      <c r="K72" s="927"/>
      <c r="L72" s="927"/>
      <c r="M72" s="927"/>
      <c r="N72" s="927"/>
      <c r="O72" s="927"/>
      <c r="P72" s="927"/>
      <c r="Q72" s="927"/>
      <c r="R72" s="927"/>
      <c r="S72" s="927"/>
      <c r="T72" s="927"/>
      <c r="U72" s="927"/>
      <c r="V72" s="927"/>
      <c r="W72" s="927"/>
    </row>
    <row r="73" spans="1:23" s="227" customFormat="1" x14ac:dyDescent="0.25">
      <c r="A73" s="241" t="s">
        <v>1952</v>
      </c>
      <c r="B73" s="241" t="s">
        <v>1981</v>
      </c>
      <c r="C73" s="241" t="s">
        <v>1982</v>
      </c>
      <c r="D73" s="241" t="s">
        <v>2001</v>
      </c>
      <c r="E73" s="241" t="s">
        <v>2002</v>
      </c>
      <c r="F73" s="241" t="s">
        <v>1994</v>
      </c>
      <c r="G73" s="241" t="s">
        <v>17</v>
      </c>
      <c r="H73" s="241" t="s">
        <v>2003</v>
      </c>
      <c r="I73" s="241" t="s">
        <v>1961</v>
      </c>
      <c r="J73" s="241" t="s">
        <v>1979</v>
      </c>
      <c r="K73" s="241" t="s">
        <v>1964</v>
      </c>
      <c r="L73" s="241" t="s">
        <v>1942</v>
      </c>
      <c r="M73" s="241" t="s">
        <v>1943</v>
      </c>
      <c r="N73" s="241" t="s">
        <v>1999</v>
      </c>
      <c r="O73" s="241" t="s">
        <v>1944</v>
      </c>
      <c r="P73" s="241" t="s">
        <v>1945</v>
      </c>
      <c r="Q73" s="241" t="s">
        <v>1235</v>
      </c>
      <c r="R73" s="241" t="s">
        <v>2017</v>
      </c>
      <c r="S73" s="241" t="s">
        <v>2036</v>
      </c>
      <c r="T73" s="241" t="s">
        <v>2037</v>
      </c>
      <c r="U73" s="241" t="s">
        <v>2038</v>
      </c>
      <c r="V73" s="241"/>
      <c r="W73" s="241" t="s">
        <v>2039</v>
      </c>
    </row>
    <row r="74" spans="1:23" hidden="1" x14ac:dyDescent="0.25">
      <c r="A74" s="228" t="s">
        <v>1951</v>
      </c>
      <c r="B74" s="229" t="str">
        <f ca="1">IF('Detailed Budget'!BQ4 = "","",'Detailed Budget'!$BR$3)</f>
        <v/>
      </c>
      <c r="C74" s="229" t="str">
        <f ca="1">IF('Detailed Budget'!BQ4 = "","",'Detailed Budget'!$BR$3)</f>
        <v/>
      </c>
      <c r="D74" s="229" t="str">
        <f ca="1">IF('Detailed Budget'!BQ4 = "","",'Detailed Budget'!D4)</f>
        <v>Module Id</v>
      </c>
      <c r="E74" s="229" t="str">
        <f ca="1">IF('Detailed Budget'!BQ4 = "","",'Detailed Budget'!F4)</f>
        <v>IntID</v>
      </c>
      <c r="F74" s="229" t="str">
        <f ca="1">IF('Detailed Budget'!BQ4="","",IF('Detailed Budget'!H4="","",'Detailed Budget'!H4))</f>
        <v>Activity Description</v>
      </c>
      <c r="G74" s="229" t="str">
        <f ca="1">IF('Detailed Budget'!BQ4="","",'Detailed Budget'!K4)</f>
        <v>Cost Input Id</v>
      </c>
      <c r="H74" s="229" t="str">
        <f ca="1">IF('Detailed Budget'!BQ4="","",IF('Detailed Budget'!M4="","",IF('Detailed Budget'!R4="",'Detailed Budget'!M4,"")))</f>
        <v/>
      </c>
      <c r="I74" s="229" t="str">
        <f ca="1">IF('Detailed Budget'!BQ4="","",'Detailed Budget'!P4)</f>
        <v>Recipient Type</v>
      </c>
      <c r="J74" s="229" t="str">
        <f ca="1">IF('Detailed Budget'!BQ4="","",'Detailed Budget'!Q4)</f>
        <v>Type of Implementation Entity</v>
      </c>
      <c r="K74" s="229" t="str">
        <f ca="1">IF('Detailed Budget'!BQ4="","",'Detailed Budget'!R4)</f>
        <v>Account Id</v>
      </c>
      <c r="L74" s="229" t="str">
        <f ca="1">IF('Detailed Budget'!BQ4="","",'Detailed Budget'!S4)</f>
        <v>Currency</v>
      </c>
      <c r="M74" s="229" t="str">
        <f ca="1">IF('Detailed Budget'!BQ4="","",'Detailed Budget'!BQ4)</f>
        <v>Q15 Quantity</v>
      </c>
      <c r="N74" s="229" t="str">
        <f ca="1">IF('Detailed Budget'!BQ4="","",'Detailed Budget'!BR4)</f>
        <v>Q15 Cash Outflow</v>
      </c>
      <c r="O74" s="229" t="str">
        <f ca="1">IF('Detailed Budget'!BQ4="","","Q3")</f>
        <v>Q3</v>
      </c>
      <c r="P74" s="229" t="str">
        <f ca="1">IF('Detailed Budget'!BQ4="","","Y4")</f>
        <v>Y4</v>
      </c>
      <c r="Q74" s="229" t="str">
        <f ca="1">IF('Detailed Budget'!BQ4="","",'Detailed Budget'!BR4)</f>
        <v>Q15 Cash Outflow</v>
      </c>
      <c r="R74" s="229" t="str">
        <f ca="1">IF('Detailed Budget'!BQ4="","",'Data Sheet'!$C$276)</f>
        <v>a1K360000061p6MEAQ</v>
      </c>
      <c r="S74" s="229" t="str">
        <f ca="1">IF('Detailed Budget'!BQ4="","",IF('Detailed Budget'!V4="","",'Detailed Budget'!V4))</f>
        <v>Payment Currency</v>
      </c>
      <c r="T74" s="229" t="str">
        <f ca="1">IF('Detailed Budget'!BQ4="","",IF('Detailed Budget'!BK4="","",'Detailed Budget'!BK4))</f>
        <v>Y4 Unit Cost (Payment Currency)</v>
      </c>
      <c r="U74" s="229" t="str">
        <f ca="1">IF('Detailed Budget'!BQ4="","",'Detailed Budget'!BL4)</f>
        <v>Y4 Unit Cost (Grant Currency)</v>
      </c>
      <c r="V74" s="229"/>
      <c r="W74" s="229" t="str">
        <f ca="1">IF('Detailed Budget'!BQ4="","",IF('Detailed Budget'!A4="","",'Detailed Budget'!A4))</f>
        <v>Budget Line No.</v>
      </c>
    </row>
    <row r="77" spans="1:23" ht="15.75" x14ac:dyDescent="0.25">
      <c r="B77" s="927" t="s">
        <v>2016</v>
      </c>
      <c r="C77" s="927"/>
      <c r="D77" s="927"/>
      <c r="E77" s="927"/>
      <c r="F77" s="927"/>
      <c r="G77" s="927"/>
      <c r="H77" s="927"/>
      <c r="I77" s="927"/>
      <c r="J77" s="927"/>
      <c r="K77" s="927"/>
      <c r="L77" s="927"/>
      <c r="M77" s="927"/>
      <c r="N77" s="927"/>
      <c r="O77" s="927"/>
      <c r="P77" s="927"/>
      <c r="Q77" s="927"/>
      <c r="R77" s="927"/>
      <c r="S77" s="927"/>
      <c r="T77" s="927"/>
      <c r="U77" s="927"/>
      <c r="V77" s="927"/>
      <c r="W77" s="927"/>
    </row>
    <row r="78" spans="1:23" s="227" customFormat="1" x14ac:dyDescent="0.25">
      <c r="A78" s="241" t="s">
        <v>1952</v>
      </c>
      <c r="B78" s="241" t="s">
        <v>1981</v>
      </c>
      <c r="C78" s="241" t="s">
        <v>1982</v>
      </c>
      <c r="D78" s="241" t="s">
        <v>2001</v>
      </c>
      <c r="E78" s="241" t="s">
        <v>2002</v>
      </c>
      <c r="F78" s="241" t="s">
        <v>1994</v>
      </c>
      <c r="G78" s="241" t="s">
        <v>17</v>
      </c>
      <c r="H78" s="241" t="s">
        <v>2003</v>
      </c>
      <c r="I78" s="241" t="s">
        <v>1961</v>
      </c>
      <c r="J78" s="241" t="s">
        <v>1979</v>
      </c>
      <c r="K78" s="241" t="s">
        <v>1964</v>
      </c>
      <c r="L78" s="241" t="s">
        <v>1942</v>
      </c>
      <c r="M78" s="241" t="s">
        <v>1943</v>
      </c>
      <c r="N78" s="241" t="s">
        <v>1999</v>
      </c>
      <c r="O78" s="241" t="s">
        <v>1944</v>
      </c>
      <c r="P78" s="241" t="s">
        <v>1945</v>
      </c>
      <c r="Q78" s="241" t="s">
        <v>1235</v>
      </c>
      <c r="R78" s="241" t="s">
        <v>2017</v>
      </c>
      <c r="S78" s="241" t="s">
        <v>2036</v>
      </c>
      <c r="T78" s="241" t="s">
        <v>2037</v>
      </c>
      <c r="U78" s="241" t="s">
        <v>2038</v>
      </c>
      <c r="V78" s="241"/>
      <c r="W78" s="241" t="s">
        <v>2039</v>
      </c>
    </row>
    <row r="79" spans="1:23" hidden="1" x14ac:dyDescent="0.25">
      <c r="A79" s="228" t="s">
        <v>1951</v>
      </c>
      <c r="B79" s="229" t="str">
        <f ca="1">IF('Detailed Budget'!BS4 = "","",'Detailed Budget'!$BT$3)</f>
        <v/>
      </c>
      <c r="C79" s="229" t="str">
        <f ca="1">IF('Detailed Budget'!BS4 = "","",'Detailed Budget'!$BT$3)</f>
        <v/>
      </c>
      <c r="D79" s="229" t="str">
        <f ca="1">IF('Detailed Budget'!BS4 = "","",'Detailed Budget'!D4)</f>
        <v>Module Id</v>
      </c>
      <c r="E79" s="229" t="str">
        <f ca="1">IF('Detailed Budget'!BS4 = "","",'Detailed Budget'!F4)</f>
        <v>IntID</v>
      </c>
      <c r="F79" s="229" t="str">
        <f ca="1">IF('Detailed Budget'!BS4="","",IF('Detailed Budget'!H4="","",'Detailed Budget'!H4))</f>
        <v>Activity Description</v>
      </c>
      <c r="G79" s="229" t="str">
        <f ca="1">IF('Detailed Budget'!BS4="","",'Detailed Budget'!K4)</f>
        <v>Cost Input Id</v>
      </c>
      <c r="H79" s="229" t="str">
        <f ca="1">IF('Detailed Budget'!BS4="","",IF('Detailed Budget'!M4="","",IF('Detailed Budget'!R4="",'Detailed Budget'!M4,"")))</f>
        <v/>
      </c>
      <c r="I79" s="229" t="str">
        <f ca="1">IF('Detailed Budget'!BS4="","",'Detailed Budget'!P4)</f>
        <v>Recipient Type</v>
      </c>
      <c r="J79" s="229" t="str">
        <f ca="1">IF('Detailed Budget'!BS4="","",'Detailed Budget'!Q4)</f>
        <v>Type of Implementation Entity</v>
      </c>
      <c r="K79" s="229" t="str">
        <f ca="1">IF('Detailed Budget'!BS4="","",'Detailed Budget'!R4)</f>
        <v>Account Id</v>
      </c>
      <c r="L79" s="229" t="str">
        <f ca="1">IF('Detailed Budget'!BS4="","",'Detailed Budget'!S4)</f>
        <v>Currency</v>
      </c>
      <c r="M79" s="229" t="str">
        <f ca="1">IF('Detailed Budget'!BS4="","",'Detailed Budget'!BS4)</f>
        <v>Q16 Quantity</v>
      </c>
      <c r="N79" s="229" t="str">
        <f ca="1">IF('Detailed Budget'!BS4="","",'Detailed Budget'!BT4)</f>
        <v>Q16 Cash Outflow</v>
      </c>
      <c r="O79" s="229" t="str">
        <f ca="1">IF('Detailed Budget'!BS4="","","Q4")</f>
        <v>Q4</v>
      </c>
      <c r="P79" s="229" t="str">
        <f ca="1">IF('Detailed Budget'!BS4="","","Y4")</f>
        <v>Y4</v>
      </c>
      <c r="Q79" s="229" t="str">
        <f ca="1">IF('Detailed Budget'!BS4="","",'Detailed Budget'!BT4)</f>
        <v>Q16 Cash Outflow</v>
      </c>
      <c r="R79" s="229" t="str">
        <f ca="1">IF('Detailed Budget'!BS4="","",'Data Sheet'!$C$276)</f>
        <v>a1K360000061p6MEAQ</v>
      </c>
      <c r="S79" s="229" t="str">
        <f ca="1">IF('Detailed Budget'!BS4="","",IF('Detailed Budget'!V4="","",'Detailed Budget'!V4))</f>
        <v>Payment Currency</v>
      </c>
      <c r="T79" s="229" t="str">
        <f ca="1">IF('Detailed Budget'!BS4="","",IF('Detailed Budget'!BK4="","",'Detailed Budget'!BK4))</f>
        <v>Y4 Unit Cost (Payment Currency)</v>
      </c>
      <c r="U79" s="229" t="str">
        <f ca="1">IF('Detailed Budget'!BS4="","",'Detailed Budget'!BL4)</f>
        <v>Y4 Unit Cost (Grant Currency)</v>
      </c>
      <c r="V79" s="229"/>
      <c r="W79" s="229" t="str">
        <f ca="1">IF('Detailed Budget'!BS4="","",IF('Detailed Budget'!A4="","",'Detailed Budget'!A4))</f>
        <v>Budget Line No.</v>
      </c>
    </row>
  </sheetData>
  <sheetProtection selectLockedCells="1" selectUnlockedCells="1"/>
  <mergeCells count="16">
    <mergeCell ref="B77:W77"/>
    <mergeCell ref="B52:W52"/>
    <mergeCell ref="B57:W57"/>
    <mergeCell ref="B62:W62"/>
    <mergeCell ref="B67:W67"/>
    <mergeCell ref="B72:W72"/>
    <mergeCell ref="B27:W27"/>
    <mergeCell ref="B32:W32"/>
    <mergeCell ref="B37:W37"/>
    <mergeCell ref="B42:W42"/>
    <mergeCell ref="B47:W47"/>
    <mergeCell ref="B2:W2"/>
    <mergeCell ref="B7:W7"/>
    <mergeCell ref="B12:W12"/>
    <mergeCell ref="B17:W17"/>
    <mergeCell ref="B22:W22"/>
  </mergeCell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E45"/>
  <sheetViews>
    <sheetView workbookViewId="0">
      <selection activeCell="A33" sqref="A33"/>
    </sheetView>
  </sheetViews>
  <sheetFormatPr defaultColWidth="9" defaultRowHeight="12.75" x14ac:dyDescent="0.2"/>
  <cols>
    <col min="1" max="1" width="61.75" style="12" customWidth="1"/>
    <col min="2" max="2" width="19.125" style="12" customWidth="1"/>
    <col min="3" max="16384" width="9" style="12"/>
  </cols>
  <sheetData>
    <row r="1" spans="1:5" x14ac:dyDescent="0.2">
      <c r="A1" s="408" t="s">
        <v>1964</v>
      </c>
      <c r="B1" s="408" t="s">
        <v>1966</v>
      </c>
      <c r="C1" s="408">
        <v>-1</v>
      </c>
      <c r="D1" s="408" t="s">
        <v>1965</v>
      </c>
    </row>
    <row r="2" spans="1:5" ht="15" hidden="1" customHeight="1" x14ac:dyDescent="0.2">
      <c r="A2" s="408" t="s">
        <v>1962</v>
      </c>
      <c r="B2" s="408" t="str">
        <f t="array" ref="B2">IFERROR(INDEX($A$2:$A$10, MATCH(0, COUNTIF($B$1:B1, $A$2:$A$10&amp;"") + IF($A$2:$A$10="",1,0), 0)), "")</f>
        <v>[Account (Name)]</v>
      </c>
      <c r="C2" s="408">
        <f>IF(B2="","",MAX(C$1:C1)+1)</f>
        <v>0</v>
      </c>
      <c r="D2" s="408" t="s">
        <v>1963</v>
      </c>
    </row>
    <row r="3" spans="1:5" ht="15" customHeight="1" x14ac:dyDescent="0.2">
      <c r="A3" s="408" t="s">
        <v>2506</v>
      </c>
      <c r="B3" s="408" t="str">
        <f t="array" ref="B3">IFERROR(INDEX($A$2:$A$10, MATCH(0, COUNTIF($B$1:B2, $A$2:$A$10&amp;"") + IF($A$2:$A$10="",1,0), 0)), "")</f>
        <v>Ministry of Health of the Lao People's Democratic Republic</v>
      </c>
      <c r="C3" s="408">
        <f>IF(B3="","",MAX(C$1:C2)+1)</f>
        <v>1</v>
      </c>
      <c r="D3" s="408" t="s">
        <v>2507</v>
      </c>
    </row>
    <row r="4" spans="1:5" ht="15" customHeight="1" x14ac:dyDescent="0.2">
      <c r="A4" s="408" t="s">
        <v>2506</v>
      </c>
      <c r="B4" s="408" t="str">
        <f t="array" ref="B4">IFERROR(INDEX($A$2:$A$10, MATCH(0, COUNTIF($B$1:B3, $A$2:$A$10&amp;"") + IF($A$2:$A$10="",1,0), 0)), "")</f>
        <v/>
      </c>
      <c r="C4" s="408" t="str">
        <f>IF(B4="","",MAX(C$1:C3)+1)</f>
        <v/>
      </c>
      <c r="D4" s="408" t="s">
        <v>2507</v>
      </c>
    </row>
    <row r="5" spans="1:5" ht="15" customHeight="1" x14ac:dyDescent="0.2">
      <c r="A5" s="408" t="s">
        <v>2506</v>
      </c>
      <c r="B5" s="408" t="str">
        <f t="array" ref="B5">IFERROR(INDEX($A$2:$A$10, MATCH(0, COUNTIF($B$1:B4, $A$2:$A$10&amp;"") + IF($A$2:$A$10="",1,0), 0)), "")</f>
        <v/>
      </c>
      <c r="C5" s="408" t="str">
        <f>IF(B5="","",MAX(C$1:C4)+1)</f>
        <v/>
      </c>
      <c r="D5" s="408" t="s">
        <v>2507</v>
      </c>
    </row>
    <row r="6" spans="1:5" ht="15" customHeight="1" x14ac:dyDescent="0.2">
      <c r="A6" s="408" t="s">
        <v>2506</v>
      </c>
      <c r="B6" s="408" t="str">
        <f t="array" ref="B6">IFERROR(INDEX($A$2:$A$10, MATCH(0, COUNTIF($B$1:B5, $A$2:$A$10&amp;"") + IF($A$2:$A$10="",1,0), 0)), "")</f>
        <v/>
      </c>
      <c r="C6" s="408" t="str">
        <f>IF(B6="","",MAX(C$1:C5)+1)</f>
        <v/>
      </c>
      <c r="D6" s="408" t="s">
        <v>2507</v>
      </c>
    </row>
    <row r="7" spans="1:5" ht="15" customHeight="1" x14ac:dyDescent="0.2">
      <c r="A7" s="408" t="s">
        <v>2506</v>
      </c>
      <c r="B7" s="408" t="str">
        <f t="array" ref="B7">IFERROR(INDEX($A$2:$A$10, MATCH(0, COUNTIF($B$1:B6, $A$2:$A$10&amp;"") + IF($A$2:$A$10="",1,0), 0)), "")</f>
        <v/>
      </c>
      <c r="C7" s="408" t="str">
        <f>IF(B7="","",MAX(C$1:C6)+1)</f>
        <v/>
      </c>
      <c r="D7" s="408" t="s">
        <v>2507</v>
      </c>
    </row>
    <row r="8" spans="1:5" ht="15" customHeight="1" x14ac:dyDescent="0.2">
      <c r="A8" s="408" t="s">
        <v>2506</v>
      </c>
      <c r="B8" s="408" t="str">
        <f t="array" ref="B8">IFERROR(INDEX($A$2:$A$10, MATCH(0, COUNTIF($B$1:B7, $A$2:$A$10&amp;"") + IF($A$2:$A$10="",1,0), 0)), "")</f>
        <v/>
      </c>
      <c r="C8" s="408" t="str">
        <f>IF(B8="","",MAX(C$1:C7)+1)</f>
        <v/>
      </c>
      <c r="D8" s="408" t="s">
        <v>2507</v>
      </c>
    </row>
    <row r="9" spans="1:5" ht="15" customHeight="1" x14ac:dyDescent="0.2">
      <c r="A9" s="408" t="s">
        <v>2506</v>
      </c>
      <c r="B9" s="408" t="str">
        <f t="array" ref="B9">IFERROR(INDEX($A$2:$A$10, MATCH(0, COUNTIF($B$1:B8, $A$2:$A$10&amp;"") + IF($A$2:$A$10="",1,0), 0)), "")</f>
        <v/>
      </c>
      <c r="C9" s="408" t="str">
        <f>IF(B9="","",MAX(C$1:C8)+1)</f>
        <v/>
      </c>
      <c r="D9" s="408" t="s">
        <v>2507</v>
      </c>
    </row>
    <row r="11" spans="1:5" hidden="1" x14ac:dyDescent="0.2"/>
    <row r="12" spans="1:5" hidden="1" x14ac:dyDescent="0.2">
      <c r="E12" s="219"/>
    </row>
    <row r="13" spans="1:5" hidden="1" x14ac:dyDescent="0.2">
      <c r="E13" s="219"/>
    </row>
    <row r="14" spans="1:5" hidden="1" x14ac:dyDescent="0.2">
      <c r="E14" s="219"/>
    </row>
    <row r="15" spans="1:5" hidden="1" x14ac:dyDescent="0.2">
      <c r="E15" s="219"/>
    </row>
    <row r="16" spans="1:5" hidden="1" x14ac:dyDescent="0.2">
      <c r="E16" s="219"/>
    </row>
    <row r="17" spans="1:5" hidden="1" x14ac:dyDescent="0.2">
      <c r="E17" s="219"/>
    </row>
    <row r="18" spans="1:5" hidden="1" x14ac:dyDescent="0.2">
      <c r="E18" s="219"/>
    </row>
    <row r="19" spans="1:5" hidden="1" x14ac:dyDescent="0.2">
      <c r="E19" s="219"/>
    </row>
    <row r="20" spans="1:5" hidden="1" x14ac:dyDescent="0.2"/>
    <row r="21" spans="1:5" hidden="1" x14ac:dyDescent="0.2"/>
    <row r="22" spans="1:5" hidden="1" x14ac:dyDescent="0.2"/>
    <row r="23" spans="1:5" hidden="1" x14ac:dyDescent="0.2"/>
    <row r="24" spans="1:5" hidden="1" x14ac:dyDescent="0.2"/>
    <row r="25" spans="1:5" x14ac:dyDescent="0.2">
      <c r="A25" s="12" t="s">
        <v>1990</v>
      </c>
    </row>
    <row r="26" spans="1:5" x14ac:dyDescent="0.2">
      <c r="A26" s="408" t="s">
        <v>1989</v>
      </c>
      <c r="B26" s="408" t="s">
        <v>1966</v>
      </c>
      <c r="C26" s="408">
        <v>-1</v>
      </c>
      <c r="D26" s="408" t="s">
        <v>1965</v>
      </c>
    </row>
    <row r="27" spans="1:5" hidden="1" x14ac:dyDescent="0.2">
      <c r="A27" s="408" t="s">
        <v>1962</v>
      </c>
      <c r="B27" s="408" t="str">
        <f t="array" ref="B27">IFERROR(INDEX($A$27:$A$30, MATCH(0, COUNTIF($B$26:B26, $A$27:$A$30&amp;"") + IF($A$27:$A$30="",1,0), 0)), "")</f>
        <v>[Account (Name)]</v>
      </c>
      <c r="C27" s="408">
        <f>IF(B27="","",MAX(C$26:C26)+1)</f>
        <v>0</v>
      </c>
      <c r="D27" s="408" t="s">
        <v>1963</v>
      </c>
    </row>
    <row r="28" spans="1:5" x14ac:dyDescent="0.2">
      <c r="A28" s="408" t="s">
        <v>2502</v>
      </c>
      <c r="B28" s="408" t="str">
        <f t="array" ref="B28">IFERROR(INDEX($A$27:$A$30, MATCH(0, COUNTIF($B$26:B27, $A$27:$A$30&amp;"") + IF($A$27:$A$30="",1,0), 0)), "")</f>
        <v>United Nations Development Programme</v>
      </c>
      <c r="C28" s="408">
        <f>IF(B28="","",MAX(C$26:C27)+1)</f>
        <v>1</v>
      </c>
      <c r="D28" s="408" t="s">
        <v>2503</v>
      </c>
    </row>
    <row r="29" spans="1:5" x14ac:dyDescent="0.2">
      <c r="A29" s="408" t="s">
        <v>2504</v>
      </c>
      <c r="B29" s="408" t="str">
        <f t="array" ref="B29">IFERROR(INDEX($A$27:$A$30, MATCH(0, COUNTIF($B$26:B28, $A$27:$A$30&amp;"") + IF($A$27:$A$30="",1,0), 0)), "")</f>
        <v>United Nations Office for Project Services</v>
      </c>
      <c r="C29" s="408">
        <f>IF(B29="","",MAX(C$26:C28)+1)</f>
        <v>2</v>
      </c>
      <c r="D29" s="408" t="s">
        <v>2505</v>
      </c>
    </row>
    <row r="32" spans="1:5" x14ac:dyDescent="0.2">
      <c r="A32" s="12" t="s">
        <v>1824</v>
      </c>
    </row>
    <row r="33" spans="1:1" x14ac:dyDescent="0.2">
      <c r="A33" s="12" t="s">
        <v>1823</v>
      </c>
    </row>
    <row r="34" spans="1:1" x14ac:dyDescent="0.2">
      <c r="A34" s="12" t="s">
        <v>1822</v>
      </c>
    </row>
    <row r="35" spans="1:1" x14ac:dyDescent="0.2">
      <c r="A35" s="12" t="s">
        <v>1821</v>
      </c>
    </row>
    <row r="36" spans="1:1" x14ac:dyDescent="0.2">
      <c r="A36" s="12" t="s">
        <v>1820</v>
      </c>
    </row>
    <row r="37" spans="1:1" x14ac:dyDescent="0.2">
      <c r="A37" s="12" t="s">
        <v>2100</v>
      </c>
    </row>
    <row r="38" spans="1:1" x14ac:dyDescent="0.2">
      <c r="A38" s="12" t="s">
        <v>1811</v>
      </c>
    </row>
    <row r="39" spans="1:1" x14ac:dyDescent="0.2">
      <c r="A39" s="12" t="s">
        <v>1826</v>
      </c>
    </row>
    <row r="40" spans="1:1" x14ac:dyDescent="0.2">
      <c r="A40" s="12" t="s">
        <v>1813</v>
      </c>
    </row>
    <row r="41" spans="1:1" x14ac:dyDescent="0.2">
      <c r="A41" s="12" t="s">
        <v>1815</v>
      </c>
    </row>
    <row r="42" spans="1:1" x14ac:dyDescent="0.2">
      <c r="A42" s="12" t="s">
        <v>1974</v>
      </c>
    </row>
    <row r="43" spans="1:1" x14ac:dyDescent="0.2">
      <c r="A43" s="12" t="s">
        <v>1975</v>
      </c>
    </row>
    <row r="44" spans="1:1" x14ac:dyDescent="0.2">
      <c r="A44" s="12" t="s">
        <v>1825</v>
      </c>
    </row>
    <row r="45" spans="1:1" x14ac:dyDescent="0.2">
      <c r="A45" s="12" t="s">
        <v>0</v>
      </c>
    </row>
  </sheetData>
  <sheetProtection algorithmName="SHA-512" hashValue="5bEAycR6k0hRTWzYiut/VdQb/OLhfMGSeTAJISc7+B5FpuXQdt08Gl+DhDcEfjHk41VnBvFCzRXE5uepBRon+Q==" saltValue="0+nJb3Q2IexqxA6cYQVGTg==" spinCount="100000" sheet="1" objects="1" scenarios="1" selectLockedCells="1" selectUnlockedCells="1"/>
  <dataValidations count="3">
    <dataValidation type="list" allowBlank="1" showInputMessage="1" showErrorMessage="1" sqref="F1">
      <formula1>Recipient</formula1>
    </dataValidation>
    <dataValidation type="list" allowBlank="1" showInputMessage="1" showErrorMessage="1" sqref="G1">
      <formula1>Res</formula1>
    </dataValidation>
    <dataValidation type="custom" allowBlank="1" showInputMessage="1" showErrorMessage="1" errorTitle="X-Author for Excel" error="Id and Lookup fields are not editable." promptTitle="X-Author for Excel" sqref="D27:D29 D2:D9">
      <formula1>""</formula1>
    </dataValidation>
  </dataValidation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N255"/>
  <sheetViews>
    <sheetView zoomScale="60" zoomScaleNormal="60" workbookViewId="0">
      <pane ySplit="1" topLeftCell="A2" activePane="bottomLeft" state="frozen"/>
      <selection pane="bottomLeft" activeCell="E14" sqref="E14"/>
    </sheetView>
  </sheetViews>
  <sheetFormatPr defaultColWidth="21.5" defaultRowHeight="15.75" x14ac:dyDescent="0.25"/>
  <cols>
    <col min="1" max="1" width="36.25" customWidth="1"/>
    <col min="2" max="2" width="40.125" customWidth="1"/>
    <col min="5" max="5" width="39.5" customWidth="1"/>
    <col min="7" max="9" width="21.75" customWidth="1"/>
    <col min="10" max="10" width="27.125" style="9" customWidth="1"/>
    <col min="11" max="11" width="19.75" bestFit="1" customWidth="1"/>
  </cols>
  <sheetData>
    <row r="1" spans="1:14" s="1" customFormat="1" x14ac:dyDescent="0.25">
      <c r="A1" s="1" t="s">
        <v>54</v>
      </c>
      <c r="B1" s="374" t="s">
        <v>55</v>
      </c>
      <c r="C1" s="374" t="s">
        <v>56</v>
      </c>
      <c r="D1" s="374" t="s">
        <v>57</v>
      </c>
      <c r="E1" s="374" t="s">
        <v>58</v>
      </c>
      <c r="F1" s="374" t="s">
        <v>847</v>
      </c>
      <c r="G1" s="374" t="s">
        <v>848</v>
      </c>
      <c r="H1" s="374" t="s">
        <v>1808</v>
      </c>
      <c r="I1" s="374"/>
      <c r="J1" s="8" t="s">
        <v>1257</v>
      </c>
      <c r="K1" s="385" t="s">
        <v>1258</v>
      </c>
      <c r="L1" s="11" t="s">
        <v>1259</v>
      </c>
      <c r="M1" s="95">
        <f>VLOOKUP("EUR",G:J,2,FALSE)</f>
        <v>0.91181374203485954</v>
      </c>
    </row>
    <row r="2" spans="1:14" x14ac:dyDescent="0.25">
      <c r="A2" t="str">
        <f t="shared" ref="A2:A65" ca="1" si="0">OFFSET(B2,0,LangOffset,1,1)</f>
        <v>Afghanistan</v>
      </c>
      <c r="B2" s="373" t="s">
        <v>59</v>
      </c>
      <c r="C2" s="373" t="s">
        <v>59</v>
      </c>
      <c r="D2" s="373" t="s">
        <v>60</v>
      </c>
      <c r="E2" s="373" t="s">
        <v>61</v>
      </c>
      <c r="F2" s="375" t="s">
        <v>856</v>
      </c>
      <c r="G2" s="375" t="s">
        <v>855</v>
      </c>
      <c r="H2" s="375">
        <v>66.866485531549117</v>
      </c>
      <c r="I2" s="375"/>
      <c r="J2" s="96">
        <f>H2</f>
        <v>66.866485531549117</v>
      </c>
      <c r="K2" s="384">
        <v>73.333491752740812</v>
      </c>
      <c r="L2" t="str">
        <f>F2</f>
        <v>Afghani</v>
      </c>
      <c r="M2" s="7"/>
      <c r="N2" s="7"/>
    </row>
    <row r="3" spans="1:14" x14ac:dyDescent="0.25">
      <c r="A3" t="str">
        <f t="shared" ca="1" si="0"/>
        <v>Albania</v>
      </c>
      <c r="B3" s="373" t="s">
        <v>62</v>
      </c>
      <c r="C3" s="373" t="s">
        <v>63</v>
      </c>
      <c r="D3" s="373" t="s">
        <v>62</v>
      </c>
      <c r="E3" s="373" t="s">
        <v>64</v>
      </c>
      <c r="F3" s="375" t="s">
        <v>858</v>
      </c>
      <c r="G3" s="375" t="s">
        <v>857</v>
      </c>
      <c r="H3" s="375">
        <v>124.71546679436707</v>
      </c>
      <c r="I3" s="375"/>
      <c r="J3" s="96">
        <f t="shared" ref="J3:J66" si="1">H3</f>
        <v>124.71546679436707</v>
      </c>
      <c r="K3" s="384">
        <v>136.77734941353745</v>
      </c>
      <c r="L3" t="str">
        <f t="shared" ref="L3:L66" si="2">F3</f>
        <v>Albanian Lek</v>
      </c>
      <c r="M3" s="5"/>
      <c r="N3" s="5"/>
    </row>
    <row r="4" spans="1:14" x14ac:dyDescent="0.25">
      <c r="A4" t="str">
        <f t="shared" ca="1" si="0"/>
        <v>Algeria</v>
      </c>
      <c r="B4" s="373" t="s">
        <v>65</v>
      </c>
      <c r="C4" s="373" t="s">
        <v>66</v>
      </c>
      <c r="D4" s="373" t="s">
        <v>67</v>
      </c>
      <c r="E4" s="373" t="s">
        <v>68</v>
      </c>
      <c r="F4" s="376" t="s">
        <v>921</v>
      </c>
      <c r="G4" s="376" t="s">
        <v>920</v>
      </c>
      <c r="H4" s="375">
        <v>109.41256086501679</v>
      </c>
      <c r="I4" s="376"/>
      <c r="J4" s="96">
        <f t="shared" si="1"/>
        <v>109.41256086501679</v>
      </c>
      <c r="K4" s="384">
        <v>119.99441971651468</v>
      </c>
      <c r="L4" t="str">
        <f t="shared" si="2"/>
        <v>Algerian Dinar</v>
      </c>
      <c r="M4" s="5"/>
      <c r="N4" s="5"/>
    </row>
    <row r="5" spans="1:14" x14ac:dyDescent="0.25">
      <c r="A5" t="str">
        <f t="shared" ca="1" si="0"/>
        <v>Andorra</v>
      </c>
      <c r="B5" s="373" t="s">
        <v>69</v>
      </c>
      <c r="C5" s="373" t="s">
        <v>70</v>
      </c>
      <c r="D5" s="373" t="s">
        <v>69</v>
      </c>
      <c r="E5" s="373" t="s">
        <v>71</v>
      </c>
      <c r="F5" s="376" t="s">
        <v>846</v>
      </c>
      <c r="G5" s="376" t="s">
        <v>20</v>
      </c>
      <c r="H5" s="375">
        <v>0.91181374203485954</v>
      </c>
      <c r="I5" s="376"/>
      <c r="J5" s="96">
        <f t="shared" si="1"/>
        <v>0.91181374203485954</v>
      </c>
      <c r="K5" s="384">
        <v>1</v>
      </c>
      <c r="L5" t="str">
        <f t="shared" si="2"/>
        <v>Euro</v>
      </c>
    </row>
    <row r="6" spans="1:14" x14ac:dyDescent="0.25">
      <c r="A6" t="str">
        <f t="shared" ca="1" si="0"/>
        <v>Angola</v>
      </c>
      <c r="B6" s="373" t="s">
        <v>72</v>
      </c>
      <c r="C6" s="373" t="s">
        <v>72</v>
      </c>
      <c r="D6" s="373" t="s">
        <v>72</v>
      </c>
      <c r="E6" s="373" t="s">
        <v>73</v>
      </c>
      <c r="F6" s="377" t="s">
        <v>864</v>
      </c>
      <c r="G6" s="377" t="s">
        <v>863</v>
      </c>
      <c r="H6" s="375">
        <v>162.20876144799729</v>
      </c>
      <c r="I6" s="377"/>
      <c r="J6" s="96">
        <f t="shared" si="1"/>
        <v>162.20876144799729</v>
      </c>
      <c r="K6" s="384">
        <v>177.89681595059344</v>
      </c>
      <c r="L6" t="str">
        <f t="shared" si="2"/>
        <v>Angolan Kwanza</v>
      </c>
      <c r="M6" s="5"/>
      <c r="N6" s="5"/>
    </row>
    <row r="7" spans="1:14" x14ac:dyDescent="0.25">
      <c r="A7" t="str">
        <f t="shared" ca="1" si="0"/>
        <v>Anguilla</v>
      </c>
      <c r="B7" s="373" t="s">
        <v>74</v>
      </c>
      <c r="C7" s="373" t="s">
        <v>74</v>
      </c>
      <c r="D7" s="373" t="s">
        <v>74</v>
      </c>
      <c r="E7" s="373" t="s">
        <v>75</v>
      </c>
      <c r="F7" s="376" t="s">
        <v>1130</v>
      </c>
      <c r="G7" s="376" t="s">
        <v>1129</v>
      </c>
      <c r="H7" s="375">
        <v>2.7091519205320296</v>
      </c>
      <c r="I7" s="376"/>
      <c r="J7" s="96">
        <f t="shared" si="1"/>
        <v>2.7091519205320296</v>
      </c>
      <c r="K7" s="384">
        <v>2.9711681187060415</v>
      </c>
      <c r="L7" t="str">
        <f t="shared" si="2"/>
        <v>East Caribbean Dollar</v>
      </c>
    </row>
    <row r="8" spans="1:14" x14ac:dyDescent="0.25">
      <c r="A8" t="str">
        <f t="shared" ca="1" si="0"/>
        <v>Antigua and Barbuda</v>
      </c>
      <c r="B8" s="373" t="s">
        <v>76</v>
      </c>
      <c r="C8" s="373" t="s">
        <v>77</v>
      </c>
      <c r="D8" s="373" t="s">
        <v>78</v>
      </c>
      <c r="E8" s="373" t="s">
        <v>79</v>
      </c>
      <c r="F8" s="376" t="s">
        <v>1130</v>
      </c>
      <c r="G8" s="376" t="s">
        <v>1129</v>
      </c>
      <c r="H8" s="375">
        <v>2.7091519205320296</v>
      </c>
      <c r="I8" s="376"/>
      <c r="J8" s="96">
        <f t="shared" si="1"/>
        <v>2.7091519205320296</v>
      </c>
      <c r="K8" s="384">
        <v>2.9711681187060415</v>
      </c>
      <c r="L8" t="str">
        <f t="shared" si="2"/>
        <v>East Caribbean Dollar</v>
      </c>
    </row>
    <row r="9" spans="1:14" x14ac:dyDescent="0.25">
      <c r="A9" t="str">
        <f t="shared" ca="1" si="0"/>
        <v>Argentina</v>
      </c>
      <c r="B9" s="373" t="s">
        <v>80</v>
      </c>
      <c r="C9" s="373" t="s">
        <v>81</v>
      </c>
      <c r="D9" s="373" t="s">
        <v>80</v>
      </c>
      <c r="E9" s="373" t="s">
        <v>82</v>
      </c>
      <c r="F9" s="377" t="s">
        <v>866</v>
      </c>
      <c r="G9" s="377" t="s">
        <v>865</v>
      </c>
      <c r="H9" s="375">
        <v>14.690462041224983</v>
      </c>
      <c r="I9" s="377"/>
      <c r="J9" s="96">
        <f t="shared" si="1"/>
        <v>14.690462041224983</v>
      </c>
      <c r="K9" s="384">
        <v>16.111253169359834</v>
      </c>
      <c r="L9" t="str">
        <f t="shared" si="2"/>
        <v>Argentine Peso</v>
      </c>
      <c r="M9" s="5"/>
      <c r="N9" s="5"/>
    </row>
    <row r="10" spans="1:14" x14ac:dyDescent="0.25">
      <c r="A10" t="str">
        <f t="shared" ca="1" si="0"/>
        <v>Armenia</v>
      </c>
      <c r="B10" s="373" t="s">
        <v>83</v>
      </c>
      <c r="C10" s="373" t="s">
        <v>84</v>
      </c>
      <c r="D10" s="373" t="s">
        <v>83</v>
      </c>
      <c r="E10" s="373" t="s">
        <v>85</v>
      </c>
      <c r="F10" s="377" t="s">
        <v>860</v>
      </c>
      <c r="G10" s="377" t="s">
        <v>859</v>
      </c>
      <c r="H10" s="375">
        <v>478.60658750116045</v>
      </c>
      <c r="I10" s="377"/>
      <c r="J10" s="96">
        <f t="shared" si="1"/>
        <v>478.60658750116045</v>
      </c>
      <c r="K10" s="384">
        <v>524.89512434093456</v>
      </c>
      <c r="L10" t="str">
        <f t="shared" si="2"/>
        <v>Dram</v>
      </c>
    </row>
    <row r="11" spans="1:14" x14ac:dyDescent="0.25">
      <c r="A11" t="str">
        <f t="shared" ca="1" si="0"/>
        <v>Aruba</v>
      </c>
      <c r="B11" s="373" t="s">
        <v>86</v>
      </c>
      <c r="C11" s="373" t="s">
        <v>86</v>
      </c>
      <c r="D11" s="373" t="s">
        <v>86</v>
      </c>
      <c r="E11" s="373" t="s">
        <v>87</v>
      </c>
      <c r="F11" s="377" t="s">
        <v>868</v>
      </c>
      <c r="G11" s="377" t="s">
        <v>867</v>
      </c>
      <c r="H11" s="375">
        <v>1.7996323425516538</v>
      </c>
      <c r="I11" s="377"/>
      <c r="J11" s="96">
        <f t="shared" si="1"/>
        <v>1.7996323425516538</v>
      </c>
      <c r="K11" s="384">
        <v>1.9736841633198945</v>
      </c>
      <c r="L11" t="str">
        <f t="shared" si="2"/>
        <v>Aruban Florin</v>
      </c>
      <c r="M11" s="5"/>
      <c r="N11" s="5"/>
    </row>
    <row r="12" spans="1:14" x14ac:dyDescent="0.25">
      <c r="A12" t="str">
        <f t="shared" ca="1" si="0"/>
        <v>Australia</v>
      </c>
      <c r="B12" s="373" t="s">
        <v>88</v>
      </c>
      <c r="C12" s="373" t="s">
        <v>89</v>
      </c>
      <c r="D12" s="373" t="s">
        <v>88</v>
      </c>
      <c r="E12" s="373" t="s">
        <v>90</v>
      </c>
      <c r="F12" s="377" t="s">
        <v>836</v>
      </c>
      <c r="G12" s="377" t="s">
        <v>835</v>
      </c>
      <c r="H12" s="375">
        <v>1.3373468522655176</v>
      </c>
      <c r="I12" s="377"/>
      <c r="J12" s="96">
        <f t="shared" si="1"/>
        <v>1.3373468522655176</v>
      </c>
      <c r="K12" s="384">
        <v>1.4666886345461434</v>
      </c>
      <c r="L12" t="str">
        <f t="shared" si="2"/>
        <v>Australian Dollar</v>
      </c>
      <c r="M12" s="5"/>
      <c r="N12" s="5"/>
    </row>
    <row r="13" spans="1:14" x14ac:dyDescent="0.25">
      <c r="A13" t="str">
        <f t="shared" ca="1" si="0"/>
        <v>Austria</v>
      </c>
      <c r="B13" s="373" t="s">
        <v>91</v>
      </c>
      <c r="C13" s="373" t="s">
        <v>92</v>
      </c>
      <c r="D13" s="373" t="s">
        <v>91</v>
      </c>
      <c r="E13" s="373" t="s">
        <v>93</v>
      </c>
      <c r="F13" s="376" t="s">
        <v>846</v>
      </c>
      <c r="G13" s="376" t="s">
        <v>20</v>
      </c>
      <c r="H13" s="375">
        <v>0.91181374203485954</v>
      </c>
      <c r="I13" s="376"/>
      <c r="J13" s="96">
        <f t="shared" si="1"/>
        <v>0.91181374203485954</v>
      </c>
      <c r="K13" s="384">
        <v>1</v>
      </c>
      <c r="L13" t="str">
        <f t="shared" si="2"/>
        <v>Euro</v>
      </c>
    </row>
    <row r="14" spans="1:14" x14ac:dyDescent="0.25">
      <c r="A14" t="str">
        <f t="shared" ca="1" si="0"/>
        <v>Azerbaijan</v>
      </c>
      <c r="B14" s="373" t="s">
        <v>94</v>
      </c>
      <c r="C14" s="373" t="s">
        <v>95</v>
      </c>
      <c r="D14" s="373" t="s">
        <v>96</v>
      </c>
      <c r="E14" s="373" t="s">
        <v>97</v>
      </c>
      <c r="F14" s="377" t="s">
        <v>870</v>
      </c>
      <c r="G14" s="377" t="s">
        <v>869</v>
      </c>
      <c r="H14" s="375">
        <v>1.6057768423156615</v>
      </c>
      <c r="I14" s="377"/>
      <c r="J14" s="96">
        <f t="shared" si="1"/>
        <v>1.6057768423156615</v>
      </c>
      <c r="K14" s="384">
        <v>1.7610798875789164</v>
      </c>
      <c r="L14" t="str">
        <f t="shared" si="2"/>
        <v>Azerbaijani Manat</v>
      </c>
      <c r="M14" s="5"/>
      <c r="N14" s="5"/>
    </row>
    <row r="15" spans="1:14" x14ac:dyDescent="0.25">
      <c r="A15" t="str">
        <f t="shared" ca="1" si="0"/>
        <v>Bahamas</v>
      </c>
      <c r="B15" s="373" t="s">
        <v>98</v>
      </c>
      <c r="C15" s="373" t="s">
        <v>98</v>
      </c>
      <c r="D15" s="373" t="s">
        <v>98</v>
      </c>
      <c r="E15" s="373" t="s">
        <v>99</v>
      </c>
      <c r="F15" s="377" t="s">
        <v>890</v>
      </c>
      <c r="G15" s="377" t="s">
        <v>889</v>
      </c>
      <c r="H15" s="375">
        <v>1</v>
      </c>
      <c r="I15" s="377"/>
      <c r="J15" s="96">
        <f t="shared" si="1"/>
        <v>1</v>
      </c>
      <c r="K15" s="384">
        <v>1.0967152104642979</v>
      </c>
      <c r="L15" t="str">
        <f t="shared" si="2"/>
        <v>Bahamian Dollar</v>
      </c>
      <c r="M15" s="4"/>
      <c r="N15" s="4"/>
    </row>
    <row r="16" spans="1:14" x14ac:dyDescent="0.25">
      <c r="A16" t="str">
        <f t="shared" ca="1" si="0"/>
        <v>Bahrain</v>
      </c>
      <c r="B16" s="373" t="s">
        <v>101</v>
      </c>
      <c r="C16" s="373" t="s">
        <v>102</v>
      </c>
      <c r="D16" s="373" t="s">
        <v>103</v>
      </c>
      <c r="E16" s="373" t="s">
        <v>104</v>
      </c>
      <c r="F16" s="377" t="s">
        <v>880</v>
      </c>
      <c r="G16" s="377" t="s">
        <v>879</v>
      </c>
      <c r="H16" s="375">
        <v>0.3770565980149474</v>
      </c>
      <c r="I16" s="377"/>
      <c r="J16" s="96">
        <f t="shared" si="1"/>
        <v>0.3770565980149474</v>
      </c>
      <c r="K16" s="384">
        <v>0.41352370624891521</v>
      </c>
      <c r="L16" t="str">
        <f t="shared" si="2"/>
        <v>Bahraini Dinar</v>
      </c>
      <c r="M16" s="4"/>
      <c r="N16" s="4"/>
    </row>
    <row r="17" spans="1:14" x14ac:dyDescent="0.25">
      <c r="A17" t="str">
        <f t="shared" ca="1" si="0"/>
        <v>Bangladesh</v>
      </c>
      <c r="B17" s="373" t="s">
        <v>100</v>
      </c>
      <c r="C17" s="373" t="s">
        <v>100</v>
      </c>
      <c r="D17" s="373" t="s">
        <v>100</v>
      </c>
      <c r="E17" s="373" t="s">
        <v>105</v>
      </c>
      <c r="F17" s="377" t="s">
        <v>876</v>
      </c>
      <c r="G17" s="377" t="s">
        <v>875</v>
      </c>
      <c r="H17" s="375">
        <v>78.664849636638294</v>
      </c>
      <c r="I17" s="377"/>
      <c r="J17" s="96">
        <f t="shared" si="1"/>
        <v>78.664849636638294</v>
      </c>
      <c r="K17" s="384">
        <v>86.272937125388111</v>
      </c>
      <c r="L17" t="str">
        <f t="shared" si="2"/>
        <v>Taka</v>
      </c>
    </row>
    <row r="18" spans="1:14" x14ac:dyDescent="0.25">
      <c r="A18" t="str">
        <f t="shared" ca="1" si="0"/>
        <v>Barbados</v>
      </c>
      <c r="B18" s="373" t="s">
        <v>106</v>
      </c>
      <c r="C18" s="373" t="s">
        <v>107</v>
      </c>
      <c r="D18" s="373" t="s">
        <v>106</v>
      </c>
      <c r="E18" s="373" t="s">
        <v>108</v>
      </c>
      <c r="F18" s="377" t="s">
        <v>874</v>
      </c>
      <c r="G18" s="377" t="s">
        <v>873</v>
      </c>
      <c r="H18" s="375">
        <v>1.9999088763996726</v>
      </c>
      <c r="I18" s="377"/>
      <c r="J18" s="96">
        <f t="shared" si="1"/>
        <v>1.9999088763996726</v>
      </c>
      <c r="K18" s="384">
        <v>2.1933304842900845</v>
      </c>
      <c r="L18" t="str">
        <f t="shared" si="2"/>
        <v>Barbadian Dollar</v>
      </c>
      <c r="M18" s="4"/>
      <c r="N18" s="4"/>
    </row>
    <row r="19" spans="1:14" x14ac:dyDescent="0.25">
      <c r="A19" t="str">
        <f t="shared" ca="1" si="0"/>
        <v>Belarus</v>
      </c>
      <c r="B19" s="373" t="s">
        <v>109</v>
      </c>
      <c r="C19" s="373" t="s">
        <v>110</v>
      </c>
      <c r="D19" s="373" t="s">
        <v>111</v>
      </c>
      <c r="E19" s="373" t="s">
        <v>112</v>
      </c>
      <c r="F19" s="377" t="s">
        <v>896</v>
      </c>
      <c r="G19" s="377" t="s">
        <v>895</v>
      </c>
      <c r="H19" s="375">
        <v>19377.577014445593</v>
      </c>
      <c r="I19" s="377"/>
      <c r="J19" s="96">
        <f t="shared" si="1"/>
        <v>19377.577014445593</v>
      </c>
      <c r="K19" s="384">
        <v>21251.683453685841</v>
      </c>
      <c r="L19" t="str">
        <f t="shared" si="2"/>
        <v>Belarusian Ruble</v>
      </c>
      <c r="M19" s="4"/>
      <c r="N19" s="4"/>
    </row>
    <row r="20" spans="1:14" x14ac:dyDescent="0.25">
      <c r="A20" t="str">
        <f t="shared" ca="1" si="0"/>
        <v>Belgium</v>
      </c>
      <c r="B20" s="373" t="s">
        <v>113</v>
      </c>
      <c r="C20" s="373" t="s">
        <v>114</v>
      </c>
      <c r="D20" s="373" t="s">
        <v>115</v>
      </c>
      <c r="E20" s="373" t="s">
        <v>116</v>
      </c>
      <c r="F20" s="376" t="s">
        <v>846</v>
      </c>
      <c r="G20" s="376" t="s">
        <v>20</v>
      </c>
      <c r="H20" s="375">
        <v>0.91181374203485954</v>
      </c>
      <c r="I20" s="376"/>
      <c r="J20" s="96">
        <f t="shared" si="1"/>
        <v>0.91181374203485954</v>
      </c>
      <c r="K20" s="384">
        <v>1</v>
      </c>
      <c r="L20" t="str">
        <f t="shared" si="2"/>
        <v>Euro</v>
      </c>
    </row>
    <row r="21" spans="1:14" x14ac:dyDescent="0.25">
      <c r="A21" t="str">
        <f t="shared" ca="1" si="0"/>
        <v>Belize</v>
      </c>
      <c r="B21" s="373" t="s">
        <v>117</v>
      </c>
      <c r="C21" s="373" t="s">
        <v>117</v>
      </c>
      <c r="D21" s="373" t="s">
        <v>118</v>
      </c>
      <c r="E21" s="373" t="s">
        <v>119</v>
      </c>
      <c r="F21" s="377" t="s">
        <v>898</v>
      </c>
      <c r="G21" s="377" t="s">
        <v>897</v>
      </c>
      <c r="H21" s="375">
        <v>1.9996481450931716</v>
      </c>
      <c r="I21" s="377"/>
      <c r="J21" s="96">
        <f t="shared" si="1"/>
        <v>1.9996481450931716</v>
      </c>
      <c r="K21" s="384">
        <v>2.1930445363004005</v>
      </c>
      <c r="L21" t="str">
        <f t="shared" si="2"/>
        <v>Belize Dollar</v>
      </c>
      <c r="M21" s="4"/>
      <c r="N21" s="4"/>
    </row>
    <row r="22" spans="1:14" x14ac:dyDescent="0.25">
      <c r="A22" t="str">
        <f t="shared" ca="1" si="0"/>
        <v>Benin</v>
      </c>
      <c r="B22" s="373" t="s">
        <v>120</v>
      </c>
      <c r="C22" s="373" t="s">
        <v>121</v>
      </c>
      <c r="D22" s="373" t="s">
        <v>120</v>
      </c>
      <c r="E22" s="373" t="s">
        <v>122</v>
      </c>
      <c r="F22" s="376" t="s">
        <v>1128</v>
      </c>
      <c r="G22" s="376" t="s">
        <v>1131</v>
      </c>
      <c r="H22" s="375">
        <v>602.45743376366283</v>
      </c>
      <c r="I22" s="376"/>
      <c r="J22" s="96">
        <f t="shared" si="1"/>
        <v>602.45743376366283</v>
      </c>
      <c r="K22" s="384">
        <v>655.95699999999999</v>
      </c>
      <c r="L22" t="str">
        <f t="shared" si="2"/>
        <v>CFA Franc</v>
      </c>
    </row>
    <row r="23" spans="1:14" x14ac:dyDescent="0.25">
      <c r="A23" t="str">
        <f t="shared" ca="1" si="0"/>
        <v>Bhutan</v>
      </c>
      <c r="B23" s="373" t="s">
        <v>123</v>
      </c>
      <c r="C23" s="373" t="s">
        <v>124</v>
      </c>
      <c r="D23" s="373" t="s">
        <v>123</v>
      </c>
      <c r="E23" s="373" t="s">
        <v>125</v>
      </c>
      <c r="F23" s="377" t="s">
        <v>892</v>
      </c>
      <c r="G23" s="377" t="s">
        <v>891</v>
      </c>
      <c r="H23" s="375">
        <v>67.096258053960852</v>
      </c>
      <c r="I23" s="377"/>
      <c r="J23" s="96">
        <f t="shared" si="1"/>
        <v>67.096258053960852</v>
      </c>
      <c r="K23" s="384">
        <v>73.585486773016513</v>
      </c>
      <c r="L23" t="str">
        <f t="shared" si="2"/>
        <v>Ngultrum</v>
      </c>
    </row>
    <row r="24" spans="1:14" x14ac:dyDescent="0.25">
      <c r="A24" t="str">
        <f t="shared" ca="1" si="0"/>
        <v>Bolivia (Plurinational State)</v>
      </c>
      <c r="B24" s="373" t="s">
        <v>126</v>
      </c>
      <c r="C24" s="373" t="s">
        <v>127</v>
      </c>
      <c r="D24" s="373" t="s">
        <v>128</v>
      </c>
      <c r="E24" s="373" t="s">
        <v>129</v>
      </c>
      <c r="F24" s="377" t="s">
        <v>886</v>
      </c>
      <c r="G24" s="377" t="s">
        <v>885</v>
      </c>
      <c r="H24" s="375">
        <v>6.9170555338248478</v>
      </c>
      <c r="I24" s="377"/>
      <c r="J24" s="96">
        <f t="shared" si="1"/>
        <v>6.9170555338248478</v>
      </c>
      <c r="K24" s="384">
        <v>7.5860400155719541</v>
      </c>
      <c r="L24" t="str">
        <f t="shared" si="2"/>
        <v>Bolivian Boliviano</v>
      </c>
      <c r="M24" s="4"/>
      <c r="N24" s="4"/>
    </row>
    <row r="25" spans="1:14" x14ac:dyDescent="0.25">
      <c r="A25" t="str">
        <f t="shared" ca="1" si="0"/>
        <v>Bosnia and Herzegovina</v>
      </c>
      <c r="B25" s="373" t="s">
        <v>130</v>
      </c>
      <c r="C25" s="373" t="s">
        <v>131</v>
      </c>
      <c r="D25" s="373" t="s">
        <v>132</v>
      </c>
      <c r="E25" s="373" t="s">
        <v>133</v>
      </c>
      <c r="F25" s="377" t="s">
        <v>872</v>
      </c>
      <c r="G25" s="377" t="s">
        <v>871</v>
      </c>
      <c r="H25" s="375">
        <v>1.7830582855081265</v>
      </c>
      <c r="I25" s="377"/>
      <c r="J25" s="96">
        <f t="shared" si="1"/>
        <v>1.7830582855081265</v>
      </c>
      <c r="K25" s="384">
        <v>1.955507142861155</v>
      </c>
      <c r="L25" t="str">
        <f t="shared" si="2"/>
        <v>Convertible Marka</v>
      </c>
    </row>
    <row r="26" spans="1:14" x14ac:dyDescent="0.25">
      <c r="A26" t="str">
        <f t="shared" ca="1" si="0"/>
        <v>Botswana</v>
      </c>
      <c r="B26" s="373" t="s">
        <v>134</v>
      </c>
      <c r="C26" s="373" t="s">
        <v>134</v>
      </c>
      <c r="D26" s="373" t="s">
        <v>134</v>
      </c>
      <c r="E26" s="373" t="s">
        <v>135</v>
      </c>
      <c r="F26" s="377" t="s">
        <v>894</v>
      </c>
      <c r="G26" s="377" t="s">
        <v>893</v>
      </c>
      <c r="H26" s="375">
        <v>10.729073489393587</v>
      </c>
      <c r="I26" s="377"/>
      <c r="J26" s="96">
        <f t="shared" si="1"/>
        <v>10.729073489393587</v>
      </c>
      <c r="K26" s="384">
        <v>11.766738090007205</v>
      </c>
      <c r="L26" t="str">
        <f t="shared" si="2"/>
        <v>Botswana Pula</v>
      </c>
      <c r="M26" s="4"/>
      <c r="N26" s="4"/>
    </row>
    <row r="27" spans="1:14" x14ac:dyDescent="0.25">
      <c r="A27" t="str">
        <f t="shared" ca="1" si="0"/>
        <v>Brazil</v>
      </c>
      <c r="B27" s="373" t="s">
        <v>136</v>
      </c>
      <c r="C27" s="373" t="s">
        <v>137</v>
      </c>
      <c r="D27" s="373" t="s">
        <v>138</v>
      </c>
      <c r="E27" s="373" t="s">
        <v>139</v>
      </c>
      <c r="F27" s="377" t="s">
        <v>888</v>
      </c>
      <c r="G27" s="377" t="s">
        <v>887</v>
      </c>
      <c r="H27" s="375">
        <v>3.3703616449395462</v>
      </c>
      <c r="I27" s="377"/>
      <c r="J27" s="96">
        <f t="shared" si="1"/>
        <v>3.3703616449395462</v>
      </c>
      <c r="K27" s="384">
        <v>3.6963268807706715</v>
      </c>
      <c r="L27" t="str">
        <f t="shared" si="2"/>
        <v>Brazilian Real</v>
      </c>
      <c r="M27" s="4"/>
      <c r="N27" s="4"/>
    </row>
    <row r="28" spans="1:14" x14ac:dyDescent="0.25">
      <c r="A28" t="str">
        <f t="shared" ca="1" si="0"/>
        <v>Brunei Darussalam</v>
      </c>
      <c r="B28" s="373" t="s">
        <v>140</v>
      </c>
      <c r="C28" s="373" t="s">
        <v>140</v>
      </c>
      <c r="D28" s="373" t="s">
        <v>140</v>
      </c>
      <c r="E28" s="373" t="s">
        <v>141</v>
      </c>
      <c r="F28" s="377" t="s">
        <v>884</v>
      </c>
      <c r="G28" s="377" t="s">
        <v>883</v>
      </c>
      <c r="H28" s="375">
        <v>1.3887503847396669</v>
      </c>
      <c r="I28" s="377"/>
      <c r="J28" s="96">
        <f t="shared" si="1"/>
        <v>1.3887503847396669</v>
      </c>
      <c r="K28" s="384">
        <v>1.5230636704821385</v>
      </c>
      <c r="L28" t="str">
        <f t="shared" si="2"/>
        <v>Brunei Dollar</v>
      </c>
      <c r="M28" s="4"/>
      <c r="N28" s="4"/>
    </row>
    <row r="29" spans="1:14" x14ac:dyDescent="0.25">
      <c r="A29" t="str">
        <f t="shared" ca="1" si="0"/>
        <v>Bulgaria</v>
      </c>
      <c r="B29" s="373" t="s">
        <v>142</v>
      </c>
      <c r="C29" s="373" t="s">
        <v>143</v>
      </c>
      <c r="D29" s="373" t="s">
        <v>142</v>
      </c>
      <c r="E29" s="373" t="s">
        <v>144</v>
      </c>
      <c r="F29" s="377" t="s">
        <v>878</v>
      </c>
      <c r="G29" s="377" t="s">
        <v>877</v>
      </c>
      <c r="H29" s="375">
        <v>1.7833997185009001</v>
      </c>
      <c r="I29" s="377"/>
      <c r="J29" s="96">
        <f t="shared" si="1"/>
        <v>1.7833997185009001</v>
      </c>
      <c r="K29" s="384">
        <v>1.95583</v>
      </c>
      <c r="L29" t="str">
        <f t="shared" si="2"/>
        <v>Lev</v>
      </c>
    </row>
    <row r="30" spans="1:14" x14ac:dyDescent="0.25">
      <c r="A30" t="str">
        <f t="shared" ca="1" si="0"/>
        <v>Burkina Faso</v>
      </c>
      <c r="B30" s="373" t="s">
        <v>145</v>
      </c>
      <c r="C30" s="373" t="s">
        <v>145</v>
      </c>
      <c r="D30" s="373" t="s">
        <v>145</v>
      </c>
      <c r="E30" s="373" t="s">
        <v>146</v>
      </c>
      <c r="F30" s="376" t="s">
        <v>1128</v>
      </c>
      <c r="G30" s="376" t="s">
        <v>1131</v>
      </c>
      <c r="H30" s="375">
        <v>602.45743376366283</v>
      </c>
      <c r="I30" s="376"/>
      <c r="J30" s="96">
        <f t="shared" si="1"/>
        <v>602.45743376366283</v>
      </c>
      <c r="K30" s="384">
        <v>655.95699999999999</v>
      </c>
      <c r="L30" t="str">
        <f t="shared" si="2"/>
        <v>CFA Franc</v>
      </c>
    </row>
    <row r="31" spans="1:14" x14ac:dyDescent="0.25">
      <c r="A31" t="str">
        <f t="shared" ca="1" si="0"/>
        <v>Burundi</v>
      </c>
      <c r="B31" s="373" t="s">
        <v>147</v>
      </c>
      <c r="C31" s="373" t="s">
        <v>147</v>
      </c>
      <c r="D31" s="373" t="s">
        <v>147</v>
      </c>
      <c r="E31" s="373" t="s">
        <v>148</v>
      </c>
      <c r="F31" s="377" t="s">
        <v>882</v>
      </c>
      <c r="G31" s="377" t="s">
        <v>881</v>
      </c>
      <c r="H31" s="375">
        <v>1642.5461237433303</v>
      </c>
      <c r="I31" s="377"/>
      <c r="J31" s="96">
        <f t="shared" si="1"/>
        <v>1642.5461237433303</v>
      </c>
      <c r="K31" s="384">
        <v>1801.4053177984831</v>
      </c>
      <c r="L31" t="str">
        <f t="shared" si="2"/>
        <v>Burundi Franc</v>
      </c>
      <c r="M31" s="4"/>
      <c r="N31" s="4"/>
    </row>
    <row r="32" spans="1:14" x14ac:dyDescent="0.25">
      <c r="A32" t="str">
        <f t="shared" ca="1" si="0"/>
        <v>Cambodia</v>
      </c>
      <c r="B32" s="373" t="s">
        <v>149</v>
      </c>
      <c r="C32" s="373" t="s">
        <v>150</v>
      </c>
      <c r="D32" s="373" t="s">
        <v>151</v>
      </c>
      <c r="E32" s="373" t="s">
        <v>152</v>
      </c>
      <c r="F32" s="376" t="s">
        <v>979</v>
      </c>
      <c r="G32" s="376" t="s">
        <v>978</v>
      </c>
      <c r="H32" s="375">
        <v>4068.2975103061444</v>
      </c>
      <c r="I32" s="376"/>
      <c r="J32" s="96">
        <f t="shared" si="1"/>
        <v>4068.2975103061444</v>
      </c>
      <c r="K32" s="384">
        <v>4461.7637602467821</v>
      </c>
      <c r="L32" t="str">
        <f t="shared" si="2"/>
        <v>Cambodian Riel</v>
      </c>
      <c r="M32" s="4"/>
      <c r="N32" s="4"/>
    </row>
    <row r="33" spans="1:14" x14ac:dyDescent="0.25">
      <c r="A33" t="str">
        <f t="shared" ca="1" si="0"/>
        <v>Cameroon</v>
      </c>
      <c r="B33" s="373" t="s">
        <v>153</v>
      </c>
      <c r="C33" s="373" t="s">
        <v>154</v>
      </c>
      <c r="D33" s="373" t="s">
        <v>155</v>
      </c>
      <c r="E33" s="373" t="s">
        <v>156</v>
      </c>
      <c r="F33" s="376" t="s">
        <v>1128</v>
      </c>
      <c r="G33" s="376" t="s">
        <v>1127</v>
      </c>
      <c r="H33" s="375">
        <v>601.78865103594012</v>
      </c>
      <c r="I33" s="376"/>
      <c r="J33" s="96">
        <f t="shared" si="1"/>
        <v>601.78865103594012</v>
      </c>
      <c r="K33" s="384">
        <v>655.95699999999999</v>
      </c>
      <c r="L33" t="str">
        <f t="shared" si="2"/>
        <v>CFA Franc</v>
      </c>
    </row>
    <row r="34" spans="1:14" x14ac:dyDescent="0.25">
      <c r="A34" t="str">
        <f t="shared" ca="1" si="0"/>
        <v>Canada</v>
      </c>
      <c r="B34" s="373" t="s">
        <v>157</v>
      </c>
      <c r="C34" s="373" t="s">
        <v>157</v>
      </c>
      <c r="D34" s="373" t="s">
        <v>158</v>
      </c>
      <c r="E34" s="373" t="s">
        <v>159</v>
      </c>
      <c r="F34" s="376" t="s">
        <v>899</v>
      </c>
      <c r="G34" s="376" t="s">
        <v>828</v>
      </c>
      <c r="H34" s="375">
        <v>1.3209490924600893</v>
      </c>
      <c r="I34" s="376"/>
      <c r="J34" s="96">
        <f t="shared" si="1"/>
        <v>1.3209490924600893</v>
      </c>
      <c r="K34" s="384">
        <v>1.4487049619499901</v>
      </c>
      <c r="L34" t="str">
        <f t="shared" si="2"/>
        <v>Canada Dollar</v>
      </c>
      <c r="M34" s="4"/>
      <c r="N34" s="4"/>
    </row>
    <row r="35" spans="1:14" x14ac:dyDescent="0.25">
      <c r="A35" t="str">
        <f t="shared" ca="1" si="0"/>
        <v>Cape Verde</v>
      </c>
      <c r="B35" s="373" t="s">
        <v>160</v>
      </c>
      <c r="C35" s="373" t="s">
        <v>161</v>
      </c>
      <c r="D35" s="373" t="s">
        <v>162</v>
      </c>
      <c r="E35" s="373" t="s">
        <v>163</v>
      </c>
      <c r="F35" s="376" t="s">
        <v>912</v>
      </c>
      <c r="G35" s="376" t="s">
        <v>911</v>
      </c>
      <c r="H35" s="375">
        <v>100.41967141610453</v>
      </c>
      <c r="I35" s="376"/>
      <c r="J35" s="96">
        <f t="shared" si="1"/>
        <v>100.41967141610453</v>
      </c>
      <c r="K35" s="384">
        <v>110.265</v>
      </c>
      <c r="L35" t="str">
        <f t="shared" si="2"/>
        <v>Cape Verdean Escudo</v>
      </c>
      <c r="M35" s="4"/>
      <c r="N35" s="4"/>
    </row>
    <row r="36" spans="1:14" x14ac:dyDescent="0.25">
      <c r="A36" t="str">
        <f t="shared" ca="1" si="0"/>
        <v>Cayman Islands</v>
      </c>
      <c r="B36" s="373" t="s">
        <v>164</v>
      </c>
      <c r="C36" s="373" t="s">
        <v>165</v>
      </c>
      <c r="D36" s="373" t="s">
        <v>166</v>
      </c>
      <c r="E36" s="373" t="s">
        <v>167</v>
      </c>
      <c r="F36" s="376" t="s">
        <v>989</v>
      </c>
      <c r="G36" s="376" t="s">
        <v>988</v>
      </c>
      <c r="H36" s="375">
        <v>0.82975219535880407</v>
      </c>
      <c r="I36" s="376"/>
      <c r="J36" s="96">
        <f t="shared" si="1"/>
        <v>0.82975219535880407</v>
      </c>
      <c r="K36" s="384">
        <v>0.91000185356614405</v>
      </c>
      <c r="L36" t="str">
        <f t="shared" si="2"/>
        <v>Cayman Islands Dollar</v>
      </c>
    </row>
    <row r="37" spans="1:14" x14ac:dyDescent="0.25">
      <c r="A37" t="str">
        <f t="shared" ca="1" si="0"/>
        <v>Central African Republic</v>
      </c>
      <c r="B37" s="373" t="s">
        <v>168</v>
      </c>
      <c r="C37" s="373" t="s">
        <v>169</v>
      </c>
      <c r="D37" s="373" t="s">
        <v>170</v>
      </c>
      <c r="E37" s="373" t="s">
        <v>171</v>
      </c>
      <c r="F37" s="376" t="s">
        <v>1128</v>
      </c>
      <c r="G37" s="376" t="s">
        <v>1127</v>
      </c>
      <c r="H37" s="375">
        <v>601.78865103594012</v>
      </c>
      <c r="I37" s="376"/>
      <c r="J37" s="96">
        <f t="shared" si="1"/>
        <v>601.78865103594012</v>
      </c>
      <c r="K37" s="384">
        <v>655.95699999999999</v>
      </c>
      <c r="L37" t="str">
        <f t="shared" si="2"/>
        <v>CFA Franc</v>
      </c>
    </row>
    <row r="38" spans="1:14" x14ac:dyDescent="0.25">
      <c r="A38" t="str">
        <f t="shared" ca="1" si="0"/>
        <v>Chad</v>
      </c>
      <c r="B38" s="373" t="s">
        <v>172</v>
      </c>
      <c r="C38" s="373" t="s">
        <v>173</v>
      </c>
      <c r="D38" s="373" t="s">
        <v>172</v>
      </c>
      <c r="E38" s="373" t="s">
        <v>174</v>
      </c>
      <c r="F38" s="376" t="s">
        <v>1128</v>
      </c>
      <c r="G38" s="376" t="s">
        <v>1127</v>
      </c>
      <c r="H38" s="375">
        <v>601.78865103594012</v>
      </c>
      <c r="I38" s="376"/>
      <c r="J38" s="96">
        <f t="shared" si="1"/>
        <v>601.78865103594012</v>
      </c>
      <c r="K38" s="384">
        <v>655.95699999999999</v>
      </c>
      <c r="L38" t="str">
        <f t="shared" si="2"/>
        <v>CFA Franc</v>
      </c>
    </row>
    <row r="39" spans="1:14" x14ac:dyDescent="0.25">
      <c r="A39" t="str">
        <f t="shared" ca="1" si="0"/>
        <v>Chile</v>
      </c>
      <c r="B39" s="373" t="s">
        <v>175</v>
      </c>
      <c r="C39" s="373" t="s">
        <v>176</v>
      </c>
      <c r="D39" s="373" t="s">
        <v>175</v>
      </c>
      <c r="E39" s="373" t="s">
        <v>177</v>
      </c>
      <c r="F39" s="376" t="s">
        <v>902</v>
      </c>
      <c r="G39" s="376" t="s">
        <v>901</v>
      </c>
      <c r="H39" s="375">
        <v>669.30178491760489</v>
      </c>
      <c r="I39" s="376"/>
      <c r="J39" s="96">
        <f t="shared" si="1"/>
        <v>669.30178491760489</v>
      </c>
      <c r="K39" s="384">
        <v>734.03344791004133</v>
      </c>
      <c r="L39" t="str">
        <f t="shared" si="2"/>
        <v>Chilean Peso</v>
      </c>
    </row>
    <row r="40" spans="1:14" x14ac:dyDescent="0.25">
      <c r="A40" t="str">
        <f t="shared" ca="1" si="0"/>
        <v>China</v>
      </c>
      <c r="B40" s="373" t="s">
        <v>178</v>
      </c>
      <c r="C40" s="373" t="s">
        <v>179</v>
      </c>
      <c r="D40" s="373" t="s">
        <v>178</v>
      </c>
      <c r="E40" s="373" t="s">
        <v>180</v>
      </c>
      <c r="F40" s="376" t="s">
        <v>904</v>
      </c>
      <c r="G40" s="376" t="s">
        <v>903</v>
      </c>
      <c r="H40" s="375">
        <v>6.7038632208038935</v>
      </c>
      <c r="I40" s="376"/>
      <c r="J40" s="96">
        <f t="shared" si="1"/>
        <v>6.7038632208038935</v>
      </c>
      <c r="K40" s="384">
        <v>7.3522287631278083</v>
      </c>
      <c r="L40" t="str">
        <f t="shared" si="2"/>
        <v>Renminbi</v>
      </c>
    </row>
    <row r="41" spans="1:14" x14ac:dyDescent="0.25">
      <c r="A41" t="str">
        <f t="shared" ca="1" si="0"/>
        <v>Colombia</v>
      </c>
      <c r="B41" s="373" t="s">
        <v>181</v>
      </c>
      <c r="C41" s="373" t="s">
        <v>182</v>
      </c>
      <c r="D41" s="373" t="s">
        <v>181</v>
      </c>
      <c r="E41" s="373" t="s">
        <v>183</v>
      </c>
      <c r="F41" s="376" t="s">
        <v>906</v>
      </c>
      <c r="G41" s="376" t="s">
        <v>905</v>
      </c>
      <c r="H41" s="375">
        <v>3001.7572022677391</v>
      </c>
      <c r="I41" s="376"/>
      <c r="J41" s="96">
        <f t="shared" si="1"/>
        <v>3001.7572022677391</v>
      </c>
      <c r="K41" s="384">
        <v>3292.0727818477853</v>
      </c>
      <c r="L41" t="str">
        <f t="shared" si="2"/>
        <v>Colombian Peso</v>
      </c>
    </row>
    <row r="42" spans="1:14" x14ac:dyDescent="0.25">
      <c r="A42" t="str">
        <f t="shared" ca="1" si="0"/>
        <v>Comoros</v>
      </c>
      <c r="B42" s="373" t="s">
        <v>184</v>
      </c>
      <c r="C42" s="373" t="s">
        <v>185</v>
      </c>
      <c r="D42" s="373" t="s">
        <v>186</v>
      </c>
      <c r="E42" s="373" t="s">
        <v>187</v>
      </c>
      <c r="F42" s="376" t="s">
        <v>981</v>
      </c>
      <c r="G42" s="376" t="s">
        <v>980</v>
      </c>
      <c r="H42" s="375">
        <v>445.31143980623335</v>
      </c>
      <c r="I42" s="376"/>
      <c r="J42" s="96">
        <f t="shared" si="1"/>
        <v>445.31143980623335</v>
      </c>
      <c r="K42" s="384">
        <v>491.96775000000002</v>
      </c>
      <c r="L42" t="str">
        <f t="shared" si="2"/>
        <v>Comorian Franc</v>
      </c>
    </row>
    <row r="43" spans="1:14" x14ac:dyDescent="0.25">
      <c r="A43" t="str">
        <f t="shared" ca="1" si="0"/>
        <v>Congo</v>
      </c>
      <c r="B43" s="373" t="s">
        <v>188</v>
      </c>
      <c r="C43" s="373" t="s">
        <v>188</v>
      </c>
      <c r="D43" s="373" t="s">
        <v>188</v>
      </c>
      <c r="E43" s="373" t="s">
        <v>189</v>
      </c>
      <c r="F43" s="376" t="s">
        <v>1128</v>
      </c>
      <c r="G43" s="376" t="s">
        <v>1127</v>
      </c>
      <c r="H43" s="375">
        <v>601.78865103594012</v>
      </c>
      <c r="I43" s="376"/>
      <c r="J43" s="96">
        <f t="shared" si="1"/>
        <v>601.78865103594012</v>
      </c>
      <c r="K43" s="384">
        <v>655.95699999999999</v>
      </c>
      <c r="L43" t="str">
        <f t="shared" si="2"/>
        <v>CFA Franc</v>
      </c>
    </row>
    <row r="44" spans="1:14" x14ac:dyDescent="0.25">
      <c r="A44" t="str">
        <f t="shared" ca="1" si="0"/>
        <v>Congo (Democratic Republic)</v>
      </c>
      <c r="B44" s="373" t="s">
        <v>190</v>
      </c>
      <c r="C44" s="373" t="s">
        <v>191</v>
      </c>
      <c r="D44" s="373" t="s">
        <v>192</v>
      </c>
      <c r="E44" s="373" t="s">
        <v>193</v>
      </c>
      <c r="F44" s="376" t="s">
        <v>900</v>
      </c>
      <c r="G44" s="376" t="s">
        <v>570</v>
      </c>
      <c r="H44" s="375">
        <v>1000.5081490397375</v>
      </c>
      <c r="I44" s="376"/>
      <c r="J44" s="96">
        <f t="shared" si="1"/>
        <v>1000.5081490397375</v>
      </c>
      <c r="K44" s="384">
        <v>1097.2725052453609</v>
      </c>
      <c r="L44" t="str">
        <f t="shared" si="2"/>
        <v>Congolese Franc</v>
      </c>
    </row>
    <row r="45" spans="1:14" x14ac:dyDescent="0.25">
      <c r="A45" t="str">
        <f t="shared" ca="1" si="0"/>
        <v>Costa Rica</v>
      </c>
      <c r="B45" s="373" t="s">
        <v>194</v>
      </c>
      <c r="C45" s="373" t="s">
        <v>194</v>
      </c>
      <c r="D45" s="373" t="s">
        <v>194</v>
      </c>
      <c r="E45" s="373" t="s">
        <v>195</v>
      </c>
      <c r="F45" s="376" t="s">
        <v>908</v>
      </c>
      <c r="G45" s="376" t="s">
        <v>907</v>
      </c>
      <c r="H45" s="375">
        <v>546.9929238733024</v>
      </c>
      <c r="I45" s="376"/>
      <c r="J45" s="96">
        <f t="shared" si="1"/>
        <v>546.9929238733024</v>
      </c>
      <c r="K45" s="384">
        <v>599.89545962819057</v>
      </c>
      <c r="L45" t="str">
        <f t="shared" si="2"/>
        <v>Costa Rican Colon</v>
      </c>
    </row>
    <row r="46" spans="1:14" x14ac:dyDescent="0.25">
      <c r="A46" t="str">
        <f t="shared" ca="1" si="0"/>
        <v>Côte d'Ivoire</v>
      </c>
      <c r="B46" s="373" t="s">
        <v>196</v>
      </c>
      <c r="C46" s="373" t="s">
        <v>197</v>
      </c>
      <c r="D46" s="373" t="s">
        <v>197</v>
      </c>
      <c r="E46" s="373" t="s">
        <v>198</v>
      </c>
      <c r="F46" s="376" t="s">
        <v>1128</v>
      </c>
      <c r="G46" s="376" t="s">
        <v>1131</v>
      </c>
      <c r="H46" s="375">
        <v>602.45743376366283</v>
      </c>
      <c r="I46" s="376"/>
      <c r="J46" s="96">
        <f t="shared" si="1"/>
        <v>602.45743376366283</v>
      </c>
      <c r="K46" s="384">
        <v>655.95699999999999</v>
      </c>
      <c r="L46" t="str">
        <f t="shared" si="2"/>
        <v>CFA Franc</v>
      </c>
    </row>
    <row r="47" spans="1:14" x14ac:dyDescent="0.25">
      <c r="A47" t="str">
        <f t="shared" ca="1" si="0"/>
        <v>Croatia</v>
      </c>
      <c r="B47" s="373" t="s">
        <v>199</v>
      </c>
      <c r="C47" s="373" t="s">
        <v>200</v>
      </c>
      <c r="D47" s="373" t="s">
        <v>201</v>
      </c>
      <c r="E47" s="373" t="s">
        <v>202</v>
      </c>
      <c r="F47" s="376" t="s">
        <v>954</v>
      </c>
      <c r="G47" s="376" t="s">
        <v>953</v>
      </c>
      <c r="H47" s="375">
        <v>6.8618993148340675</v>
      </c>
      <c r="I47" s="376"/>
      <c r="J47" s="96">
        <f t="shared" si="1"/>
        <v>6.8618993148340675</v>
      </c>
      <c r="K47" s="384">
        <v>7.5255493512530656</v>
      </c>
      <c r="L47" t="str">
        <f t="shared" si="2"/>
        <v>Croatian Kuna</v>
      </c>
    </row>
    <row r="48" spans="1:14" x14ac:dyDescent="0.25">
      <c r="A48" t="str">
        <f t="shared" ca="1" si="0"/>
        <v>Cuba</v>
      </c>
      <c r="B48" s="373" t="s">
        <v>203</v>
      </c>
      <c r="C48" s="373" t="s">
        <v>203</v>
      </c>
      <c r="D48" s="373" t="s">
        <v>203</v>
      </c>
      <c r="E48" s="373" t="s">
        <v>204</v>
      </c>
      <c r="F48" s="376" t="s">
        <v>910</v>
      </c>
      <c r="G48" s="378" t="s">
        <v>909</v>
      </c>
      <c r="H48" s="375">
        <v>0.99999925460790529</v>
      </c>
      <c r="I48" s="378"/>
      <c r="J48" s="96">
        <f t="shared" si="1"/>
        <v>0.99999925460790529</v>
      </c>
      <c r="K48" s="384">
        <v>1.0967143929814498</v>
      </c>
      <c r="L48" t="str">
        <f t="shared" si="2"/>
        <v>Cuban Peso</v>
      </c>
    </row>
    <row r="49" spans="1:12" x14ac:dyDescent="0.25">
      <c r="A49" t="str">
        <f t="shared" ca="1" si="0"/>
        <v>Cyprus</v>
      </c>
      <c r="B49" s="373" t="s">
        <v>205</v>
      </c>
      <c r="C49" s="373" t="s">
        <v>206</v>
      </c>
      <c r="D49" s="373" t="s">
        <v>207</v>
      </c>
      <c r="E49" s="373" t="s">
        <v>208</v>
      </c>
      <c r="F49" s="376" t="s">
        <v>846</v>
      </c>
      <c r="G49" s="376" t="s">
        <v>20</v>
      </c>
      <c r="H49" s="375">
        <v>0.91181374203485954</v>
      </c>
      <c r="I49" s="376"/>
      <c r="J49" s="96">
        <f t="shared" si="1"/>
        <v>0.91181374203485954</v>
      </c>
      <c r="K49" s="384">
        <v>1</v>
      </c>
      <c r="L49" t="str">
        <f t="shared" si="2"/>
        <v>Euro</v>
      </c>
    </row>
    <row r="50" spans="1:12" x14ac:dyDescent="0.25">
      <c r="A50" t="str">
        <f t="shared" ca="1" si="0"/>
        <v>Czech Republic</v>
      </c>
      <c r="B50" s="373" t="s">
        <v>209</v>
      </c>
      <c r="C50" s="373" t="s">
        <v>210</v>
      </c>
      <c r="D50" s="373" t="s">
        <v>211</v>
      </c>
      <c r="E50" s="373" t="s">
        <v>212</v>
      </c>
      <c r="F50" s="376" t="s">
        <v>914</v>
      </c>
      <c r="G50" s="376" t="s">
        <v>913</v>
      </c>
      <c r="H50" s="375">
        <v>24.65506549199344</v>
      </c>
      <c r="I50" s="376"/>
      <c r="J50" s="96">
        <f t="shared" si="1"/>
        <v>24.65506549199344</v>
      </c>
      <c r="K50" s="384">
        <v>27.039585340062633</v>
      </c>
      <c r="L50" t="str">
        <f t="shared" si="2"/>
        <v>Czech Koruna</v>
      </c>
    </row>
    <row r="51" spans="1:12" x14ac:dyDescent="0.25">
      <c r="A51" t="str">
        <f t="shared" ca="1" si="0"/>
        <v>Denmark</v>
      </c>
      <c r="B51" s="373" t="s">
        <v>213</v>
      </c>
      <c r="C51" s="373" t="s">
        <v>214</v>
      </c>
      <c r="D51" s="373" t="s">
        <v>215</v>
      </c>
      <c r="E51" s="373" t="s">
        <v>216</v>
      </c>
      <c r="F51" s="376" t="s">
        <v>917</v>
      </c>
      <c r="G51" s="376" t="s">
        <v>831</v>
      </c>
      <c r="H51" s="375">
        <v>6.786300398355702</v>
      </c>
      <c r="I51" s="376"/>
      <c r="J51" s="96">
        <f t="shared" si="1"/>
        <v>6.786300398355702</v>
      </c>
      <c r="K51" s="384">
        <v>7.4426388696566219</v>
      </c>
      <c r="L51" t="str">
        <f t="shared" si="2"/>
        <v>Denmark Krone</v>
      </c>
    </row>
    <row r="52" spans="1:12" x14ac:dyDescent="0.25">
      <c r="A52" t="str">
        <f t="shared" ca="1" si="0"/>
        <v>Djibouti</v>
      </c>
      <c r="B52" s="373" t="s">
        <v>217</v>
      </c>
      <c r="C52" s="373" t="s">
        <v>217</v>
      </c>
      <c r="D52" s="373" t="s">
        <v>217</v>
      </c>
      <c r="E52" s="373" t="s">
        <v>218</v>
      </c>
      <c r="F52" s="376" t="s">
        <v>916</v>
      </c>
      <c r="G52" s="376" t="s">
        <v>915</v>
      </c>
      <c r="H52" s="375">
        <v>177.84941869700864</v>
      </c>
      <c r="I52" s="376"/>
      <c r="J52" s="96">
        <f t="shared" si="1"/>
        <v>177.84941869700864</v>
      </c>
      <c r="K52" s="384">
        <v>195.05016265724288</v>
      </c>
      <c r="L52" t="str">
        <f t="shared" si="2"/>
        <v>Djiboutian Franc</v>
      </c>
    </row>
    <row r="53" spans="1:12" x14ac:dyDescent="0.25">
      <c r="A53" t="str">
        <f t="shared" ca="1" si="0"/>
        <v>Dominica</v>
      </c>
      <c r="B53" s="373" t="s">
        <v>219</v>
      </c>
      <c r="C53" s="373" t="s">
        <v>220</v>
      </c>
      <c r="D53" s="373" t="s">
        <v>219</v>
      </c>
      <c r="E53" s="373" t="s">
        <v>221</v>
      </c>
      <c r="F53" s="376" t="s">
        <v>1130</v>
      </c>
      <c r="G53" s="376" t="s">
        <v>1129</v>
      </c>
      <c r="H53" s="375">
        <v>2.7091519205320296</v>
      </c>
      <c r="I53" s="376"/>
      <c r="J53" s="96">
        <f t="shared" si="1"/>
        <v>2.7091519205320296</v>
      </c>
      <c r="K53" s="384">
        <v>2.9711681187060415</v>
      </c>
      <c r="L53" t="str">
        <f t="shared" si="2"/>
        <v>East Caribbean Dollar</v>
      </c>
    </row>
    <row r="54" spans="1:12" x14ac:dyDescent="0.25">
      <c r="A54" t="str">
        <f t="shared" ca="1" si="0"/>
        <v>Dominican Republic</v>
      </c>
      <c r="B54" s="373" t="s">
        <v>222</v>
      </c>
      <c r="C54" s="373" t="s">
        <v>223</v>
      </c>
      <c r="D54" s="373" t="s">
        <v>224</v>
      </c>
      <c r="E54" s="373" t="s">
        <v>225</v>
      </c>
      <c r="F54" s="376" t="s">
        <v>919</v>
      </c>
      <c r="G54" s="376" t="s">
        <v>918</v>
      </c>
      <c r="H54" s="375">
        <v>46.074676354619619</v>
      </c>
      <c r="I54" s="376"/>
      <c r="J54" s="96">
        <f t="shared" si="1"/>
        <v>46.074676354619619</v>
      </c>
      <c r="K54" s="384">
        <v>50.530798375331067</v>
      </c>
      <c r="L54" t="str">
        <f t="shared" si="2"/>
        <v>Dominican Peso</v>
      </c>
    </row>
    <row r="55" spans="1:12" x14ac:dyDescent="0.25">
      <c r="A55" t="str">
        <f t="shared" ca="1" si="0"/>
        <v>Ecuador</v>
      </c>
      <c r="B55" s="373" t="s">
        <v>226</v>
      </c>
      <c r="C55" s="373" t="s">
        <v>227</v>
      </c>
      <c r="D55" s="373" t="s">
        <v>226</v>
      </c>
      <c r="E55" s="373" t="s">
        <v>228</v>
      </c>
      <c r="F55" s="376" t="s">
        <v>1115</v>
      </c>
      <c r="G55" s="376" t="s">
        <v>8</v>
      </c>
      <c r="H55" s="375">
        <v>1</v>
      </c>
      <c r="I55" s="376"/>
      <c r="J55" s="96">
        <f t="shared" si="1"/>
        <v>1</v>
      </c>
      <c r="K55" s="384">
        <v>1.0967152104642979</v>
      </c>
      <c r="L55" t="str">
        <f t="shared" si="2"/>
        <v>United States Dollar</v>
      </c>
    </row>
    <row r="56" spans="1:12" x14ac:dyDescent="0.25">
      <c r="A56" t="str">
        <f t="shared" ca="1" si="0"/>
        <v>Egypt</v>
      </c>
      <c r="B56" s="373" t="s">
        <v>229</v>
      </c>
      <c r="C56" s="373" t="s">
        <v>230</v>
      </c>
      <c r="D56" s="373" t="s">
        <v>231</v>
      </c>
      <c r="E56" s="373" t="s">
        <v>232</v>
      </c>
      <c r="F56" s="376" t="s">
        <v>925</v>
      </c>
      <c r="G56" s="376" t="s">
        <v>924</v>
      </c>
      <c r="H56" s="375">
        <v>11.782810356342283</v>
      </c>
      <c r="I56" s="376"/>
      <c r="J56" s="96">
        <f t="shared" si="1"/>
        <v>11.782810356342283</v>
      </c>
      <c r="K56" s="384">
        <v>12.922387339816837</v>
      </c>
      <c r="L56" t="str">
        <f t="shared" si="2"/>
        <v>Egypt Pound</v>
      </c>
    </row>
    <row r="57" spans="1:12" x14ac:dyDescent="0.25">
      <c r="A57" t="str">
        <f t="shared" ca="1" si="0"/>
        <v>El Salvador</v>
      </c>
      <c r="B57" s="373" t="s">
        <v>233</v>
      </c>
      <c r="C57" s="373" t="s">
        <v>233</v>
      </c>
      <c r="D57" s="373" t="s">
        <v>233</v>
      </c>
      <c r="E57" s="373" t="s">
        <v>234</v>
      </c>
      <c r="F57" s="376" t="s">
        <v>1115</v>
      </c>
      <c r="G57" s="376" t="s">
        <v>8</v>
      </c>
      <c r="H57" s="375">
        <v>1</v>
      </c>
      <c r="I57" s="376"/>
      <c r="J57" s="96">
        <f t="shared" si="1"/>
        <v>1</v>
      </c>
      <c r="K57" s="384">
        <v>1.0967152104642979</v>
      </c>
      <c r="L57" t="str">
        <f t="shared" si="2"/>
        <v>United States Dollar</v>
      </c>
    </row>
    <row r="58" spans="1:12" x14ac:dyDescent="0.25">
      <c r="A58" t="str">
        <f t="shared" ca="1" si="0"/>
        <v>Equatorial Guinea</v>
      </c>
      <c r="B58" s="373" t="s">
        <v>235</v>
      </c>
      <c r="C58" s="373" t="s">
        <v>236</v>
      </c>
      <c r="D58" s="373" t="s">
        <v>237</v>
      </c>
      <c r="E58" s="373" t="s">
        <v>238</v>
      </c>
      <c r="F58" s="376" t="s">
        <v>944</v>
      </c>
      <c r="G58" s="379" t="s">
        <v>1127</v>
      </c>
      <c r="H58" s="375">
        <v>601.78865103594012</v>
      </c>
      <c r="I58" s="376"/>
      <c r="J58" s="96">
        <f t="shared" si="1"/>
        <v>601.78865103594012</v>
      </c>
      <c r="K58" s="384">
        <v>655.95699999999999</v>
      </c>
      <c r="L58" t="str">
        <f t="shared" si="2"/>
        <v>Central African CFA Franc</v>
      </c>
    </row>
    <row r="59" spans="1:12" x14ac:dyDescent="0.25">
      <c r="A59" t="str">
        <f t="shared" ca="1" si="0"/>
        <v>Eritrea</v>
      </c>
      <c r="B59" s="373" t="s">
        <v>239</v>
      </c>
      <c r="C59" s="373" t="s">
        <v>240</v>
      </c>
      <c r="D59" s="373" t="s">
        <v>239</v>
      </c>
      <c r="E59" s="373" t="s">
        <v>241</v>
      </c>
      <c r="F59" s="376" t="s">
        <v>927</v>
      </c>
      <c r="G59" s="376" t="s">
        <v>926</v>
      </c>
      <c r="H59" s="375">
        <v>15.809820193603196</v>
      </c>
      <c r="I59" s="376"/>
      <c r="J59" s="96">
        <f t="shared" si="1"/>
        <v>15.809820193603196</v>
      </c>
      <c r="K59" s="384">
        <v>17.338870281030236</v>
      </c>
      <c r="L59" t="str">
        <f t="shared" si="2"/>
        <v>Eritrean Nakfa</v>
      </c>
    </row>
    <row r="60" spans="1:12" x14ac:dyDescent="0.25">
      <c r="A60" t="str">
        <f t="shared" ca="1" si="0"/>
        <v>Estonia</v>
      </c>
      <c r="B60" s="373" t="s">
        <v>242</v>
      </c>
      <c r="C60" s="373" t="s">
        <v>243</v>
      </c>
      <c r="D60" s="373" t="s">
        <v>242</v>
      </c>
      <c r="E60" s="373" t="s">
        <v>244</v>
      </c>
      <c r="F60" s="376" t="s">
        <v>923</v>
      </c>
      <c r="G60" s="376" t="s">
        <v>922</v>
      </c>
      <c r="H60" s="375" t="e">
        <v>#N/A</v>
      </c>
      <c r="I60" s="376"/>
      <c r="J60" s="96" t="e">
        <f t="shared" si="1"/>
        <v>#N/A</v>
      </c>
      <c r="K60" s="384" t="e">
        <v>#N/A</v>
      </c>
      <c r="L60" t="str">
        <f t="shared" si="2"/>
        <v>Estonian Kroon</v>
      </c>
    </row>
    <row r="61" spans="1:12" x14ac:dyDescent="0.25">
      <c r="A61" t="str">
        <f t="shared" ca="1" si="0"/>
        <v>Ethiopia</v>
      </c>
      <c r="B61" s="373" t="s">
        <v>245</v>
      </c>
      <c r="C61" s="373" t="s">
        <v>246</v>
      </c>
      <c r="D61" s="373" t="s">
        <v>247</v>
      </c>
      <c r="E61" s="373" t="s">
        <v>248</v>
      </c>
      <c r="F61" s="376" t="s">
        <v>929</v>
      </c>
      <c r="G61" s="376" t="s">
        <v>928</v>
      </c>
      <c r="H61" s="375">
        <v>21.993300532877608</v>
      </c>
      <c r="I61" s="376"/>
      <c r="J61" s="96">
        <f t="shared" si="1"/>
        <v>21.993300532877608</v>
      </c>
      <c r="K61" s="384">
        <v>24.120387222719422</v>
      </c>
      <c r="L61" t="str">
        <f t="shared" si="2"/>
        <v>Ethiopian Birr</v>
      </c>
    </row>
    <row r="62" spans="1:12" x14ac:dyDescent="0.25">
      <c r="A62" t="str">
        <f t="shared" ca="1" si="0"/>
        <v>Falkland Islands (Malvinas)</v>
      </c>
      <c r="B62" s="373" t="s">
        <v>249</v>
      </c>
      <c r="C62" s="373" t="s">
        <v>250</v>
      </c>
      <c r="D62" s="373" t="s">
        <v>251</v>
      </c>
      <c r="E62" s="373" t="s">
        <v>252</v>
      </c>
      <c r="F62" s="376" t="s">
        <v>933</v>
      </c>
      <c r="G62" s="376" t="s">
        <v>932</v>
      </c>
      <c r="H62" s="375" t="e">
        <v>#N/A</v>
      </c>
      <c r="I62" s="376"/>
      <c r="J62" s="96" t="e">
        <f t="shared" si="1"/>
        <v>#N/A</v>
      </c>
      <c r="K62" s="384" t="e">
        <v>#N/A</v>
      </c>
      <c r="L62" t="str">
        <f t="shared" si="2"/>
        <v>Falkland Islands Pound</v>
      </c>
    </row>
    <row r="63" spans="1:12" x14ac:dyDescent="0.25">
      <c r="A63" t="str">
        <f t="shared" ca="1" si="0"/>
        <v>Fiji</v>
      </c>
      <c r="B63" s="373" t="s">
        <v>253</v>
      </c>
      <c r="C63" s="373" t="s">
        <v>254</v>
      </c>
      <c r="D63" s="373" t="s">
        <v>253</v>
      </c>
      <c r="E63" s="373" t="s">
        <v>255</v>
      </c>
      <c r="F63" s="376" t="s">
        <v>931</v>
      </c>
      <c r="G63" s="376" t="s">
        <v>930</v>
      </c>
      <c r="H63" s="375">
        <v>2.0822724188226842</v>
      </c>
      <c r="I63" s="376"/>
      <c r="J63" s="96">
        <f t="shared" si="1"/>
        <v>2.0822724188226842</v>
      </c>
      <c r="K63" s="384">
        <v>2.2836598340531227</v>
      </c>
      <c r="L63" t="str">
        <f t="shared" si="2"/>
        <v>Fijian Dollar</v>
      </c>
    </row>
    <row r="64" spans="1:12" x14ac:dyDescent="0.25">
      <c r="A64" t="str">
        <f t="shared" ca="1" si="0"/>
        <v>Finland</v>
      </c>
      <c r="B64" s="373" t="s">
        <v>256</v>
      </c>
      <c r="C64" s="373" t="s">
        <v>257</v>
      </c>
      <c r="D64" s="373" t="s">
        <v>258</v>
      </c>
      <c r="E64" s="373" t="s">
        <v>259</v>
      </c>
      <c r="F64" s="376" t="s">
        <v>846</v>
      </c>
      <c r="G64" s="376" t="s">
        <v>20</v>
      </c>
      <c r="H64" s="375">
        <v>0.91181374203485954</v>
      </c>
      <c r="I64" s="376"/>
      <c r="J64" s="96">
        <f t="shared" si="1"/>
        <v>0.91181374203485954</v>
      </c>
      <c r="K64" s="384">
        <v>1</v>
      </c>
      <c r="L64" t="str">
        <f t="shared" si="2"/>
        <v>Euro</v>
      </c>
    </row>
    <row r="65" spans="1:14" x14ac:dyDescent="0.25">
      <c r="A65" t="str">
        <f t="shared" ca="1" si="0"/>
        <v>France</v>
      </c>
      <c r="B65" s="373" t="s">
        <v>260</v>
      </c>
      <c r="C65" s="373" t="s">
        <v>260</v>
      </c>
      <c r="D65" s="373" t="s">
        <v>261</v>
      </c>
      <c r="E65" s="373" t="s">
        <v>262</v>
      </c>
      <c r="F65" s="376" t="s">
        <v>846</v>
      </c>
      <c r="G65" s="376" t="s">
        <v>20</v>
      </c>
      <c r="H65" s="375">
        <v>0.91181374203485954</v>
      </c>
      <c r="I65" s="376"/>
      <c r="J65" s="96">
        <f t="shared" si="1"/>
        <v>0.91181374203485954</v>
      </c>
      <c r="K65" s="384">
        <v>1</v>
      </c>
      <c r="L65" t="str">
        <f t="shared" si="2"/>
        <v>Euro</v>
      </c>
    </row>
    <row r="66" spans="1:14" x14ac:dyDescent="0.25">
      <c r="A66" t="str">
        <f t="shared" ref="A66:A129" ca="1" si="3">OFFSET(B66,0,LangOffset,1,1)</f>
        <v>French Polynesia</v>
      </c>
      <c r="B66" s="373" t="s">
        <v>263</v>
      </c>
      <c r="C66" s="373" t="s">
        <v>264</v>
      </c>
      <c r="D66" s="373" t="s">
        <v>265</v>
      </c>
      <c r="E66" s="373" t="s">
        <v>266</v>
      </c>
      <c r="F66" s="376" t="s">
        <v>1133</v>
      </c>
      <c r="G66" s="376" t="s">
        <v>1132</v>
      </c>
      <c r="H66" s="375">
        <v>108.66803820305384</v>
      </c>
      <c r="I66" s="376"/>
      <c r="J66" s="96">
        <f t="shared" si="1"/>
        <v>108.66803820305384</v>
      </c>
      <c r="K66" s="384">
        <v>119.33174219999999</v>
      </c>
      <c r="L66" t="str">
        <f t="shared" si="2"/>
        <v>CFP Franc</v>
      </c>
    </row>
    <row r="67" spans="1:14" x14ac:dyDescent="0.25">
      <c r="A67" t="str">
        <f t="shared" ca="1" si="3"/>
        <v>Gabon</v>
      </c>
      <c r="B67" s="373" t="s">
        <v>267</v>
      </c>
      <c r="C67" s="373" t="s">
        <v>267</v>
      </c>
      <c r="D67" s="373" t="s">
        <v>268</v>
      </c>
      <c r="E67" s="373" t="s">
        <v>269</v>
      </c>
      <c r="F67" s="376" t="s">
        <v>1133</v>
      </c>
      <c r="G67" s="376" t="s">
        <v>1127</v>
      </c>
      <c r="H67" s="375">
        <v>601.78865103594012</v>
      </c>
      <c r="I67" s="376"/>
      <c r="J67" s="96">
        <f t="shared" ref="J67:J130" si="4">H67</f>
        <v>601.78865103594012</v>
      </c>
      <c r="K67" s="384">
        <v>655.95699999999999</v>
      </c>
      <c r="L67" t="str">
        <f t="shared" ref="L67:L130" si="5">F67</f>
        <v>CFP Franc</v>
      </c>
    </row>
    <row r="68" spans="1:14" x14ac:dyDescent="0.25">
      <c r="A68" t="str">
        <f t="shared" ca="1" si="3"/>
        <v>Gambia</v>
      </c>
      <c r="B68" s="373" t="s">
        <v>270</v>
      </c>
      <c r="C68" s="373" t="s">
        <v>271</v>
      </c>
      <c r="D68" s="373" t="s">
        <v>270</v>
      </c>
      <c r="E68" s="373" t="s">
        <v>272</v>
      </c>
      <c r="F68" s="376" t="s">
        <v>941</v>
      </c>
      <c r="G68" s="376" t="s">
        <v>940</v>
      </c>
      <c r="H68" s="375">
        <v>41.996406921553344</v>
      </c>
      <c r="I68" s="376"/>
      <c r="J68" s="96">
        <f t="shared" si="4"/>
        <v>41.996406921553344</v>
      </c>
      <c r="K68" s="384">
        <v>46.05809825571567</v>
      </c>
      <c r="L68" t="str">
        <f t="shared" si="5"/>
        <v>Gambian Dalasi</v>
      </c>
    </row>
    <row r="69" spans="1:14" x14ac:dyDescent="0.25">
      <c r="A69" t="str">
        <f t="shared" ca="1" si="3"/>
        <v>Georgia</v>
      </c>
      <c r="B69" s="373" t="s">
        <v>273</v>
      </c>
      <c r="C69" s="373" t="s">
        <v>274</v>
      </c>
      <c r="D69" s="373" t="s">
        <v>273</v>
      </c>
      <c r="E69" s="373" t="s">
        <v>275</v>
      </c>
      <c r="F69" s="376" t="s">
        <v>935</v>
      </c>
      <c r="G69" s="376" t="s">
        <v>934</v>
      </c>
      <c r="H69" s="375">
        <v>2.4073487571908609</v>
      </c>
      <c r="I69" s="376"/>
      <c r="J69" s="96">
        <f t="shared" si="4"/>
        <v>2.4073487571908609</v>
      </c>
      <c r="K69" s="384">
        <v>2.6401759989035409</v>
      </c>
      <c r="L69" t="str">
        <f t="shared" si="5"/>
        <v>Lari</v>
      </c>
    </row>
    <row r="70" spans="1:14" x14ac:dyDescent="0.25">
      <c r="A70" t="str">
        <f t="shared" ca="1" si="3"/>
        <v>Germany</v>
      </c>
      <c r="B70" s="373" t="s">
        <v>276</v>
      </c>
      <c r="C70" s="373" t="s">
        <v>277</v>
      </c>
      <c r="D70" s="373" t="s">
        <v>278</v>
      </c>
      <c r="E70" s="373" t="s">
        <v>279</v>
      </c>
      <c r="F70" s="376" t="s">
        <v>846</v>
      </c>
      <c r="G70" s="376" t="s">
        <v>20</v>
      </c>
      <c r="H70" s="375">
        <v>0.91181374203485954</v>
      </c>
      <c r="I70" s="376"/>
      <c r="J70" s="96">
        <f t="shared" si="4"/>
        <v>0.91181374203485954</v>
      </c>
      <c r="K70" s="384">
        <v>1</v>
      </c>
      <c r="L70" t="str">
        <f t="shared" si="5"/>
        <v>Euro</v>
      </c>
    </row>
    <row r="71" spans="1:14" x14ac:dyDescent="0.25">
      <c r="A71" t="str">
        <f t="shared" ca="1" si="3"/>
        <v>Ghana</v>
      </c>
      <c r="B71" s="373" t="s">
        <v>280</v>
      </c>
      <c r="C71" s="373" t="s">
        <v>280</v>
      </c>
      <c r="D71" s="373" t="s">
        <v>280</v>
      </c>
      <c r="E71" s="373" t="s">
        <v>281</v>
      </c>
      <c r="F71" s="376" t="s">
        <v>937</v>
      </c>
      <c r="G71" s="376" t="s">
        <v>936</v>
      </c>
      <c r="H71" s="375">
        <v>4.0061438924914432</v>
      </c>
      <c r="I71" s="376"/>
      <c r="J71" s="96">
        <f t="shared" si="4"/>
        <v>4.0061438924914432</v>
      </c>
      <c r="K71" s="384">
        <v>4.3935989422040143</v>
      </c>
      <c r="L71" t="str">
        <f t="shared" si="5"/>
        <v>(new) Cedi</v>
      </c>
      <c r="M71" s="6"/>
      <c r="N71" s="6"/>
    </row>
    <row r="72" spans="1:14" x14ac:dyDescent="0.25">
      <c r="A72" t="str">
        <f t="shared" ca="1" si="3"/>
        <v>Gibraltar</v>
      </c>
      <c r="B72" s="373" t="s">
        <v>282</v>
      </c>
      <c r="C72" s="373" t="s">
        <v>282</v>
      </c>
      <c r="D72" s="373" t="s">
        <v>282</v>
      </c>
      <c r="E72" s="373" t="s">
        <v>283</v>
      </c>
      <c r="F72" s="376" t="s">
        <v>939</v>
      </c>
      <c r="G72" s="376" t="s">
        <v>938</v>
      </c>
      <c r="H72" s="375" t="e">
        <v>#N/A</v>
      </c>
      <c r="I72" s="376"/>
      <c r="J72" s="96" t="e">
        <f t="shared" si="4"/>
        <v>#N/A</v>
      </c>
      <c r="K72" s="384" t="e">
        <v>#N/A</v>
      </c>
      <c r="L72" t="str">
        <f t="shared" si="5"/>
        <v>Gibraltar Pound</v>
      </c>
    </row>
    <row r="73" spans="1:14" x14ac:dyDescent="0.25">
      <c r="A73" t="str">
        <f t="shared" ca="1" si="3"/>
        <v>Greece</v>
      </c>
      <c r="B73" s="373" t="s">
        <v>284</v>
      </c>
      <c r="C73" s="373" t="s">
        <v>285</v>
      </c>
      <c r="D73" s="373" t="s">
        <v>286</v>
      </c>
      <c r="E73" s="373" t="s">
        <v>287</v>
      </c>
      <c r="F73" s="376" t="s">
        <v>846</v>
      </c>
      <c r="G73" s="376" t="s">
        <v>20</v>
      </c>
      <c r="H73" s="375">
        <v>0.91181374203485954</v>
      </c>
      <c r="I73" s="376"/>
      <c r="J73" s="96">
        <f t="shared" si="4"/>
        <v>0.91181374203485954</v>
      </c>
      <c r="K73" s="384">
        <v>1</v>
      </c>
      <c r="L73" t="str">
        <f t="shared" si="5"/>
        <v>Euro</v>
      </c>
    </row>
    <row r="74" spans="1:14" x14ac:dyDescent="0.25">
      <c r="A74" t="str">
        <f t="shared" ca="1" si="3"/>
        <v>Grenada</v>
      </c>
      <c r="B74" s="373" t="s">
        <v>289</v>
      </c>
      <c r="C74" s="373" t="s">
        <v>290</v>
      </c>
      <c r="D74" s="373" t="s">
        <v>291</v>
      </c>
      <c r="E74" s="373" t="s">
        <v>292</v>
      </c>
      <c r="F74" s="376" t="s">
        <v>1130</v>
      </c>
      <c r="G74" s="376" t="s">
        <v>1129</v>
      </c>
      <c r="H74" s="375">
        <v>2.7091519205320296</v>
      </c>
      <c r="I74" s="376"/>
      <c r="J74" s="96">
        <f t="shared" si="4"/>
        <v>2.7091519205320296</v>
      </c>
      <c r="K74" s="384">
        <v>2.9711681187060415</v>
      </c>
      <c r="L74" t="str">
        <f t="shared" si="5"/>
        <v>East Caribbean Dollar</v>
      </c>
    </row>
    <row r="75" spans="1:14" x14ac:dyDescent="0.25">
      <c r="A75" t="str">
        <f t="shared" ca="1" si="3"/>
        <v>Guatemala</v>
      </c>
      <c r="B75" s="373" t="s">
        <v>293</v>
      </c>
      <c r="C75" s="373" t="s">
        <v>293</v>
      </c>
      <c r="D75" s="373" t="s">
        <v>293</v>
      </c>
      <c r="E75" s="373" t="s">
        <v>294</v>
      </c>
      <c r="F75" s="376" t="s">
        <v>946</v>
      </c>
      <c r="G75" s="376" t="s">
        <v>945</v>
      </c>
      <c r="H75" s="375">
        <v>7.5605115789348432</v>
      </c>
      <c r="I75" s="376"/>
      <c r="J75" s="96">
        <f t="shared" si="4"/>
        <v>7.5605115789348432</v>
      </c>
      <c r="K75" s="384">
        <v>8.291728047509288</v>
      </c>
      <c r="L75" t="str">
        <f t="shared" si="5"/>
        <v>Quetzal</v>
      </c>
    </row>
    <row r="76" spans="1:14" x14ac:dyDescent="0.25">
      <c r="A76" t="str">
        <f t="shared" ca="1" si="3"/>
        <v>Guinea</v>
      </c>
      <c r="B76" s="373" t="s">
        <v>295</v>
      </c>
      <c r="C76" s="373" t="s">
        <v>296</v>
      </c>
      <c r="D76" s="373" t="s">
        <v>295</v>
      </c>
      <c r="E76" s="373" t="s">
        <v>297</v>
      </c>
      <c r="F76" s="376" t="s">
        <v>943</v>
      </c>
      <c r="G76" s="376" t="s">
        <v>942</v>
      </c>
      <c r="H76" s="375">
        <v>8751.3479422397031</v>
      </c>
      <c r="I76" s="376"/>
      <c r="J76" s="96">
        <f t="shared" si="4"/>
        <v>8751.3479422397031</v>
      </c>
      <c r="K76" s="384">
        <v>9597.7364003197163</v>
      </c>
      <c r="L76" t="str">
        <f t="shared" si="5"/>
        <v>Guinean Franc</v>
      </c>
    </row>
    <row r="77" spans="1:14" x14ac:dyDescent="0.25">
      <c r="A77" t="str">
        <f t="shared" ca="1" si="3"/>
        <v>Guinea-Bissau</v>
      </c>
      <c r="B77" s="373" t="s">
        <v>298</v>
      </c>
      <c r="C77" s="373" t="s">
        <v>299</v>
      </c>
      <c r="D77" s="373" t="s">
        <v>298</v>
      </c>
      <c r="E77" s="373" t="s">
        <v>300</v>
      </c>
      <c r="F77" s="376" t="s">
        <v>1128</v>
      </c>
      <c r="G77" s="376" t="s">
        <v>1131</v>
      </c>
      <c r="H77" s="375">
        <v>602.45743376366283</v>
      </c>
      <c r="I77" s="376"/>
      <c r="J77" s="96">
        <f t="shared" si="4"/>
        <v>602.45743376366283</v>
      </c>
      <c r="K77" s="384">
        <v>655.95699999999999</v>
      </c>
      <c r="L77" t="str">
        <f t="shared" si="5"/>
        <v>CFA Franc</v>
      </c>
    </row>
    <row r="78" spans="1:14" x14ac:dyDescent="0.25">
      <c r="A78" t="str">
        <f t="shared" ca="1" si="3"/>
        <v>Guyana</v>
      </c>
      <c r="B78" s="373" t="s">
        <v>301</v>
      </c>
      <c r="C78" s="373" t="s">
        <v>302</v>
      </c>
      <c r="D78" s="373" t="s">
        <v>303</v>
      </c>
      <c r="E78" s="373" t="s">
        <v>304</v>
      </c>
      <c r="F78" s="376" t="s">
        <v>948</v>
      </c>
      <c r="G78" s="376" t="s">
        <v>947</v>
      </c>
      <c r="H78" s="375">
        <v>207.17199590857368</v>
      </c>
      <c r="I78" s="376"/>
      <c r="J78" s="96">
        <f t="shared" si="4"/>
        <v>207.17199590857368</v>
      </c>
      <c r="K78" s="384">
        <v>227.20867909518003</v>
      </c>
      <c r="L78" t="str">
        <f t="shared" si="5"/>
        <v>Guyanese Dollar</v>
      </c>
    </row>
    <row r="79" spans="1:14" x14ac:dyDescent="0.25">
      <c r="A79" t="str">
        <f t="shared" ca="1" si="3"/>
        <v>Haiti</v>
      </c>
      <c r="B79" s="373" t="s">
        <v>305</v>
      </c>
      <c r="C79" s="373" t="s">
        <v>306</v>
      </c>
      <c r="D79" s="373" t="s">
        <v>307</v>
      </c>
      <c r="E79" s="373" t="s">
        <v>308</v>
      </c>
      <c r="F79" s="376" t="s">
        <v>956</v>
      </c>
      <c r="G79" s="376" t="s">
        <v>955</v>
      </c>
      <c r="H79" s="375">
        <v>63.73856088503338</v>
      </c>
      <c r="I79" s="376"/>
      <c r="J79" s="96">
        <f t="shared" si="4"/>
        <v>63.73856088503338</v>
      </c>
      <c r="K79" s="384">
        <v>69.903049215720841</v>
      </c>
      <c r="L79" t="str">
        <f t="shared" si="5"/>
        <v>Haitian Gourde</v>
      </c>
    </row>
    <row r="80" spans="1:14" x14ac:dyDescent="0.25">
      <c r="A80" t="str">
        <f t="shared" ca="1" si="3"/>
        <v>Honduras</v>
      </c>
      <c r="B80" s="373" t="s">
        <v>309</v>
      </c>
      <c r="C80" s="373" t="s">
        <v>309</v>
      </c>
      <c r="D80" s="373" t="s">
        <v>309</v>
      </c>
      <c r="E80" s="373" t="s">
        <v>310</v>
      </c>
      <c r="F80" s="376" t="s">
        <v>952</v>
      </c>
      <c r="G80" s="376" t="s">
        <v>951</v>
      </c>
      <c r="H80" s="375">
        <v>22.766333800990651</v>
      </c>
      <c r="I80" s="376"/>
      <c r="J80" s="96">
        <f t="shared" si="4"/>
        <v>22.766333800990651</v>
      </c>
      <c r="K80" s="384">
        <v>24.968184566053921</v>
      </c>
      <c r="L80" t="str">
        <f t="shared" si="5"/>
        <v>Honduran Lempira</v>
      </c>
    </row>
    <row r="81" spans="1:14" x14ac:dyDescent="0.25">
      <c r="A81" t="str">
        <f t="shared" ca="1" si="3"/>
        <v>Hong Kong</v>
      </c>
      <c r="B81" s="373" t="s">
        <v>311</v>
      </c>
      <c r="C81" s="373" t="s">
        <v>312</v>
      </c>
      <c r="D81" s="373" t="s">
        <v>311</v>
      </c>
      <c r="E81" s="373" t="s">
        <v>313</v>
      </c>
      <c r="F81" s="376" t="s">
        <v>950</v>
      </c>
      <c r="G81" s="376" t="s">
        <v>949</v>
      </c>
      <c r="H81" s="375">
        <v>7.7582739891128991</v>
      </c>
      <c r="I81" s="376"/>
      <c r="J81" s="96">
        <f t="shared" si="4"/>
        <v>7.7582739891128991</v>
      </c>
      <c r="K81" s="384">
        <v>8.5086170908096417</v>
      </c>
      <c r="L81" t="str">
        <f t="shared" si="5"/>
        <v>Hong Kong Dollar</v>
      </c>
    </row>
    <row r="82" spans="1:14" x14ac:dyDescent="0.25">
      <c r="A82" t="str">
        <f t="shared" ca="1" si="3"/>
        <v>Hungary</v>
      </c>
      <c r="B82" s="373" t="s">
        <v>314</v>
      </c>
      <c r="C82" s="373" t="s">
        <v>315</v>
      </c>
      <c r="D82" s="373" t="s">
        <v>316</v>
      </c>
      <c r="E82" s="373" t="s">
        <v>317</v>
      </c>
      <c r="F82" s="376" t="s">
        <v>958</v>
      </c>
      <c r="G82" s="376" t="s">
        <v>957</v>
      </c>
      <c r="H82" s="375">
        <v>283.26516724252605</v>
      </c>
      <c r="I82" s="376"/>
      <c r="J82" s="96">
        <f t="shared" si="4"/>
        <v>283.26516724252605</v>
      </c>
      <c r="K82" s="384">
        <v>310.66121750959149</v>
      </c>
      <c r="L82" t="str">
        <f t="shared" si="5"/>
        <v>Hungarian Forint</v>
      </c>
    </row>
    <row r="83" spans="1:14" x14ac:dyDescent="0.25">
      <c r="A83" t="str">
        <f t="shared" ca="1" si="3"/>
        <v>Iceland</v>
      </c>
      <c r="B83" s="373" t="s">
        <v>318</v>
      </c>
      <c r="C83" s="373" t="s">
        <v>319</v>
      </c>
      <c r="D83" s="373" t="s">
        <v>320</v>
      </c>
      <c r="E83" s="373" t="s">
        <v>321</v>
      </c>
      <c r="F83" s="376" t="s">
        <v>969</v>
      </c>
      <c r="G83" s="376" t="s">
        <v>968</v>
      </c>
      <c r="H83" s="375">
        <v>117.82284038590431</v>
      </c>
      <c r="I83" s="376"/>
      <c r="J83" s="96">
        <f t="shared" si="4"/>
        <v>117.82284038590431</v>
      </c>
      <c r="K83" s="384">
        <v>129.21810119132843</v>
      </c>
      <c r="L83" t="str">
        <f t="shared" si="5"/>
        <v>Iceland Krona</v>
      </c>
    </row>
    <row r="84" spans="1:14" x14ac:dyDescent="0.25">
      <c r="A84" t="str">
        <f t="shared" ca="1" si="3"/>
        <v>India</v>
      </c>
      <c r="B84" s="373" t="s">
        <v>322</v>
      </c>
      <c r="C84" s="373" t="s">
        <v>323</v>
      </c>
      <c r="D84" s="373" t="s">
        <v>322</v>
      </c>
      <c r="E84" s="373" t="s">
        <v>324</v>
      </c>
      <c r="F84" s="376" t="s">
        <v>963</v>
      </c>
      <c r="G84" s="376" t="s">
        <v>832</v>
      </c>
      <c r="H84" s="375">
        <v>67.103020651258078</v>
      </c>
      <c r="I84" s="376"/>
      <c r="J84" s="96">
        <f t="shared" si="4"/>
        <v>67.103020651258078</v>
      </c>
      <c r="K84" s="384">
        <v>73.592903416334636</v>
      </c>
      <c r="L84" t="str">
        <f t="shared" si="5"/>
        <v>Indian Rupee</v>
      </c>
    </row>
    <row r="85" spans="1:14" x14ac:dyDescent="0.25">
      <c r="A85" t="str">
        <f t="shared" ca="1" si="3"/>
        <v>Indonesia</v>
      </c>
      <c r="B85" s="373" t="s">
        <v>325</v>
      </c>
      <c r="C85" s="373" t="s">
        <v>326</v>
      </c>
      <c r="D85" s="373" t="s">
        <v>325</v>
      </c>
      <c r="E85" s="373" t="s">
        <v>327</v>
      </c>
      <c r="F85" s="376" t="s">
        <v>960</v>
      </c>
      <c r="G85" s="376" t="s">
        <v>959</v>
      </c>
      <c r="H85" s="375">
        <v>13279.47255400442</v>
      </c>
      <c r="I85" s="376"/>
      <c r="J85" s="96">
        <f t="shared" si="4"/>
        <v>13279.47255400442</v>
      </c>
      <c r="K85" s="384">
        <v>14563.799536919825</v>
      </c>
      <c r="L85" t="str">
        <f t="shared" si="5"/>
        <v>Rupiah</v>
      </c>
    </row>
    <row r="86" spans="1:14" x14ac:dyDescent="0.25">
      <c r="A86" t="str">
        <f t="shared" ca="1" si="3"/>
        <v>Iran (Islamic Republic)</v>
      </c>
      <c r="B86" s="373" t="s">
        <v>328</v>
      </c>
      <c r="C86" s="373" t="s">
        <v>329</v>
      </c>
      <c r="D86" s="373" t="s">
        <v>330</v>
      </c>
      <c r="E86" s="373" t="s">
        <v>331</v>
      </c>
      <c r="F86" s="376" t="s">
        <v>967</v>
      </c>
      <c r="G86" s="376" t="s">
        <v>966</v>
      </c>
      <c r="H86" s="375">
        <v>30333.683338221512</v>
      </c>
      <c r="I86" s="376"/>
      <c r="J86" s="96">
        <f t="shared" si="4"/>
        <v>30333.683338221512</v>
      </c>
      <c r="K86" s="384">
        <v>33267.411906434972</v>
      </c>
      <c r="L86" t="str">
        <f t="shared" si="5"/>
        <v>Iranian Rial</v>
      </c>
    </row>
    <row r="87" spans="1:14" x14ac:dyDescent="0.25">
      <c r="A87" t="str">
        <f t="shared" ca="1" si="3"/>
        <v>Iraq</v>
      </c>
      <c r="B87" s="373" t="s">
        <v>332</v>
      </c>
      <c r="C87" s="373" t="s">
        <v>333</v>
      </c>
      <c r="D87" s="373" t="s">
        <v>333</v>
      </c>
      <c r="E87" s="373" t="s">
        <v>334</v>
      </c>
      <c r="F87" s="376" t="s">
        <v>965</v>
      </c>
      <c r="G87" s="376" t="s">
        <v>964</v>
      </c>
      <c r="H87" s="375">
        <v>1164.8287429781885</v>
      </c>
      <c r="I87" s="376"/>
      <c r="J87" s="96">
        <f t="shared" si="4"/>
        <v>1164.8287429781885</v>
      </c>
      <c r="K87" s="384">
        <v>1277.4854000101875</v>
      </c>
      <c r="L87" t="str">
        <f t="shared" si="5"/>
        <v>Iraqi Dinar</v>
      </c>
    </row>
    <row r="88" spans="1:14" x14ac:dyDescent="0.25">
      <c r="A88" t="str">
        <f t="shared" ca="1" si="3"/>
        <v>Ireland</v>
      </c>
      <c r="B88" s="373" t="s">
        <v>335</v>
      </c>
      <c r="C88" s="373" t="s">
        <v>336</v>
      </c>
      <c r="D88" s="373" t="s">
        <v>337</v>
      </c>
      <c r="E88" s="373" t="s">
        <v>338</v>
      </c>
      <c r="F88" s="376" t="s">
        <v>846</v>
      </c>
      <c r="G88" s="376" t="s">
        <v>20</v>
      </c>
      <c r="H88" s="375">
        <v>0.91181374203485954</v>
      </c>
      <c r="I88" s="376"/>
      <c r="J88" s="96">
        <f t="shared" si="4"/>
        <v>0.91181374203485954</v>
      </c>
      <c r="K88" s="384">
        <v>1</v>
      </c>
      <c r="L88" t="str">
        <f t="shared" si="5"/>
        <v>Euro</v>
      </c>
    </row>
    <row r="89" spans="1:14" x14ac:dyDescent="0.25">
      <c r="A89" t="str">
        <f t="shared" ca="1" si="3"/>
        <v>Israel</v>
      </c>
      <c r="B89" s="373" t="s">
        <v>339</v>
      </c>
      <c r="C89" s="373" t="s">
        <v>340</v>
      </c>
      <c r="D89" s="373" t="s">
        <v>339</v>
      </c>
      <c r="E89" s="373" t="s">
        <v>341</v>
      </c>
      <c r="F89" s="376" t="s">
        <v>962</v>
      </c>
      <c r="G89" s="376" t="s">
        <v>961</v>
      </c>
      <c r="H89" s="375">
        <v>3.8285589052145101</v>
      </c>
      <c r="I89" s="376"/>
      <c r="J89" s="96">
        <f t="shared" si="4"/>
        <v>3.8285589052145101</v>
      </c>
      <c r="K89" s="384">
        <v>4.1988387855072933</v>
      </c>
      <c r="L89" t="str">
        <f t="shared" si="5"/>
        <v>Shekel</v>
      </c>
    </row>
    <row r="90" spans="1:14" x14ac:dyDescent="0.25">
      <c r="A90" t="str">
        <f t="shared" ca="1" si="3"/>
        <v>Italy</v>
      </c>
      <c r="B90" s="373" t="s">
        <v>342</v>
      </c>
      <c r="C90" s="373" t="s">
        <v>343</v>
      </c>
      <c r="D90" s="373" t="s">
        <v>344</v>
      </c>
      <c r="E90" s="373" t="s">
        <v>345</v>
      </c>
      <c r="F90" s="376" t="s">
        <v>846</v>
      </c>
      <c r="G90" s="376" t="s">
        <v>20</v>
      </c>
      <c r="H90" s="375">
        <v>0.91181374203485954</v>
      </c>
      <c r="I90" s="376"/>
      <c r="J90" s="96">
        <f t="shared" si="4"/>
        <v>0.91181374203485954</v>
      </c>
      <c r="K90" s="384">
        <v>1</v>
      </c>
      <c r="L90" t="str">
        <f t="shared" si="5"/>
        <v>Euro</v>
      </c>
    </row>
    <row r="91" spans="1:14" x14ac:dyDescent="0.25">
      <c r="A91" t="str">
        <f t="shared" ca="1" si="3"/>
        <v>Jamaica</v>
      </c>
      <c r="B91" s="373" t="s">
        <v>346</v>
      </c>
      <c r="C91" s="373" t="s">
        <v>347</v>
      </c>
      <c r="D91" s="373" t="s">
        <v>346</v>
      </c>
      <c r="E91" s="373" t="s">
        <v>348</v>
      </c>
      <c r="F91" s="376" t="s">
        <v>971</v>
      </c>
      <c r="G91" s="376" t="s">
        <v>970</v>
      </c>
      <c r="H91" s="375">
        <v>126.45904708556435</v>
      </c>
      <c r="I91" s="376"/>
      <c r="J91" s="96">
        <f t="shared" si="4"/>
        <v>126.45904708556435</v>
      </c>
      <c r="K91" s="384">
        <v>138.68956043955927</v>
      </c>
      <c r="L91" t="str">
        <f t="shared" si="5"/>
        <v>Jamaican Dollar</v>
      </c>
    </row>
    <row r="92" spans="1:14" x14ac:dyDescent="0.25">
      <c r="A92" t="str">
        <f t="shared" ca="1" si="3"/>
        <v>Japan</v>
      </c>
      <c r="B92" s="373" t="s">
        <v>349</v>
      </c>
      <c r="C92" s="373" t="s">
        <v>350</v>
      </c>
      <c r="D92" s="373" t="s">
        <v>351</v>
      </c>
      <c r="E92" s="373" t="s">
        <v>352</v>
      </c>
      <c r="F92" s="376" t="s">
        <v>834</v>
      </c>
      <c r="G92" s="376" t="s">
        <v>833</v>
      </c>
      <c r="H92" s="375">
        <v>109.06035319897155</v>
      </c>
      <c r="I92" s="376"/>
      <c r="J92" s="96">
        <f t="shared" si="4"/>
        <v>109.06035319897155</v>
      </c>
      <c r="K92" s="384">
        <v>119.60814821192075</v>
      </c>
      <c r="L92" t="str">
        <f t="shared" si="5"/>
        <v>Yen</v>
      </c>
    </row>
    <row r="93" spans="1:14" x14ac:dyDescent="0.25">
      <c r="A93" t="str">
        <f t="shared" ca="1" si="3"/>
        <v>Jordan</v>
      </c>
      <c r="B93" s="373" t="s">
        <v>353</v>
      </c>
      <c r="C93" s="373" t="s">
        <v>354</v>
      </c>
      <c r="D93" s="373" t="s">
        <v>355</v>
      </c>
      <c r="E93" s="373" t="s">
        <v>356</v>
      </c>
      <c r="F93" s="376" t="s">
        <v>973</v>
      </c>
      <c r="G93" s="376" t="s">
        <v>972</v>
      </c>
      <c r="H93" s="375">
        <v>0.70907299485857678</v>
      </c>
      <c r="I93" s="376"/>
      <c r="J93" s="96">
        <f t="shared" si="4"/>
        <v>0.70907299485857678</v>
      </c>
      <c r="K93" s="384">
        <v>0.777651138790874</v>
      </c>
      <c r="L93" t="str">
        <f t="shared" si="5"/>
        <v>Jordanian Dinar</v>
      </c>
    </row>
    <row r="94" spans="1:14" x14ac:dyDescent="0.25">
      <c r="A94" t="str">
        <f t="shared" ca="1" si="3"/>
        <v>Kazakhstan</v>
      </c>
      <c r="B94" s="373" t="s">
        <v>357</v>
      </c>
      <c r="C94" s="373" t="s">
        <v>357</v>
      </c>
      <c r="D94" s="373" t="s">
        <v>358</v>
      </c>
      <c r="E94" s="373" t="s">
        <v>359</v>
      </c>
      <c r="F94" s="376" t="s">
        <v>991</v>
      </c>
      <c r="G94" s="376" t="s">
        <v>990</v>
      </c>
      <c r="H94" s="375">
        <v>331.99498664713337</v>
      </c>
      <c r="I94" s="376"/>
      <c r="J94" s="96">
        <f t="shared" si="4"/>
        <v>331.99498664713337</v>
      </c>
      <c r="K94" s="384">
        <v>364.10395165380265</v>
      </c>
      <c r="L94" t="str">
        <f t="shared" si="5"/>
        <v>Tenge</v>
      </c>
    </row>
    <row r="95" spans="1:14" x14ac:dyDescent="0.25">
      <c r="A95" t="str">
        <f t="shared" ca="1" si="3"/>
        <v>Kenya</v>
      </c>
      <c r="B95" s="373" t="s">
        <v>360</v>
      </c>
      <c r="C95" s="373" t="s">
        <v>360</v>
      </c>
      <c r="D95" s="373" t="s">
        <v>361</v>
      </c>
      <c r="E95" s="373" t="s">
        <v>362</v>
      </c>
      <c r="F95" s="376" t="s">
        <v>975</v>
      </c>
      <c r="G95" s="376" t="s">
        <v>974</v>
      </c>
      <c r="H95" s="375">
        <v>101.4706681550271</v>
      </c>
      <c r="I95" s="376"/>
      <c r="J95" s="96">
        <f t="shared" si="4"/>
        <v>101.4706681550271</v>
      </c>
      <c r="K95" s="384">
        <v>111.28442518159348</v>
      </c>
      <c r="L95" t="str">
        <f t="shared" si="5"/>
        <v>Kenyan Shilling</v>
      </c>
    </row>
    <row r="96" spans="1:14" x14ac:dyDescent="0.25">
      <c r="A96" t="str">
        <f t="shared" ca="1" si="3"/>
        <v>Kiribati</v>
      </c>
      <c r="B96" s="373" t="s">
        <v>363</v>
      </c>
      <c r="C96" s="373" t="s">
        <v>363</v>
      </c>
      <c r="D96" s="373" t="s">
        <v>363</v>
      </c>
      <c r="E96" s="373" t="s">
        <v>364</v>
      </c>
      <c r="F96" s="377" t="s">
        <v>836</v>
      </c>
      <c r="G96" s="377" t="s">
        <v>835</v>
      </c>
      <c r="H96" s="375">
        <v>1.3373468522655176</v>
      </c>
      <c r="I96" s="377"/>
      <c r="J96" s="96">
        <f t="shared" si="4"/>
        <v>1.3373468522655176</v>
      </c>
      <c r="K96" s="384">
        <v>1.4666886345461434</v>
      </c>
      <c r="L96" t="str">
        <f t="shared" si="5"/>
        <v>Australian Dollar</v>
      </c>
      <c r="M96" s="5"/>
      <c r="N96" s="5"/>
    </row>
    <row r="97" spans="1:12" x14ac:dyDescent="0.25">
      <c r="A97" t="str">
        <f t="shared" ca="1" si="3"/>
        <v>Korea (Democratic Peoples Republic)</v>
      </c>
      <c r="B97" s="373" t="s">
        <v>365</v>
      </c>
      <c r="C97" s="373" t="s">
        <v>366</v>
      </c>
      <c r="D97" s="373" t="s">
        <v>367</v>
      </c>
      <c r="E97" s="373" t="s">
        <v>368</v>
      </c>
      <c r="F97" s="376" t="s">
        <v>983</v>
      </c>
      <c r="G97" s="376" t="s">
        <v>982</v>
      </c>
      <c r="H97" s="375">
        <v>130.90762362860232</v>
      </c>
      <c r="I97" s="376"/>
      <c r="J97" s="96">
        <f t="shared" si="4"/>
        <v>130.90762362860232</v>
      </c>
      <c r="K97" s="384">
        <v>143.5683819992237</v>
      </c>
      <c r="L97" t="str">
        <f t="shared" si="5"/>
        <v>North Korean Won</v>
      </c>
    </row>
    <row r="98" spans="1:12" x14ac:dyDescent="0.25">
      <c r="A98" t="str">
        <f t="shared" ca="1" si="3"/>
        <v>Korea (Republic)</v>
      </c>
      <c r="B98" s="373" t="s">
        <v>369</v>
      </c>
      <c r="C98" s="373" t="s">
        <v>370</v>
      </c>
      <c r="D98" s="373" t="s">
        <v>371</v>
      </c>
      <c r="E98" s="373" t="s">
        <v>372</v>
      </c>
      <c r="F98" s="376" t="s">
        <v>985</v>
      </c>
      <c r="G98" s="376" t="s">
        <v>984</v>
      </c>
      <c r="H98" s="375">
        <v>1153.1353784625742</v>
      </c>
      <c r="I98" s="376"/>
      <c r="J98" s="96">
        <f t="shared" si="4"/>
        <v>1153.1353784625742</v>
      </c>
      <c r="K98" s="384">
        <v>1264.6611092844098</v>
      </c>
      <c r="L98" t="str">
        <f t="shared" si="5"/>
        <v>South Korean Won</v>
      </c>
    </row>
    <row r="99" spans="1:12" x14ac:dyDescent="0.25">
      <c r="A99" t="str">
        <f t="shared" ca="1" si="3"/>
        <v>Kosovo</v>
      </c>
      <c r="B99" s="373" t="s">
        <v>373</v>
      </c>
      <c r="C99" s="373" t="s">
        <v>373</v>
      </c>
      <c r="D99" s="373" t="s">
        <v>373</v>
      </c>
      <c r="E99" s="373" t="s">
        <v>374</v>
      </c>
      <c r="F99" s="376" t="s">
        <v>846</v>
      </c>
      <c r="G99" s="376" t="s">
        <v>20</v>
      </c>
      <c r="H99" s="375">
        <v>0.91181374203485954</v>
      </c>
      <c r="I99" s="376"/>
      <c r="J99" s="96">
        <f t="shared" si="4"/>
        <v>0.91181374203485954</v>
      </c>
      <c r="K99" s="384">
        <v>1</v>
      </c>
      <c r="L99" t="str">
        <f t="shared" si="5"/>
        <v>Euro</v>
      </c>
    </row>
    <row r="100" spans="1:12" x14ac:dyDescent="0.25">
      <c r="A100" t="str">
        <f t="shared" ca="1" si="3"/>
        <v>Kuwait</v>
      </c>
      <c r="B100" s="373" t="s">
        <v>375</v>
      </c>
      <c r="C100" s="373" t="s">
        <v>376</v>
      </c>
      <c r="D100" s="373" t="s">
        <v>375</v>
      </c>
      <c r="E100" s="373" t="s">
        <v>377</v>
      </c>
      <c r="F100" s="376" t="s">
        <v>987</v>
      </c>
      <c r="G100" s="376" t="s">
        <v>986</v>
      </c>
      <c r="H100" s="375">
        <v>0.3028993783047173</v>
      </c>
      <c r="I100" s="376"/>
      <c r="J100" s="96">
        <f t="shared" si="4"/>
        <v>0.3028993783047173</v>
      </c>
      <c r="K100" s="384">
        <v>0.33219435542696302</v>
      </c>
      <c r="L100" t="str">
        <f t="shared" si="5"/>
        <v>Kuwaiti Dinar</v>
      </c>
    </row>
    <row r="101" spans="1:12" x14ac:dyDescent="0.25">
      <c r="A101" t="str">
        <f t="shared" ca="1" si="3"/>
        <v>Kyrgyzstan</v>
      </c>
      <c r="B101" s="373" t="s">
        <v>378</v>
      </c>
      <c r="C101" s="373" t="s">
        <v>379</v>
      </c>
      <c r="D101" s="373" t="s">
        <v>380</v>
      </c>
      <c r="E101" s="373" t="s">
        <v>381</v>
      </c>
      <c r="F101" s="376" t="s">
        <v>977</v>
      </c>
      <c r="G101" s="376" t="s">
        <v>976</v>
      </c>
      <c r="H101" s="375">
        <v>68.940942958866486</v>
      </c>
      <c r="I101" s="376"/>
      <c r="J101" s="96">
        <f t="shared" si="4"/>
        <v>68.940942958866486</v>
      </c>
      <c r="K101" s="384">
        <v>75.608580766740417</v>
      </c>
      <c r="L101" t="str">
        <f t="shared" si="5"/>
        <v>Kyrgyzstani Som</v>
      </c>
    </row>
    <row r="102" spans="1:12" x14ac:dyDescent="0.25">
      <c r="A102" t="str">
        <f t="shared" ca="1" si="3"/>
        <v>Lao (Peoples Democratic Republic)</v>
      </c>
      <c r="B102" s="373" t="s">
        <v>382</v>
      </c>
      <c r="C102" s="373" t="s">
        <v>383</v>
      </c>
      <c r="D102" s="373" t="s">
        <v>384</v>
      </c>
      <c r="E102" s="373" t="s">
        <v>385</v>
      </c>
      <c r="F102" s="376" t="s">
        <v>993</v>
      </c>
      <c r="G102" s="376" t="s">
        <v>992</v>
      </c>
      <c r="H102" s="375">
        <v>8135.7426389486272</v>
      </c>
      <c r="I102" s="376"/>
      <c r="J102" s="96">
        <f t="shared" si="4"/>
        <v>8135.7426389486272</v>
      </c>
      <c r="K102" s="384">
        <v>8922.5927005579051</v>
      </c>
      <c r="L102" t="str">
        <f t="shared" si="5"/>
        <v>Lao Kip</v>
      </c>
    </row>
    <row r="103" spans="1:12" x14ac:dyDescent="0.25">
      <c r="A103" t="str">
        <f t="shared" ca="1" si="3"/>
        <v>Latvia</v>
      </c>
      <c r="B103" s="373" t="s">
        <v>386</v>
      </c>
      <c r="C103" s="373" t="s">
        <v>387</v>
      </c>
      <c r="D103" s="373" t="s">
        <v>388</v>
      </c>
      <c r="E103" s="373" t="s">
        <v>389</v>
      </c>
      <c r="F103" s="376" t="s">
        <v>1004</v>
      </c>
      <c r="G103" s="376" t="s">
        <v>1003</v>
      </c>
      <c r="H103" s="375" t="e">
        <v>#N/A</v>
      </c>
      <c r="I103" s="376"/>
      <c r="J103" s="96" t="e">
        <f t="shared" si="4"/>
        <v>#N/A</v>
      </c>
      <c r="K103" s="384" t="e">
        <v>#N/A</v>
      </c>
      <c r="L103" t="str">
        <f t="shared" si="5"/>
        <v>Latvian Lats</v>
      </c>
    </row>
    <row r="104" spans="1:12" x14ac:dyDescent="0.25">
      <c r="A104" t="str">
        <f t="shared" ca="1" si="3"/>
        <v>Lebanon</v>
      </c>
      <c r="B104" s="373" t="s">
        <v>390</v>
      </c>
      <c r="C104" s="373" t="s">
        <v>391</v>
      </c>
      <c r="D104" s="373" t="s">
        <v>392</v>
      </c>
      <c r="E104" s="373" t="s">
        <v>393</v>
      </c>
      <c r="F104" s="376" t="s">
        <v>995</v>
      </c>
      <c r="G104" s="376" t="s">
        <v>994</v>
      </c>
      <c r="H104" s="375">
        <v>1507.6836578225627</v>
      </c>
      <c r="I104" s="376"/>
      <c r="J104" s="96">
        <f t="shared" si="4"/>
        <v>1507.6836578225627</v>
      </c>
      <c r="K104" s="384">
        <v>1653.4996001024545</v>
      </c>
      <c r="L104" t="str">
        <f t="shared" si="5"/>
        <v>Lebanese Lira</v>
      </c>
    </row>
    <row r="105" spans="1:12" x14ac:dyDescent="0.25">
      <c r="A105" t="str">
        <f t="shared" ca="1" si="3"/>
        <v>Lesotho</v>
      </c>
      <c r="B105" s="373" t="s">
        <v>394</v>
      </c>
      <c r="C105" s="373" t="s">
        <v>394</v>
      </c>
      <c r="D105" s="373" t="s">
        <v>395</v>
      </c>
      <c r="E105" s="373" t="s">
        <v>396</v>
      </c>
      <c r="F105" s="376" t="s">
        <v>1001</v>
      </c>
      <c r="G105" s="376" t="s">
        <v>1000</v>
      </c>
      <c r="H105" s="375">
        <v>14.194328546903202</v>
      </c>
      <c r="I105" s="376"/>
      <c r="J105" s="96">
        <f t="shared" si="4"/>
        <v>14.194328546903202</v>
      </c>
      <c r="K105" s="384">
        <v>15.567136019716337</v>
      </c>
      <c r="L105" t="str">
        <f t="shared" si="5"/>
        <v>Lesotho Loti</v>
      </c>
    </row>
    <row r="106" spans="1:12" x14ac:dyDescent="0.25">
      <c r="A106" t="str">
        <f t="shared" ca="1" si="3"/>
        <v>Liberia</v>
      </c>
      <c r="B106" s="373" t="s">
        <v>397</v>
      </c>
      <c r="C106" s="373" t="s">
        <v>398</v>
      </c>
      <c r="D106" s="373" t="s">
        <v>397</v>
      </c>
      <c r="E106" s="373" t="s">
        <v>399</v>
      </c>
      <c r="F106" s="376" t="s">
        <v>999</v>
      </c>
      <c r="G106" s="376" t="s">
        <v>998</v>
      </c>
      <c r="H106" s="375">
        <v>92.512428015176738</v>
      </c>
      <c r="I106" s="376"/>
      <c r="J106" s="96">
        <f t="shared" si="4"/>
        <v>92.512428015176738</v>
      </c>
      <c r="K106" s="384">
        <v>101.45978696122776</v>
      </c>
      <c r="L106" t="str">
        <f t="shared" si="5"/>
        <v>Liberian Dollar</v>
      </c>
    </row>
    <row r="107" spans="1:12" x14ac:dyDescent="0.25">
      <c r="A107" t="str">
        <f t="shared" ca="1" si="3"/>
        <v>Libyan Arab Jamahiriya</v>
      </c>
      <c r="B107" s="373" t="s">
        <v>400</v>
      </c>
      <c r="C107" s="373" t="s">
        <v>401</v>
      </c>
      <c r="D107" s="373" t="s">
        <v>402</v>
      </c>
      <c r="E107" s="373" t="s">
        <v>403</v>
      </c>
      <c r="F107" s="376" t="s">
        <v>1006</v>
      </c>
      <c r="G107" s="376" t="s">
        <v>1005</v>
      </c>
      <c r="H107" s="375">
        <v>1.3959914906783053</v>
      </c>
      <c r="I107" s="376"/>
      <c r="J107" s="96">
        <f t="shared" si="4"/>
        <v>1.3959914906783053</v>
      </c>
      <c r="K107" s="384">
        <v>1.5310051015056265</v>
      </c>
      <c r="L107" t="str">
        <f t="shared" si="5"/>
        <v>Libyan Dinar</v>
      </c>
    </row>
    <row r="108" spans="1:12" x14ac:dyDescent="0.25">
      <c r="A108" t="str">
        <f t="shared" ca="1" si="3"/>
        <v>Liechtenstein</v>
      </c>
      <c r="B108" s="373" t="s">
        <v>404</v>
      </c>
      <c r="C108" s="373" t="s">
        <v>404</v>
      </c>
      <c r="D108" s="373" t="s">
        <v>404</v>
      </c>
      <c r="E108" s="373" t="s">
        <v>405</v>
      </c>
      <c r="F108" s="376" t="s">
        <v>837</v>
      </c>
      <c r="G108" s="376" t="s">
        <v>288</v>
      </c>
      <c r="H108" s="375">
        <v>0.98927133266251865</v>
      </c>
      <c r="I108" s="376"/>
      <c r="J108" s="96">
        <f t="shared" si="4"/>
        <v>0.98927133266251865</v>
      </c>
      <c r="K108" s="384">
        <v>1.0849489178072707</v>
      </c>
      <c r="L108" t="str">
        <f t="shared" si="5"/>
        <v>Swiss Franc</v>
      </c>
    </row>
    <row r="109" spans="1:12" x14ac:dyDescent="0.25">
      <c r="A109" t="str">
        <f t="shared" ca="1" si="3"/>
        <v>Lithuania</v>
      </c>
      <c r="B109" s="373" t="s">
        <v>406</v>
      </c>
      <c r="C109" s="373" t="s">
        <v>407</v>
      </c>
      <c r="D109" s="373" t="s">
        <v>408</v>
      </c>
      <c r="E109" s="373" t="s">
        <v>409</v>
      </c>
      <c r="F109" s="376" t="s">
        <v>1002</v>
      </c>
      <c r="G109" s="376" t="s">
        <v>52</v>
      </c>
      <c r="H109" s="375" t="e">
        <v>#N/A</v>
      </c>
      <c r="I109" s="376"/>
      <c r="J109" s="96" t="e">
        <f t="shared" si="4"/>
        <v>#N/A</v>
      </c>
      <c r="K109" s="384" t="e">
        <v>#N/A</v>
      </c>
      <c r="L109" t="str">
        <f t="shared" si="5"/>
        <v>Lithuanian Litas</v>
      </c>
    </row>
    <row r="110" spans="1:12" x14ac:dyDescent="0.25">
      <c r="A110" t="str">
        <f t="shared" ca="1" si="3"/>
        <v>Luxembourg</v>
      </c>
      <c r="B110" s="373" t="s">
        <v>410</v>
      </c>
      <c r="C110" s="373" t="s">
        <v>410</v>
      </c>
      <c r="D110" s="373" t="s">
        <v>411</v>
      </c>
      <c r="E110" s="373" t="s">
        <v>412</v>
      </c>
      <c r="F110" s="376" t="s">
        <v>846</v>
      </c>
      <c r="G110" s="376" t="s">
        <v>20</v>
      </c>
      <c r="H110" s="375">
        <v>0.91181374203485954</v>
      </c>
      <c r="I110" s="376"/>
      <c r="J110" s="96">
        <f t="shared" si="4"/>
        <v>0.91181374203485954</v>
      </c>
      <c r="K110" s="384">
        <v>1</v>
      </c>
      <c r="L110" t="str">
        <f t="shared" si="5"/>
        <v>Euro</v>
      </c>
    </row>
    <row r="111" spans="1:12" x14ac:dyDescent="0.25">
      <c r="A111" t="str">
        <f t="shared" ca="1" si="3"/>
        <v>Macao</v>
      </c>
      <c r="B111" s="373" t="s">
        <v>413</v>
      </c>
      <c r="C111" s="373" t="s">
        <v>413</v>
      </c>
      <c r="D111" s="373" t="s">
        <v>413</v>
      </c>
      <c r="E111" s="373" t="s">
        <v>414</v>
      </c>
      <c r="F111" s="376" t="s">
        <v>1020</v>
      </c>
      <c r="G111" s="376" t="s">
        <v>1019</v>
      </c>
      <c r="H111" s="375">
        <v>7.9916639136390044</v>
      </c>
      <c r="I111" s="376"/>
      <c r="J111" s="96">
        <f t="shared" si="4"/>
        <v>7.9916639136390044</v>
      </c>
      <c r="K111" s="384">
        <v>8.7645793710065352</v>
      </c>
      <c r="L111" t="str">
        <f t="shared" si="5"/>
        <v>Macanese Pataca</v>
      </c>
    </row>
    <row r="112" spans="1:12" x14ac:dyDescent="0.25">
      <c r="A112" t="str">
        <f t="shared" ca="1" si="3"/>
        <v>Macedonia (Former Yugoslav Republic)</v>
      </c>
      <c r="B112" s="373" t="s">
        <v>415</v>
      </c>
      <c r="C112" s="373" t="s">
        <v>416</v>
      </c>
      <c r="D112" s="373" t="s">
        <v>417</v>
      </c>
      <c r="E112" s="373" t="s">
        <v>418</v>
      </c>
      <c r="F112" s="376" t="s">
        <v>1014</v>
      </c>
      <c r="G112" s="376" t="s">
        <v>1013</v>
      </c>
      <c r="H112" s="375">
        <v>56.149970813070233</v>
      </c>
      <c r="I112" s="376"/>
      <c r="J112" s="96">
        <f t="shared" si="4"/>
        <v>56.149970813070233</v>
      </c>
      <c r="K112" s="384">
        <v>61.580527057820504</v>
      </c>
      <c r="L112" t="str">
        <f t="shared" si="5"/>
        <v>Denar</v>
      </c>
    </row>
    <row r="113" spans="1:12" x14ac:dyDescent="0.25">
      <c r="A113" t="str">
        <f t="shared" ca="1" si="3"/>
        <v>Madagascar</v>
      </c>
      <c r="B113" s="373" t="s">
        <v>419</v>
      </c>
      <c r="C113" s="373" t="s">
        <v>419</v>
      </c>
      <c r="D113" s="373" t="s">
        <v>419</v>
      </c>
      <c r="E113" s="373" t="s">
        <v>420</v>
      </c>
      <c r="F113" s="376" t="s">
        <v>1012</v>
      </c>
      <c r="G113" s="376" t="s">
        <v>1011</v>
      </c>
      <c r="H113" s="375">
        <v>3191.8966761187339</v>
      </c>
      <c r="I113" s="376"/>
      <c r="J113" s="96">
        <f t="shared" si="4"/>
        <v>3191.8966761187339</v>
      </c>
      <c r="K113" s="384">
        <v>3500.6016349298502</v>
      </c>
      <c r="L113" t="str">
        <f t="shared" si="5"/>
        <v>Malagasy Ariary</v>
      </c>
    </row>
    <row r="114" spans="1:12" x14ac:dyDescent="0.25">
      <c r="A114" t="str">
        <f t="shared" ca="1" si="3"/>
        <v>Malawi</v>
      </c>
      <c r="B114" s="373" t="s">
        <v>421</v>
      </c>
      <c r="C114" s="373" t="s">
        <v>421</v>
      </c>
      <c r="D114" s="373" t="s">
        <v>421</v>
      </c>
      <c r="E114" s="373" t="s">
        <v>422</v>
      </c>
      <c r="F114" s="376" t="s">
        <v>1028</v>
      </c>
      <c r="G114" s="376" t="s">
        <v>1027</v>
      </c>
      <c r="H114" s="375">
        <v>700.48141106267667</v>
      </c>
      <c r="I114" s="376"/>
      <c r="J114" s="96">
        <f t="shared" si="4"/>
        <v>700.48141106267667</v>
      </c>
      <c r="K114" s="384">
        <v>768.22861815993178</v>
      </c>
      <c r="L114" t="str">
        <f t="shared" si="5"/>
        <v>Malawian Kwacha</v>
      </c>
    </row>
    <row r="115" spans="1:12" x14ac:dyDescent="0.25">
      <c r="A115" t="str">
        <f t="shared" ca="1" si="3"/>
        <v>Malaysia</v>
      </c>
      <c r="B115" s="373" t="s">
        <v>423</v>
      </c>
      <c r="C115" s="373" t="s">
        <v>424</v>
      </c>
      <c r="D115" s="373" t="s">
        <v>425</v>
      </c>
      <c r="E115" s="373" t="s">
        <v>426</v>
      </c>
      <c r="F115" s="376" t="s">
        <v>1032</v>
      </c>
      <c r="G115" s="376" t="s">
        <v>1031</v>
      </c>
      <c r="H115" s="375">
        <v>4.1997635742670338</v>
      </c>
      <c r="I115" s="376"/>
      <c r="J115" s="96">
        <f t="shared" si="4"/>
        <v>4.1997635742670338</v>
      </c>
      <c r="K115" s="384">
        <v>4.6059445922525617</v>
      </c>
      <c r="L115" t="str">
        <f t="shared" si="5"/>
        <v>Malaysian Ringgit</v>
      </c>
    </row>
    <row r="116" spans="1:12" x14ac:dyDescent="0.25">
      <c r="A116" t="str">
        <f t="shared" ca="1" si="3"/>
        <v>Maldives</v>
      </c>
      <c r="B116" s="373" t="s">
        <v>427</v>
      </c>
      <c r="C116" s="373" t="s">
        <v>427</v>
      </c>
      <c r="D116" s="373" t="s">
        <v>428</v>
      </c>
      <c r="E116" s="373" t="s">
        <v>429</v>
      </c>
      <c r="F116" s="376" t="s">
        <v>1026</v>
      </c>
      <c r="G116" s="376" t="s">
        <v>1025</v>
      </c>
      <c r="H116" s="375">
        <v>15.35598039681609</v>
      </c>
      <c r="I116" s="376"/>
      <c r="J116" s="96">
        <f t="shared" si="4"/>
        <v>15.35598039681609</v>
      </c>
      <c r="K116" s="384">
        <v>16.84113727277979</v>
      </c>
      <c r="L116" t="str">
        <f t="shared" si="5"/>
        <v>Maldivian Rufiyaa</v>
      </c>
    </row>
    <row r="117" spans="1:12" x14ac:dyDescent="0.25">
      <c r="A117" t="str">
        <f t="shared" ca="1" si="3"/>
        <v>Mali</v>
      </c>
      <c r="B117" s="373" t="s">
        <v>430</v>
      </c>
      <c r="C117" s="373" t="s">
        <v>430</v>
      </c>
      <c r="D117" s="373" t="s">
        <v>431</v>
      </c>
      <c r="E117" s="373" t="s">
        <v>432</v>
      </c>
      <c r="F117" s="376" t="s">
        <v>1128</v>
      </c>
      <c r="G117" s="376" t="s">
        <v>1131</v>
      </c>
      <c r="H117" s="375">
        <v>602.45743376366283</v>
      </c>
      <c r="I117" s="376"/>
      <c r="J117" s="96">
        <f t="shared" si="4"/>
        <v>602.45743376366283</v>
      </c>
      <c r="K117" s="384">
        <v>655.95699999999999</v>
      </c>
      <c r="L117" t="str">
        <f t="shared" si="5"/>
        <v>CFA Franc</v>
      </c>
    </row>
    <row r="118" spans="1:12" x14ac:dyDescent="0.25">
      <c r="A118" t="str">
        <f t="shared" ca="1" si="3"/>
        <v>Malta</v>
      </c>
      <c r="B118" s="373" t="s">
        <v>433</v>
      </c>
      <c r="C118" s="373" t="s">
        <v>434</v>
      </c>
      <c r="D118" s="373" t="s">
        <v>433</v>
      </c>
      <c r="E118" s="373" t="s">
        <v>435</v>
      </c>
      <c r="F118" s="376" t="s">
        <v>846</v>
      </c>
      <c r="G118" s="376" t="s">
        <v>20</v>
      </c>
      <c r="H118" s="375">
        <v>0.91181374203485954</v>
      </c>
      <c r="I118" s="376"/>
      <c r="J118" s="96">
        <f t="shared" si="4"/>
        <v>0.91181374203485954</v>
      </c>
      <c r="K118" s="384">
        <v>1</v>
      </c>
      <c r="L118" t="str">
        <f t="shared" si="5"/>
        <v>Euro</v>
      </c>
    </row>
    <row r="119" spans="1:12" x14ac:dyDescent="0.25">
      <c r="A119" t="str">
        <f t="shared" ca="1" si="3"/>
        <v>Mauritania</v>
      </c>
      <c r="B119" s="373" t="s">
        <v>436</v>
      </c>
      <c r="C119" s="373" t="s">
        <v>437</v>
      </c>
      <c r="D119" s="373" t="s">
        <v>436</v>
      </c>
      <c r="E119" s="373" t="s">
        <v>438</v>
      </c>
      <c r="F119" s="376" t="s">
        <v>1022</v>
      </c>
      <c r="G119" s="376" t="s">
        <v>1021</v>
      </c>
      <c r="H119" s="375">
        <v>352.12092087565247</v>
      </c>
      <c r="I119" s="376"/>
      <c r="J119" s="96">
        <f t="shared" si="4"/>
        <v>352.12092087565247</v>
      </c>
      <c r="K119" s="384">
        <v>386.17636984702358</v>
      </c>
      <c r="L119" t="str">
        <f t="shared" si="5"/>
        <v>Mauritanian Ouguiya</v>
      </c>
    </row>
    <row r="120" spans="1:12" x14ac:dyDescent="0.25">
      <c r="A120" t="str">
        <f t="shared" ca="1" si="3"/>
        <v>Mauritius</v>
      </c>
      <c r="B120" s="373" t="s">
        <v>439</v>
      </c>
      <c r="C120" s="373" t="s">
        <v>440</v>
      </c>
      <c r="D120" s="373" t="s">
        <v>441</v>
      </c>
      <c r="E120" s="373" t="s">
        <v>442</v>
      </c>
      <c r="F120" s="376" t="s">
        <v>1024</v>
      </c>
      <c r="G120" s="376" t="s">
        <v>1023</v>
      </c>
      <c r="H120" s="375">
        <v>35.571385236482342</v>
      </c>
      <c r="I120" s="376"/>
      <c r="J120" s="96">
        <f t="shared" si="4"/>
        <v>35.571385236482342</v>
      </c>
      <c r="K120" s="384">
        <v>39.011679246135351</v>
      </c>
      <c r="L120" t="str">
        <f t="shared" si="5"/>
        <v>Mauritian Rupee</v>
      </c>
    </row>
    <row r="121" spans="1:12" x14ac:dyDescent="0.25">
      <c r="A121" t="str">
        <f t="shared" ca="1" si="3"/>
        <v>Mexico</v>
      </c>
      <c r="B121" s="373" t="s">
        <v>443</v>
      </c>
      <c r="C121" s="373" t="s">
        <v>444</v>
      </c>
      <c r="D121" s="373" t="s">
        <v>445</v>
      </c>
      <c r="E121" s="373" t="s">
        <v>446</v>
      </c>
      <c r="F121" s="376" t="s">
        <v>1030</v>
      </c>
      <c r="G121" s="376" t="s">
        <v>1029</v>
      </c>
      <c r="H121" s="375">
        <v>19.034050747468761</v>
      </c>
      <c r="I121" s="376"/>
      <c r="J121" s="96">
        <f t="shared" si="4"/>
        <v>19.034050747468761</v>
      </c>
      <c r="K121" s="384">
        <v>20.874932971498328</v>
      </c>
      <c r="L121" t="str">
        <f t="shared" si="5"/>
        <v>Mexican Peso</v>
      </c>
    </row>
    <row r="122" spans="1:12" x14ac:dyDescent="0.25">
      <c r="A122" t="str">
        <f t="shared" ca="1" si="3"/>
        <v>Micronesia (Federated States)</v>
      </c>
      <c r="B122" s="373" t="s">
        <v>447</v>
      </c>
      <c r="C122" s="373" t="s">
        <v>448</v>
      </c>
      <c r="D122" s="373" t="s">
        <v>449</v>
      </c>
      <c r="E122" s="373" t="s">
        <v>450</v>
      </c>
      <c r="F122" s="376" t="s">
        <v>1115</v>
      </c>
      <c r="G122" s="376" t="s">
        <v>8</v>
      </c>
      <c r="H122" s="375">
        <v>1</v>
      </c>
      <c r="I122" s="376"/>
      <c r="J122" s="96">
        <f t="shared" si="4"/>
        <v>1</v>
      </c>
      <c r="K122" s="384">
        <v>1.0967152104642979</v>
      </c>
      <c r="L122" t="str">
        <f t="shared" si="5"/>
        <v>United States Dollar</v>
      </c>
    </row>
    <row r="123" spans="1:12" x14ac:dyDescent="0.25">
      <c r="A123" t="str">
        <f t="shared" ca="1" si="3"/>
        <v>Moldova</v>
      </c>
      <c r="B123" s="373" t="s">
        <v>451</v>
      </c>
      <c r="C123" s="373" t="s">
        <v>452</v>
      </c>
      <c r="D123" s="373" t="s">
        <v>453</v>
      </c>
      <c r="E123" s="373" t="s">
        <v>454</v>
      </c>
      <c r="F123" s="376" t="s">
        <v>1010</v>
      </c>
      <c r="G123" s="376" t="s">
        <v>1009</v>
      </c>
      <c r="H123" s="375">
        <v>19.847615203448036</v>
      </c>
      <c r="I123" s="376"/>
      <c r="J123" s="96">
        <f t="shared" si="4"/>
        <v>19.847615203448036</v>
      </c>
      <c r="K123" s="384">
        <v>21.767181485063912</v>
      </c>
      <c r="L123" t="str">
        <f t="shared" si="5"/>
        <v>Moldovan Leu</v>
      </c>
    </row>
    <row r="124" spans="1:12" x14ac:dyDescent="0.25">
      <c r="A124" t="str">
        <f t="shared" ca="1" si="3"/>
        <v>Monaco</v>
      </c>
      <c r="B124" s="373" t="s">
        <v>455</v>
      </c>
      <c r="C124" s="373" t="s">
        <v>455</v>
      </c>
      <c r="D124" s="373" t="s">
        <v>456</v>
      </c>
      <c r="E124" s="373" t="s">
        <v>457</v>
      </c>
      <c r="F124" s="376" t="s">
        <v>846</v>
      </c>
      <c r="G124" s="376" t="s">
        <v>20</v>
      </c>
      <c r="H124" s="375">
        <v>0.91181374203485954</v>
      </c>
      <c r="I124" s="376"/>
      <c r="J124" s="96">
        <f t="shared" si="4"/>
        <v>0.91181374203485954</v>
      </c>
      <c r="K124" s="384">
        <v>1</v>
      </c>
      <c r="L124" t="str">
        <f t="shared" si="5"/>
        <v>Euro</v>
      </c>
    </row>
    <row r="125" spans="1:12" x14ac:dyDescent="0.25">
      <c r="A125" t="str">
        <f t="shared" ca="1" si="3"/>
        <v>Mongolia</v>
      </c>
      <c r="B125" s="373" t="s">
        <v>458</v>
      </c>
      <c r="C125" s="373" t="s">
        <v>459</v>
      </c>
      <c r="D125" s="373" t="s">
        <v>458</v>
      </c>
      <c r="E125" s="373" t="s">
        <v>460</v>
      </c>
      <c r="F125" s="376" t="s">
        <v>1018</v>
      </c>
      <c r="G125" s="376" t="s">
        <v>1017</v>
      </c>
      <c r="H125" s="375">
        <v>2242.625776274991</v>
      </c>
      <c r="I125" s="376"/>
      <c r="J125" s="96">
        <f t="shared" si="4"/>
        <v>2242.625776274991</v>
      </c>
      <c r="K125" s="384">
        <v>2459.5218002200863</v>
      </c>
      <c r="L125" t="str">
        <f t="shared" si="5"/>
        <v>Mongolian Tugrik</v>
      </c>
    </row>
    <row r="126" spans="1:12" x14ac:dyDescent="0.25">
      <c r="A126" t="str">
        <f t="shared" ca="1" si="3"/>
        <v>Montenegro</v>
      </c>
      <c r="B126" s="373" t="s">
        <v>461</v>
      </c>
      <c r="C126" s="373" t="s">
        <v>462</v>
      </c>
      <c r="D126" s="373" t="s">
        <v>461</v>
      </c>
      <c r="E126" s="373" t="s">
        <v>463</v>
      </c>
      <c r="F126" s="376" t="s">
        <v>846</v>
      </c>
      <c r="G126" s="376" t="s">
        <v>20</v>
      </c>
      <c r="H126" s="375">
        <v>0.91181374203485954</v>
      </c>
      <c r="I126" s="376"/>
      <c r="J126" s="96">
        <f t="shared" si="4"/>
        <v>0.91181374203485954</v>
      </c>
      <c r="K126" s="384">
        <v>1</v>
      </c>
      <c r="L126" t="str">
        <f t="shared" si="5"/>
        <v>Euro</v>
      </c>
    </row>
    <row r="127" spans="1:12" x14ac:dyDescent="0.25">
      <c r="A127" t="str">
        <f t="shared" ca="1" si="3"/>
        <v>Montserrat</v>
      </c>
      <c r="B127" s="373" t="s">
        <v>464</v>
      </c>
      <c r="C127" s="373" t="s">
        <v>464</v>
      </c>
      <c r="D127" s="373" t="s">
        <v>464</v>
      </c>
      <c r="E127" s="373" t="s">
        <v>465</v>
      </c>
      <c r="F127" s="376" t="s">
        <v>1130</v>
      </c>
      <c r="G127" s="376" t="s">
        <v>1129</v>
      </c>
      <c r="H127" s="375">
        <v>2.7091519205320296</v>
      </c>
      <c r="I127" s="376"/>
      <c r="J127" s="96">
        <f t="shared" si="4"/>
        <v>2.7091519205320296</v>
      </c>
      <c r="K127" s="384">
        <v>2.9711681187060415</v>
      </c>
      <c r="L127" t="str">
        <f t="shared" si="5"/>
        <v>East Caribbean Dollar</v>
      </c>
    </row>
    <row r="128" spans="1:12" x14ac:dyDescent="0.25">
      <c r="A128" t="str">
        <f t="shared" ca="1" si="3"/>
        <v>Morocco</v>
      </c>
      <c r="B128" s="373" t="s">
        <v>466</v>
      </c>
      <c r="C128" s="373" t="s">
        <v>467</v>
      </c>
      <c r="D128" s="373" t="s">
        <v>468</v>
      </c>
      <c r="E128" s="373" t="s">
        <v>469</v>
      </c>
      <c r="F128" s="376" t="s">
        <v>1008</v>
      </c>
      <c r="G128" s="376" t="s">
        <v>1007</v>
      </c>
      <c r="H128" s="375">
        <v>9.8598106388048556</v>
      </c>
      <c r="I128" s="376"/>
      <c r="J128" s="96">
        <f t="shared" si="4"/>
        <v>9.8598106388048556</v>
      </c>
      <c r="K128" s="384">
        <v>10.813404299874991</v>
      </c>
      <c r="L128" t="str">
        <f t="shared" si="5"/>
        <v>Moroccan Dirham</v>
      </c>
    </row>
    <row r="129" spans="1:14" x14ac:dyDescent="0.25">
      <c r="A129" t="str">
        <f t="shared" ca="1" si="3"/>
        <v>Mozambique</v>
      </c>
      <c r="B129" s="373" t="s">
        <v>470</v>
      </c>
      <c r="C129" s="373" t="s">
        <v>470</v>
      </c>
      <c r="D129" s="373" t="s">
        <v>470</v>
      </c>
      <c r="E129" s="373" t="s">
        <v>471</v>
      </c>
      <c r="F129" s="376" t="s">
        <v>1033</v>
      </c>
      <c r="G129" s="378" t="s">
        <v>1801</v>
      </c>
      <c r="H129" s="375">
        <v>67.200844425182666</v>
      </c>
      <c r="I129" s="378"/>
      <c r="J129" s="96">
        <f t="shared" si="4"/>
        <v>67.200844425182666</v>
      </c>
      <c r="K129" s="384">
        <v>73.70018823714274</v>
      </c>
      <c r="L129" t="str">
        <f t="shared" si="5"/>
        <v>Mozambican Metical</v>
      </c>
    </row>
    <row r="130" spans="1:14" x14ac:dyDescent="0.25">
      <c r="A130" t="str">
        <f t="shared" ref="A130:A193" ca="1" si="6">OFFSET(B130,0,LangOffset,1,1)</f>
        <v>Myanmar</v>
      </c>
      <c r="B130" s="373" t="s">
        <v>472</v>
      </c>
      <c r="C130" s="373" t="s">
        <v>472</v>
      </c>
      <c r="D130" s="373" t="s">
        <v>472</v>
      </c>
      <c r="E130" s="373" t="s">
        <v>473</v>
      </c>
      <c r="F130" s="376" t="s">
        <v>1016</v>
      </c>
      <c r="G130" s="376" t="s">
        <v>1015</v>
      </c>
      <c r="H130" s="375">
        <v>1258.8339541346836</v>
      </c>
      <c r="I130" s="376"/>
      <c r="J130" s="96">
        <f t="shared" si="4"/>
        <v>1258.8339541346836</v>
      </c>
      <c r="K130" s="384">
        <v>1380.582344948424</v>
      </c>
      <c r="L130" t="str">
        <f t="shared" si="5"/>
        <v>Myanma Kyat</v>
      </c>
    </row>
    <row r="131" spans="1:14" x14ac:dyDescent="0.25">
      <c r="A131" t="str">
        <f t="shared" ca="1" si="6"/>
        <v>Namibia</v>
      </c>
      <c r="B131" s="373" t="s">
        <v>474</v>
      </c>
      <c r="C131" s="373" t="s">
        <v>475</v>
      </c>
      <c r="D131" s="373" t="s">
        <v>474</v>
      </c>
      <c r="E131" s="373" t="s">
        <v>476</v>
      </c>
      <c r="F131" s="376" t="s">
        <v>1035</v>
      </c>
      <c r="G131" s="376" t="s">
        <v>1034</v>
      </c>
      <c r="H131" s="375">
        <v>14.182755532294555</v>
      </c>
      <c r="I131" s="376"/>
      <c r="J131" s="96">
        <f t="shared" ref="J131:J194" si="7">H131</f>
        <v>14.182755532294555</v>
      </c>
      <c r="K131" s="384">
        <v>15.554443718564109</v>
      </c>
      <c r="L131" t="str">
        <f t="shared" ref="L131:L194" si="8">F131</f>
        <v>Namibian Dollar</v>
      </c>
    </row>
    <row r="132" spans="1:14" x14ac:dyDescent="0.25">
      <c r="A132" t="str">
        <f t="shared" ca="1" si="6"/>
        <v>Nauru</v>
      </c>
      <c r="B132" s="373" t="s">
        <v>477</v>
      </c>
      <c r="C132" s="373" t="s">
        <v>477</v>
      </c>
      <c r="D132" s="373" t="s">
        <v>477</v>
      </c>
      <c r="E132" s="373" t="s">
        <v>478</v>
      </c>
      <c r="F132" s="377" t="s">
        <v>836</v>
      </c>
      <c r="G132" s="377" t="s">
        <v>835</v>
      </c>
      <c r="H132" s="375">
        <v>1.3373468522655176</v>
      </c>
      <c r="I132" s="377"/>
      <c r="J132" s="96">
        <f t="shared" si="7"/>
        <v>1.3373468522655176</v>
      </c>
      <c r="K132" s="384">
        <v>1.4666886345461434</v>
      </c>
      <c r="L132" t="str">
        <f t="shared" si="8"/>
        <v>Australian Dollar</v>
      </c>
      <c r="M132" s="5"/>
      <c r="N132" s="5"/>
    </row>
    <row r="133" spans="1:14" x14ac:dyDescent="0.25">
      <c r="A133" t="str">
        <f t="shared" ca="1" si="6"/>
        <v>Nepal</v>
      </c>
      <c r="B133" s="373" t="s">
        <v>479</v>
      </c>
      <c r="C133" s="373" t="s">
        <v>480</v>
      </c>
      <c r="D133" s="373" t="s">
        <v>479</v>
      </c>
      <c r="E133" s="373" t="s">
        <v>481</v>
      </c>
      <c r="F133" s="376" t="s">
        <v>1042</v>
      </c>
      <c r="G133" s="376" t="s">
        <v>1041</v>
      </c>
      <c r="H133" s="375">
        <v>107.3746067667455</v>
      </c>
      <c r="I133" s="376"/>
      <c r="J133" s="96">
        <f t="shared" si="7"/>
        <v>107.3746067667455</v>
      </c>
      <c r="K133" s="384">
        <v>117.75936445871251</v>
      </c>
      <c r="L133" t="str">
        <f t="shared" si="8"/>
        <v>Nepalese Rupee</v>
      </c>
    </row>
    <row r="134" spans="1:14" x14ac:dyDescent="0.25">
      <c r="A134" t="str">
        <f t="shared" ca="1" si="6"/>
        <v>Netherlands</v>
      </c>
      <c r="B134" s="373" t="s">
        <v>482</v>
      </c>
      <c r="C134" s="373" t="s">
        <v>483</v>
      </c>
      <c r="D134" s="373" t="s">
        <v>484</v>
      </c>
      <c r="E134" s="373" t="s">
        <v>485</v>
      </c>
      <c r="F134" s="376" t="s">
        <v>846</v>
      </c>
      <c r="G134" s="376" t="s">
        <v>20</v>
      </c>
      <c r="H134" s="375">
        <v>0.91181374203485954</v>
      </c>
      <c r="I134" s="376"/>
      <c r="J134" s="96">
        <f t="shared" si="7"/>
        <v>0.91181374203485954</v>
      </c>
      <c r="K134" s="384">
        <v>1</v>
      </c>
      <c r="L134" t="str">
        <f t="shared" si="8"/>
        <v>Euro</v>
      </c>
    </row>
    <row r="135" spans="1:14" x14ac:dyDescent="0.25">
      <c r="A135" t="str">
        <f t="shared" ca="1" si="6"/>
        <v>Netherlands Antilles</v>
      </c>
      <c r="B135" s="373" t="s">
        <v>486</v>
      </c>
      <c r="C135" s="373" t="s">
        <v>487</v>
      </c>
      <c r="D135" s="373" t="s">
        <v>488</v>
      </c>
      <c r="E135" s="373" t="s">
        <v>489</v>
      </c>
      <c r="F135" s="377" t="s">
        <v>862</v>
      </c>
      <c r="G135" s="377" t="s">
        <v>861</v>
      </c>
      <c r="H135" s="375">
        <v>1.780790449041024</v>
      </c>
      <c r="I135" s="377"/>
      <c r="J135" s="96">
        <f t="shared" si="7"/>
        <v>1.780790449041024</v>
      </c>
      <c r="K135" s="384">
        <v>1.9530199721128383</v>
      </c>
      <c r="L135" t="str">
        <f t="shared" si="8"/>
        <v>Netherlands Antillean Gulden</v>
      </c>
    </row>
    <row r="136" spans="1:14" x14ac:dyDescent="0.25">
      <c r="A136" t="str">
        <f t="shared" ca="1" si="6"/>
        <v>New Caledonia</v>
      </c>
      <c r="B136" s="373" t="s">
        <v>490</v>
      </c>
      <c r="C136" s="373" t="s">
        <v>491</v>
      </c>
      <c r="D136" s="373" t="s">
        <v>492</v>
      </c>
      <c r="E136" s="373" t="s">
        <v>493</v>
      </c>
      <c r="F136" s="376" t="s">
        <v>1133</v>
      </c>
      <c r="G136" s="376" t="s">
        <v>1132</v>
      </c>
      <c r="H136" s="375">
        <v>108.66803820305384</v>
      </c>
      <c r="I136" s="376"/>
      <c r="J136" s="96">
        <f t="shared" si="7"/>
        <v>108.66803820305384</v>
      </c>
      <c r="K136" s="384">
        <v>119.33174219999999</v>
      </c>
      <c r="L136" t="str">
        <f t="shared" si="8"/>
        <v>CFP Franc</v>
      </c>
    </row>
    <row r="137" spans="1:14" x14ac:dyDescent="0.25">
      <c r="A137" t="str">
        <f t="shared" ca="1" si="6"/>
        <v>New Zealand</v>
      </c>
      <c r="B137" s="373" t="s">
        <v>494</v>
      </c>
      <c r="C137" s="373" t="s">
        <v>495</v>
      </c>
      <c r="D137" s="373" t="s">
        <v>496</v>
      </c>
      <c r="E137" s="373" t="s">
        <v>497</v>
      </c>
      <c r="F137" s="376" t="s">
        <v>830</v>
      </c>
      <c r="G137" s="376" t="s">
        <v>829</v>
      </c>
      <c r="H137" s="375">
        <v>1.416791309751892</v>
      </c>
      <c r="I137" s="376"/>
      <c r="J137" s="96">
        <f t="shared" si="7"/>
        <v>1.416791309751892</v>
      </c>
      <c r="K137" s="384">
        <v>1.5538165794585346</v>
      </c>
      <c r="L137" t="str">
        <f t="shared" si="8"/>
        <v>New Zealand Dollar</v>
      </c>
    </row>
    <row r="138" spans="1:14" x14ac:dyDescent="0.25">
      <c r="A138" t="str">
        <f t="shared" ca="1" si="6"/>
        <v>Nicaragua</v>
      </c>
      <c r="B138" s="373" t="s">
        <v>498</v>
      </c>
      <c r="C138" s="373" t="s">
        <v>498</v>
      </c>
      <c r="D138" s="373" t="s">
        <v>498</v>
      </c>
      <c r="E138" s="373" t="s">
        <v>499</v>
      </c>
      <c r="F138" s="376" t="s">
        <v>1039</v>
      </c>
      <c r="G138" s="376" t="s">
        <v>1038</v>
      </c>
      <c r="H138" s="375">
        <v>28.812566229612855</v>
      </c>
      <c r="I138" s="376"/>
      <c r="J138" s="96">
        <f t="shared" si="7"/>
        <v>28.812566229612855</v>
      </c>
      <c r="K138" s="384">
        <v>31.599179636526383</v>
      </c>
      <c r="L138" t="str">
        <f t="shared" si="8"/>
        <v>Nicaraguan Cordoba</v>
      </c>
    </row>
    <row r="139" spans="1:14" x14ac:dyDescent="0.25">
      <c r="A139" t="str">
        <f t="shared" ca="1" si="6"/>
        <v>Niger</v>
      </c>
      <c r="B139" s="373" t="s">
        <v>500</v>
      </c>
      <c r="C139" s="373" t="s">
        <v>500</v>
      </c>
      <c r="D139" s="373" t="s">
        <v>501</v>
      </c>
      <c r="E139" s="373" t="s">
        <v>502</v>
      </c>
      <c r="F139" s="376" t="s">
        <v>1128</v>
      </c>
      <c r="G139" s="376" t="s">
        <v>1131</v>
      </c>
      <c r="H139" s="375">
        <v>602.45743376366283</v>
      </c>
      <c r="I139" s="376"/>
      <c r="J139" s="96">
        <f t="shared" si="7"/>
        <v>602.45743376366283</v>
      </c>
      <c r="K139" s="384">
        <v>655.95699999999999</v>
      </c>
      <c r="L139" t="str">
        <f t="shared" si="8"/>
        <v>CFA Franc</v>
      </c>
    </row>
    <row r="140" spans="1:14" x14ac:dyDescent="0.25">
      <c r="A140" t="str">
        <f t="shared" ca="1" si="6"/>
        <v>Nigeria</v>
      </c>
      <c r="B140" s="373" t="s">
        <v>503</v>
      </c>
      <c r="C140" s="373" t="s">
        <v>503</v>
      </c>
      <c r="D140" s="373" t="s">
        <v>503</v>
      </c>
      <c r="E140" s="373" t="s">
        <v>504</v>
      </c>
      <c r="F140" s="376" t="s">
        <v>1037</v>
      </c>
      <c r="G140" s="376" t="s">
        <v>1036</v>
      </c>
      <c r="H140" s="375">
        <v>282.2828944491385</v>
      </c>
      <c r="I140" s="376"/>
      <c r="J140" s="96">
        <f t="shared" si="7"/>
        <v>282.2828944491385</v>
      </c>
      <c r="K140" s="384">
        <v>309.58394399625809</v>
      </c>
      <c r="L140" t="str">
        <f t="shared" si="8"/>
        <v>Naira</v>
      </c>
    </row>
    <row r="141" spans="1:14" x14ac:dyDescent="0.25">
      <c r="A141" t="str">
        <f t="shared" ca="1" si="6"/>
        <v>Norway</v>
      </c>
      <c r="B141" s="373" t="s">
        <v>505</v>
      </c>
      <c r="C141" s="373" t="s">
        <v>506</v>
      </c>
      <c r="D141" s="373" t="s">
        <v>507</v>
      </c>
      <c r="E141" s="373" t="s">
        <v>508</v>
      </c>
      <c r="F141" s="376" t="s">
        <v>1040</v>
      </c>
      <c r="G141" s="376" t="s">
        <v>838</v>
      </c>
      <c r="H141" s="375">
        <v>8.3638612514859627</v>
      </c>
      <c r="I141" s="376"/>
      <c r="J141" s="96">
        <f t="shared" si="7"/>
        <v>8.3638612514859627</v>
      </c>
      <c r="K141" s="384">
        <v>9.1727738527176133</v>
      </c>
      <c r="L141" t="str">
        <f t="shared" si="8"/>
        <v>Norway Krone</v>
      </c>
    </row>
    <row r="142" spans="1:14" x14ac:dyDescent="0.25">
      <c r="A142" t="str">
        <f t="shared" ca="1" si="6"/>
        <v>Oman</v>
      </c>
      <c r="B142" s="373" t="s">
        <v>509</v>
      </c>
      <c r="C142" s="373" t="s">
        <v>509</v>
      </c>
      <c r="D142" s="373" t="s">
        <v>510</v>
      </c>
      <c r="E142" s="373" t="s">
        <v>511</v>
      </c>
      <c r="F142" s="376" t="s">
        <v>1044</v>
      </c>
      <c r="G142" s="376" t="s">
        <v>1043</v>
      </c>
      <c r="H142" s="375">
        <v>0.38500595934451681</v>
      </c>
      <c r="I142" s="376"/>
      <c r="J142" s="96">
        <f t="shared" si="7"/>
        <v>0.38500595934451681</v>
      </c>
      <c r="K142" s="384">
        <v>0.42224189173253068</v>
      </c>
      <c r="L142" t="str">
        <f t="shared" si="8"/>
        <v>Omani Rial</v>
      </c>
    </row>
    <row r="143" spans="1:14" x14ac:dyDescent="0.25">
      <c r="A143" t="str">
        <f t="shared" ca="1" si="6"/>
        <v>Pakistan</v>
      </c>
      <c r="B143" s="373" t="s">
        <v>512</v>
      </c>
      <c r="C143" s="373" t="s">
        <v>512</v>
      </c>
      <c r="D143" s="373" t="s">
        <v>513</v>
      </c>
      <c r="E143" s="373" t="s">
        <v>514</v>
      </c>
      <c r="F143" s="376" t="s">
        <v>840</v>
      </c>
      <c r="G143" s="376" t="s">
        <v>839</v>
      </c>
      <c r="H143" s="375">
        <v>104.62987242554512</v>
      </c>
      <c r="I143" s="376"/>
      <c r="J143" s="96">
        <f t="shared" si="7"/>
        <v>104.62987242554512</v>
      </c>
      <c r="K143" s="384">
        <v>114.74917255803435</v>
      </c>
      <c r="L143" t="str">
        <f t="shared" si="8"/>
        <v>Pakistani Rupee</v>
      </c>
    </row>
    <row r="144" spans="1:14" x14ac:dyDescent="0.25">
      <c r="A144" t="str">
        <f t="shared" ca="1" si="6"/>
        <v>Palau</v>
      </c>
      <c r="B144" s="373" t="s">
        <v>515</v>
      </c>
      <c r="C144" s="373" t="s">
        <v>515</v>
      </c>
      <c r="D144" s="373" t="s">
        <v>515</v>
      </c>
      <c r="E144" s="373" t="s">
        <v>516</v>
      </c>
      <c r="F144" s="376" t="s">
        <v>1115</v>
      </c>
      <c r="G144" s="376" t="s">
        <v>8</v>
      </c>
      <c r="H144" s="375">
        <v>1</v>
      </c>
      <c r="I144" s="376"/>
      <c r="J144" s="96">
        <f t="shared" si="7"/>
        <v>1</v>
      </c>
      <c r="K144" s="384">
        <v>1.0967152104642979</v>
      </c>
      <c r="L144" t="str">
        <f t="shared" si="8"/>
        <v>United States Dollar</v>
      </c>
    </row>
    <row r="145" spans="1:12" x14ac:dyDescent="0.25">
      <c r="A145" t="str">
        <f t="shared" ca="1" si="6"/>
        <v>Palestine</v>
      </c>
      <c r="B145" s="373" t="s">
        <v>517</v>
      </c>
      <c r="C145" s="373" t="s">
        <v>517</v>
      </c>
      <c r="D145" s="373" t="s">
        <v>518</v>
      </c>
      <c r="E145" s="373" t="s">
        <v>519</v>
      </c>
      <c r="F145" s="376" t="s">
        <v>962</v>
      </c>
      <c r="G145" s="376" t="s">
        <v>961</v>
      </c>
      <c r="H145" s="375">
        <v>3.8285589052145101</v>
      </c>
      <c r="I145" s="376"/>
      <c r="J145" s="96">
        <f t="shared" si="7"/>
        <v>3.8285589052145101</v>
      </c>
      <c r="K145" s="384">
        <v>4.1988387855072933</v>
      </c>
      <c r="L145" t="str">
        <f t="shared" si="8"/>
        <v>Shekel</v>
      </c>
    </row>
    <row r="146" spans="1:12" x14ac:dyDescent="0.25">
      <c r="A146" t="str">
        <f t="shared" ca="1" si="6"/>
        <v>Panama</v>
      </c>
      <c r="B146" s="373" t="s">
        <v>520</v>
      </c>
      <c r="C146" s="373" t="s">
        <v>520</v>
      </c>
      <c r="D146" s="373" t="s">
        <v>521</v>
      </c>
      <c r="E146" s="373" t="s">
        <v>522</v>
      </c>
      <c r="F146" s="376" t="s">
        <v>1046</v>
      </c>
      <c r="G146" s="376" t="s">
        <v>1045</v>
      </c>
      <c r="H146" s="375">
        <v>1</v>
      </c>
      <c r="I146" s="376"/>
      <c r="J146" s="96">
        <f t="shared" si="7"/>
        <v>1</v>
      </c>
      <c r="K146" s="384">
        <v>1.0967152104642979</v>
      </c>
      <c r="L146" t="str">
        <f t="shared" si="8"/>
        <v>Panamanian Balboa</v>
      </c>
    </row>
    <row r="147" spans="1:12" x14ac:dyDescent="0.25">
      <c r="A147" t="str">
        <f t="shared" ca="1" si="6"/>
        <v>Papua New Guinea</v>
      </c>
      <c r="B147" s="373" t="s">
        <v>523</v>
      </c>
      <c r="C147" s="373" t="s">
        <v>524</v>
      </c>
      <c r="D147" s="373" t="s">
        <v>525</v>
      </c>
      <c r="E147" s="373" t="s">
        <v>526</v>
      </c>
      <c r="F147" s="376" t="s">
        <v>1050</v>
      </c>
      <c r="G147" s="376" t="s">
        <v>1049</v>
      </c>
      <c r="H147" s="375">
        <v>3.1313503428332083</v>
      </c>
      <c r="I147" s="376"/>
      <c r="J147" s="96">
        <f t="shared" si="7"/>
        <v>3.1313503428332083</v>
      </c>
      <c r="K147" s="384">
        <v>3.4341995502777736</v>
      </c>
      <c r="L147" t="str">
        <f t="shared" si="8"/>
        <v>Kina</v>
      </c>
    </row>
    <row r="148" spans="1:12" x14ac:dyDescent="0.25">
      <c r="A148" t="str">
        <f t="shared" ca="1" si="6"/>
        <v>Paraguay</v>
      </c>
      <c r="B148" s="373" t="s">
        <v>527</v>
      </c>
      <c r="C148" s="373" t="s">
        <v>527</v>
      </c>
      <c r="D148" s="373" t="s">
        <v>527</v>
      </c>
      <c r="E148" s="373" t="s">
        <v>528</v>
      </c>
      <c r="F148" s="376" t="s">
        <v>1056</v>
      </c>
      <c r="G148" s="376" t="s">
        <v>1055</v>
      </c>
      <c r="H148" s="375">
        <v>5664.5183673820657</v>
      </c>
      <c r="I148" s="376"/>
      <c r="J148" s="96">
        <f t="shared" si="7"/>
        <v>5664.5183673820657</v>
      </c>
      <c r="K148" s="384">
        <v>6212.3634534623034</v>
      </c>
      <c r="L148" t="str">
        <f t="shared" si="8"/>
        <v>Guarani</v>
      </c>
    </row>
    <row r="149" spans="1:12" x14ac:dyDescent="0.25">
      <c r="A149" t="str">
        <f t="shared" ca="1" si="6"/>
        <v>Peru</v>
      </c>
      <c r="B149" s="373" t="s">
        <v>529</v>
      </c>
      <c r="C149" s="373" t="s">
        <v>530</v>
      </c>
      <c r="D149" s="373" t="s">
        <v>531</v>
      </c>
      <c r="E149" s="373" t="s">
        <v>532</v>
      </c>
      <c r="F149" s="376" t="s">
        <v>1048</v>
      </c>
      <c r="G149" s="376" t="s">
        <v>1047</v>
      </c>
      <c r="H149" s="375">
        <v>3.3640477035305905</v>
      </c>
      <c r="I149" s="376"/>
      <c r="J149" s="96">
        <f t="shared" si="7"/>
        <v>3.3640477035305905</v>
      </c>
      <c r="K149" s="384">
        <v>3.6894022851894896</v>
      </c>
      <c r="L149" t="str">
        <f t="shared" si="8"/>
        <v>Peruvian Nuevo Sol</v>
      </c>
    </row>
    <row r="150" spans="1:12" x14ac:dyDescent="0.25">
      <c r="A150" t="str">
        <f t="shared" ca="1" si="6"/>
        <v>Philippines</v>
      </c>
      <c r="B150" s="373" t="s">
        <v>533</v>
      </c>
      <c r="C150" s="373" t="s">
        <v>533</v>
      </c>
      <c r="D150" s="373" t="s">
        <v>534</v>
      </c>
      <c r="E150" s="373" t="s">
        <v>535</v>
      </c>
      <c r="F150" s="376" t="s">
        <v>1052</v>
      </c>
      <c r="G150" s="376" t="s">
        <v>1051</v>
      </c>
      <c r="H150" s="375">
        <v>47.997596883850733</v>
      </c>
      <c r="I150" s="376"/>
      <c r="J150" s="96">
        <f t="shared" si="7"/>
        <v>47.997596883850733</v>
      </c>
      <c r="K150" s="384">
        <v>52.639694568252885</v>
      </c>
      <c r="L150" t="str">
        <f t="shared" si="8"/>
        <v>Philippine Peso</v>
      </c>
    </row>
    <row r="151" spans="1:12" x14ac:dyDescent="0.25">
      <c r="A151" t="str">
        <f t="shared" ca="1" si="6"/>
        <v>Poland</v>
      </c>
      <c r="B151" s="373" t="s">
        <v>536</v>
      </c>
      <c r="C151" s="373" t="s">
        <v>537</v>
      </c>
      <c r="D151" s="373" t="s">
        <v>538</v>
      </c>
      <c r="E151" s="373" t="s">
        <v>539</v>
      </c>
      <c r="F151" s="376" t="s">
        <v>1054</v>
      </c>
      <c r="G151" s="376" t="s">
        <v>1053</v>
      </c>
      <c r="H151" s="375">
        <v>3.974566702508942</v>
      </c>
      <c r="I151" s="376"/>
      <c r="J151" s="96">
        <f t="shared" si="7"/>
        <v>3.974566702508942</v>
      </c>
      <c r="K151" s="384">
        <v>4.3589677576464849</v>
      </c>
      <c r="L151" t="str">
        <f t="shared" si="8"/>
        <v>Polish Zloty</v>
      </c>
    </row>
    <row r="152" spans="1:12" x14ac:dyDescent="0.25">
      <c r="A152" t="str">
        <f t="shared" ca="1" si="6"/>
        <v>Portugal</v>
      </c>
      <c r="B152" s="373" t="s">
        <v>540</v>
      </c>
      <c r="C152" s="373" t="s">
        <v>540</v>
      </c>
      <c r="D152" s="373" t="s">
        <v>540</v>
      </c>
      <c r="E152" s="373" t="s">
        <v>541</v>
      </c>
      <c r="F152" s="376" t="s">
        <v>846</v>
      </c>
      <c r="G152" s="376" t="s">
        <v>20</v>
      </c>
      <c r="H152" s="375">
        <v>0.91181374203485954</v>
      </c>
      <c r="I152" s="376"/>
      <c r="J152" s="96">
        <f t="shared" si="7"/>
        <v>0.91181374203485954</v>
      </c>
      <c r="K152" s="384">
        <v>1</v>
      </c>
      <c r="L152" t="str">
        <f t="shared" si="8"/>
        <v>Euro</v>
      </c>
    </row>
    <row r="153" spans="1:12" x14ac:dyDescent="0.25">
      <c r="A153" t="str">
        <f t="shared" ca="1" si="6"/>
        <v>Puerto Rico</v>
      </c>
      <c r="B153" s="373" t="s">
        <v>542</v>
      </c>
      <c r="C153" s="373" t="s">
        <v>542</v>
      </c>
      <c r="D153" s="373" t="s">
        <v>542</v>
      </c>
      <c r="E153" s="373" t="s">
        <v>543</v>
      </c>
      <c r="F153" s="376" t="s">
        <v>1115</v>
      </c>
      <c r="G153" s="376" t="s">
        <v>8</v>
      </c>
      <c r="H153" s="375">
        <v>1</v>
      </c>
      <c r="I153" s="376"/>
      <c r="J153" s="96">
        <f t="shared" si="7"/>
        <v>1</v>
      </c>
      <c r="K153" s="384">
        <v>1.0967152104642979</v>
      </c>
      <c r="L153" t="str">
        <f t="shared" si="8"/>
        <v>United States Dollar</v>
      </c>
    </row>
    <row r="154" spans="1:12" x14ac:dyDescent="0.25">
      <c r="A154" t="str">
        <f t="shared" ca="1" si="6"/>
        <v>Qatar</v>
      </c>
      <c r="B154" s="373" t="s">
        <v>544</v>
      </c>
      <c r="C154" s="373" t="s">
        <v>544</v>
      </c>
      <c r="D154" s="373" t="s">
        <v>545</v>
      </c>
      <c r="E154" s="373" t="s">
        <v>546</v>
      </c>
      <c r="F154" s="376" t="s">
        <v>1058</v>
      </c>
      <c r="G154" s="376" t="s">
        <v>1057</v>
      </c>
      <c r="H154" s="375">
        <v>3.6412228462796445</v>
      </c>
      <c r="I154" s="376"/>
      <c r="J154" s="96">
        <f t="shared" si="7"/>
        <v>3.6412228462796445</v>
      </c>
      <c r="K154" s="384">
        <v>3.9933844802049903</v>
      </c>
      <c r="L154" t="str">
        <f t="shared" si="8"/>
        <v>Qatari Riyal</v>
      </c>
    </row>
    <row r="155" spans="1:12" x14ac:dyDescent="0.25">
      <c r="A155" t="str">
        <f t="shared" ca="1" si="6"/>
        <v>Romania</v>
      </c>
      <c r="B155" s="373" t="s">
        <v>547</v>
      </c>
      <c r="C155" s="373" t="s">
        <v>548</v>
      </c>
      <c r="D155" s="373" t="s">
        <v>549</v>
      </c>
      <c r="E155" s="373" t="s">
        <v>550</v>
      </c>
      <c r="F155" s="376" t="s">
        <v>1060</v>
      </c>
      <c r="G155" s="376" t="s">
        <v>1059</v>
      </c>
      <c r="H155" s="375">
        <v>4.0944524997796776</v>
      </c>
      <c r="I155" s="376"/>
      <c r="J155" s="96">
        <f t="shared" si="7"/>
        <v>4.0944524997796776</v>
      </c>
      <c r="K155" s="384">
        <v>4.4904483350319397</v>
      </c>
      <c r="L155" t="str">
        <f t="shared" si="8"/>
        <v>Romanian Leu</v>
      </c>
    </row>
    <row r="156" spans="1:12" x14ac:dyDescent="0.25">
      <c r="A156" t="str">
        <f t="shared" ca="1" si="6"/>
        <v>Russian Federation</v>
      </c>
      <c r="B156" s="373" t="s">
        <v>551</v>
      </c>
      <c r="C156" s="373" t="s">
        <v>552</v>
      </c>
      <c r="D156" s="373" t="s">
        <v>553</v>
      </c>
      <c r="E156" s="373" t="s">
        <v>554</v>
      </c>
      <c r="F156" s="376" t="s">
        <v>1064</v>
      </c>
      <c r="G156" s="376" t="s">
        <v>1063</v>
      </c>
      <c r="H156" s="375">
        <v>64.37786997941302</v>
      </c>
      <c r="I156" s="376"/>
      <c r="J156" s="96">
        <f t="shared" si="7"/>
        <v>64.37786997941302</v>
      </c>
      <c r="K156" s="384">
        <v>70.604189223715153</v>
      </c>
      <c r="L156" t="str">
        <f t="shared" si="8"/>
        <v>Russian Ruble</v>
      </c>
    </row>
    <row r="157" spans="1:12" x14ac:dyDescent="0.25">
      <c r="A157" t="str">
        <f t="shared" ca="1" si="6"/>
        <v>Rwanda</v>
      </c>
      <c r="B157" s="373" t="s">
        <v>555</v>
      </c>
      <c r="C157" s="373" t="s">
        <v>555</v>
      </c>
      <c r="D157" s="373" t="s">
        <v>556</v>
      </c>
      <c r="E157" s="373" t="s">
        <v>557</v>
      </c>
      <c r="F157" s="376" t="s">
        <v>1066</v>
      </c>
      <c r="G157" s="376" t="s">
        <v>1065</v>
      </c>
      <c r="H157" s="375">
        <v>791.03382300999078</v>
      </c>
      <c r="I157" s="376"/>
      <c r="J157" s="96">
        <f t="shared" si="7"/>
        <v>791.03382300999078</v>
      </c>
      <c r="K157" s="384">
        <v>867.53882568678023</v>
      </c>
      <c r="L157" t="str">
        <f t="shared" si="8"/>
        <v>Rwandan Franc</v>
      </c>
    </row>
    <row r="158" spans="1:12" x14ac:dyDescent="0.25">
      <c r="A158" t="str">
        <f t="shared" ca="1" si="6"/>
        <v>Saint Helena</v>
      </c>
      <c r="B158" s="373" t="s">
        <v>558</v>
      </c>
      <c r="C158" s="373" t="s">
        <v>559</v>
      </c>
      <c r="D158" s="373" t="s">
        <v>560</v>
      </c>
      <c r="E158" s="373" t="s">
        <v>561</v>
      </c>
      <c r="F158" s="376" t="s">
        <v>1079</v>
      </c>
      <c r="G158" s="376" t="s">
        <v>1078</v>
      </c>
      <c r="H158" s="375" t="e">
        <v>#N/A</v>
      </c>
      <c r="I158" s="376"/>
      <c r="J158" s="96" t="e">
        <f t="shared" si="7"/>
        <v>#N/A</v>
      </c>
      <c r="K158" s="384" t="e">
        <v>#N/A</v>
      </c>
      <c r="L158" t="str">
        <f t="shared" si="8"/>
        <v>Saint Helena Pound</v>
      </c>
    </row>
    <row r="159" spans="1:12" x14ac:dyDescent="0.25">
      <c r="A159" t="str">
        <f t="shared" ca="1" si="6"/>
        <v>Saint Kitts and Nevis</v>
      </c>
      <c r="B159" s="373" t="s">
        <v>562</v>
      </c>
      <c r="C159" s="373" t="s">
        <v>563</v>
      </c>
      <c r="D159" s="373" t="s">
        <v>564</v>
      </c>
      <c r="E159" s="373" t="s">
        <v>565</v>
      </c>
      <c r="F159" s="376" t="s">
        <v>1130</v>
      </c>
      <c r="G159" s="376" t="s">
        <v>1129</v>
      </c>
      <c r="H159" s="375">
        <v>2.7091519205320296</v>
      </c>
      <c r="I159" s="376"/>
      <c r="J159" s="96">
        <f t="shared" si="7"/>
        <v>2.7091519205320296</v>
      </c>
      <c r="K159" s="384">
        <v>2.9711681187060415</v>
      </c>
      <c r="L159" t="str">
        <f t="shared" si="8"/>
        <v>East Caribbean Dollar</v>
      </c>
    </row>
    <row r="160" spans="1:12" x14ac:dyDescent="0.25">
      <c r="A160" t="str">
        <f t="shared" ca="1" si="6"/>
        <v>Saint Lucia</v>
      </c>
      <c r="B160" s="373" t="s">
        <v>566</v>
      </c>
      <c r="C160" s="373" t="s">
        <v>567</v>
      </c>
      <c r="D160" s="373" t="s">
        <v>568</v>
      </c>
      <c r="E160" s="373" t="s">
        <v>569</v>
      </c>
      <c r="F160" s="376" t="s">
        <v>1130</v>
      </c>
      <c r="G160" s="376" t="s">
        <v>1129</v>
      </c>
      <c r="H160" s="375">
        <v>2.7091519205320296</v>
      </c>
      <c r="I160" s="376"/>
      <c r="J160" s="96">
        <f t="shared" si="7"/>
        <v>2.7091519205320296</v>
      </c>
      <c r="K160" s="384">
        <v>2.9711681187060415</v>
      </c>
      <c r="L160" t="str">
        <f t="shared" si="8"/>
        <v>East Caribbean Dollar</v>
      </c>
    </row>
    <row r="161" spans="1:14" x14ac:dyDescent="0.25">
      <c r="A161" t="str">
        <f t="shared" ca="1" si="6"/>
        <v>Saint Vincent and Grenadines</v>
      </c>
      <c r="B161" s="373" t="s">
        <v>571</v>
      </c>
      <c r="C161" s="373" t="s">
        <v>572</v>
      </c>
      <c r="D161" s="373" t="s">
        <v>573</v>
      </c>
      <c r="E161" s="373" t="s">
        <v>574</v>
      </c>
      <c r="F161" s="376" t="s">
        <v>1130</v>
      </c>
      <c r="G161" s="376" t="s">
        <v>1129</v>
      </c>
      <c r="H161" s="375">
        <v>2.7091519205320296</v>
      </c>
      <c r="I161" s="376"/>
      <c r="J161" s="96">
        <f t="shared" si="7"/>
        <v>2.7091519205320296</v>
      </c>
      <c r="K161" s="384">
        <v>2.9711681187060415</v>
      </c>
      <c r="L161" t="str">
        <f t="shared" si="8"/>
        <v>East Caribbean Dollar</v>
      </c>
    </row>
    <row r="162" spans="1:14" x14ac:dyDescent="0.25">
      <c r="A162" t="str">
        <f t="shared" ca="1" si="6"/>
        <v>Samoa</v>
      </c>
      <c r="B162" s="373" t="s">
        <v>575</v>
      </c>
      <c r="C162" s="373" t="s">
        <v>575</v>
      </c>
      <c r="D162" s="373" t="s">
        <v>575</v>
      </c>
      <c r="E162" s="373" t="s">
        <v>576</v>
      </c>
      <c r="F162" s="376" t="s">
        <v>1126</v>
      </c>
      <c r="G162" s="376" t="s">
        <v>1125</v>
      </c>
      <c r="H162" s="375">
        <v>2.5296159770327225</v>
      </c>
      <c r="I162" s="376"/>
      <c r="J162" s="96">
        <f t="shared" si="7"/>
        <v>2.5296159770327225</v>
      </c>
      <c r="K162" s="384">
        <v>2.7742683186452926</v>
      </c>
      <c r="L162" t="str">
        <f t="shared" si="8"/>
        <v>Samoan Tala</v>
      </c>
    </row>
    <row r="163" spans="1:14" x14ac:dyDescent="0.25">
      <c r="A163" t="str">
        <f t="shared" ca="1" si="6"/>
        <v>San Marino</v>
      </c>
      <c r="B163" s="373" t="s">
        <v>577</v>
      </c>
      <c r="C163" s="373" t="s">
        <v>577</v>
      </c>
      <c r="D163" s="373" t="s">
        <v>577</v>
      </c>
      <c r="E163" s="373" t="s">
        <v>578</v>
      </c>
      <c r="F163" s="376" t="s">
        <v>846</v>
      </c>
      <c r="G163" s="376" t="s">
        <v>20</v>
      </c>
      <c r="H163" s="375">
        <v>0.91181374203485954</v>
      </c>
      <c r="I163" s="376"/>
      <c r="J163" s="96">
        <f t="shared" si="7"/>
        <v>0.91181374203485954</v>
      </c>
      <c r="K163" s="384">
        <v>1</v>
      </c>
      <c r="L163" t="str">
        <f t="shared" si="8"/>
        <v>Euro</v>
      </c>
    </row>
    <row r="164" spans="1:14" x14ac:dyDescent="0.25">
      <c r="A164" t="str">
        <f t="shared" ca="1" si="6"/>
        <v>Sao Tome and Principe</v>
      </c>
      <c r="B164" s="373" t="s">
        <v>579</v>
      </c>
      <c r="C164" s="373" t="s">
        <v>580</v>
      </c>
      <c r="D164" s="373" t="s">
        <v>581</v>
      </c>
      <c r="E164" s="373" t="s">
        <v>582</v>
      </c>
      <c r="F164" s="376" t="s">
        <v>1089</v>
      </c>
      <c r="G164" s="376" t="s">
        <v>1088</v>
      </c>
      <c r="H164" s="375">
        <v>22388.147581567122</v>
      </c>
      <c r="I164" s="376"/>
      <c r="J164" s="96">
        <f t="shared" si="7"/>
        <v>22388.147581567122</v>
      </c>
      <c r="K164" s="384">
        <v>24500</v>
      </c>
      <c r="L164" t="str">
        <f t="shared" si="8"/>
        <v>Sao Tome and Principe Dobra</v>
      </c>
    </row>
    <row r="165" spans="1:14" x14ac:dyDescent="0.25">
      <c r="A165" t="str">
        <f t="shared" ca="1" si="6"/>
        <v>Saudi Arabia</v>
      </c>
      <c r="B165" s="373" t="s">
        <v>583</v>
      </c>
      <c r="C165" s="373" t="s">
        <v>584</v>
      </c>
      <c r="D165" s="373" t="s">
        <v>585</v>
      </c>
      <c r="E165" s="373" t="s">
        <v>586</v>
      </c>
      <c r="F165" s="376" t="s">
        <v>1068</v>
      </c>
      <c r="G165" s="376" t="s">
        <v>1067</v>
      </c>
      <c r="H165" s="375">
        <v>3.7508293051903081</v>
      </c>
      <c r="I165" s="376"/>
      <c r="J165" s="96">
        <f t="shared" si="7"/>
        <v>3.7508293051903081</v>
      </c>
      <c r="K165" s="384">
        <v>4.1135915508574445</v>
      </c>
      <c r="L165" t="str">
        <f t="shared" si="8"/>
        <v>Saudi Riyal</v>
      </c>
    </row>
    <row r="166" spans="1:14" x14ac:dyDescent="0.25">
      <c r="A166" t="str">
        <f t="shared" ca="1" si="6"/>
        <v>Senegal</v>
      </c>
      <c r="B166" s="373" t="s">
        <v>587</v>
      </c>
      <c r="C166" s="373" t="s">
        <v>588</v>
      </c>
      <c r="D166" s="373" t="s">
        <v>587</v>
      </c>
      <c r="E166" s="373" t="s">
        <v>589</v>
      </c>
      <c r="F166" s="376" t="s">
        <v>1128</v>
      </c>
      <c r="G166" s="376" t="s">
        <v>1131</v>
      </c>
      <c r="H166" s="375">
        <v>602.45743376366283</v>
      </c>
      <c r="I166" s="376"/>
      <c r="J166" s="96">
        <f t="shared" si="7"/>
        <v>602.45743376366283</v>
      </c>
      <c r="K166" s="384">
        <v>655.95699999999999</v>
      </c>
      <c r="L166" t="str">
        <f t="shared" si="8"/>
        <v>CFA Franc</v>
      </c>
    </row>
    <row r="167" spans="1:14" x14ac:dyDescent="0.25">
      <c r="A167" t="str">
        <f t="shared" ca="1" si="6"/>
        <v>Serbia</v>
      </c>
      <c r="B167" s="373" t="s">
        <v>590</v>
      </c>
      <c r="C167" s="373" t="s">
        <v>591</v>
      </c>
      <c r="D167" s="373" t="s">
        <v>590</v>
      </c>
      <c r="E167" s="373" t="s">
        <v>592</v>
      </c>
      <c r="F167" s="376" t="s">
        <v>1062</v>
      </c>
      <c r="G167" s="376" t="s">
        <v>1061</v>
      </c>
      <c r="H167" s="375">
        <v>112.15937305130699</v>
      </c>
      <c r="I167" s="376"/>
      <c r="J167" s="96">
        <f t="shared" si="7"/>
        <v>112.15937305130699</v>
      </c>
      <c r="K167" s="384">
        <v>123.00689042150785</v>
      </c>
      <c r="L167" t="str">
        <f t="shared" si="8"/>
        <v>Dinar</v>
      </c>
    </row>
    <row r="168" spans="1:14" x14ac:dyDescent="0.25">
      <c r="A168" t="str">
        <f t="shared" ca="1" si="6"/>
        <v>Seychelles</v>
      </c>
      <c r="B168" s="373" t="s">
        <v>593</v>
      </c>
      <c r="C168" s="373" t="s">
        <v>593</v>
      </c>
      <c r="D168" s="373" t="s">
        <v>593</v>
      </c>
      <c r="E168" s="373" t="s">
        <v>594</v>
      </c>
      <c r="F168" s="376" t="s">
        <v>1072</v>
      </c>
      <c r="G168" s="376" t="s">
        <v>1071</v>
      </c>
      <c r="H168" s="375">
        <v>13.1719198520862</v>
      </c>
      <c r="I168" s="376"/>
      <c r="J168" s="96">
        <f t="shared" si="7"/>
        <v>13.1719198520862</v>
      </c>
      <c r="K168" s="384">
        <v>14.44584485279958</v>
      </c>
      <c r="L168" t="str">
        <f t="shared" si="8"/>
        <v>Seychellois Rupee</v>
      </c>
    </row>
    <row r="169" spans="1:14" x14ac:dyDescent="0.25">
      <c r="A169" t="str">
        <f t="shared" ca="1" si="6"/>
        <v>Sierra Leone</v>
      </c>
      <c r="B169" s="373" t="s">
        <v>595</v>
      </c>
      <c r="C169" s="373" t="s">
        <v>595</v>
      </c>
      <c r="D169" s="373" t="s">
        <v>596</v>
      </c>
      <c r="E169" s="373" t="s">
        <v>597</v>
      </c>
      <c r="F169" s="376" t="s">
        <v>1083</v>
      </c>
      <c r="G169" s="376" t="s">
        <v>1082</v>
      </c>
      <c r="H169" s="375">
        <v>5202.0832094965872</v>
      </c>
      <c r="I169" s="376"/>
      <c r="J169" s="96">
        <f t="shared" si="7"/>
        <v>5202.0832094965872</v>
      </c>
      <c r="K169" s="384">
        <v>5705.20378195584</v>
      </c>
      <c r="L169" t="str">
        <f t="shared" si="8"/>
        <v>Leone</v>
      </c>
    </row>
    <row r="170" spans="1:14" x14ac:dyDescent="0.25">
      <c r="A170" t="str">
        <f t="shared" ca="1" si="6"/>
        <v>Singapore</v>
      </c>
      <c r="B170" s="373" t="s">
        <v>598</v>
      </c>
      <c r="C170" s="373" t="s">
        <v>599</v>
      </c>
      <c r="D170" s="373" t="s">
        <v>600</v>
      </c>
      <c r="E170" s="373" t="s">
        <v>601</v>
      </c>
      <c r="F170" s="376" t="s">
        <v>1077</v>
      </c>
      <c r="G170" s="376" t="s">
        <v>1076</v>
      </c>
      <c r="H170" s="375">
        <v>1.3887877940838875</v>
      </c>
      <c r="I170" s="376"/>
      <c r="J170" s="96">
        <f t="shared" si="7"/>
        <v>1.3887877940838875</v>
      </c>
      <c r="K170" s="384">
        <v>1.5231046978789586</v>
      </c>
      <c r="L170" t="str">
        <f t="shared" si="8"/>
        <v>Singapore Dollar</v>
      </c>
    </row>
    <row r="171" spans="1:14" x14ac:dyDescent="0.25">
      <c r="A171" t="str">
        <f t="shared" ca="1" si="6"/>
        <v>Slovakia</v>
      </c>
      <c r="B171" s="373" t="s">
        <v>602</v>
      </c>
      <c r="C171" s="373" t="s">
        <v>603</v>
      </c>
      <c r="D171" s="373" t="s">
        <v>604</v>
      </c>
      <c r="E171" s="373" t="s">
        <v>605</v>
      </c>
      <c r="F171" s="376" t="s">
        <v>1081</v>
      </c>
      <c r="G171" s="376" t="s">
        <v>1080</v>
      </c>
      <c r="H171" s="375" t="e">
        <v>#N/A</v>
      </c>
      <c r="I171" s="376"/>
      <c r="J171" s="96" t="e">
        <f t="shared" si="7"/>
        <v>#N/A</v>
      </c>
      <c r="K171" s="384" t="e">
        <v>#N/A</v>
      </c>
      <c r="L171" t="str">
        <f t="shared" si="8"/>
        <v>Slovak Koruna</v>
      </c>
    </row>
    <row r="172" spans="1:14" x14ac:dyDescent="0.25">
      <c r="A172" t="str">
        <f t="shared" ca="1" si="6"/>
        <v>Slovenia</v>
      </c>
      <c r="B172" s="373" t="s">
        <v>606</v>
      </c>
      <c r="C172" s="373" t="s">
        <v>607</v>
      </c>
      <c r="D172" s="373" t="s">
        <v>608</v>
      </c>
      <c r="E172" s="373" t="s">
        <v>609</v>
      </c>
      <c r="F172" s="376" t="s">
        <v>846</v>
      </c>
      <c r="G172" s="376" t="s">
        <v>20</v>
      </c>
      <c r="H172" s="375">
        <v>0.91181374203485954</v>
      </c>
      <c r="I172" s="376"/>
      <c r="J172" s="96">
        <f t="shared" si="7"/>
        <v>0.91181374203485954</v>
      </c>
      <c r="K172" s="384">
        <v>1</v>
      </c>
      <c r="L172" t="str">
        <f t="shared" si="8"/>
        <v>Euro</v>
      </c>
    </row>
    <row r="173" spans="1:14" x14ac:dyDescent="0.25">
      <c r="A173" t="str">
        <f t="shared" ca="1" si="6"/>
        <v>Solomon Islands</v>
      </c>
      <c r="B173" s="373" t="s">
        <v>610</v>
      </c>
      <c r="C173" s="373" t="s">
        <v>611</v>
      </c>
      <c r="D173" s="373" t="s">
        <v>612</v>
      </c>
      <c r="E173" s="373" t="s">
        <v>613</v>
      </c>
      <c r="F173" s="376" t="s">
        <v>1070</v>
      </c>
      <c r="G173" s="376" t="s">
        <v>1069</v>
      </c>
      <c r="H173" s="375">
        <v>7.8816406745049026</v>
      </c>
      <c r="I173" s="376"/>
      <c r="J173" s="96">
        <f t="shared" si="7"/>
        <v>7.8816406745049026</v>
      </c>
      <c r="K173" s="384">
        <v>8.6439152111436144</v>
      </c>
      <c r="L173" t="str">
        <f t="shared" si="8"/>
        <v>Solomon Islands Dollar</v>
      </c>
    </row>
    <row r="174" spans="1:14" x14ac:dyDescent="0.25">
      <c r="A174" t="str">
        <f t="shared" ca="1" si="6"/>
        <v>Somalia</v>
      </c>
      <c r="B174" s="373" t="s">
        <v>614</v>
      </c>
      <c r="C174" s="373" t="s">
        <v>615</v>
      </c>
      <c r="D174" s="373" t="s">
        <v>614</v>
      </c>
      <c r="E174" s="373" t="s">
        <v>616</v>
      </c>
      <c r="F174" s="376" t="s">
        <v>1085</v>
      </c>
      <c r="G174" s="376" t="s">
        <v>1084</v>
      </c>
      <c r="H174" s="375">
        <v>591.10886426605907</v>
      </c>
      <c r="I174" s="376"/>
      <c r="J174" s="96">
        <f t="shared" si="7"/>
        <v>591.10886426605907</v>
      </c>
      <c r="K174" s="384">
        <v>648.27808248086308</v>
      </c>
      <c r="L174" t="str">
        <f t="shared" si="8"/>
        <v>Somali Shilling</v>
      </c>
    </row>
    <row r="175" spans="1:14" x14ac:dyDescent="0.25">
      <c r="A175" t="str">
        <f t="shared" ca="1" si="6"/>
        <v>South Africa</v>
      </c>
      <c r="B175" s="373" t="s">
        <v>617</v>
      </c>
      <c r="C175" s="373" t="s">
        <v>618</v>
      </c>
      <c r="D175" s="373" t="s">
        <v>619</v>
      </c>
      <c r="E175" s="373" t="s">
        <v>620</v>
      </c>
      <c r="F175" s="376" t="s">
        <v>842</v>
      </c>
      <c r="G175" s="376" t="s">
        <v>841</v>
      </c>
      <c r="H175" s="375">
        <v>14.174993150665207</v>
      </c>
      <c r="I175" s="376"/>
      <c r="J175" s="96">
        <f t="shared" si="7"/>
        <v>14.174993150665207</v>
      </c>
      <c r="K175" s="384">
        <v>15.545930596561774</v>
      </c>
      <c r="L175" t="str">
        <f t="shared" si="8"/>
        <v>[Rand]</v>
      </c>
      <c r="M175" s="7"/>
      <c r="N175" s="7"/>
    </row>
    <row r="176" spans="1:14" x14ac:dyDescent="0.25">
      <c r="A176" t="str">
        <f t="shared" ca="1" si="6"/>
        <v>South Sudan</v>
      </c>
      <c r="B176" s="373" t="s">
        <v>621</v>
      </c>
      <c r="C176" s="373" t="s">
        <v>622</v>
      </c>
      <c r="D176" s="373" t="s">
        <v>623</v>
      </c>
      <c r="E176" s="373" t="s">
        <v>624</v>
      </c>
      <c r="F176" s="376" t="s">
        <v>1747</v>
      </c>
      <c r="G176" s="376" t="s">
        <v>1748</v>
      </c>
      <c r="H176" s="375">
        <v>3.0026363991279568</v>
      </c>
      <c r="I176" s="376"/>
      <c r="J176" s="96">
        <f t="shared" si="7"/>
        <v>3.0026363991279568</v>
      </c>
      <c r="K176" s="384">
        <v>3.2930370104173785</v>
      </c>
      <c r="L176" t="str">
        <f t="shared" si="8"/>
        <v>South Sudanese Pound</v>
      </c>
    </row>
    <row r="177" spans="1:14" x14ac:dyDescent="0.25">
      <c r="A177" t="str">
        <f t="shared" ca="1" si="6"/>
        <v>Spain</v>
      </c>
      <c r="B177" s="373" t="s">
        <v>625</v>
      </c>
      <c r="C177" s="373" t="s">
        <v>626</v>
      </c>
      <c r="D177" s="373" t="s">
        <v>627</v>
      </c>
      <c r="E177" s="373" t="s">
        <v>628</v>
      </c>
      <c r="F177" s="376" t="s">
        <v>846</v>
      </c>
      <c r="G177" s="376" t="s">
        <v>20</v>
      </c>
      <c r="H177" s="375">
        <v>0.91181374203485954</v>
      </c>
      <c r="I177" s="376"/>
      <c r="J177" s="96">
        <f t="shared" si="7"/>
        <v>0.91181374203485954</v>
      </c>
      <c r="K177" s="384">
        <v>1</v>
      </c>
      <c r="L177" t="str">
        <f t="shared" si="8"/>
        <v>Euro</v>
      </c>
    </row>
    <row r="178" spans="1:14" x14ac:dyDescent="0.25">
      <c r="A178" t="str">
        <f t="shared" ca="1" si="6"/>
        <v>Sri Lanka</v>
      </c>
      <c r="B178" s="373" t="s">
        <v>629</v>
      </c>
      <c r="C178" s="373" t="s">
        <v>629</v>
      </c>
      <c r="D178" s="373" t="s">
        <v>629</v>
      </c>
      <c r="E178" s="373" t="s">
        <v>630</v>
      </c>
      <c r="F178" s="376" t="s">
        <v>997</v>
      </c>
      <c r="G178" s="376" t="s">
        <v>996</v>
      </c>
      <c r="H178" s="375">
        <v>146.44273135243543</v>
      </c>
      <c r="I178" s="376"/>
      <c r="J178" s="96">
        <f t="shared" si="7"/>
        <v>146.44273135243543</v>
      </c>
      <c r="K178" s="384">
        <v>160.60597093615286</v>
      </c>
      <c r="L178" t="str">
        <f t="shared" si="8"/>
        <v>Sri Lankan Rupee</v>
      </c>
    </row>
    <row r="179" spans="1:14" x14ac:dyDescent="0.25">
      <c r="A179" t="str">
        <f t="shared" ca="1" si="6"/>
        <v>Sudan</v>
      </c>
      <c r="B179" s="373" t="s">
        <v>631</v>
      </c>
      <c r="C179" s="373" t="s">
        <v>632</v>
      </c>
      <c r="D179" s="373" t="s">
        <v>633</v>
      </c>
      <c r="E179" s="373" t="s">
        <v>634</v>
      </c>
      <c r="F179" s="376" t="s">
        <v>1074</v>
      </c>
      <c r="G179" s="376" t="s">
        <v>1073</v>
      </c>
      <c r="H179" s="375">
        <v>6.2342024672740726</v>
      </c>
      <c r="I179" s="376"/>
      <c r="J179" s="96">
        <f t="shared" si="7"/>
        <v>6.2342024672740726</v>
      </c>
      <c r="K179" s="384">
        <v>6.8371446709735295</v>
      </c>
      <c r="L179" t="str">
        <f t="shared" si="8"/>
        <v>Sudanese Pound</v>
      </c>
    </row>
    <row r="180" spans="1:14" x14ac:dyDescent="0.25">
      <c r="A180" t="str">
        <f t="shared" ca="1" si="6"/>
        <v>Suriname</v>
      </c>
      <c r="B180" s="373" t="s">
        <v>635</v>
      </c>
      <c r="C180" s="373" t="s">
        <v>635</v>
      </c>
      <c r="D180" s="373" t="s">
        <v>635</v>
      </c>
      <c r="E180" s="373" t="s">
        <v>636</v>
      </c>
      <c r="F180" s="376" t="s">
        <v>1087</v>
      </c>
      <c r="G180" s="376" t="s">
        <v>1086</v>
      </c>
      <c r="H180" s="375">
        <v>6.6587922862757098</v>
      </c>
      <c r="I180" s="376"/>
      <c r="J180" s="96">
        <f t="shared" si="7"/>
        <v>6.6587922862757098</v>
      </c>
      <c r="K180" s="384">
        <v>7.3027987836809087</v>
      </c>
      <c r="L180" t="str">
        <f t="shared" si="8"/>
        <v>Surinamese Dollar</v>
      </c>
    </row>
    <row r="181" spans="1:14" x14ac:dyDescent="0.25">
      <c r="A181" t="str">
        <f t="shared" ca="1" si="6"/>
        <v>Swaziland</v>
      </c>
      <c r="B181" s="373" t="s">
        <v>637</v>
      </c>
      <c r="C181" s="373" t="s">
        <v>637</v>
      </c>
      <c r="D181" s="373" t="s">
        <v>638</v>
      </c>
      <c r="E181" s="373" t="s">
        <v>639</v>
      </c>
      <c r="F181" s="376" t="s">
        <v>1093</v>
      </c>
      <c r="G181" s="376" t="s">
        <v>1092</v>
      </c>
      <c r="H181" s="375">
        <v>14.170952905381473</v>
      </c>
      <c r="I181" s="376"/>
      <c r="J181" s="96">
        <f t="shared" si="7"/>
        <v>14.170952905381473</v>
      </c>
      <c r="K181" s="384">
        <v>15.541499598105096</v>
      </c>
      <c r="L181" t="str">
        <f t="shared" si="8"/>
        <v>Lilangeni</v>
      </c>
    </row>
    <row r="182" spans="1:14" x14ac:dyDescent="0.25">
      <c r="A182" t="str">
        <f t="shared" ca="1" si="6"/>
        <v>Sweden</v>
      </c>
      <c r="B182" s="373" t="s">
        <v>640</v>
      </c>
      <c r="C182" s="373" t="s">
        <v>641</v>
      </c>
      <c r="D182" s="373" t="s">
        <v>642</v>
      </c>
      <c r="E182" s="373" t="s">
        <v>643</v>
      </c>
      <c r="F182" s="376" t="s">
        <v>1075</v>
      </c>
      <c r="G182" s="376" t="s">
        <v>843</v>
      </c>
      <c r="H182" s="375">
        <v>8.7348811605480225</v>
      </c>
      <c r="I182" s="376"/>
      <c r="J182" s="96">
        <f t="shared" si="7"/>
        <v>8.7348811605480225</v>
      </c>
      <c r="K182" s="384">
        <v>9.5796770303710552</v>
      </c>
      <c r="L182" t="str">
        <f t="shared" si="8"/>
        <v>Sweden Krona</v>
      </c>
    </row>
    <row r="183" spans="1:14" x14ac:dyDescent="0.25">
      <c r="A183" t="str">
        <f t="shared" ca="1" si="6"/>
        <v>Switzerland</v>
      </c>
      <c r="B183" s="373" t="s">
        <v>644</v>
      </c>
      <c r="C183" s="373" t="s">
        <v>645</v>
      </c>
      <c r="D183" s="373" t="s">
        <v>646</v>
      </c>
      <c r="E183" s="373" t="s">
        <v>647</v>
      </c>
      <c r="F183" s="376" t="s">
        <v>837</v>
      </c>
      <c r="G183" s="376" t="s">
        <v>288</v>
      </c>
      <c r="H183" s="375">
        <v>0.98927133266251865</v>
      </c>
      <c r="I183" s="376"/>
      <c r="J183" s="96">
        <f t="shared" si="7"/>
        <v>0.98927133266251865</v>
      </c>
      <c r="K183" s="384">
        <v>1.0849489178072707</v>
      </c>
      <c r="L183" t="str">
        <f t="shared" si="8"/>
        <v>Swiss Franc</v>
      </c>
    </row>
    <row r="184" spans="1:14" x14ac:dyDescent="0.25">
      <c r="A184" t="str">
        <f t="shared" ca="1" si="6"/>
        <v>Syrian Arab Republic</v>
      </c>
      <c r="B184" s="373" t="s">
        <v>648</v>
      </c>
      <c r="C184" s="373" t="s">
        <v>649</v>
      </c>
      <c r="D184" s="373" t="s">
        <v>650</v>
      </c>
      <c r="E184" s="373" t="s">
        <v>651</v>
      </c>
      <c r="F184" s="376" t="s">
        <v>1091</v>
      </c>
      <c r="G184" s="376" t="s">
        <v>1090</v>
      </c>
      <c r="H184" s="375">
        <v>359.49800657038384</v>
      </c>
      <c r="I184" s="376"/>
      <c r="J184" s="96">
        <f t="shared" si="7"/>
        <v>359.49800657038384</v>
      </c>
      <c r="K184" s="384">
        <v>394.26693193733405</v>
      </c>
      <c r="L184" t="str">
        <f t="shared" si="8"/>
        <v>Syrian Pound</v>
      </c>
    </row>
    <row r="185" spans="1:14" x14ac:dyDescent="0.25">
      <c r="A185" t="str">
        <f t="shared" ca="1" si="6"/>
        <v>Taiwan</v>
      </c>
      <c r="B185" s="373" t="s">
        <v>652</v>
      </c>
      <c r="C185" s="373" t="s">
        <v>652</v>
      </c>
      <c r="D185" s="373" t="s">
        <v>652</v>
      </c>
      <c r="E185" s="373" t="s">
        <v>653</v>
      </c>
      <c r="F185" s="376" t="s">
        <v>1108</v>
      </c>
      <c r="G185" s="376" t="s">
        <v>1107</v>
      </c>
      <c r="H185" s="375">
        <v>31.956093336955988</v>
      </c>
      <c r="I185" s="376"/>
      <c r="J185" s="96">
        <f t="shared" si="7"/>
        <v>31.956093336955988</v>
      </c>
      <c r="K185" s="384">
        <v>35.04673362965643</v>
      </c>
      <c r="L185" t="str">
        <f t="shared" si="8"/>
        <v>New Taiwan Dollar</v>
      </c>
    </row>
    <row r="186" spans="1:14" x14ac:dyDescent="0.25">
      <c r="A186" t="str">
        <f t="shared" ca="1" si="6"/>
        <v>Tajikistan</v>
      </c>
      <c r="B186" s="373" t="s">
        <v>654</v>
      </c>
      <c r="C186" s="373" t="s">
        <v>655</v>
      </c>
      <c r="D186" s="373" t="s">
        <v>656</v>
      </c>
      <c r="E186" s="373" t="s">
        <v>657</v>
      </c>
      <c r="F186" s="376" t="s">
        <v>1097</v>
      </c>
      <c r="G186" s="376" t="s">
        <v>1096</v>
      </c>
      <c r="H186" s="375">
        <v>7.7428893560055805</v>
      </c>
      <c r="I186" s="376"/>
      <c r="J186" s="96">
        <f t="shared" si="7"/>
        <v>7.7428893560055805</v>
      </c>
      <c r="K186" s="384">
        <v>8.4917445296734329</v>
      </c>
      <c r="L186" t="str">
        <f t="shared" si="8"/>
        <v>Tajikistani Somoni</v>
      </c>
    </row>
    <row r="187" spans="1:14" x14ac:dyDescent="0.25">
      <c r="A187" t="str">
        <f t="shared" ca="1" si="6"/>
        <v>Tanzania (United Republic)</v>
      </c>
      <c r="B187" s="373" t="s">
        <v>658</v>
      </c>
      <c r="C187" s="373" t="s">
        <v>659</v>
      </c>
      <c r="D187" s="373" t="s">
        <v>660</v>
      </c>
      <c r="E187" s="373" t="s">
        <v>661</v>
      </c>
      <c r="F187" s="376" t="s">
        <v>1110</v>
      </c>
      <c r="G187" s="376" t="s">
        <v>1109</v>
      </c>
      <c r="H187" s="375">
        <v>2176.4456260313395</v>
      </c>
      <c r="I187" s="376"/>
      <c r="J187" s="96">
        <f t="shared" si="7"/>
        <v>2176.4456260313395</v>
      </c>
      <c r="K187" s="384">
        <v>2386.9410228170609</v>
      </c>
      <c r="L187" t="str">
        <f t="shared" si="8"/>
        <v>Tanzanian Shilling</v>
      </c>
    </row>
    <row r="188" spans="1:14" x14ac:dyDescent="0.25">
      <c r="A188" t="str">
        <f t="shared" ca="1" si="6"/>
        <v>Thailand</v>
      </c>
      <c r="B188" s="373" t="s">
        <v>662</v>
      </c>
      <c r="C188" s="373" t="s">
        <v>663</v>
      </c>
      <c r="D188" s="373" t="s">
        <v>664</v>
      </c>
      <c r="E188" s="373" t="s">
        <v>665</v>
      </c>
      <c r="F188" s="376" t="s">
        <v>1095</v>
      </c>
      <c r="G188" s="376" t="s">
        <v>1094</v>
      </c>
      <c r="H188" s="375">
        <v>35.246006523888077</v>
      </c>
      <c r="I188" s="376"/>
      <c r="J188" s="96">
        <f t="shared" si="7"/>
        <v>35.246006523888077</v>
      </c>
      <c r="K188" s="384">
        <v>38.654831462871925</v>
      </c>
      <c r="L188" t="str">
        <f t="shared" si="8"/>
        <v>Baht</v>
      </c>
      <c r="M188" s="4"/>
      <c r="N188" s="4"/>
    </row>
    <row r="189" spans="1:14" x14ac:dyDescent="0.25">
      <c r="A189" t="str">
        <f t="shared" ca="1" si="6"/>
        <v>Timor-Leste</v>
      </c>
      <c r="B189" s="373" t="s">
        <v>666</v>
      </c>
      <c r="C189" s="373" t="s">
        <v>667</v>
      </c>
      <c r="D189" s="373" t="s">
        <v>668</v>
      </c>
      <c r="E189" s="373" t="s">
        <v>669</v>
      </c>
      <c r="F189" s="376" t="s">
        <v>1115</v>
      </c>
      <c r="G189" s="376" t="s">
        <v>8</v>
      </c>
      <c r="H189" s="375">
        <v>1</v>
      </c>
      <c r="I189" s="376"/>
      <c r="J189" s="96">
        <f t="shared" si="7"/>
        <v>1</v>
      </c>
      <c r="K189" s="384">
        <v>1.0967152104642979</v>
      </c>
      <c r="L189" t="str">
        <f t="shared" si="8"/>
        <v>United States Dollar</v>
      </c>
    </row>
    <row r="190" spans="1:14" x14ac:dyDescent="0.25">
      <c r="A190" t="str">
        <f t="shared" ca="1" si="6"/>
        <v>Togo</v>
      </c>
      <c r="B190" s="373" t="s">
        <v>670</v>
      </c>
      <c r="C190" s="373" t="s">
        <v>670</v>
      </c>
      <c r="D190" s="373" t="s">
        <v>670</v>
      </c>
      <c r="E190" s="373" t="s">
        <v>671</v>
      </c>
      <c r="F190" s="376" t="s">
        <v>1128</v>
      </c>
      <c r="G190" s="376" t="s">
        <v>1131</v>
      </c>
      <c r="H190" s="375">
        <v>602.45743376366283</v>
      </c>
      <c r="I190" s="376"/>
      <c r="J190" s="96">
        <f t="shared" si="7"/>
        <v>602.45743376366283</v>
      </c>
      <c r="K190" s="384">
        <v>655.95699999999999</v>
      </c>
      <c r="L190" t="str">
        <f t="shared" si="8"/>
        <v>CFA Franc</v>
      </c>
    </row>
    <row r="191" spans="1:14" x14ac:dyDescent="0.25">
      <c r="A191" t="str">
        <f t="shared" ca="1" si="6"/>
        <v>Tonga</v>
      </c>
      <c r="B191" s="373" t="s">
        <v>672</v>
      </c>
      <c r="C191" s="373" t="s">
        <v>672</v>
      </c>
      <c r="D191" s="373" t="s">
        <v>672</v>
      </c>
      <c r="E191" s="373" t="s">
        <v>673</v>
      </c>
      <c r="F191" s="376" t="s">
        <v>1102</v>
      </c>
      <c r="G191" s="376" t="s">
        <v>1101</v>
      </c>
      <c r="H191" s="375">
        <v>2.1865415658349168</v>
      </c>
      <c r="I191" s="376"/>
      <c r="J191" s="96">
        <f t="shared" si="7"/>
        <v>2.1865415658349168</v>
      </c>
      <c r="K191" s="384">
        <v>2.3980133935635761</v>
      </c>
      <c r="L191" t="str">
        <f t="shared" si="8"/>
        <v>Paanga</v>
      </c>
    </row>
    <row r="192" spans="1:14" x14ac:dyDescent="0.25">
      <c r="A192" t="str">
        <f t="shared" ca="1" si="6"/>
        <v>Trinidad and Tobago</v>
      </c>
      <c r="B192" s="373" t="s">
        <v>674</v>
      </c>
      <c r="C192" s="373" t="s">
        <v>675</v>
      </c>
      <c r="D192" s="373" t="s">
        <v>676</v>
      </c>
      <c r="E192" s="373" t="s">
        <v>677</v>
      </c>
      <c r="F192" s="376" t="s">
        <v>1106</v>
      </c>
      <c r="G192" s="376" t="s">
        <v>1105</v>
      </c>
      <c r="H192" s="375">
        <v>6.6619364792010947</v>
      </c>
      <c r="I192" s="376"/>
      <c r="J192" s="96">
        <f t="shared" si="7"/>
        <v>6.6619364792010947</v>
      </c>
      <c r="K192" s="384">
        <v>7.3062470678868126</v>
      </c>
      <c r="L192" t="str">
        <f t="shared" si="8"/>
        <v>Trinidad and Tobago Dollar</v>
      </c>
    </row>
    <row r="193" spans="1:14" x14ac:dyDescent="0.25">
      <c r="A193" t="str">
        <f t="shared" ca="1" si="6"/>
        <v>Tunisia</v>
      </c>
      <c r="B193" s="373" t="s">
        <v>678</v>
      </c>
      <c r="C193" s="373" t="s">
        <v>679</v>
      </c>
      <c r="D193" s="373" t="s">
        <v>680</v>
      </c>
      <c r="E193" s="373" t="s">
        <v>681</v>
      </c>
      <c r="F193" s="376" t="s">
        <v>1100</v>
      </c>
      <c r="G193" s="376" t="s">
        <v>1099</v>
      </c>
      <c r="H193" s="375">
        <v>2.1954544508642213</v>
      </c>
      <c r="I193" s="376"/>
      <c r="J193" s="96">
        <f t="shared" si="7"/>
        <v>2.1954544508642213</v>
      </c>
      <c r="K193" s="384">
        <v>2.4077882901443339</v>
      </c>
      <c r="L193" t="str">
        <f t="shared" si="8"/>
        <v>Tunisian Dinar</v>
      </c>
    </row>
    <row r="194" spans="1:14" x14ac:dyDescent="0.25">
      <c r="A194" t="str">
        <f t="shared" ref="A194:A255" ca="1" si="9">OFFSET(B194,0,LangOffset,1,1)</f>
        <v>Turkey</v>
      </c>
      <c r="B194" s="373" t="s">
        <v>682</v>
      </c>
      <c r="C194" s="373" t="s">
        <v>683</v>
      </c>
      <c r="D194" s="373" t="s">
        <v>684</v>
      </c>
      <c r="E194" s="373" t="s">
        <v>685</v>
      </c>
      <c r="F194" s="376" t="s">
        <v>1104</v>
      </c>
      <c r="G194" s="376" t="s">
        <v>1103</v>
      </c>
      <c r="H194" s="375">
        <v>3.1122823840757792</v>
      </c>
      <c r="I194" s="376"/>
      <c r="J194" s="96">
        <f t="shared" si="7"/>
        <v>3.1122823840757792</v>
      </c>
      <c r="K194" s="384">
        <v>3.4132874298759948</v>
      </c>
      <c r="L194" t="str">
        <f t="shared" si="8"/>
        <v>Turkish New Lira</v>
      </c>
    </row>
    <row r="195" spans="1:14" x14ac:dyDescent="0.25">
      <c r="A195" t="str">
        <f t="shared" ca="1" si="9"/>
        <v>Turkmenistan</v>
      </c>
      <c r="B195" s="373" t="s">
        <v>686</v>
      </c>
      <c r="C195" s="373" t="s">
        <v>687</v>
      </c>
      <c r="D195" s="373" t="s">
        <v>688</v>
      </c>
      <c r="E195" s="373" t="s">
        <v>689</v>
      </c>
      <c r="F195" s="376" t="s">
        <v>1098</v>
      </c>
      <c r="G195" s="378" t="s">
        <v>1802</v>
      </c>
      <c r="H195" s="375">
        <v>3.4530805906977204</v>
      </c>
      <c r="I195" s="378"/>
      <c r="J195" s="96">
        <f t="shared" ref="J195:J245" si="10">H195</f>
        <v>3.4530805906977204</v>
      </c>
      <c r="K195" s="384">
        <v>3.7870460067772327</v>
      </c>
      <c r="L195" t="str">
        <f t="shared" ref="L195:L245" si="11">F195</f>
        <v>Turkmen Manat</v>
      </c>
    </row>
    <row r="196" spans="1:14" x14ac:dyDescent="0.25">
      <c r="A196" t="str">
        <f t="shared" ca="1" si="9"/>
        <v>Tuvalu</v>
      </c>
      <c r="B196" s="373" t="s">
        <v>690</v>
      </c>
      <c r="C196" s="373" t="s">
        <v>690</v>
      </c>
      <c r="D196" s="373" t="s">
        <v>690</v>
      </c>
      <c r="E196" s="373" t="s">
        <v>691</v>
      </c>
      <c r="F196" s="377" t="s">
        <v>836</v>
      </c>
      <c r="G196" s="377" t="s">
        <v>835</v>
      </c>
      <c r="H196" s="375">
        <v>1.3373468522655176</v>
      </c>
      <c r="I196" s="377"/>
      <c r="J196" s="96">
        <f t="shared" si="10"/>
        <v>1.3373468522655176</v>
      </c>
      <c r="K196" s="384">
        <v>1.4666886345461434</v>
      </c>
      <c r="L196" t="str">
        <f t="shared" si="11"/>
        <v>Australian Dollar</v>
      </c>
      <c r="M196" s="5"/>
      <c r="N196" s="5"/>
    </row>
    <row r="197" spans="1:14" x14ac:dyDescent="0.25">
      <c r="A197" t="str">
        <f t="shared" ca="1" si="9"/>
        <v>Uganda</v>
      </c>
      <c r="B197" s="373" t="s">
        <v>692</v>
      </c>
      <c r="C197" s="373" t="s">
        <v>693</v>
      </c>
      <c r="D197" s="373" t="s">
        <v>692</v>
      </c>
      <c r="E197" s="373" t="s">
        <v>694</v>
      </c>
      <c r="F197" s="376" t="s">
        <v>1114</v>
      </c>
      <c r="G197" s="376" t="s">
        <v>1113</v>
      </c>
      <c r="H197" s="375">
        <v>3453.7472412810062</v>
      </c>
      <c r="I197" s="376"/>
      <c r="J197" s="96">
        <f t="shared" si="10"/>
        <v>3453.7472412810062</v>
      </c>
      <c r="K197" s="384">
        <v>3787.7771326119869</v>
      </c>
      <c r="L197" t="str">
        <f t="shared" si="11"/>
        <v>Ugandan Shilling</v>
      </c>
    </row>
    <row r="198" spans="1:14" x14ac:dyDescent="0.25">
      <c r="A198" t="str">
        <f t="shared" ca="1" si="9"/>
        <v>Ukraine</v>
      </c>
      <c r="B198" s="373" t="s">
        <v>695</v>
      </c>
      <c r="C198" s="373" t="s">
        <v>695</v>
      </c>
      <c r="D198" s="373" t="s">
        <v>696</v>
      </c>
      <c r="E198" s="373" t="s">
        <v>697</v>
      </c>
      <c r="F198" s="376" t="s">
        <v>1112</v>
      </c>
      <c r="G198" s="376" t="s">
        <v>1111</v>
      </c>
      <c r="H198" s="375">
        <v>25.398709692444609</v>
      </c>
      <c r="I198" s="376"/>
      <c r="J198" s="96">
        <f t="shared" si="10"/>
        <v>25.398709692444609</v>
      </c>
      <c r="K198" s="384">
        <v>27.855151245870992</v>
      </c>
      <c r="L198" t="str">
        <f t="shared" si="11"/>
        <v>Hryvnia</v>
      </c>
    </row>
    <row r="199" spans="1:14" x14ac:dyDescent="0.25">
      <c r="A199" t="str">
        <f t="shared" ca="1" si="9"/>
        <v>United Arab Emirates</v>
      </c>
      <c r="B199" s="373" t="s">
        <v>698</v>
      </c>
      <c r="C199" s="373" t="s">
        <v>699</v>
      </c>
      <c r="D199" s="373" t="s">
        <v>700</v>
      </c>
      <c r="E199" s="373" t="s">
        <v>701</v>
      </c>
      <c r="F199" s="380" t="s">
        <v>854</v>
      </c>
      <c r="G199" s="380" t="s">
        <v>853</v>
      </c>
      <c r="H199" s="375">
        <v>3.6730101348081017</v>
      </c>
      <c r="I199" s="380"/>
      <c r="J199" s="96">
        <f t="shared" si="10"/>
        <v>3.6730101348081017</v>
      </c>
      <c r="K199" s="384">
        <v>4.028246083033566</v>
      </c>
      <c r="L199" t="str">
        <f t="shared" si="11"/>
        <v>UAE Dirham</v>
      </c>
    </row>
    <row r="200" spans="1:14" x14ac:dyDescent="0.25">
      <c r="A200" t="str">
        <f t="shared" ca="1" si="9"/>
        <v>United Kingdom</v>
      </c>
      <c r="B200" s="373" t="s">
        <v>702</v>
      </c>
      <c r="C200" s="373" t="s">
        <v>703</v>
      </c>
      <c r="D200" s="373" t="s">
        <v>704</v>
      </c>
      <c r="E200" s="373" t="s">
        <v>705</v>
      </c>
      <c r="F200" s="376" t="s">
        <v>845</v>
      </c>
      <c r="G200" s="376" t="s">
        <v>844</v>
      </c>
      <c r="H200" s="375">
        <v>0.76167668449369252</v>
      </c>
      <c r="I200" s="376"/>
      <c r="J200" s="96">
        <f t="shared" si="10"/>
        <v>0.76167668449369252</v>
      </c>
      <c r="K200" s="384">
        <v>0.83534240534024862</v>
      </c>
      <c r="L200" t="str">
        <f t="shared" si="11"/>
        <v>Pound Sterling</v>
      </c>
    </row>
    <row r="201" spans="1:14" x14ac:dyDescent="0.25">
      <c r="A201" t="str">
        <f t="shared" ca="1" si="9"/>
        <v>United States</v>
      </c>
      <c r="B201" s="373" t="s">
        <v>706</v>
      </c>
      <c r="C201" s="373" t="s">
        <v>707</v>
      </c>
      <c r="D201" s="373" t="s">
        <v>708</v>
      </c>
      <c r="E201" s="373" t="s">
        <v>709</v>
      </c>
      <c r="F201" s="376" t="s">
        <v>1115</v>
      </c>
      <c r="G201" s="376" t="s">
        <v>8</v>
      </c>
      <c r="H201" s="375">
        <v>1</v>
      </c>
      <c r="I201" s="376"/>
      <c r="J201" s="96">
        <f t="shared" si="10"/>
        <v>1</v>
      </c>
      <c r="K201" s="384">
        <v>1.0967152104642979</v>
      </c>
      <c r="L201" t="str">
        <f t="shared" si="11"/>
        <v>United States Dollar</v>
      </c>
    </row>
    <row r="202" spans="1:14" x14ac:dyDescent="0.25">
      <c r="A202" t="str">
        <f t="shared" ca="1" si="9"/>
        <v>Uruguay</v>
      </c>
      <c r="B202" s="373" t="s">
        <v>710</v>
      </c>
      <c r="C202" s="373" t="s">
        <v>710</v>
      </c>
      <c r="D202" s="373" t="s">
        <v>710</v>
      </c>
      <c r="E202" s="373" t="s">
        <v>711</v>
      </c>
      <c r="F202" s="376" t="s">
        <v>1117</v>
      </c>
      <c r="G202" s="376" t="s">
        <v>1116</v>
      </c>
      <c r="H202" s="375">
        <v>29.195362791362761</v>
      </c>
      <c r="I202" s="376"/>
      <c r="J202" s="96">
        <f t="shared" si="10"/>
        <v>29.195362791362761</v>
      </c>
      <c r="K202" s="384">
        <v>32.018998448310946</v>
      </c>
      <c r="L202" t="str">
        <f t="shared" si="11"/>
        <v>Uruguayan Peso</v>
      </c>
    </row>
    <row r="203" spans="1:14" x14ac:dyDescent="0.25">
      <c r="A203" t="str">
        <f t="shared" ca="1" si="9"/>
        <v>Uzbekistan</v>
      </c>
      <c r="B203" s="373" t="s">
        <v>712</v>
      </c>
      <c r="C203" s="373" t="s">
        <v>713</v>
      </c>
      <c r="D203" s="373" t="s">
        <v>714</v>
      </c>
      <c r="E203" s="373" t="s">
        <v>715</v>
      </c>
      <c r="F203" s="376" t="s">
        <v>1119</v>
      </c>
      <c r="G203" s="376" t="s">
        <v>1118</v>
      </c>
      <c r="H203" s="375">
        <v>3006.8084888193503</v>
      </c>
      <c r="I203" s="376"/>
      <c r="J203" s="96">
        <f t="shared" si="10"/>
        <v>3006.8084888193503</v>
      </c>
      <c r="K203" s="384">
        <v>3297.612604641351</v>
      </c>
      <c r="L203" t="str">
        <f t="shared" si="11"/>
        <v>Uzbekistani Som</v>
      </c>
    </row>
    <row r="204" spans="1:14" x14ac:dyDescent="0.25">
      <c r="A204" t="str">
        <f t="shared" ca="1" si="9"/>
        <v>Vanuatu</v>
      </c>
      <c r="B204" s="373" t="s">
        <v>716</v>
      </c>
      <c r="C204" s="373" t="s">
        <v>716</v>
      </c>
      <c r="D204" s="373" t="s">
        <v>716</v>
      </c>
      <c r="E204" s="373" t="s">
        <v>717</v>
      </c>
      <c r="F204" s="376" t="s">
        <v>1124</v>
      </c>
      <c r="G204" s="376" t="s">
        <v>1123</v>
      </c>
      <c r="H204" s="375">
        <v>108.41001534218985</v>
      </c>
      <c r="I204" s="376"/>
      <c r="J204" s="96">
        <f t="shared" si="10"/>
        <v>108.41001534218985</v>
      </c>
      <c r="K204" s="384">
        <v>118.8949127924475</v>
      </c>
      <c r="L204" t="str">
        <f t="shared" si="11"/>
        <v>Vanuatu Vatu</v>
      </c>
    </row>
    <row r="205" spans="1:14" x14ac:dyDescent="0.25">
      <c r="A205" t="str">
        <f t="shared" ca="1" si="9"/>
        <v>Venezuela</v>
      </c>
      <c r="B205" s="373" t="s">
        <v>718</v>
      </c>
      <c r="C205" s="373" t="s">
        <v>718</v>
      </c>
      <c r="D205" s="373" t="s">
        <v>718</v>
      </c>
      <c r="E205" s="373" t="s">
        <v>719</v>
      </c>
      <c r="F205" s="376" t="s">
        <v>1120</v>
      </c>
      <c r="G205" s="378" t="s">
        <v>1803</v>
      </c>
      <c r="H205" s="375">
        <v>9.5347099270067091</v>
      </c>
      <c r="I205" s="378"/>
      <c r="J205" s="96">
        <f t="shared" si="10"/>
        <v>9.5347099270067091</v>
      </c>
      <c r="K205" s="384">
        <v>10.456861404313193</v>
      </c>
      <c r="L205" t="str">
        <f t="shared" si="11"/>
        <v>Venezuelan Bolivar</v>
      </c>
    </row>
    <row r="206" spans="1:14" x14ac:dyDescent="0.25">
      <c r="A206" t="str">
        <f t="shared" ca="1" si="9"/>
        <v>Viet Nam</v>
      </c>
      <c r="B206" s="373" t="s">
        <v>720</v>
      </c>
      <c r="C206" s="373" t="s">
        <v>720</v>
      </c>
      <c r="D206" s="373" t="s">
        <v>720</v>
      </c>
      <c r="E206" s="373" t="s">
        <v>721</v>
      </c>
      <c r="F206" s="376" t="s">
        <v>1122</v>
      </c>
      <c r="G206" s="376" t="s">
        <v>1121</v>
      </c>
      <c r="H206" s="375">
        <v>22407.636753754981</v>
      </c>
      <c r="I206" s="376"/>
      <c r="J206" s="96">
        <f t="shared" si="10"/>
        <v>22407.636753754981</v>
      </c>
      <c r="K206" s="384">
        <v>24574.796058401931</v>
      </c>
      <c r="L206" t="str">
        <f t="shared" si="11"/>
        <v>Vietnamese Dong</v>
      </c>
    </row>
    <row r="207" spans="1:14" x14ac:dyDescent="0.25">
      <c r="A207" t="str">
        <f t="shared" ca="1" si="9"/>
        <v>Wallis and Futuna Islands</v>
      </c>
      <c r="B207" s="373" t="s">
        <v>722</v>
      </c>
      <c r="C207" s="373" t="s">
        <v>723</v>
      </c>
      <c r="D207" s="373" t="s">
        <v>724</v>
      </c>
      <c r="E207" s="373" t="s">
        <v>725</v>
      </c>
      <c r="F207" s="376" t="s">
        <v>1133</v>
      </c>
      <c r="G207" s="376" t="s">
        <v>1132</v>
      </c>
      <c r="H207" s="375">
        <v>108.66803820305384</v>
      </c>
      <c r="I207" s="376"/>
      <c r="J207" s="96">
        <f t="shared" si="10"/>
        <v>108.66803820305384</v>
      </c>
      <c r="K207" s="384">
        <v>119.33174219999999</v>
      </c>
      <c r="L207" t="str">
        <f t="shared" si="11"/>
        <v>CFP Franc</v>
      </c>
    </row>
    <row r="208" spans="1:14" x14ac:dyDescent="0.25">
      <c r="A208" t="str">
        <f t="shared" ca="1" si="9"/>
        <v>Yemen</v>
      </c>
      <c r="B208" s="373" t="s">
        <v>726</v>
      </c>
      <c r="C208" s="373" t="s">
        <v>727</v>
      </c>
      <c r="D208" s="373" t="s">
        <v>726</v>
      </c>
      <c r="E208" s="373" t="s">
        <v>728</v>
      </c>
      <c r="F208" s="376" t="s">
        <v>1135</v>
      </c>
      <c r="G208" s="376" t="s">
        <v>1134</v>
      </c>
      <c r="H208" s="375">
        <v>244.85760561586378</v>
      </c>
      <c r="I208" s="376"/>
      <c r="J208" s="96">
        <f t="shared" si="10"/>
        <v>244.85760561586378</v>
      </c>
      <c r="K208" s="384">
        <v>268.53906047678606</v>
      </c>
      <c r="L208" t="str">
        <f t="shared" si="11"/>
        <v>Yemini Rial</v>
      </c>
    </row>
    <row r="209" spans="1:12" x14ac:dyDescent="0.25">
      <c r="A209" t="str">
        <f t="shared" ca="1" si="9"/>
        <v>Zambia</v>
      </c>
      <c r="B209" s="373" t="s">
        <v>729</v>
      </c>
      <c r="C209" s="373" t="s">
        <v>730</v>
      </c>
      <c r="D209" s="373" t="s">
        <v>729</v>
      </c>
      <c r="E209" s="373" t="s">
        <v>731</v>
      </c>
      <c r="F209" s="376" t="s">
        <v>1136</v>
      </c>
      <c r="G209" s="378" t="s">
        <v>1804</v>
      </c>
      <c r="H209" s="375">
        <v>10.009636760654296</v>
      </c>
      <c r="I209" s="378"/>
      <c r="J209" s="96">
        <f t="shared" si="10"/>
        <v>10.009636760654296</v>
      </c>
      <c r="K209" s="384">
        <v>10.977720886632149</v>
      </c>
      <c r="L209" t="str">
        <f t="shared" si="11"/>
        <v>Zambia Kwacha</v>
      </c>
    </row>
    <row r="210" spans="1:12" x14ac:dyDescent="0.25">
      <c r="A210" t="str">
        <f t="shared" ca="1" si="9"/>
        <v>Zanzibar</v>
      </c>
      <c r="B210" s="373" t="s">
        <v>732</v>
      </c>
      <c r="C210" s="373" t="s">
        <v>732</v>
      </c>
      <c r="D210" s="373" t="s">
        <v>732</v>
      </c>
      <c r="E210" s="373" t="s">
        <v>733</v>
      </c>
      <c r="F210" s="376" t="s">
        <v>1110</v>
      </c>
      <c r="G210" s="376" t="s">
        <v>1109</v>
      </c>
      <c r="H210" s="375">
        <v>2176.4456260313395</v>
      </c>
      <c r="I210" s="376"/>
      <c r="J210" s="96">
        <f t="shared" si="10"/>
        <v>2176.4456260313395</v>
      </c>
      <c r="K210" s="384">
        <v>2386.9410228170609</v>
      </c>
      <c r="L210" t="str">
        <f t="shared" si="11"/>
        <v>Tanzanian Shilling</v>
      </c>
    </row>
    <row r="211" spans="1:12" x14ac:dyDescent="0.25">
      <c r="A211" t="str">
        <f t="shared" ca="1" si="9"/>
        <v>Zimbabwe</v>
      </c>
      <c r="B211" s="373" t="s">
        <v>734</v>
      </c>
      <c r="C211" s="373" t="s">
        <v>734</v>
      </c>
      <c r="D211" s="373" t="s">
        <v>735</v>
      </c>
      <c r="E211" s="373" t="s">
        <v>736</v>
      </c>
      <c r="F211" s="381" t="s">
        <v>1740</v>
      </c>
      <c r="G211" s="378" t="s">
        <v>8</v>
      </c>
      <c r="H211" s="375">
        <v>1</v>
      </c>
      <c r="I211" s="378"/>
      <c r="J211" s="96">
        <f t="shared" si="10"/>
        <v>1</v>
      </c>
      <c r="K211" s="384">
        <v>1.0967152104642979</v>
      </c>
      <c r="L211" t="str">
        <f t="shared" si="11"/>
        <v>U.S Dollar</v>
      </c>
    </row>
    <row r="212" spans="1:12" x14ac:dyDescent="0.25">
      <c r="A212" t="e">
        <f t="shared" ca="1" si="9"/>
        <v>#N/A</v>
      </c>
      <c r="B212" s="373" t="e">
        <v>#N/A</v>
      </c>
      <c r="C212" s="373" t="e">
        <v>#N/A</v>
      </c>
      <c r="D212" s="373" t="e">
        <v>#N/A</v>
      </c>
      <c r="E212" s="373" t="e">
        <v>#N/A</v>
      </c>
      <c r="F212" s="373" t="s">
        <v>1740</v>
      </c>
      <c r="G212" s="376" t="s">
        <v>8</v>
      </c>
      <c r="H212" s="375">
        <v>1</v>
      </c>
      <c r="I212" s="376"/>
      <c r="J212" s="96">
        <f t="shared" si="10"/>
        <v>1</v>
      </c>
      <c r="K212" s="384">
        <v>1.0967152104642979</v>
      </c>
      <c r="L212" t="str">
        <f t="shared" si="11"/>
        <v>U.S Dollar</v>
      </c>
    </row>
    <row r="213" spans="1:12" x14ac:dyDescent="0.25">
      <c r="A213" t="str">
        <f t="shared" ca="1" si="9"/>
        <v>Multicountry Southern Africa SADC</v>
      </c>
      <c r="B213" s="373" t="s">
        <v>2063</v>
      </c>
      <c r="C213" s="373" t="s">
        <v>2063</v>
      </c>
      <c r="D213" s="373" t="s">
        <v>2063</v>
      </c>
      <c r="E213" s="373" t="s">
        <v>2063</v>
      </c>
      <c r="F213" s="373" t="s">
        <v>1740</v>
      </c>
      <c r="G213" s="376" t="s">
        <v>8</v>
      </c>
      <c r="H213" s="375">
        <v>1</v>
      </c>
      <c r="I213" s="376"/>
      <c r="J213" s="96">
        <f t="shared" si="10"/>
        <v>1</v>
      </c>
      <c r="K213" s="384">
        <v>1.0967152104642979</v>
      </c>
      <c r="L213" t="str">
        <f t="shared" si="11"/>
        <v>U.S Dollar</v>
      </c>
    </row>
    <row r="214" spans="1:12" x14ac:dyDescent="0.25">
      <c r="A214">
        <f t="shared" ca="1" si="9"/>
        <v>0</v>
      </c>
      <c r="B214" s="373"/>
      <c r="C214" s="373"/>
      <c r="D214" s="373"/>
      <c r="E214" s="373"/>
      <c r="F214" s="373" t="s">
        <v>1740</v>
      </c>
      <c r="G214" s="376" t="s">
        <v>8</v>
      </c>
      <c r="H214" s="375">
        <v>1</v>
      </c>
      <c r="I214" s="376"/>
      <c r="J214" s="96">
        <f t="shared" si="10"/>
        <v>1</v>
      </c>
      <c r="K214" s="384">
        <v>1.0967152104642979</v>
      </c>
      <c r="L214" t="str">
        <f t="shared" si="11"/>
        <v>U.S Dollar</v>
      </c>
    </row>
    <row r="215" spans="1:12" x14ac:dyDescent="0.25">
      <c r="A215" t="e">
        <f t="shared" ca="1" si="9"/>
        <v>#N/A</v>
      </c>
      <c r="B215" s="373" t="e">
        <v>#N/A</v>
      </c>
      <c r="C215" s="373" t="e">
        <v>#N/A</v>
      </c>
      <c r="D215" s="373" t="e">
        <v>#N/A</v>
      </c>
      <c r="E215" s="373" t="e">
        <v>#N/A</v>
      </c>
      <c r="F215" s="373" t="s">
        <v>1740</v>
      </c>
      <c r="G215" s="376" t="s">
        <v>8</v>
      </c>
      <c r="H215" s="375">
        <v>1</v>
      </c>
      <c r="I215" s="376"/>
      <c r="J215" s="96">
        <f t="shared" si="10"/>
        <v>1</v>
      </c>
      <c r="K215" s="384">
        <v>1.0967152104642979</v>
      </c>
      <c r="L215" t="str">
        <f t="shared" si="11"/>
        <v>U.S Dollar</v>
      </c>
    </row>
    <row r="216" spans="1:12" x14ac:dyDescent="0.25">
      <c r="A216" t="str">
        <f t="shared" ca="1" si="9"/>
        <v>Multicountry Caribbean CARICOM-PANCAP</v>
      </c>
      <c r="B216" s="373" t="s">
        <v>2064</v>
      </c>
      <c r="C216" s="373" t="s">
        <v>2064</v>
      </c>
      <c r="D216" s="373" t="s">
        <v>2064</v>
      </c>
      <c r="E216" s="373" t="s">
        <v>2064</v>
      </c>
      <c r="F216" s="373" t="s">
        <v>1740</v>
      </c>
      <c r="G216" s="376" t="s">
        <v>8</v>
      </c>
      <c r="H216" s="375">
        <v>1</v>
      </c>
      <c r="I216" s="376"/>
      <c r="J216" s="96">
        <f t="shared" si="10"/>
        <v>1</v>
      </c>
      <c r="K216" s="384">
        <v>1.0967152104642979</v>
      </c>
      <c r="L216" t="str">
        <f t="shared" si="11"/>
        <v>U.S Dollar</v>
      </c>
    </row>
    <row r="217" spans="1:12" x14ac:dyDescent="0.25">
      <c r="A217" t="e">
        <f t="shared" ca="1" si="9"/>
        <v>#N/A</v>
      </c>
      <c r="B217" s="373" t="e">
        <v>#N/A</v>
      </c>
      <c r="C217" s="373" t="e">
        <v>#N/A</v>
      </c>
      <c r="D217" s="373" t="e">
        <v>#N/A</v>
      </c>
      <c r="E217" s="373" t="e">
        <v>#N/A</v>
      </c>
      <c r="F217" s="373" t="s">
        <v>1740</v>
      </c>
      <c r="G217" s="376" t="s">
        <v>8</v>
      </c>
      <c r="H217" s="375">
        <v>1</v>
      </c>
      <c r="I217" s="376"/>
      <c r="J217" s="96">
        <f t="shared" si="10"/>
        <v>1</v>
      </c>
      <c r="K217" s="384">
        <v>1.0967152104642979</v>
      </c>
      <c r="L217" t="str">
        <f t="shared" si="11"/>
        <v>U.S Dollar</v>
      </c>
    </row>
    <row r="218" spans="1:12" x14ac:dyDescent="0.25">
      <c r="A218" t="e">
        <f t="shared" ca="1" si="9"/>
        <v>#N/A</v>
      </c>
      <c r="B218" s="373" t="e">
        <v>#N/A</v>
      </c>
      <c r="C218" s="373" t="e">
        <v>#N/A</v>
      </c>
      <c r="D218" s="373" t="e">
        <v>#N/A</v>
      </c>
      <c r="E218" s="373" t="e">
        <v>#N/A</v>
      </c>
      <c r="F218" s="373" t="s">
        <v>1740</v>
      </c>
      <c r="G218" s="376" t="s">
        <v>8</v>
      </c>
      <c r="H218" s="375">
        <v>1</v>
      </c>
      <c r="I218" s="376"/>
      <c r="J218" s="96">
        <f t="shared" si="10"/>
        <v>1</v>
      </c>
      <c r="K218" s="384">
        <v>1.0967152104642979</v>
      </c>
      <c r="L218" t="str">
        <f t="shared" si="11"/>
        <v>U.S Dollar</v>
      </c>
    </row>
    <row r="219" spans="1:12" x14ac:dyDescent="0.25">
      <c r="A219" t="str">
        <f t="shared" ca="1" si="9"/>
        <v>Multicountry Americas EMMIE</v>
      </c>
      <c r="B219" s="373" t="s">
        <v>2065</v>
      </c>
      <c r="C219" s="373" t="s">
        <v>2065</v>
      </c>
      <c r="D219" s="373" t="s">
        <v>2065</v>
      </c>
      <c r="E219" s="373" t="s">
        <v>2065</v>
      </c>
      <c r="F219" s="373" t="s">
        <v>1740</v>
      </c>
      <c r="G219" s="376" t="s">
        <v>8</v>
      </c>
      <c r="H219" s="375">
        <v>1</v>
      </c>
      <c r="I219" s="376"/>
      <c r="J219" s="96">
        <f t="shared" si="10"/>
        <v>1</v>
      </c>
      <c r="K219" s="384">
        <v>1.0967152104642979</v>
      </c>
      <c r="L219" t="str">
        <f t="shared" si="11"/>
        <v>U.S Dollar</v>
      </c>
    </row>
    <row r="220" spans="1:12" x14ac:dyDescent="0.25">
      <c r="A220" t="str">
        <f t="shared" ca="1" si="9"/>
        <v>Multicountry Caribbean MCC</v>
      </c>
      <c r="B220" s="373" t="s">
        <v>2066</v>
      </c>
      <c r="C220" s="373" t="s">
        <v>2066</v>
      </c>
      <c r="D220" s="373" t="s">
        <v>2066</v>
      </c>
      <c r="E220" s="373" t="s">
        <v>2066</v>
      </c>
      <c r="F220" s="373" t="s">
        <v>1740</v>
      </c>
      <c r="G220" s="376" t="s">
        <v>8</v>
      </c>
      <c r="H220" s="375">
        <v>1</v>
      </c>
      <c r="I220" s="376"/>
      <c r="J220" s="96">
        <f t="shared" si="10"/>
        <v>1</v>
      </c>
      <c r="K220" s="384">
        <v>1.0967152104642979</v>
      </c>
      <c r="L220" t="str">
        <f t="shared" si="11"/>
        <v>U.S Dollar</v>
      </c>
    </row>
    <row r="221" spans="1:12" x14ac:dyDescent="0.25">
      <c r="A221" t="str">
        <f t="shared" ca="1" si="9"/>
        <v>Multicountry Central Americas REDCA</v>
      </c>
      <c r="B221" s="373" t="s">
        <v>2067</v>
      </c>
      <c r="C221" s="373" t="s">
        <v>2067</v>
      </c>
      <c r="D221" s="373" t="s">
        <v>2067</v>
      </c>
      <c r="E221" s="373" t="s">
        <v>2067</v>
      </c>
      <c r="F221" s="373" t="s">
        <v>1740</v>
      </c>
      <c r="G221" s="376" t="s">
        <v>8</v>
      </c>
      <c r="H221" s="375">
        <v>1</v>
      </c>
      <c r="I221" s="376"/>
      <c r="J221" s="96">
        <f t="shared" si="10"/>
        <v>1</v>
      </c>
      <c r="K221" s="384">
        <v>1.0967152104642979</v>
      </c>
      <c r="L221" t="str">
        <f t="shared" si="11"/>
        <v>U.S Dollar</v>
      </c>
    </row>
    <row r="222" spans="1:12" x14ac:dyDescent="0.25">
      <c r="A222" t="str">
        <f t="shared" ca="1" si="9"/>
        <v>Multicountry Americas REDTRASEX</v>
      </c>
      <c r="B222" s="373" t="s">
        <v>2068</v>
      </c>
      <c r="C222" s="373" t="s">
        <v>2068</v>
      </c>
      <c r="D222" s="373" t="s">
        <v>2068</v>
      </c>
      <c r="E222" s="373" t="s">
        <v>2068</v>
      </c>
      <c r="F222" s="373" t="s">
        <v>1740</v>
      </c>
      <c r="G222" s="376" t="s">
        <v>8</v>
      </c>
      <c r="H222" s="375">
        <v>1</v>
      </c>
      <c r="I222" s="376"/>
      <c r="J222" s="96">
        <f t="shared" si="10"/>
        <v>1</v>
      </c>
      <c r="K222" s="384">
        <v>1.0967152104642979</v>
      </c>
      <c r="L222" t="str">
        <f t="shared" si="11"/>
        <v>U.S Dollar</v>
      </c>
    </row>
    <row r="223" spans="1:12" x14ac:dyDescent="0.25">
      <c r="A223" t="str">
        <f t="shared" ca="1" si="9"/>
        <v>Multicountry East Asia and Pacific APN</v>
      </c>
      <c r="B223" s="373" t="s">
        <v>2069</v>
      </c>
      <c r="C223" s="373" t="s">
        <v>2069</v>
      </c>
      <c r="D223" s="373" t="s">
        <v>2069</v>
      </c>
      <c r="E223" s="373" t="s">
        <v>2069</v>
      </c>
      <c r="F223" s="373" t="s">
        <v>1740</v>
      </c>
      <c r="G223" s="376" t="s">
        <v>8</v>
      </c>
      <c r="H223" s="375">
        <v>1</v>
      </c>
      <c r="I223" s="376"/>
      <c r="J223" s="96">
        <f t="shared" si="10"/>
        <v>1</v>
      </c>
      <c r="K223" s="384">
        <v>1.0967152104642979</v>
      </c>
      <c r="L223" t="str">
        <f t="shared" si="11"/>
        <v>U.S Dollar</v>
      </c>
    </row>
    <row r="224" spans="1:12" x14ac:dyDescent="0.25">
      <c r="A224" t="str">
        <f t="shared" ca="1" si="9"/>
        <v>Multicountry East Asia and Pacific HIVOS</v>
      </c>
      <c r="B224" s="373" t="s">
        <v>2070</v>
      </c>
      <c r="C224" s="373" t="s">
        <v>2070</v>
      </c>
      <c r="D224" s="373" t="s">
        <v>2070</v>
      </c>
      <c r="E224" s="373" t="s">
        <v>2070</v>
      </c>
      <c r="F224" s="373" t="s">
        <v>1740</v>
      </c>
      <c r="G224" s="376" t="s">
        <v>8</v>
      </c>
      <c r="H224" s="375">
        <v>1</v>
      </c>
      <c r="I224" s="376"/>
      <c r="J224" s="96">
        <f t="shared" si="10"/>
        <v>1</v>
      </c>
      <c r="K224" s="384">
        <v>1.0967152104642979</v>
      </c>
      <c r="L224" t="str">
        <f t="shared" si="11"/>
        <v>U.S Dollar</v>
      </c>
    </row>
    <row r="225" spans="1:12" x14ac:dyDescent="0.25">
      <c r="A225" t="str">
        <f t="shared" ca="1" si="9"/>
        <v>Multicountry East Asia and Pacific RAI</v>
      </c>
      <c r="B225" s="373" t="s">
        <v>2071</v>
      </c>
      <c r="C225" s="373" t="s">
        <v>2071</v>
      </c>
      <c r="D225" s="373" t="s">
        <v>2071</v>
      </c>
      <c r="E225" s="373" t="s">
        <v>2071</v>
      </c>
      <c r="F225" s="373" t="s">
        <v>1740</v>
      </c>
      <c r="G225" s="376" t="s">
        <v>8</v>
      </c>
      <c r="H225" s="375">
        <v>1</v>
      </c>
      <c r="I225" s="376"/>
      <c r="J225" s="96">
        <f t="shared" si="10"/>
        <v>1</v>
      </c>
      <c r="K225" s="384">
        <v>1.0967152104642979</v>
      </c>
      <c r="L225" t="str">
        <f t="shared" si="11"/>
        <v>U.S Dollar</v>
      </c>
    </row>
    <row r="226" spans="1:12" x14ac:dyDescent="0.25">
      <c r="A226" t="str">
        <f t="shared" ca="1" si="9"/>
        <v>Multicountry EECA EHRN</v>
      </c>
      <c r="B226" s="373" t="s">
        <v>2072</v>
      </c>
      <c r="C226" s="373" t="s">
        <v>2072</v>
      </c>
      <c r="D226" s="373" t="s">
        <v>2072</v>
      </c>
      <c r="E226" s="373" t="s">
        <v>2072</v>
      </c>
      <c r="F226" s="373" t="s">
        <v>1740</v>
      </c>
      <c r="G226" s="376" t="s">
        <v>8</v>
      </c>
      <c r="H226" s="375">
        <v>1</v>
      </c>
      <c r="I226" s="376"/>
      <c r="J226" s="96">
        <f t="shared" si="10"/>
        <v>1</v>
      </c>
      <c r="K226" s="384">
        <v>1.0967152104642979</v>
      </c>
      <c r="L226" t="str">
        <f t="shared" si="11"/>
        <v>U.S Dollar</v>
      </c>
    </row>
    <row r="227" spans="1:12" x14ac:dyDescent="0.25">
      <c r="A227" t="str">
        <f t="shared" ca="1" si="9"/>
        <v>Multicountry MENA HRA</v>
      </c>
      <c r="B227" s="373" t="s">
        <v>2073</v>
      </c>
      <c r="C227" s="373" t="s">
        <v>2073</v>
      </c>
      <c r="D227" s="373" t="s">
        <v>2073</v>
      </c>
      <c r="E227" s="373" t="s">
        <v>2073</v>
      </c>
      <c r="F227" s="373" t="s">
        <v>1740</v>
      </c>
      <c r="G227" s="376" t="s">
        <v>8</v>
      </c>
      <c r="H227" s="375">
        <v>1</v>
      </c>
      <c r="I227" s="376"/>
      <c r="J227" s="96">
        <f t="shared" si="10"/>
        <v>1</v>
      </c>
      <c r="K227" s="384">
        <v>1.0967152104642979</v>
      </c>
      <c r="L227" t="str">
        <f t="shared" si="11"/>
        <v>U.S Dollar</v>
      </c>
    </row>
    <row r="228" spans="1:12" x14ac:dyDescent="0.25">
      <c r="A228" t="str">
        <f t="shared" ca="1" si="9"/>
        <v>Multicountry South Asia</v>
      </c>
      <c r="B228" s="373" t="s">
        <v>1246</v>
      </c>
      <c r="C228" s="373" t="s">
        <v>1246</v>
      </c>
      <c r="D228" s="373" t="s">
        <v>1246</v>
      </c>
      <c r="E228" s="373" t="s">
        <v>1246</v>
      </c>
      <c r="F228" s="373" t="s">
        <v>1740</v>
      </c>
      <c r="G228" s="376" t="s">
        <v>8</v>
      </c>
      <c r="H228" s="375">
        <v>1</v>
      </c>
      <c r="I228" s="376"/>
      <c r="J228" s="96">
        <f t="shared" si="10"/>
        <v>1</v>
      </c>
      <c r="K228" s="384">
        <v>1.0967152104642979</v>
      </c>
      <c r="L228" t="str">
        <f t="shared" si="11"/>
        <v>U.S Dollar</v>
      </c>
    </row>
    <row r="229" spans="1:12" x14ac:dyDescent="0.25">
      <c r="A229" t="str">
        <f t="shared" ca="1" si="9"/>
        <v>Multicountry Western Pacific</v>
      </c>
      <c r="B229" s="373" t="s">
        <v>1247</v>
      </c>
      <c r="C229" s="373" t="s">
        <v>1247</v>
      </c>
      <c r="D229" s="373" t="s">
        <v>1247</v>
      </c>
      <c r="E229" s="373" t="s">
        <v>1247</v>
      </c>
      <c r="F229" s="373" t="s">
        <v>1740</v>
      </c>
      <c r="G229" s="376" t="s">
        <v>8</v>
      </c>
      <c r="H229" s="375">
        <v>1</v>
      </c>
      <c r="I229" s="376"/>
      <c r="J229" s="96">
        <f t="shared" si="10"/>
        <v>1</v>
      </c>
      <c r="K229" s="384">
        <v>1.0967152104642979</v>
      </c>
      <c r="L229" t="str">
        <f t="shared" si="11"/>
        <v>U.S Dollar</v>
      </c>
    </row>
    <row r="230" spans="1:12" x14ac:dyDescent="0.25">
      <c r="A230" t="str">
        <f t="shared" ca="1" si="9"/>
        <v>Multicountry Southern Africa HIVOS</v>
      </c>
      <c r="B230" s="373" t="s">
        <v>2074</v>
      </c>
      <c r="C230" s="373" t="s">
        <v>2074</v>
      </c>
      <c r="D230" s="373" t="s">
        <v>2074</v>
      </c>
      <c r="E230" s="373" t="s">
        <v>2074</v>
      </c>
      <c r="F230" s="373" t="s">
        <v>1740</v>
      </c>
      <c r="G230" s="376" t="s">
        <v>8</v>
      </c>
      <c r="H230" s="375">
        <v>1</v>
      </c>
      <c r="I230" s="376"/>
      <c r="J230" s="96">
        <f t="shared" si="10"/>
        <v>1</v>
      </c>
      <c r="K230" s="384">
        <v>1.0967152104642979</v>
      </c>
      <c r="L230" t="str">
        <f t="shared" si="11"/>
        <v>U.S Dollar</v>
      </c>
    </row>
    <row r="231" spans="1:12" x14ac:dyDescent="0.25">
      <c r="A231" t="str">
        <f t="shared" ca="1" si="9"/>
        <v>Multicountry Southern Africa ARASA</v>
      </c>
      <c r="B231" s="373" t="s">
        <v>2075</v>
      </c>
      <c r="C231" s="373" t="s">
        <v>2075</v>
      </c>
      <c r="D231" s="373" t="s">
        <v>2075</v>
      </c>
      <c r="E231" s="373" t="s">
        <v>2075</v>
      </c>
      <c r="F231" s="373" t="s">
        <v>1740</v>
      </c>
      <c r="G231" s="376" t="s">
        <v>8</v>
      </c>
      <c r="H231" s="375">
        <v>1</v>
      </c>
      <c r="I231" s="376"/>
      <c r="J231" s="96">
        <f t="shared" si="10"/>
        <v>1</v>
      </c>
      <c r="K231" s="384">
        <v>1.0967152104642979</v>
      </c>
      <c r="L231" t="str">
        <f t="shared" si="11"/>
        <v>U.S Dollar</v>
      </c>
    </row>
    <row r="232" spans="1:12" x14ac:dyDescent="0.25">
      <c r="A232" t="str">
        <f t="shared" ca="1" si="9"/>
        <v>Multicountry Eastern Africa KANCO</v>
      </c>
      <c r="B232" s="373" t="s">
        <v>2076</v>
      </c>
      <c r="C232" s="373" t="s">
        <v>2076</v>
      </c>
      <c r="D232" s="373" t="s">
        <v>2076</v>
      </c>
      <c r="E232" s="373" t="s">
        <v>2076</v>
      </c>
      <c r="F232" s="373" t="s">
        <v>1740</v>
      </c>
      <c r="G232" s="376" t="s">
        <v>8</v>
      </c>
      <c r="H232" s="375">
        <v>1</v>
      </c>
      <c r="I232" s="376"/>
      <c r="J232" s="96">
        <f t="shared" si="10"/>
        <v>1</v>
      </c>
      <c r="K232" s="384">
        <v>1.0967152104642979</v>
      </c>
      <c r="L232" t="str">
        <f t="shared" si="11"/>
        <v>U.S Dollar</v>
      </c>
    </row>
    <row r="233" spans="1:12" x14ac:dyDescent="0.25">
      <c r="A233" t="str">
        <f t="shared" ca="1" si="9"/>
        <v>Multicountry Eastern Africa ANECCA</v>
      </c>
      <c r="B233" s="373" t="s">
        <v>2077</v>
      </c>
      <c r="C233" s="373" t="s">
        <v>2077</v>
      </c>
      <c r="D233" s="373" t="s">
        <v>2077</v>
      </c>
      <c r="E233" s="373" t="s">
        <v>2077</v>
      </c>
      <c r="F233" s="373" t="s">
        <v>1740</v>
      </c>
      <c r="G233" s="376" t="s">
        <v>8</v>
      </c>
      <c r="H233" s="375">
        <v>1</v>
      </c>
      <c r="I233" s="376"/>
      <c r="J233" s="96">
        <f t="shared" si="10"/>
        <v>1</v>
      </c>
      <c r="K233" s="384">
        <v>1.0967152104642979</v>
      </c>
      <c r="L233" t="str">
        <f t="shared" si="11"/>
        <v>U.S Dollar</v>
      </c>
    </row>
    <row r="234" spans="1:12" x14ac:dyDescent="0.25">
      <c r="A234" t="str">
        <f t="shared" ca="1" si="9"/>
        <v>Multicountry West Africa ALCO</v>
      </c>
      <c r="B234" s="373" t="s">
        <v>2078</v>
      </c>
      <c r="C234" s="373" t="s">
        <v>2078</v>
      </c>
      <c r="D234" s="373" t="s">
        <v>2078</v>
      </c>
      <c r="E234" s="373" t="s">
        <v>2078</v>
      </c>
      <c r="F234" s="376" t="s">
        <v>1128</v>
      </c>
      <c r="G234" s="376" t="s">
        <v>1131</v>
      </c>
      <c r="H234" s="375">
        <v>602.45743376366283</v>
      </c>
      <c r="I234" s="376"/>
      <c r="J234" s="96">
        <f t="shared" si="10"/>
        <v>602.45743376366283</v>
      </c>
      <c r="K234" s="384">
        <v>655.95699999999999</v>
      </c>
      <c r="L234" t="str">
        <f t="shared" si="11"/>
        <v>CFA Franc</v>
      </c>
    </row>
    <row r="235" spans="1:12" x14ac:dyDescent="0.25">
      <c r="A235" t="str">
        <f t="shared" ca="1" si="9"/>
        <v>Multicountry Eastern Africa IGAD</v>
      </c>
      <c r="B235" s="373" t="s">
        <v>2079</v>
      </c>
      <c r="C235" s="373" t="s">
        <v>2079</v>
      </c>
      <c r="D235" s="373" t="s">
        <v>2079</v>
      </c>
      <c r="E235" s="373" t="s">
        <v>2079</v>
      </c>
      <c r="F235" s="373" t="s">
        <v>1740</v>
      </c>
      <c r="G235" s="376" t="s">
        <v>8</v>
      </c>
      <c r="H235" s="375">
        <v>1</v>
      </c>
      <c r="I235" s="376"/>
      <c r="J235" s="96">
        <f t="shared" si="10"/>
        <v>1</v>
      </c>
      <c r="K235" s="384">
        <v>1.0967152104642979</v>
      </c>
      <c r="L235" t="str">
        <f t="shared" si="11"/>
        <v>U.S Dollar</v>
      </c>
    </row>
    <row r="236" spans="1:12" x14ac:dyDescent="0.25">
      <c r="A236" t="str">
        <f t="shared" ca="1" si="9"/>
        <v>Multicountry Southern Africa E9</v>
      </c>
      <c r="B236" s="373" t="s">
        <v>2080</v>
      </c>
      <c r="C236" s="373" t="s">
        <v>2081</v>
      </c>
      <c r="D236" s="373" t="s">
        <v>2082</v>
      </c>
      <c r="E236" s="373" t="s">
        <v>2083</v>
      </c>
      <c r="F236" s="373" t="s">
        <v>1740</v>
      </c>
      <c r="G236" s="376" t="s">
        <v>8</v>
      </c>
      <c r="H236" s="375">
        <v>1</v>
      </c>
      <c r="I236" s="376"/>
      <c r="J236" s="96">
        <f t="shared" si="10"/>
        <v>1</v>
      </c>
      <c r="K236" s="384">
        <v>1.0967152104642979</v>
      </c>
      <c r="L236" t="str">
        <f t="shared" si="11"/>
        <v>U.S Dollar</v>
      </c>
    </row>
    <row r="237" spans="1:12" x14ac:dyDescent="0.25">
      <c r="A237" t="str">
        <f t="shared" ca="1" si="9"/>
        <v>Multicountry Southern Africa WHC</v>
      </c>
      <c r="B237" s="373" t="s">
        <v>2084</v>
      </c>
      <c r="C237" s="373" t="s">
        <v>2084</v>
      </c>
      <c r="D237" s="373" t="s">
        <v>2084</v>
      </c>
      <c r="E237" s="373" t="s">
        <v>2084</v>
      </c>
      <c r="F237" s="373" t="s">
        <v>1740</v>
      </c>
      <c r="G237" s="376" t="s">
        <v>8</v>
      </c>
      <c r="H237" s="375">
        <v>1</v>
      </c>
      <c r="I237" s="376"/>
      <c r="J237" s="96">
        <f t="shared" si="10"/>
        <v>1</v>
      </c>
      <c r="K237" s="384">
        <v>1.0967152104642979</v>
      </c>
      <c r="L237" t="str">
        <f t="shared" si="11"/>
        <v>U.S Dollar</v>
      </c>
    </row>
    <row r="238" spans="1:12" x14ac:dyDescent="0.25">
      <c r="A238" t="str">
        <f t="shared" ca="1" si="9"/>
        <v>Multicountry Africa ECSA-HC</v>
      </c>
      <c r="B238" s="373" t="s">
        <v>2085</v>
      </c>
      <c r="C238" s="373" t="s">
        <v>2085</v>
      </c>
      <c r="D238" s="373" t="s">
        <v>2085</v>
      </c>
      <c r="E238" s="373" t="s">
        <v>2085</v>
      </c>
      <c r="F238" s="373" t="s">
        <v>1740</v>
      </c>
      <c r="G238" s="376" t="s">
        <v>8</v>
      </c>
      <c r="H238" s="375">
        <v>1</v>
      </c>
      <c r="I238" s="376"/>
      <c r="J238" s="96">
        <f t="shared" si="10"/>
        <v>1</v>
      </c>
      <c r="K238" s="384">
        <v>1.0967152104642979</v>
      </c>
      <c r="L238" t="str">
        <f t="shared" si="11"/>
        <v>U.S Dollar</v>
      </c>
    </row>
    <row r="239" spans="1:12" x14ac:dyDescent="0.25">
      <c r="A239" t="e">
        <f t="shared" ca="1" si="9"/>
        <v>#N/A</v>
      </c>
      <c r="B239" s="373" t="e">
        <v>#N/A</v>
      </c>
      <c r="C239" s="373" t="e">
        <v>#N/A</v>
      </c>
      <c r="D239" s="373" t="e">
        <v>#N/A</v>
      </c>
      <c r="E239" s="373" t="e">
        <v>#N/A</v>
      </c>
      <c r="F239" s="373" t="s">
        <v>1740</v>
      </c>
      <c r="G239" s="376" t="s">
        <v>8</v>
      </c>
      <c r="H239" s="375">
        <v>1</v>
      </c>
      <c r="I239" s="376"/>
      <c r="J239" s="96">
        <f t="shared" si="10"/>
        <v>1</v>
      </c>
      <c r="K239" s="384">
        <v>1.0967152104642979</v>
      </c>
      <c r="L239" t="str">
        <f t="shared" si="11"/>
        <v>U.S Dollar</v>
      </c>
    </row>
    <row r="240" spans="1:12" x14ac:dyDescent="0.25">
      <c r="A240" t="str">
        <f t="shared" ca="1" si="9"/>
        <v>Multicountry EECA ECUO</v>
      </c>
      <c r="B240" s="373" t="s">
        <v>2086</v>
      </c>
      <c r="C240" s="373" t="s">
        <v>2086</v>
      </c>
      <c r="D240" s="373" t="s">
        <v>2086</v>
      </c>
      <c r="E240" s="373" t="s">
        <v>2086</v>
      </c>
      <c r="F240" s="376" t="s">
        <v>846</v>
      </c>
      <c r="G240" s="376" t="s">
        <v>20</v>
      </c>
      <c r="H240" s="375">
        <v>0.91181374203485954</v>
      </c>
      <c r="I240" s="376"/>
      <c r="J240" s="96">
        <f t="shared" si="10"/>
        <v>0.91181374203485954</v>
      </c>
      <c r="K240" s="384">
        <v>1</v>
      </c>
      <c r="L240" t="str">
        <f t="shared" si="11"/>
        <v>Euro</v>
      </c>
    </row>
    <row r="241" spans="1:12" x14ac:dyDescent="0.25">
      <c r="A241" t="str">
        <f t="shared" ca="1" si="9"/>
        <v>Multicountry EECA PAS</v>
      </c>
      <c r="B241" s="373" t="s">
        <v>2087</v>
      </c>
      <c r="C241" s="373" t="s">
        <v>2087</v>
      </c>
      <c r="D241" s="373" t="s">
        <v>2087</v>
      </c>
      <c r="E241" s="373" t="s">
        <v>2087</v>
      </c>
      <c r="F241" s="373" t="s">
        <v>1740</v>
      </c>
      <c r="G241" s="376" t="s">
        <v>8</v>
      </c>
      <c r="H241" s="375">
        <v>1</v>
      </c>
      <c r="I241" s="376"/>
      <c r="J241" s="96">
        <f t="shared" si="10"/>
        <v>1</v>
      </c>
      <c r="K241" s="384">
        <v>1.0967152104642979</v>
      </c>
      <c r="L241" t="str">
        <f t="shared" si="11"/>
        <v>U.S Dollar</v>
      </c>
    </row>
    <row r="242" spans="1:12" x14ac:dyDescent="0.25">
      <c r="A242" t="e">
        <f t="shared" ca="1" si="9"/>
        <v>#N/A</v>
      </c>
      <c r="B242" s="373" t="e">
        <v>#N/A</v>
      </c>
      <c r="C242" s="373" t="e">
        <v>#N/A</v>
      </c>
      <c r="D242" s="373" t="e">
        <v>#N/A</v>
      </c>
      <c r="E242" s="373" t="e">
        <v>#N/A</v>
      </c>
      <c r="F242" s="373" t="s">
        <v>1740</v>
      </c>
      <c r="G242" s="376" t="s">
        <v>8</v>
      </c>
      <c r="H242" s="375">
        <v>1</v>
      </c>
      <c r="I242" s="376"/>
      <c r="J242" s="96">
        <f t="shared" si="10"/>
        <v>1</v>
      </c>
      <c r="K242" s="384">
        <v>1.0967152104642979</v>
      </c>
      <c r="L242" t="str">
        <f t="shared" si="11"/>
        <v>U.S Dollar</v>
      </c>
    </row>
    <row r="243" spans="1:12" x14ac:dyDescent="0.25">
      <c r="A243" t="str">
        <f t="shared" ca="1" si="9"/>
        <v>Multicountry Americas ICW</v>
      </c>
      <c r="B243" s="373" t="s">
        <v>2088</v>
      </c>
      <c r="C243" s="373" t="s">
        <v>2088</v>
      </c>
      <c r="D243" s="373" t="s">
        <v>2088</v>
      </c>
      <c r="E243" s="373" t="s">
        <v>2088</v>
      </c>
      <c r="F243" s="373" t="s">
        <v>1740</v>
      </c>
      <c r="G243" s="376" t="s">
        <v>8</v>
      </c>
      <c r="H243" s="375">
        <v>1</v>
      </c>
      <c r="I243" s="376"/>
      <c r="J243" s="96">
        <f t="shared" si="10"/>
        <v>1</v>
      </c>
      <c r="K243" s="384">
        <v>1.0967152104642979</v>
      </c>
      <c r="L243" t="str">
        <f t="shared" si="11"/>
        <v>U.S Dollar</v>
      </c>
    </row>
    <row r="244" spans="1:12" x14ac:dyDescent="0.25">
      <c r="A244" t="str">
        <f t="shared" ca="1" si="9"/>
        <v>Multicountry Americas REDLACTRANS</v>
      </c>
      <c r="B244" s="373" t="s">
        <v>2089</v>
      </c>
      <c r="C244" s="373" t="s">
        <v>2089</v>
      </c>
      <c r="D244" s="373" t="s">
        <v>2089</v>
      </c>
      <c r="E244" s="373" t="s">
        <v>2089</v>
      </c>
      <c r="F244" s="373" t="s">
        <v>1740</v>
      </c>
      <c r="G244" s="376" t="s">
        <v>8</v>
      </c>
      <c r="H244" s="375">
        <v>1</v>
      </c>
      <c r="I244" s="376"/>
      <c r="J244" s="96">
        <f t="shared" si="10"/>
        <v>1</v>
      </c>
      <c r="K244" s="384">
        <v>1.0967152104642979</v>
      </c>
      <c r="L244" t="str">
        <f t="shared" si="11"/>
        <v>U.S Dollar</v>
      </c>
    </row>
    <row r="245" spans="1:12" x14ac:dyDescent="0.25">
      <c r="A245" t="e">
        <f t="shared" ca="1" si="9"/>
        <v>#N/A</v>
      </c>
      <c r="B245" s="373" t="e">
        <v>#N/A</v>
      </c>
      <c r="C245" s="373" t="e">
        <v>#N/A</v>
      </c>
      <c r="D245" s="373" t="e">
        <v>#N/A</v>
      </c>
      <c r="E245" s="373" t="e">
        <v>#N/A</v>
      </c>
      <c r="F245" s="373" t="s">
        <v>1740</v>
      </c>
      <c r="G245" s="376" t="s">
        <v>8</v>
      </c>
      <c r="H245" s="375">
        <v>1</v>
      </c>
      <c r="I245" s="376"/>
      <c r="J245" s="96">
        <f t="shared" si="10"/>
        <v>1</v>
      </c>
      <c r="K245" s="384">
        <v>1.0967152104642979</v>
      </c>
      <c r="L245" t="str">
        <f t="shared" si="11"/>
        <v>U.S Dollar</v>
      </c>
    </row>
    <row r="246" spans="1:12" x14ac:dyDescent="0.25">
      <c r="A246" t="str">
        <f t="shared" ca="1" si="9"/>
        <v>Multicountry EECA ECOM</v>
      </c>
      <c r="B246" s="382" t="s">
        <v>2090</v>
      </c>
      <c r="C246" s="382" t="s">
        <v>2090</v>
      </c>
      <c r="D246" s="382" t="s">
        <v>2090</v>
      </c>
      <c r="E246" s="382" t="s">
        <v>2090</v>
      </c>
      <c r="F246" s="373"/>
      <c r="G246" s="373"/>
      <c r="H246" s="373"/>
      <c r="I246" s="373"/>
      <c r="K246" s="384"/>
    </row>
    <row r="247" spans="1:12" ht="30" x14ac:dyDescent="0.25">
      <c r="A247" t="str">
        <f t="shared" ca="1" si="9"/>
        <v>Multicountry Western Africa ANCS</v>
      </c>
      <c r="B247" s="382" t="s">
        <v>2091</v>
      </c>
      <c r="C247" s="382" t="s">
        <v>2091</v>
      </c>
      <c r="D247" s="382" t="s">
        <v>2091</v>
      </c>
      <c r="E247" s="382" t="s">
        <v>2091</v>
      </c>
      <c r="F247" s="373"/>
      <c r="G247" s="373"/>
      <c r="H247" s="373"/>
      <c r="I247" s="373"/>
      <c r="K247" s="384"/>
    </row>
    <row r="248" spans="1:12" ht="30" x14ac:dyDescent="0.25">
      <c r="A248" t="str">
        <f t="shared" ca="1" si="9"/>
        <v>Multicountry Middle East MER</v>
      </c>
      <c r="B248" s="383" t="s">
        <v>2092</v>
      </c>
      <c r="C248" s="383" t="s">
        <v>2092</v>
      </c>
      <c r="D248" s="383" t="s">
        <v>2092</v>
      </c>
      <c r="E248" s="383" t="s">
        <v>2092</v>
      </c>
      <c r="F248" s="373"/>
      <c r="G248" s="373"/>
      <c r="H248" s="373"/>
      <c r="I248" s="373"/>
      <c r="K248" s="384"/>
    </row>
    <row r="249" spans="1:12" x14ac:dyDescent="0.25">
      <c r="A249" t="str">
        <f t="shared" ca="1" si="9"/>
        <v>Multicountry EECA IHAU</v>
      </c>
      <c r="B249" s="382" t="s">
        <v>2093</v>
      </c>
      <c r="C249" s="382" t="s">
        <v>2093</v>
      </c>
      <c r="D249" s="382" t="s">
        <v>2093</v>
      </c>
      <c r="E249" s="382" t="s">
        <v>2093</v>
      </c>
      <c r="F249" s="373"/>
      <c r="G249" s="373"/>
      <c r="H249" s="373"/>
      <c r="I249" s="373"/>
      <c r="K249" s="384"/>
    </row>
    <row r="250" spans="1:12" ht="30" x14ac:dyDescent="0.25">
      <c r="A250" t="str">
        <f t="shared" ca="1" si="9"/>
        <v>Multicountry Western Africa HI</v>
      </c>
      <c r="B250" s="383" t="s">
        <v>2094</v>
      </c>
      <c r="C250" s="383" t="s">
        <v>2094</v>
      </c>
      <c r="D250" s="383" t="s">
        <v>2094</v>
      </c>
      <c r="E250" s="383" t="s">
        <v>2094</v>
      </c>
      <c r="F250" s="373"/>
      <c r="G250" s="373"/>
      <c r="H250" s="373"/>
      <c r="I250" s="373"/>
      <c r="K250" s="384"/>
    </row>
    <row r="251" spans="1:12" ht="30" x14ac:dyDescent="0.25">
      <c r="A251" t="str">
        <f t="shared" ca="1" si="9"/>
        <v>Multicountry South-Eastern Asia AFAO</v>
      </c>
      <c r="B251" s="383" t="s">
        <v>2095</v>
      </c>
      <c r="C251" s="383" t="s">
        <v>2095</v>
      </c>
      <c r="D251" s="383" t="s">
        <v>2095</v>
      </c>
      <c r="E251" s="383" t="s">
        <v>2095</v>
      </c>
      <c r="F251" s="373"/>
      <c r="G251" s="373"/>
      <c r="H251" s="373"/>
      <c r="I251" s="373"/>
      <c r="K251" s="384"/>
    </row>
    <row r="252" spans="1:12" x14ac:dyDescent="0.25">
      <c r="A252" t="str">
        <f t="shared" ca="1" si="9"/>
        <v>Multicountry Asia IHAA</v>
      </c>
      <c r="B252" s="383" t="s">
        <v>2096</v>
      </c>
      <c r="C252" s="383" t="s">
        <v>2096</v>
      </c>
      <c r="D252" s="383" t="s">
        <v>2096</v>
      </c>
      <c r="E252" s="383" t="s">
        <v>2096</v>
      </c>
      <c r="F252" s="373"/>
      <c r="G252" s="373"/>
      <c r="H252" s="373"/>
      <c r="I252" s="373"/>
      <c r="K252" s="384"/>
    </row>
    <row r="253" spans="1:12" ht="30" x14ac:dyDescent="0.25">
      <c r="A253" t="str">
        <f t="shared" ca="1" si="9"/>
        <v>Multicountry Southern Africa MOSASWA</v>
      </c>
      <c r="B253" s="382" t="s">
        <v>2097</v>
      </c>
      <c r="C253" s="382" t="s">
        <v>2097</v>
      </c>
      <c r="D253" s="382" t="s">
        <v>2097</v>
      </c>
      <c r="E253" s="382" t="s">
        <v>2097</v>
      </c>
      <c r="F253" s="373"/>
      <c r="G253" s="373"/>
      <c r="H253" s="373"/>
      <c r="I253" s="373"/>
      <c r="K253" s="384"/>
    </row>
    <row r="254" spans="1:12" ht="30" x14ac:dyDescent="0.25">
      <c r="A254" t="str">
        <f t="shared" ca="1" si="9"/>
        <v>Multicountry West Africa ITPC</v>
      </c>
      <c r="B254" s="383" t="s">
        <v>2098</v>
      </c>
      <c r="C254" s="383" t="s">
        <v>2098</v>
      </c>
      <c r="D254" s="383" t="s">
        <v>2098</v>
      </c>
      <c r="E254" s="383" t="s">
        <v>2098</v>
      </c>
      <c r="F254" s="373"/>
      <c r="G254" s="373"/>
      <c r="H254" s="373"/>
      <c r="I254" s="373"/>
      <c r="K254" s="384"/>
    </row>
    <row r="255" spans="1:12" ht="30" x14ac:dyDescent="0.25">
      <c r="A255" t="str">
        <f t="shared" ca="1" si="9"/>
        <v>Multicountry Americas CVC-COIN</v>
      </c>
      <c r="B255" s="382" t="s">
        <v>2099</v>
      </c>
      <c r="C255" s="382" t="s">
        <v>2099</v>
      </c>
      <c r="D255" s="382" t="s">
        <v>2099</v>
      </c>
      <c r="E255" s="382" t="s">
        <v>2099</v>
      </c>
      <c r="F255" s="373"/>
      <c r="G255" s="373"/>
      <c r="H255" s="373"/>
      <c r="I255" s="373"/>
      <c r="K255" s="384"/>
    </row>
  </sheetData>
  <autoFilter ref="A1:K245"/>
  <sortState ref="A2:M212">
    <sortCondition ref="B2:B21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E214"/>
  <sheetViews>
    <sheetView workbookViewId="0">
      <pane xSplit="1" ySplit="2" topLeftCell="B9" activePane="bottomRight" state="frozen"/>
      <selection pane="topRight" activeCell="B1" sqref="B1"/>
      <selection pane="bottomLeft" activeCell="A3" sqref="A3"/>
      <selection pane="bottomRight" activeCell="C9" sqref="C9"/>
    </sheetView>
  </sheetViews>
  <sheetFormatPr defaultColWidth="24.75" defaultRowHeight="12.75" x14ac:dyDescent="0.2"/>
  <cols>
    <col min="1" max="1" width="27.75" style="2" bestFit="1" customWidth="1"/>
    <col min="2" max="2" width="40.625" style="2" bestFit="1" customWidth="1"/>
    <col min="3" max="4" width="24.75" style="2"/>
    <col min="5" max="5" width="31.625" style="13" customWidth="1"/>
    <col min="6" max="16384" width="24.75" style="2"/>
  </cols>
  <sheetData>
    <row r="1" spans="1:5" x14ac:dyDescent="0.2">
      <c r="A1" s="14" t="s">
        <v>740</v>
      </c>
      <c r="C1" s="15">
        <f>IF(Language="English",0,IF(Language="French",1,IF(Language="Spanish",2,IF(Language="Russian",3))))</f>
        <v>0</v>
      </c>
      <c r="D1" s="2" t="str">
        <f>RIGHT(LEFT(ComponentSelected,2),1)</f>
        <v/>
      </c>
    </row>
    <row r="2" spans="1:5" x14ac:dyDescent="0.2">
      <c r="A2" s="14" t="s">
        <v>741</v>
      </c>
      <c r="B2" s="16" t="s">
        <v>739</v>
      </c>
      <c r="C2" s="16" t="s">
        <v>742</v>
      </c>
      <c r="D2" s="16" t="s">
        <v>743</v>
      </c>
      <c r="E2" s="20" t="s">
        <v>744</v>
      </c>
    </row>
    <row r="3" spans="1:5" x14ac:dyDescent="0.2">
      <c r="A3" s="29" t="str">
        <f ca="1">OFFSET($B3,0,LangOffset,1,1)</f>
        <v>Budget Template</v>
      </c>
      <c r="B3" s="27" t="s">
        <v>1162</v>
      </c>
      <c r="C3" s="27" t="s">
        <v>1163</v>
      </c>
      <c r="D3" s="27" t="s">
        <v>1164</v>
      </c>
      <c r="E3" s="28" t="s">
        <v>1285</v>
      </c>
    </row>
    <row r="4" spans="1:5" ht="76.5" x14ac:dyDescent="0.2">
      <c r="A4" s="29" t="str">
        <f ca="1">OFFSET($B4,0,LangOffset,1,1)</f>
        <v>This table provides guidance on how to fill out the modular approach template. Cells highlighted in green will be completed during grant negotiation.</v>
      </c>
      <c r="B4" s="24" t="s">
        <v>745</v>
      </c>
      <c r="C4" s="24" t="s">
        <v>746</v>
      </c>
      <c r="D4" s="24" t="s">
        <v>1286</v>
      </c>
      <c r="E4" s="25" t="s">
        <v>1287</v>
      </c>
    </row>
    <row r="5" spans="1:5" x14ac:dyDescent="0.2">
      <c r="A5" s="29" t="str">
        <f t="shared" ref="A5:A33" ca="1" si="0">OFFSET($B5,0,LangOffset,1,1)</f>
        <v>Periodic Review</v>
      </c>
      <c r="B5" s="24" t="s">
        <v>747</v>
      </c>
      <c r="C5" s="24" t="s">
        <v>748</v>
      </c>
      <c r="D5" s="24" t="s">
        <v>749</v>
      </c>
      <c r="E5" s="25" t="s">
        <v>750</v>
      </c>
    </row>
    <row r="6" spans="1:5" ht="51" x14ac:dyDescent="0.2">
      <c r="A6" s="29" t="str">
        <f t="shared" ca="1" si="0"/>
        <v>Please carefully review the instructions work sheet before completing this template</v>
      </c>
      <c r="B6" s="24" t="s">
        <v>751</v>
      </c>
      <c r="C6" s="24" t="s">
        <v>752</v>
      </c>
      <c r="D6" s="24" t="s">
        <v>753</v>
      </c>
      <c r="E6" s="25" t="s">
        <v>1288</v>
      </c>
    </row>
    <row r="7" spans="1:5" x14ac:dyDescent="0.2">
      <c r="A7" s="29" t="str">
        <f t="shared" ca="1" si="0"/>
        <v>A. Program details</v>
      </c>
      <c r="B7" s="24" t="s">
        <v>754</v>
      </c>
      <c r="C7" s="24" t="s">
        <v>755</v>
      </c>
      <c r="D7" s="24" t="s">
        <v>756</v>
      </c>
      <c r="E7" s="25" t="s">
        <v>1289</v>
      </c>
    </row>
    <row r="8" spans="1:5" x14ac:dyDescent="0.2">
      <c r="A8" s="29" t="str">
        <f t="shared" ca="1" si="0"/>
        <v>Country / Applicant:</v>
      </c>
      <c r="B8" s="24" t="s">
        <v>757</v>
      </c>
      <c r="C8" s="24" t="s">
        <v>1290</v>
      </c>
      <c r="D8" s="24" t="s">
        <v>758</v>
      </c>
      <c r="E8" s="25" t="s">
        <v>759</v>
      </c>
    </row>
    <row r="9" spans="1:5" x14ac:dyDescent="0.2">
      <c r="A9" s="29" t="str">
        <f t="shared" ca="1" si="0"/>
        <v>Component:</v>
      </c>
      <c r="B9" s="24" t="s">
        <v>760</v>
      </c>
      <c r="C9" s="24" t="s">
        <v>1291</v>
      </c>
      <c r="D9" s="24" t="s">
        <v>761</v>
      </c>
      <c r="E9" s="25" t="s">
        <v>762</v>
      </c>
    </row>
    <row r="10" spans="1:5" x14ac:dyDescent="0.2">
      <c r="A10" s="29" t="str">
        <f t="shared" ca="1" si="0"/>
        <v>Start Year:</v>
      </c>
      <c r="B10" s="24" t="s">
        <v>763</v>
      </c>
      <c r="C10" s="24" t="s">
        <v>1292</v>
      </c>
      <c r="D10" s="24" t="s">
        <v>764</v>
      </c>
      <c r="E10" s="25" t="s">
        <v>1293</v>
      </c>
    </row>
    <row r="11" spans="1:5" x14ac:dyDescent="0.2">
      <c r="A11" s="29" t="str">
        <f t="shared" ca="1" si="0"/>
        <v>Start Month:</v>
      </c>
      <c r="B11" s="24" t="s">
        <v>765</v>
      </c>
      <c r="C11" s="24" t="s">
        <v>766</v>
      </c>
      <c r="D11" s="24" t="s">
        <v>767</v>
      </c>
      <c r="E11" s="25" t="s">
        <v>1294</v>
      </c>
    </row>
    <row r="12" spans="1:5" x14ac:dyDescent="0.2">
      <c r="A12" s="29" t="str">
        <f t="shared" ca="1" si="0"/>
        <v>SSF/grant number:</v>
      </c>
      <c r="B12" s="24" t="s">
        <v>768</v>
      </c>
      <c r="C12" s="24" t="s">
        <v>1295</v>
      </c>
      <c r="D12" s="24" t="s">
        <v>1296</v>
      </c>
      <c r="E12" s="25" t="s">
        <v>1297</v>
      </c>
    </row>
    <row r="13" spans="1:5" x14ac:dyDescent="0.2">
      <c r="A13" s="29" t="str">
        <f t="shared" ca="1" si="0"/>
        <v>Principal Recipients</v>
      </c>
      <c r="B13" s="24" t="s">
        <v>769</v>
      </c>
      <c r="C13" s="24" t="s">
        <v>770</v>
      </c>
      <c r="D13" s="24" t="s">
        <v>771</v>
      </c>
      <c r="E13" s="25" t="s">
        <v>772</v>
      </c>
    </row>
    <row r="14" spans="1:5" ht="38.25" x14ac:dyDescent="0.2">
      <c r="A14" s="29" t="str">
        <f t="shared" ca="1" si="0"/>
        <v>(Please select from list or add a new one)</v>
      </c>
      <c r="B14" s="24" t="s">
        <v>773</v>
      </c>
      <c r="C14" s="24" t="s">
        <v>774</v>
      </c>
      <c r="D14" s="24" t="s">
        <v>775</v>
      </c>
      <c r="E14" s="25" t="s">
        <v>776</v>
      </c>
    </row>
    <row r="15" spans="1:5" ht="25.5" x14ac:dyDescent="0.2">
      <c r="A15" s="29" t="str">
        <f t="shared" ca="1" si="0"/>
        <v>Reporting periods</v>
      </c>
      <c r="B15" s="24" t="s">
        <v>777</v>
      </c>
      <c r="C15" s="24" t="s">
        <v>778</v>
      </c>
      <c r="D15" s="24" t="s">
        <v>779</v>
      </c>
      <c r="E15" s="25" t="s">
        <v>780</v>
      </c>
    </row>
    <row r="16" spans="1:5" x14ac:dyDescent="0.2">
      <c r="A16" s="29" t="str">
        <f t="shared" ca="1" si="0"/>
        <v>Period Covered: from</v>
      </c>
      <c r="B16" s="24" t="s">
        <v>781</v>
      </c>
      <c r="C16" s="24" t="s">
        <v>1298</v>
      </c>
      <c r="D16" s="24" t="s">
        <v>782</v>
      </c>
      <c r="E16" s="25" t="s">
        <v>1299</v>
      </c>
    </row>
    <row r="17" spans="1:5" x14ac:dyDescent="0.2">
      <c r="A17" s="29" t="str">
        <f t="shared" ca="1" si="0"/>
        <v>Period Covered: to</v>
      </c>
      <c r="B17" s="24" t="s">
        <v>783</v>
      </c>
      <c r="C17" s="24" t="s">
        <v>1300</v>
      </c>
      <c r="D17" s="24" t="s">
        <v>784</v>
      </c>
      <c r="E17" s="25" t="s">
        <v>1301</v>
      </c>
    </row>
    <row r="18" spans="1:5" ht="25.5" x14ac:dyDescent="0.2">
      <c r="A18" s="29" t="str">
        <f t="shared" ca="1" si="0"/>
        <v>Due date Progress Update</v>
      </c>
      <c r="B18" s="24" t="s">
        <v>785</v>
      </c>
      <c r="C18" s="24" t="s">
        <v>786</v>
      </c>
      <c r="D18" s="24" t="s">
        <v>1302</v>
      </c>
      <c r="E18" s="25" t="s">
        <v>1303</v>
      </c>
    </row>
    <row r="19" spans="1:5" x14ac:dyDescent="0.2">
      <c r="A19" s="29" t="str">
        <f t="shared" ca="1" si="0"/>
        <v>Disbursement Request (Y,N)</v>
      </c>
      <c r="B19" s="24" t="s">
        <v>787</v>
      </c>
      <c r="C19" s="24" t="s">
        <v>788</v>
      </c>
      <c r="D19" s="24" t="s">
        <v>789</v>
      </c>
      <c r="E19" s="25" t="s">
        <v>1304</v>
      </c>
    </row>
    <row r="20" spans="1:5" ht="25.5" x14ac:dyDescent="0.2">
      <c r="A20" s="29" t="str">
        <f t="shared" ca="1" si="0"/>
        <v xml:space="preserve">Due date periodic review </v>
      </c>
      <c r="B20" s="24" t="s">
        <v>790</v>
      </c>
      <c r="C20" s="24" t="s">
        <v>1305</v>
      </c>
      <c r="D20" s="24" t="s">
        <v>1306</v>
      </c>
      <c r="E20" s="25" t="s">
        <v>1307</v>
      </c>
    </row>
    <row r="21" spans="1:5" ht="25.5" x14ac:dyDescent="0.2">
      <c r="A21" s="29" t="str">
        <f t="shared" ca="1" si="0"/>
        <v>Audit report due dates</v>
      </c>
      <c r="B21" s="24" t="s">
        <v>791</v>
      </c>
      <c r="C21" s="24" t="s">
        <v>792</v>
      </c>
      <c r="D21" s="24" t="s">
        <v>793</v>
      </c>
      <c r="E21" s="25" t="s">
        <v>1308</v>
      </c>
    </row>
    <row r="22" spans="1:5" x14ac:dyDescent="0.2">
      <c r="A22" s="29" t="str">
        <f t="shared" ca="1" si="0"/>
        <v xml:space="preserve">Period </v>
      </c>
      <c r="B22" s="24" t="s">
        <v>794</v>
      </c>
      <c r="C22" s="24" t="s">
        <v>1309</v>
      </c>
      <c r="D22" s="24" t="s">
        <v>1310</v>
      </c>
      <c r="E22" s="25" t="s">
        <v>1311</v>
      </c>
    </row>
    <row r="23" spans="1:5" x14ac:dyDescent="0.2">
      <c r="A23" s="29" t="str">
        <f t="shared" ca="1" si="0"/>
        <v>Year 4</v>
      </c>
      <c r="B23" s="24" t="s">
        <v>795</v>
      </c>
      <c r="C23" s="24" t="s">
        <v>796</v>
      </c>
      <c r="D23" s="24" t="s">
        <v>797</v>
      </c>
      <c r="E23" s="25" t="s">
        <v>798</v>
      </c>
    </row>
    <row r="24" spans="1:5" x14ac:dyDescent="0.2">
      <c r="A24" s="29" t="str">
        <f t="shared" ca="1" si="0"/>
        <v>Year 5</v>
      </c>
      <c r="B24" s="24" t="s">
        <v>799</v>
      </c>
      <c r="C24" s="24" t="s">
        <v>800</v>
      </c>
      <c r="D24" s="24" t="s">
        <v>801</v>
      </c>
      <c r="E24" s="25" t="s">
        <v>802</v>
      </c>
    </row>
    <row r="25" spans="1:5" ht="25.5" x14ac:dyDescent="0.2">
      <c r="A25" s="29" t="str">
        <f t="shared" ca="1" si="0"/>
        <v>B. Program goals and impact indicators</v>
      </c>
      <c r="B25" s="24" t="s">
        <v>803</v>
      </c>
      <c r="C25" s="24" t="s">
        <v>804</v>
      </c>
      <c r="D25" s="24" t="s">
        <v>1312</v>
      </c>
      <c r="E25" s="25" t="s">
        <v>805</v>
      </c>
    </row>
    <row r="26" spans="1:5" x14ac:dyDescent="0.2">
      <c r="A26" s="29" t="str">
        <f t="shared" ca="1" si="0"/>
        <v xml:space="preserve">  Goals:</v>
      </c>
      <c r="B26" s="24" t="s">
        <v>806</v>
      </c>
      <c r="C26" s="24" t="s">
        <v>1313</v>
      </c>
      <c r="D26" s="24" t="s">
        <v>1314</v>
      </c>
      <c r="E26" s="25" t="s">
        <v>1315</v>
      </c>
    </row>
    <row r="27" spans="1:5" x14ac:dyDescent="0.2">
      <c r="A27" s="29" t="str">
        <f t="shared" ca="1" si="0"/>
        <v>Linked to goal(s) #</v>
      </c>
      <c r="B27" s="24" t="s">
        <v>807</v>
      </c>
      <c r="C27" s="24" t="s">
        <v>808</v>
      </c>
      <c r="D27" s="24" t="s">
        <v>1316</v>
      </c>
      <c r="E27" s="25" t="s">
        <v>1317</v>
      </c>
    </row>
    <row r="28" spans="1:5" x14ac:dyDescent="0.2">
      <c r="A28" s="29" t="str">
        <f t="shared" ca="1" si="0"/>
        <v>Impact indicator</v>
      </c>
      <c r="B28" s="24" t="s">
        <v>809</v>
      </c>
      <c r="C28" s="24" t="s">
        <v>810</v>
      </c>
      <c r="D28" s="24" t="s">
        <v>1318</v>
      </c>
      <c r="E28" s="25" t="s">
        <v>811</v>
      </c>
    </row>
    <row r="29" spans="1:5" x14ac:dyDescent="0.2">
      <c r="A29" s="29" t="str">
        <f t="shared" ca="1" si="0"/>
        <v>Baseline</v>
      </c>
      <c r="B29" s="24" t="s">
        <v>812</v>
      </c>
      <c r="C29" s="24" t="s">
        <v>813</v>
      </c>
      <c r="D29" s="24" t="s">
        <v>814</v>
      </c>
      <c r="E29" s="25" t="s">
        <v>1319</v>
      </c>
    </row>
    <row r="30" spans="1:5" x14ac:dyDescent="0.2">
      <c r="A30" s="29" t="str">
        <f t="shared" ca="1" si="0"/>
        <v>Targets</v>
      </c>
      <c r="B30" s="24" t="s">
        <v>815</v>
      </c>
      <c r="C30" s="24" t="s">
        <v>816</v>
      </c>
      <c r="D30" s="24" t="s">
        <v>817</v>
      </c>
      <c r="E30" s="25" t="s">
        <v>818</v>
      </c>
    </row>
    <row r="31" spans="1:5" x14ac:dyDescent="0.2">
      <c r="A31" s="29" t="str">
        <f t="shared" ca="1" si="0"/>
        <v>Value</v>
      </c>
      <c r="B31" s="24" t="s">
        <v>819</v>
      </c>
      <c r="C31" s="24" t="s">
        <v>820</v>
      </c>
      <c r="D31" s="24" t="s">
        <v>821</v>
      </c>
      <c r="E31" s="25" t="s">
        <v>822</v>
      </c>
    </row>
    <row r="32" spans="1:5" x14ac:dyDescent="0.2">
      <c r="A32" s="29" t="str">
        <f t="shared" ca="1" si="0"/>
        <v xml:space="preserve">Year </v>
      </c>
      <c r="B32" s="24" t="s">
        <v>823</v>
      </c>
      <c r="C32" s="24" t="s">
        <v>1320</v>
      </c>
      <c r="D32" s="24" t="s">
        <v>1321</v>
      </c>
      <c r="E32" s="25" t="s">
        <v>827</v>
      </c>
    </row>
    <row r="33" spans="1:5" x14ac:dyDescent="0.2">
      <c r="A33" s="29" t="str">
        <f t="shared" ca="1" si="0"/>
        <v>Source</v>
      </c>
      <c r="B33" s="24" t="s">
        <v>824</v>
      </c>
      <c r="C33" s="24" t="s">
        <v>824</v>
      </c>
      <c r="D33" s="24" t="s">
        <v>825</v>
      </c>
      <c r="E33" s="25" t="s">
        <v>826</v>
      </c>
    </row>
    <row r="34" spans="1:5" x14ac:dyDescent="0.2">
      <c r="A34" s="29" t="s">
        <v>823</v>
      </c>
      <c r="B34" s="24" t="s">
        <v>823</v>
      </c>
      <c r="C34" s="24" t="s">
        <v>1320</v>
      </c>
      <c r="D34" s="24" t="s">
        <v>1321</v>
      </c>
      <c r="E34" s="25" t="s">
        <v>827</v>
      </c>
    </row>
    <row r="35" spans="1:5" x14ac:dyDescent="0.2">
      <c r="A35" s="29" t="str">
        <f t="shared" ref="A35:A95" ca="1" si="1">OFFSET($B35,0,LangOffset,1,1)</f>
        <v>Language:</v>
      </c>
      <c r="B35" s="24" t="s">
        <v>849</v>
      </c>
      <c r="C35" s="19" t="s">
        <v>850</v>
      </c>
      <c r="D35" s="19" t="s">
        <v>851</v>
      </c>
      <c r="E35" s="26" t="s">
        <v>852</v>
      </c>
    </row>
    <row r="36" spans="1:5" ht="38.25" x14ac:dyDescent="0.2">
      <c r="A36" s="29" t="str">
        <f t="shared" ca="1" si="1"/>
        <v>&lt;= Make sure to update component selection if you change language</v>
      </c>
      <c r="B36" s="24" t="s">
        <v>1250</v>
      </c>
      <c r="C36" s="24" t="s">
        <v>1322</v>
      </c>
      <c r="D36" s="24" t="s">
        <v>1251</v>
      </c>
      <c r="E36" s="25" t="s">
        <v>1323</v>
      </c>
    </row>
    <row r="37" spans="1:5" x14ac:dyDescent="0.2">
      <c r="A37" s="17" t="str">
        <f t="shared" ca="1" si="1"/>
        <v>Product Category</v>
      </c>
      <c r="B37" s="2" t="s">
        <v>1137</v>
      </c>
      <c r="C37" s="2" t="s">
        <v>1138</v>
      </c>
      <c r="D37" s="2" t="s">
        <v>1139</v>
      </c>
      <c r="E37" s="21" t="s">
        <v>1140</v>
      </c>
    </row>
    <row r="38" spans="1:5" x14ac:dyDescent="0.2">
      <c r="A38" s="17" t="str">
        <f t="shared" ca="1" si="1"/>
        <v>Cost Input ID</v>
      </c>
      <c r="B38" s="2" t="s">
        <v>1141</v>
      </c>
      <c r="C38" s="2" t="s">
        <v>1324</v>
      </c>
      <c r="D38" s="2" t="s">
        <v>1684</v>
      </c>
      <c r="E38" s="22" t="s">
        <v>1325</v>
      </c>
    </row>
    <row r="39" spans="1:5" x14ac:dyDescent="0.2">
      <c r="A39" s="17" t="str">
        <f t="shared" ca="1" si="1"/>
        <v>Product Name</v>
      </c>
      <c r="B39" s="2" t="s">
        <v>1142</v>
      </c>
      <c r="C39" s="2" t="s">
        <v>1326</v>
      </c>
      <c r="D39" s="2" t="s">
        <v>1327</v>
      </c>
      <c r="E39" s="21" t="s">
        <v>1328</v>
      </c>
    </row>
    <row r="40" spans="1:5" x14ac:dyDescent="0.2">
      <c r="A40" s="17" t="str">
        <f t="shared" ca="1" si="1"/>
        <v>Product ID</v>
      </c>
      <c r="B40" s="2" t="s">
        <v>1143</v>
      </c>
      <c r="C40" s="2" t="s">
        <v>1329</v>
      </c>
      <c r="D40" s="2" t="s">
        <v>1144</v>
      </c>
      <c r="E40" s="21" t="s">
        <v>1330</v>
      </c>
    </row>
    <row r="41" spans="1:5" x14ac:dyDescent="0.2">
      <c r="A41" s="17" t="str">
        <f t="shared" ca="1" si="1"/>
        <v>Specification</v>
      </c>
      <c r="B41" s="2" t="s">
        <v>1145</v>
      </c>
      <c r="C41" s="2" t="s">
        <v>1331</v>
      </c>
      <c r="D41" s="2" t="s">
        <v>1332</v>
      </c>
      <c r="E41" s="21" t="s">
        <v>1333</v>
      </c>
    </row>
    <row r="42" spans="1:5" x14ac:dyDescent="0.2">
      <c r="A42" s="17" t="str">
        <f t="shared" ca="1" si="1"/>
        <v>Recipient</v>
      </c>
      <c r="B42" s="2" t="s">
        <v>737</v>
      </c>
      <c r="C42" s="2" t="s">
        <v>1256</v>
      </c>
      <c r="D42" s="2" t="s">
        <v>1334</v>
      </c>
      <c r="E42" s="21" t="s">
        <v>1335</v>
      </c>
    </row>
    <row r="43" spans="1:5" x14ac:dyDescent="0.2">
      <c r="A43" s="17" t="str">
        <f t="shared" ca="1" si="1"/>
        <v>Recipient ID</v>
      </c>
      <c r="B43" s="2" t="s">
        <v>738</v>
      </c>
      <c r="C43" s="2" t="s">
        <v>1336</v>
      </c>
      <c r="D43" s="2" t="s">
        <v>1337</v>
      </c>
      <c r="E43" s="21" t="s">
        <v>1338</v>
      </c>
    </row>
    <row r="44" spans="1:5" x14ac:dyDescent="0.2">
      <c r="A44" s="17" t="str">
        <f t="shared" ca="1" si="1"/>
        <v>Y1 Unit Cost (Payment Currency)</v>
      </c>
      <c r="B44" s="2" t="s">
        <v>1177</v>
      </c>
      <c r="C44" s="2" t="s">
        <v>1339</v>
      </c>
      <c r="D44" s="2" t="s">
        <v>1340</v>
      </c>
      <c r="E44" s="21" t="s">
        <v>1341</v>
      </c>
    </row>
    <row r="45" spans="1:5" x14ac:dyDescent="0.2">
      <c r="A45" s="17" t="str">
        <f t="shared" ca="1" si="1"/>
        <v>Q1 Quantity</v>
      </c>
      <c r="B45" s="2" t="s">
        <v>1178</v>
      </c>
      <c r="C45" s="2" t="s">
        <v>1342</v>
      </c>
      <c r="D45" s="2" t="s">
        <v>1343</v>
      </c>
      <c r="E45" s="21" t="s">
        <v>1344</v>
      </c>
    </row>
    <row r="46" spans="1:5" x14ac:dyDescent="0.2">
      <c r="A46" s="17" t="str">
        <f t="shared" ca="1" si="1"/>
        <v>Q1 Cash Outflow</v>
      </c>
      <c r="B46" s="2" t="s">
        <v>1179</v>
      </c>
      <c r="C46" s="2" t="s">
        <v>1345</v>
      </c>
      <c r="D46" s="2" t="s">
        <v>1346</v>
      </c>
      <c r="E46" s="21" t="s">
        <v>1347</v>
      </c>
    </row>
    <row r="47" spans="1:5" x14ac:dyDescent="0.2">
      <c r="A47" s="17" t="str">
        <f t="shared" ca="1" si="1"/>
        <v>Q2 Quantity</v>
      </c>
      <c r="B47" s="2" t="s">
        <v>1180</v>
      </c>
      <c r="C47" s="2" t="s">
        <v>1348</v>
      </c>
      <c r="D47" s="2" t="s">
        <v>1349</v>
      </c>
      <c r="E47" s="21" t="s">
        <v>1350</v>
      </c>
    </row>
    <row r="48" spans="1:5" x14ac:dyDescent="0.2">
      <c r="A48" s="17" t="str">
        <f t="shared" ca="1" si="1"/>
        <v>Q2 Cash Outflow</v>
      </c>
      <c r="B48" s="2" t="s">
        <v>1181</v>
      </c>
      <c r="C48" s="2" t="s">
        <v>1351</v>
      </c>
      <c r="D48" s="2" t="s">
        <v>1352</v>
      </c>
      <c r="E48" s="21" t="s">
        <v>1353</v>
      </c>
    </row>
    <row r="49" spans="1:5" x14ac:dyDescent="0.2">
      <c r="A49" s="17" t="str">
        <f t="shared" ca="1" si="1"/>
        <v>Q3 Quantity</v>
      </c>
      <c r="B49" s="2" t="s">
        <v>1182</v>
      </c>
      <c r="C49" s="2" t="s">
        <v>1354</v>
      </c>
      <c r="D49" s="2" t="s">
        <v>1355</v>
      </c>
      <c r="E49" s="21" t="s">
        <v>1356</v>
      </c>
    </row>
    <row r="50" spans="1:5" x14ac:dyDescent="0.2">
      <c r="A50" s="17" t="str">
        <f t="shared" ca="1" si="1"/>
        <v xml:space="preserve">Q3 Cash Outflow </v>
      </c>
      <c r="B50" s="2" t="s">
        <v>1236</v>
      </c>
      <c r="C50" s="2" t="s">
        <v>1357</v>
      </c>
      <c r="D50" s="2" t="s">
        <v>1358</v>
      </c>
      <c r="E50" s="21" t="s">
        <v>1359</v>
      </c>
    </row>
    <row r="51" spans="1:5" x14ac:dyDescent="0.2">
      <c r="A51" s="17" t="str">
        <f t="shared" ca="1" si="1"/>
        <v>Q4 Quantity</v>
      </c>
      <c r="B51" s="2" t="s">
        <v>1183</v>
      </c>
      <c r="C51" s="2" t="s">
        <v>1360</v>
      </c>
      <c r="D51" s="2" t="s">
        <v>1361</v>
      </c>
      <c r="E51" s="21" t="s">
        <v>1362</v>
      </c>
    </row>
    <row r="52" spans="1:5" x14ac:dyDescent="0.2">
      <c r="A52" s="17" t="str">
        <f t="shared" ca="1" si="1"/>
        <v>Q4 Cash Outflow</v>
      </c>
      <c r="B52" s="2" t="s">
        <v>1184</v>
      </c>
      <c r="C52" s="2" t="s">
        <v>1363</v>
      </c>
      <c r="D52" s="2" t="s">
        <v>1364</v>
      </c>
      <c r="E52" s="21" t="s">
        <v>1365</v>
      </c>
    </row>
    <row r="53" spans="1:5" x14ac:dyDescent="0.2">
      <c r="A53" s="17" t="str">
        <f t="shared" ca="1" si="1"/>
        <v>Y1 Total Quantity</v>
      </c>
      <c r="B53" s="2" t="s">
        <v>1185</v>
      </c>
      <c r="C53" s="2" t="s">
        <v>1366</v>
      </c>
      <c r="D53" s="2" t="s">
        <v>1367</v>
      </c>
      <c r="E53" s="21" t="s">
        <v>1368</v>
      </c>
    </row>
    <row r="54" spans="1:5" x14ac:dyDescent="0.2">
      <c r="A54" s="17" t="str">
        <f t="shared" ca="1" si="1"/>
        <v>Y1 Total Cash Outflow</v>
      </c>
      <c r="B54" s="2" t="s">
        <v>1186</v>
      </c>
      <c r="C54" s="2" t="s">
        <v>1369</v>
      </c>
      <c r="D54" s="2" t="s">
        <v>1370</v>
      </c>
      <c r="E54" s="21" t="s">
        <v>1371</v>
      </c>
    </row>
    <row r="55" spans="1:5" x14ac:dyDescent="0.2">
      <c r="A55" s="17" t="str">
        <f t="shared" ca="1" si="1"/>
        <v>Y2 Unit Cost (Payment Currency)</v>
      </c>
      <c r="B55" s="2" t="s">
        <v>1222</v>
      </c>
      <c r="C55" s="2" t="s">
        <v>1372</v>
      </c>
      <c r="D55" s="2" t="s">
        <v>1373</v>
      </c>
      <c r="E55" s="21" t="s">
        <v>1374</v>
      </c>
    </row>
    <row r="56" spans="1:5" x14ac:dyDescent="0.2">
      <c r="A56" s="17" t="str">
        <f t="shared" ca="1" si="1"/>
        <v>Q5 Quantity</v>
      </c>
      <c r="B56" s="2" t="s">
        <v>1187</v>
      </c>
      <c r="C56" s="2" t="s">
        <v>1375</v>
      </c>
      <c r="D56" s="2" t="s">
        <v>1376</v>
      </c>
      <c r="E56" s="21" t="s">
        <v>1377</v>
      </c>
    </row>
    <row r="57" spans="1:5" x14ac:dyDescent="0.2">
      <c r="A57" s="17" t="str">
        <f t="shared" ca="1" si="1"/>
        <v>Q5 Cash Outflow</v>
      </c>
      <c r="B57" s="2" t="s">
        <v>1188</v>
      </c>
      <c r="C57" s="2" t="s">
        <v>1378</v>
      </c>
      <c r="D57" s="2" t="s">
        <v>1379</v>
      </c>
      <c r="E57" s="21" t="s">
        <v>1380</v>
      </c>
    </row>
    <row r="58" spans="1:5" x14ac:dyDescent="0.2">
      <c r="A58" s="17" t="str">
        <f t="shared" ca="1" si="1"/>
        <v>Q6 Quantity</v>
      </c>
      <c r="B58" s="2" t="s">
        <v>1189</v>
      </c>
      <c r="C58" s="2" t="s">
        <v>1381</v>
      </c>
      <c r="D58" s="2" t="s">
        <v>1382</v>
      </c>
      <c r="E58" s="21" t="s">
        <v>1383</v>
      </c>
    </row>
    <row r="59" spans="1:5" x14ac:dyDescent="0.2">
      <c r="A59" s="17" t="str">
        <f t="shared" ca="1" si="1"/>
        <v>Q6 Cash Outflow</v>
      </c>
      <c r="B59" s="2" t="s">
        <v>1190</v>
      </c>
      <c r="C59" s="2" t="s">
        <v>1384</v>
      </c>
      <c r="D59" s="2" t="s">
        <v>1385</v>
      </c>
      <c r="E59" s="21" t="s">
        <v>1386</v>
      </c>
    </row>
    <row r="60" spans="1:5" x14ac:dyDescent="0.2">
      <c r="A60" s="17" t="str">
        <f t="shared" ca="1" si="1"/>
        <v>Q7 Quantity</v>
      </c>
      <c r="B60" s="2" t="s">
        <v>1191</v>
      </c>
      <c r="C60" s="2" t="s">
        <v>1387</v>
      </c>
      <c r="D60" s="2" t="s">
        <v>1388</v>
      </c>
      <c r="E60" s="21" t="s">
        <v>1389</v>
      </c>
    </row>
    <row r="61" spans="1:5" x14ac:dyDescent="0.2">
      <c r="A61" s="17" t="str">
        <f t="shared" ca="1" si="1"/>
        <v>Q7 Cash Outflow</v>
      </c>
      <c r="B61" s="2" t="s">
        <v>1192</v>
      </c>
      <c r="C61" s="2" t="s">
        <v>1390</v>
      </c>
      <c r="D61" s="2" t="s">
        <v>1391</v>
      </c>
      <c r="E61" s="21" t="s">
        <v>1392</v>
      </c>
    </row>
    <row r="62" spans="1:5" x14ac:dyDescent="0.2">
      <c r="A62" s="17" t="str">
        <f t="shared" ca="1" si="1"/>
        <v>Q8 Quantity</v>
      </c>
      <c r="B62" s="2" t="s">
        <v>1193</v>
      </c>
      <c r="C62" s="2" t="s">
        <v>1393</v>
      </c>
      <c r="D62" s="2" t="s">
        <v>1394</v>
      </c>
      <c r="E62" s="21" t="s">
        <v>1395</v>
      </c>
    </row>
    <row r="63" spans="1:5" x14ac:dyDescent="0.2">
      <c r="A63" s="17" t="str">
        <f t="shared" ca="1" si="1"/>
        <v>Q8 Cash Outflow</v>
      </c>
      <c r="B63" s="2" t="s">
        <v>1260</v>
      </c>
      <c r="C63" s="2" t="s">
        <v>1396</v>
      </c>
      <c r="D63" s="2" t="s">
        <v>1397</v>
      </c>
      <c r="E63" s="21" t="s">
        <v>1398</v>
      </c>
    </row>
    <row r="64" spans="1:5" x14ac:dyDescent="0.2">
      <c r="A64" s="17" t="str">
        <f t="shared" ca="1" si="1"/>
        <v>Y2 Total Quantity</v>
      </c>
      <c r="B64" s="2" t="s">
        <v>1194</v>
      </c>
      <c r="C64" s="2" t="s">
        <v>1399</v>
      </c>
      <c r="D64" s="2" t="s">
        <v>1400</v>
      </c>
      <c r="E64" s="21" t="s">
        <v>1401</v>
      </c>
    </row>
    <row r="65" spans="1:5" x14ac:dyDescent="0.2">
      <c r="A65" s="17" t="str">
        <f t="shared" ca="1" si="1"/>
        <v>Y2 Total Cash Outflow</v>
      </c>
      <c r="B65" s="2" t="s">
        <v>1195</v>
      </c>
      <c r="C65" s="2" t="s">
        <v>1402</v>
      </c>
      <c r="D65" s="2" t="s">
        <v>1403</v>
      </c>
      <c r="E65" s="21" t="s">
        <v>1404</v>
      </c>
    </row>
    <row r="66" spans="1:5" x14ac:dyDescent="0.2">
      <c r="A66" s="17" t="str">
        <f t="shared" ca="1" si="1"/>
        <v>Y3 Unit Cost (Payment Currency)</v>
      </c>
      <c r="B66" s="2" t="s">
        <v>1196</v>
      </c>
      <c r="C66" s="2" t="s">
        <v>1405</v>
      </c>
      <c r="D66" s="2" t="s">
        <v>1406</v>
      </c>
      <c r="E66" s="21" t="s">
        <v>1407</v>
      </c>
    </row>
    <row r="67" spans="1:5" x14ac:dyDescent="0.2">
      <c r="A67" s="17" t="str">
        <f t="shared" ca="1" si="1"/>
        <v>Q9 Quantity</v>
      </c>
      <c r="B67" s="2" t="s">
        <v>1197</v>
      </c>
      <c r="C67" s="2" t="s">
        <v>1408</v>
      </c>
      <c r="D67" s="2" t="s">
        <v>1409</v>
      </c>
      <c r="E67" s="21" t="s">
        <v>1410</v>
      </c>
    </row>
    <row r="68" spans="1:5" x14ac:dyDescent="0.2">
      <c r="A68" s="17" t="str">
        <f t="shared" ca="1" si="1"/>
        <v>Q9 Cash Outflow</v>
      </c>
      <c r="B68" s="2" t="s">
        <v>1198</v>
      </c>
      <c r="C68" s="2" t="s">
        <v>1411</v>
      </c>
      <c r="D68" s="2" t="s">
        <v>1412</v>
      </c>
      <c r="E68" s="21" t="s">
        <v>1413</v>
      </c>
    </row>
    <row r="69" spans="1:5" x14ac:dyDescent="0.2">
      <c r="A69" s="17" t="str">
        <f t="shared" ca="1" si="1"/>
        <v>Q10 Quantity</v>
      </c>
      <c r="B69" s="2" t="s">
        <v>1199</v>
      </c>
      <c r="C69" s="2" t="s">
        <v>1414</v>
      </c>
      <c r="D69" s="2" t="s">
        <v>1415</v>
      </c>
      <c r="E69" s="21" t="s">
        <v>1416</v>
      </c>
    </row>
    <row r="70" spans="1:5" x14ac:dyDescent="0.2">
      <c r="A70" s="17" t="str">
        <f t="shared" ca="1" si="1"/>
        <v>Q10 Cash Outflow</v>
      </c>
      <c r="B70" s="2" t="s">
        <v>1200</v>
      </c>
      <c r="C70" s="2" t="s">
        <v>1417</v>
      </c>
      <c r="D70" s="2" t="s">
        <v>1418</v>
      </c>
      <c r="E70" s="21" t="s">
        <v>1419</v>
      </c>
    </row>
    <row r="71" spans="1:5" x14ac:dyDescent="0.2">
      <c r="A71" s="17" t="str">
        <f t="shared" ca="1" si="1"/>
        <v>Q11 Quantity</v>
      </c>
      <c r="B71" s="2" t="s">
        <v>1201</v>
      </c>
      <c r="C71" s="2" t="s">
        <v>1420</v>
      </c>
      <c r="D71" s="2" t="s">
        <v>1421</v>
      </c>
      <c r="E71" s="21" t="s">
        <v>1422</v>
      </c>
    </row>
    <row r="72" spans="1:5" x14ac:dyDescent="0.2">
      <c r="A72" s="17" t="str">
        <f t="shared" ca="1" si="1"/>
        <v>Q11 Cash Outflow</v>
      </c>
      <c r="B72" s="2" t="s">
        <v>1202</v>
      </c>
      <c r="C72" s="2" t="s">
        <v>1423</v>
      </c>
      <c r="D72" s="2" t="s">
        <v>1424</v>
      </c>
      <c r="E72" s="21" t="s">
        <v>1425</v>
      </c>
    </row>
    <row r="73" spans="1:5" x14ac:dyDescent="0.2">
      <c r="A73" s="17" t="str">
        <f t="shared" ca="1" si="1"/>
        <v>Q12 Quantity</v>
      </c>
      <c r="B73" s="2" t="s">
        <v>1203</v>
      </c>
      <c r="C73" s="2" t="s">
        <v>1426</v>
      </c>
      <c r="D73" s="2" t="s">
        <v>1427</v>
      </c>
      <c r="E73" s="21" t="s">
        <v>1428</v>
      </c>
    </row>
    <row r="74" spans="1:5" x14ac:dyDescent="0.2">
      <c r="A74" s="17" t="str">
        <f t="shared" ca="1" si="1"/>
        <v>Q12 Cash Outflow</v>
      </c>
      <c r="B74" s="2" t="s">
        <v>1204</v>
      </c>
      <c r="C74" s="2" t="s">
        <v>1429</v>
      </c>
      <c r="D74" s="2" t="s">
        <v>1430</v>
      </c>
      <c r="E74" s="21" t="s">
        <v>1431</v>
      </c>
    </row>
    <row r="75" spans="1:5" x14ac:dyDescent="0.2">
      <c r="A75" s="17" t="str">
        <f t="shared" ca="1" si="1"/>
        <v>Y3 Total Quantity</v>
      </c>
      <c r="B75" s="2" t="s">
        <v>1205</v>
      </c>
      <c r="C75" s="2" t="s">
        <v>1432</v>
      </c>
      <c r="D75" s="2" t="s">
        <v>1433</v>
      </c>
      <c r="E75" s="21" t="s">
        <v>1434</v>
      </c>
    </row>
    <row r="76" spans="1:5" x14ac:dyDescent="0.2">
      <c r="A76" s="17" t="str">
        <f t="shared" ca="1" si="1"/>
        <v>Y3 Total Cash Outflow</v>
      </c>
      <c r="B76" s="2" t="s">
        <v>1262</v>
      </c>
      <c r="C76" s="2" t="s">
        <v>1435</v>
      </c>
      <c r="D76" s="2" t="s">
        <v>1436</v>
      </c>
      <c r="E76" s="21" t="s">
        <v>1437</v>
      </c>
    </row>
    <row r="77" spans="1:5" x14ac:dyDescent="0.2">
      <c r="A77" s="17" t="str">
        <f t="shared" ca="1" si="1"/>
        <v>Y4 Unit Cost (Payment Currency)</v>
      </c>
      <c r="B77" s="2" t="s">
        <v>1206</v>
      </c>
      <c r="C77" s="2" t="s">
        <v>1438</v>
      </c>
      <c r="D77" s="2" t="s">
        <v>1439</v>
      </c>
      <c r="E77" s="21" t="s">
        <v>1440</v>
      </c>
    </row>
    <row r="78" spans="1:5" x14ac:dyDescent="0.2">
      <c r="A78" s="17" t="str">
        <f t="shared" ca="1" si="1"/>
        <v>Q13 Quantity</v>
      </c>
      <c r="B78" s="2" t="s">
        <v>1207</v>
      </c>
      <c r="C78" s="2" t="s">
        <v>1441</v>
      </c>
      <c r="D78" s="2" t="s">
        <v>1442</v>
      </c>
      <c r="E78" s="21" t="s">
        <v>1443</v>
      </c>
    </row>
    <row r="79" spans="1:5" x14ac:dyDescent="0.2">
      <c r="A79" s="17" t="str">
        <f t="shared" ca="1" si="1"/>
        <v>Q13 Cash Outflow</v>
      </c>
      <c r="B79" s="2" t="s">
        <v>1208</v>
      </c>
      <c r="C79" s="2" t="s">
        <v>1444</v>
      </c>
      <c r="D79" s="2" t="s">
        <v>1445</v>
      </c>
      <c r="E79" s="21" t="s">
        <v>1446</v>
      </c>
    </row>
    <row r="80" spans="1:5" x14ac:dyDescent="0.2">
      <c r="A80" s="17" t="str">
        <f t="shared" ca="1" si="1"/>
        <v>Q14 Quantity</v>
      </c>
      <c r="B80" s="2" t="s">
        <v>1261</v>
      </c>
      <c r="C80" s="2" t="s">
        <v>1447</v>
      </c>
      <c r="D80" s="2" t="s">
        <v>1448</v>
      </c>
      <c r="E80" s="21" t="s">
        <v>1449</v>
      </c>
    </row>
    <row r="81" spans="1:5" x14ac:dyDescent="0.2">
      <c r="A81" s="17" t="str">
        <f t="shared" ca="1" si="1"/>
        <v>Q14 Cash Outflow</v>
      </c>
      <c r="B81" s="2" t="s">
        <v>1209</v>
      </c>
      <c r="C81" s="2" t="s">
        <v>1450</v>
      </c>
      <c r="D81" s="2" t="s">
        <v>1451</v>
      </c>
      <c r="E81" s="21" t="s">
        <v>1452</v>
      </c>
    </row>
    <row r="82" spans="1:5" x14ac:dyDescent="0.2">
      <c r="A82" s="17" t="str">
        <f t="shared" ca="1" si="1"/>
        <v>Q15 Quantity</v>
      </c>
      <c r="B82" s="2" t="s">
        <v>1210</v>
      </c>
      <c r="C82" s="2" t="s">
        <v>1453</v>
      </c>
      <c r="D82" s="2" t="s">
        <v>1454</v>
      </c>
      <c r="E82" s="21" t="s">
        <v>1455</v>
      </c>
    </row>
    <row r="83" spans="1:5" x14ac:dyDescent="0.2">
      <c r="A83" s="17" t="str">
        <f t="shared" ca="1" si="1"/>
        <v>Q15 Cash Outflow</v>
      </c>
      <c r="B83" s="2" t="s">
        <v>1211</v>
      </c>
      <c r="C83" s="2" t="s">
        <v>1456</v>
      </c>
      <c r="D83" s="2" t="s">
        <v>1457</v>
      </c>
      <c r="E83" s="21" t="s">
        <v>1458</v>
      </c>
    </row>
    <row r="84" spans="1:5" x14ac:dyDescent="0.2">
      <c r="A84" s="17" t="str">
        <f t="shared" ca="1" si="1"/>
        <v>Q16 Quantity</v>
      </c>
      <c r="B84" s="2" t="s">
        <v>1212</v>
      </c>
      <c r="C84" s="2" t="s">
        <v>1459</v>
      </c>
      <c r="D84" s="2" t="s">
        <v>1460</v>
      </c>
      <c r="E84" s="21" t="s">
        <v>1461</v>
      </c>
    </row>
    <row r="85" spans="1:5" x14ac:dyDescent="0.2">
      <c r="A85" s="17" t="str">
        <f t="shared" ca="1" si="1"/>
        <v>Q16 Cash Outflow</v>
      </c>
      <c r="B85" s="2" t="s">
        <v>1213</v>
      </c>
      <c r="C85" s="2" t="s">
        <v>1462</v>
      </c>
      <c r="D85" s="2" t="s">
        <v>1463</v>
      </c>
      <c r="E85" s="21" t="s">
        <v>1464</v>
      </c>
    </row>
    <row r="86" spans="1:5" x14ac:dyDescent="0.2">
      <c r="A86" s="17" t="str">
        <f t="shared" ca="1" si="1"/>
        <v>Y4 Total Quantity</v>
      </c>
      <c r="B86" s="2" t="s">
        <v>1214</v>
      </c>
      <c r="C86" s="2" t="s">
        <v>1465</v>
      </c>
      <c r="D86" s="2" t="s">
        <v>1466</v>
      </c>
      <c r="E86" s="21" t="s">
        <v>1467</v>
      </c>
    </row>
    <row r="87" spans="1:5" x14ac:dyDescent="0.2">
      <c r="A87" s="17" t="str">
        <f t="shared" ca="1" si="1"/>
        <v>Y4 Total Cash Outflow</v>
      </c>
      <c r="B87" s="2" t="s">
        <v>1215</v>
      </c>
      <c r="C87" s="2" t="s">
        <v>1468</v>
      </c>
      <c r="D87" s="2" t="s">
        <v>1469</v>
      </c>
      <c r="E87" s="21" t="s">
        <v>1470</v>
      </c>
    </row>
    <row r="88" spans="1:5" x14ac:dyDescent="0.2">
      <c r="A88" s="17" t="str">
        <f t="shared" ca="1" si="1"/>
        <v>Y1-4 Total Quantity</v>
      </c>
      <c r="B88" s="2" t="s">
        <v>1216</v>
      </c>
      <c r="C88" s="2" t="s">
        <v>1471</v>
      </c>
      <c r="D88" s="2" t="s">
        <v>1472</v>
      </c>
      <c r="E88" s="21" t="s">
        <v>1473</v>
      </c>
    </row>
    <row r="89" spans="1:5" x14ac:dyDescent="0.2">
      <c r="A89" s="17" t="str">
        <f t="shared" ca="1" si="1"/>
        <v>Y1-4 Total Cash Outflow</v>
      </c>
      <c r="B89" s="2" t="s">
        <v>1217</v>
      </c>
      <c r="C89" s="2" t="s">
        <v>1474</v>
      </c>
      <c r="D89" s="2" t="s">
        <v>1475</v>
      </c>
      <c r="E89" s="21" t="s">
        <v>1476</v>
      </c>
    </row>
    <row r="90" spans="1:5" x14ac:dyDescent="0.2">
      <c r="A90" s="17" t="str">
        <f t="shared" ca="1" si="1"/>
        <v>Y1 Grant Currency</v>
      </c>
      <c r="B90" s="2" t="s">
        <v>9</v>
      </c>
      <c r="C90" s="2" t="s">
        <v>1477</v>
      </c>
      <c r="D90" s="2" t="s">
        <v>1478</v>
      </c>
      <c r="E90" s="21" t="s">
        <v>1479</v>
      </c>
    </row>
    <row r="91" spans="1:5" x14ac:dyDescent="0.2">
      <c r="A91" s="17" t="str">
        <f t="shared" ca="1" si="1"/>
        <v>Y2 Grant Currency</v>
      </c>
      <c r="B91" s="2" t="s">
        <v>10</v>
      </c>
      <c r="C91" s="2" t="s">
        <v>1480</v>
      </c>
      <c r="D91" s="2" t="s">
        <v>1481</v>
      </c>
      <c r="E91" s="21" t="s">
        <v>1482</v>
      </c>
    </row>
    <row r="92" spans="1:5" x14ac:dyDescent="0.2">
      <c r="A92" s="17" t="str">
        <f t="shared" ca="1" si="1"/>
        <v>Y3 Grant Currency</v>
      </c>
      <c r="B92" s="2" t="s">
        <v>11</v>
      </c>
      <c r="C92" s="2" t="s">
        <v>1483</v>
      </c>
      <c r="D92" s="2" t="s">
        <v>1484</v>
      </c>
      <c r="E92" s="21" t="s">
        <v>1485</v>
      </c>
    </row>
    <row r="93" spans="1:5" x14ac:dyDescent="0.2">
      <c r="A93" s="17" t="str">
        <f t="shared" ca="1" si="1"/>
        <v>Y4 Grant Currency</v>
      </c>
      <c r="B93" s="2" t="s">
        <v>12</v>
      </c>
      <c r="C93" s="2" t="s">
        <v>1486</v>
      </c>
      <c r="D93" s="2" t="s">
        <v>1487</v>
      </c>
      <c r="E93" s="21" t="s">
        <v>1488</v>
      </c>
    </row>
    <row r="94" spans="1:5" x14ac:dyDescent="0.2">
      <c r="A94" s="17" t="str">
        <f t="shared" ca="1" si="1"/>
        <v>Assumptions to Support Unit Cost</v>
      </c>
      <c r="B94" s="2" t="s">
        <v>18</v>
      </c>
      <c r="C94" s="2" t="s">
        <v>1489</v>
      </c>
      <c r="D94" s="2" t="s">
        <v>1490</v>
      </c>
      <c r="E94" s="21" t="s">
        <v>1491</v>
      </c>
    </row>
    <row r="95" spans="1:5" x14ac:dyDescent="0.2">
      <c r="A95" s="17" t="str">
        <f t="shared" ca="1" si="1"/>
        <v>Justification/Comments</v>
      </c>
      <c r="B95" s="2" t="s">
        <v>19</v>
      </c>
      <c r="C95" s="2" t="s">
        <v>1154</v>
      </c>
      <c r="D95" s="2" t="s">
        <v>1155</v>
      </c>
      <c r="E95" s="21" t="s">
        <v>1156</v>
      </c>
    </row>
    <row r="96" spans="1:5" x14ac:dyDescent="0.2">
      <c r="A96" s="17" t="str">
        <f t="shared" ref="A96:A160" ca="1" si="2">OFFSET($B96,0,LangOffset,1,1)</f>
        <v>Cost Category</v>
      </c>
      <c r="B96" s="2" t="s">
        <v>1146</v>
      </c>
      <c r="C96" s="2" t="s">
        <v>1147</v>
      </c>
      <c r="D96" s="2" t="s">
        <v>1148</v>
      </c>
      <c r="E96" s="21" t="s">
        <v>1492</v>
      </c>
    </row>
    <row r="97" spans="1:5" x14ac:dyDescent="0.2">
      <c r="A97" s="17" t="str">
        <f t="shared" ca="1" si="2"/>
        <v>Budget Line No.</v>
      </c>
      <c r="B97" s="2" t="s">
        <v>13</v>
      </c>
      <c r="C97" s="2" t="s">
        <v>1149</v>
      </c>
      <c r="D97" s="2" t="s">
        <v>1493</v>
      </c>
      <c r="E97" s="21" t="s">
        <v>1494</v>
      </c>
    </row>
    <row r="98" spans="1:5" x14ac:dyDescent="0.2">
      <c r="A98" s="17" t="str">
        <f t="shared" ca="1" si="2"/>
        <v>Module</v>
      </c>
      <c r="B98" s="2" t="s">
        <v>14</v>
      </c>
      <c r="C98" s="2" t="s">
        <v>14</v>
      </c>
      <c r="D98" s="2" t="s">
        <v>1495</v>
      </c>
      <c r="E98" s="21" t="s">
        <v>1496</v>
      </c>
    </row>
    <row r="99" spans="1:5" x14ac:dyDescent="0.2">
      <c r="A99" s="17" t="str">
        <f t="shared" ca="1" si="2"/>
        <v>Intervention</v>
      </c>
      <c r="B99" s="2" t="s">
        <v>15</v>
      </c>
      <c r="C99" s="2" t="s">
        <v>15</v>
      </c>
      <c r="D99" s="2" t="s">
        <v>1497</v>
      </c>
      <c r="E99" s="21" t="s">
        <v>1498</v>
      </c>
    </row>
    <row r="100" spans="1:5" x14ac:dyDescent="0.2">
      <c r="A100" s="17" t="str">
        <f t="shared" ca="1" si="2"/>
        <v>Activity Description</v>
      </c>
      <c r="B100" s="2" t="s">
        <v>16</v>
      </c>
      <c r="C100" s="2" t="s">
        <v>1499</v>
      </c>
      <c r="D100" s="2" t="s">
        <v>1150</v>
      </c>
      <c r="E100" s="21" t="s">
        <v>1500</v>
      </c>
    </row>
    <row r="101" spans="1:5" x14ac:dyDescent="0.2">
      <c r="A101" s="17" t="str">
        <f t="shared" ca="1" si="2"/>
        <v>Unit of Measure</v>
      </c>
      <c r="B101" s="2" t="s">
        <v>2</v>
      </c>
      <c r="C101" s="2" t="s">
        <v>1151</v>
      </c>
      <c r="D101" s="2" t="s">
        <v>1152</v>
      </c>
      <c r="E101" s="21" t="s">
        <v>1153</v>
      </c>
    </row>
    <row r="102" spans="1:5" x14ac:dyDescent="0.2">
      <c r="A102" s="17" t="str">
        <f t="shared" ca="1" si="2"/>
        <v>Payment Currency</v>
      </c>
      <c r="B102" s="2" t="s">
        <v>1176</v>
      </c>
      <c r="C102" s="2" t="s">
        <v>1501</v>
      </c>
      <c r="D102" s="2" t="s">
        <v>1502</v>
      </c>
      <c r="E102" s="21" t="s">
        <v>1503</v>
      </c>
    </row>
    <row r="103" spans="1:5" x14ac:dyDescent="0.2">
      <c r="A103" s="17" t="str">
        <f t="shared" ca="1" si="2"/>
        <v>Item Description</v>
      </c>
      <c r="B103" s="2" t="s">
        <v>1</v>
      </c>
      <c r="C103" s="2" t="s">
        <v>1504</v>
      </c>
      <c r="D103" s="2" t="s">
        <v>1505</v>
      </c>
      <c r="E103" s="21" t="s">
        <v>1506</v>
      </c>
    </row>
    <row r="104" spans="1:5" s="59" customFormat="1" x14ac:dyDescent="0.2">
      <c r="A104" s="58" t="str">
        <f t="shared" ca="1" si="2"/>
        <v>Y1 Yearly Net Salary</v>
      </c>
      <c r="B104" s="59" t="s">
        <v>1749</v>
      </c>
      <c r="C104" s="59" t="s">
        <v>1750</v>
      </c>
      <c r="D104" s="61" t="s">
        <v>1751</v>
      </c>
      <c r="E104" s="60" t="s">
        <v>1781</v>
      </c>
    </row>
    <row r="105" spans="1:5" ht="25.5" x14ac:dyDescent="0.2">
      <c r="A105" s="17" t="str">
        <f t="shared" ca="1" si="2"/>
        <v>Y1 Social Security and Other Obligatory Charges</v>
      </c>
      <c r="B105" s="2" t="s">
        <v>47</v>
      </c>
      <c r="C105" s="2" t="s">
        <v>1507</v>
      </c>
      <c r="D105" s="2" t="s">
        <v>1508</v>
      </c>
      <c r="E105" s="21" t="s">
        <v>1509</v>
      </c>
    </row>
    <row r="106" spans="1:5" x14ac:dyDescent="0.2">
      <c r="A106" s="17" t="str">
        <f t="shared" ca="1" si="2"/>
        <v>Y1 Total Salary</v>
      </c>
      <c r="B106" s="2" t="s">
        <v>46</v>
      </c>
      <c r="C106" s="2" t="s">
        <v>1510</v>
      </c>
      <c r="D106" s="2" t="s">
        <v>1511</v>
      </c>
      <c r="E106" s="21" t="s">
        <v>1512</v>
      </c>
    </row>
    <row r="107" spans="1:5" x14ac:dyDescent="0.2">
      <c r="A107" s="17" t="str">
        <f t="shared" ca="1" si="2"/>
        <v>Y1 Level of Effort (%)</v>
      </c>
      <c r="B107" s="2" t="s">
        <v>45</v>
      </c>
      <c r="C107" s="2" t="s">
        <v>1513</v>
      </c>
      <c r="D107" s="2" t="s">
        <v>1514</v>
      </c>
      <c r="E107" s="21" t="s">
        <v>1515</v>
      </c>
    </row>
    <row r="108" spans="1:5" x14ac:dyDescent="0.2">
      <c r="A108" s="17" t="str">
        <f t="shared" ca="1" si="2"/>
        <v>Y1 Number of persons</v>
      </c>
      <c r="B108" s="2" t="s">
        <v>44</v>
      </c>
      <c r="C108" s="2" t="s">
        <v>1516</v>
      </c>
      <c r="D108" s="2" t="s">
        <v>1517</v>
      </c>
      <c r="E108" s="21" t="s">
        <v>1518</v>
      </c>
    </row>
    <row r="109" spans="1:5" x14ac:dyDescent="0.2">
      <c r="A109" s="17" t="str">
        <f t="shared" ca="1" si="2"/>
        <v>Y1 Total Cost</v>
      </c>
      <c r="B109" s="2" t="s">
        <v>21</v>
      </c>
      <c r="C109" s="2" t="s">
        <v>1519</v>
      </c>
      <c r="D109" s="2" t="s">
        <v>1520</v>
      </c>
      <c r="E109" s="21" t="s">
        <v>1521</v>
      </c>
    </row>
    <row r="110" spans="1:5" s="59" customFormat="1" x14ac:dyDescent="0.2">
      <c r="A110" s="58" t="str">
        <f t="shared" ca="1" si="2"/>
        <v>Y2 Yearly Net Salary</v>
      </c>
      <c r="B110" s="59" t="s">
        <v>1752</v>
      </c>
      <c r="C110" s="59" t="s">
        <v>1753</v>
      </c>
      <c r="D110" s="61" t="s">
        <v>1754</v>
      </c>
      <c r="E110" s="70" t="s">
        <v>1782</v>
      </c>
    </row>
    <row r="111" spans="1:5" ht="25.5" x14ac:dyDescent="0.2">
      <c r="A111" s="17" t="str">
        <f t="shared" ca="1" si="2"/>
        <v>Y2 Social Security and Other Obligatory Charges</v>
      </c>
      <c r="B111" s="2" t="s">
        <v>43</v>
      </c>
      <c r="C111" s="2" t="s">
        <v>1522</v>
      </c>
      <c r="D111" s="2" t="s">
        <v>1523</v>
      </c>
      <c r="E111" s="21" t="s">
        <v>1524</v>
      </c>
    </row>
    <row r="112" spans="1:5" x14ac:dyDescent="0.2">
      <c r="A112" s="17" t="str">
        <f t="shared" ca="1" si="2"/>
        <v>Y2 Total Salary</v>
      </c>
      <c r="B112" s="2" t="s">
        <v>42</v>
      </c>
      <c r="C112" s="2" t="s">
        <v>1525</v>
      </c>
      <c r="D112" s="2" t="s">
        <v>1526</v>
      </c>
      <c r="E112" s="21" t="s">
        <v>1527</v>
      </c>
    </row>
    <row r="113" spans="1:5" x14ac:dyDescent="0.2">
      <c r="A113" s="17" t="str">
        <f t="shared" ca="1" si="2"/>
        <v>Y2 Level of Effort (%)</v>
      </c>
      <c r="B113" s="2" t="s">
        <v>41</v>
      </c>
      <c r="C113" s="2" t="s">
        <v>1528</v>
      </c>
      <c r="D113" s="2" t="s">
        <v>1529</v>
      </c>
      <c r="E113" s="21" t="s">
        <v>1530</v>
      </c>
    </row>
    <row r="114" spans="1:5" x14ac:dyDescent="0.2">
      <c r="A114" s="17" t="str">
        <f t="shared" ca="1" si="2"/>
        <v>Y2 Number of persons</v>
      </c>
      <c r="B114" s="2" t="s">
        <v>40</v>
      </c>
      <c r="C114" s="2" t="s">
        <v>1531</v>
      </c>
      <c r="D114" s="2" t="s">
        <v>1532</v>
      </c>
      <c r="E114" s="21" t="s">
        <v>1533</v>
      </c>
    </row>
    <row r="115" spans="1:5" x14ac:dyDescent="0.2">
      <c r="A115" s="17" t="str">
        <f t="shared" ca="1" si="2"/>
        <v>Y2 Total Cost</v>
      </c>
      <c r="B115" s="2" t="s">
        <v>22</v>
      </c>
      <c r="C115" s="2" t="s">
        <v>1534</v>
      </c>
      <c r="D115" s="2" t="s">
        <v>1535</v>
      </c>
      <c r="E115" s="21" t="s">
        <v>1536</v>
      </c>
    </row>
    <row r="116" spans="1:5" s="59" customFormat="1" x14ac:dyDescent="0.2">
      <c r="A116" s="58" t="str">
        <f t="shared" ca="1" si="2"/>
        <v>Y3 Yearly Net Salary</v>
      </c>
      <c r="B116" s="59" t="s">
        <v>1755</v>
      </c>
      <c r="C116" s="59" t="s">
        <v>1756</v>
      </c>
      <c r="D116" s="61" t="s">
        <v>1757</v>
      </c>
      <c r="E116" s="70" t="s">
        <v>1783</v>
      </c>
    </row>
    <row r="117" spans="1:5" ht="25.5" x14ac:dyDescent="0.2">
      <c r="A117" s="17" t="str">
        <f t="shared" ca="1" si="2"/>
        <v>Y3 Social Security and Other Obligatory Charges</v>
      </c>
      <c r="B117" s="2" t="s">
        <v>48</v>
      </c>
      <c r="C117" s="2" t="s">
        <v>1537</v>
      </c>
      <c r="D117" s="2" t="s">
        <v>1538</v>
      </c>
      <c r="E117" s="21" t="s">
        <v>1539</v>
      </c>
    </row>
    <row r="118" spans="1:5" x14ac:dyDescent="0.2">
      <c r="A118" s="17" t="str">
        <f t="shared" ca="1" si="2"/>
        <v>Y3 Total Salary</v>
      </c>
      <c r="B118" s="2" t="s">
        <v>37</v>
      </c>
      <c r="C118" s="2" t="s">
        <v>1540</v>
      </c>
      <c r="D118" s="2" t="s">
        <v>1541</v>
      </c>
      <c r="E118" s="21" t="s">
        <v>1542</v>
      </c>
    </row>
    <row r="119" spans="1:5" x14ac:dyDescent="0.2">
      <c r="A119" s="17" t="str">
        <f t="shared" ca="1" si="2"/>
        <v>Y3 Level of Effort (%)</v>
      </c>
      <c r="B119" s="2" t="s">
        <v>38</v>
      </c>
      <c r="C119" s="2" t="s">
        <v>1543</v>
      </c>
      <c r="D119" s="2" t="s">
        <v>1544</v>
      </c>
      <c r="E119" s="21" t="s">
        <v>1545</v>
      </c>
    </row>
    <row r="120" spans="1:5" x14ac:dyDescent="0.2">
      <c r="A120" s="17" t="str">
        <f t="shared" ca="1" si="2"/>
        <v>Y3 Number of persons</v>
      </c>
      <c r="B120" s="2" t="s">
        <v>39</v>
      </c>
      <c r="C120" s="2" t="s">
        <v>1546</v>
      </c>
      <c r="D120" s="2" t="s">
        <v>1547</v>
      </c>
      <c r="E120" s="21" t="s">
        <v>1548</v>
      </c>
    </row>
    <row r="121" spans="1:5" x14ac:dyDescent="0.2">
      <c r="A121" s="17" t="str">
        <f t="shared" ca="1" si="2"/>
        <v>Y3 Total Cost</v>
      </c>
      <c r="B121" s="2" t="s">
        <v>23</v>
      </c>
      <c r="C121" s="2" t="s">
        <v>1549</v>
      </c>
      <c r="D121" s="2" t="s">
        <v>1550</v>
      </c>
      <c r="E121" s="21" t="s">
        <v>1551</v>
      </c>
    </row>
    <row r="122" spans="1:5" s="59" customFormat="1" x14ac:dyDescent="0.2">
      <c r="A122" s="58" t="str">
        <f t="shared" ca="1" si="2"/>
        <v>Y4 Yearly Net Salary</v>
      </c>
      <c r="B122" s="59" t="s">
        <v>1758</v>
      </c>
      <c r="C122" s="59" t="s">
        <v>1759</v>
      </c>
      <c r="D122" s="61" t="s">
        <v>1760</v>
      </c>
      <c r="E122" s="62" t="s">
        <v>1784</v>
      </c>
    </row>
    <row r="123" spans="1:5" ht="25.5" x14ac:dyDescent="0.2">
      <c r="A123" s="17" t="str">
        <f t="shared" ca="1" si="2"/>
        <v>Y4 Social Security and Other Obligatory Charges</v>
      </c>
      <c r="B123" s="2" t="s">
        <v>33</v>
      </c>
      <c r="C123" s="2" t="s">
        <v>1552</v>
      </c>
      <c r="D123" s="2" t="s">
        <v>1553</v>
      </c>
      <c r="E123" s="21" t="s">
        <v>1554</v>
      </c>
    </row>
    <row r="124" spans="1:5" x14ac:dyDescent="0.2">
      <c r="A124" s="17" t="str">
        <f t="shared" ca="1" si="2"/>
        <v>Y4 Total Salary</v>
      </c>
      <c r="B124" s="2" t="s">
        <v>34</v>
      </c>
      <c r="C124" s="2" t="s">
        <v>1555</v>
      </c>
      <c r="D124" s="2" t="s">
        <v>1556</v>
      </c>
      <c r="E124" s="21" t="s">
        <v>1557</v>
      </c>
    </row>
    <row r="125" spans="1:5" x14ac:dyDescent="0.2">
      <c r="A125" s="17" t="str">
        <f t="shared" ca="1" si="2"/>
        <v>Y4 Level of Effort (%)</v>
      </c>
      <c r="B125" s="2" t="s">
        <v>35</v>
      </c>
      <c r="C125" s="2" t="s">
        <v>1558</v>
      </c>
      <c r="D125" s="2" t="s">
        <v>1559</v>
      </c>
      <c r="E125" s="21" t="s">
        <v>1560</v>
      </c>
    </row>
    <row r="126" spans="1:5" x14ac:dyDescent="0.2">
      <c r="A126" s="17" t="str">
        <f t="shared" ca="1" si="2"/>
        <v>Y4 Number of persons</v>
      </c>
      <c r="B126" s="2" t="s">
        <v>36</v>
      </c>
      <c r="C126" s="2" t="s">
        <v>1561</v>
      </c>
      <c r="D126" s="2" t="s">
        <v>1562</v>
      </c>
      <c r="E126" s="21" t="s">
        <v>1563</v>
      </c>
    </row>
    <row r="127" spans="1:5" x14ac:dyDescent="0.2">
      <c r="A127" s="17" t="str">
        <f t="shared" ca="1" si="2"/>
        <v>Y4 Total Cost</v>
      </c>
      <c r="B127" s="2" t="s">
        <v>24</v>
      </c>
      <c r="C127" s="2" t="s">
        <v>1564</v>
      </c>
      <c r="D127" s="2" t="s">
        <v>1565</v>
      </c>
      <c r="E127" s="21" t="s">
        <v>1566</v>
      </c>
    </row>
    <row r="128" spans="1:5" x14ac:dyDescent="0.2">
      <c r="A128" s="17" t="str">
        <f t="shared" ca="1" si="2"/>
        <v>Y1 Unit Cost</v>
      </c>
      <c r="B128" s="2" t="s">
        <v>25</v>
      </c>
      <c r="C128" s="2" t="s">
        <v>1567</v>
      </c>
      <c r="D128" s="2" t="s">
        <v>1568</v>
      </c>
      <c r="E128" s="21" t="s">
        <v>1569</v>
      </c>
    </row>
    <row r="129" spans="1:5" x14ac:dyDescent="0.2">
      <c r="A129" s="17" t="str">
        <f t="shared" ca="1" si="2"/>
        <v>Y1 Duration (days)</v>
      </c>
      <c r="B129" s="2" t="s">
        <v>1157</v>
      </c>
      <c r="C129" s="2" t="s">
        <v>1570</v>
      </c>
      <c r="D129" s="2" t="s">
        <v>1571</v>
      </c>
      <c r="E129" s="21" t="s">
        <v>1572</v>
      </c>
    </row>
    <row r="130" spans="1:5" x14ac:dyDescent="0.2">
      <c r="A130" s="17" t="str">
        <f t="shared" ca="1" si="2"/>
        <v>Y1 Quantity</v>
      </c>
      <c r="B130" s="2" t="s">
        <v>26</v>
      </c>
      <c r="C130" s="2" t="s">
        <v>1573</v>
      </c>
      <c r="D130" s="2" t="s">
        <v>1574</v>
      </c>
      <c r="E130" s="21" t="s">
        <v>1575</v>
      </c>
    </row>
    <row r="131" spans="1:5" x14ac:dyDescent="0.2">
      <c r="A131" s="17" t="str">
        <f t="shared" ca="1" si="2"/>
        <v>Y2 Unit Cost</v>
      </c>
      <c r="B131" s="2" t="s">
        <v>27</v>
      </c>
      <c r="C131" s="2" t="s">
        <v>1576</v>
      </c>
      <c r="D131" s="2" t="s">
        <v>1577</v>
      </c>
      <c r="E131" s="21" t="s">
        <v>1578</v>
      </c>
    </row>
    <row r="132" spans="1:5" x14ac:dyDescent="0.2">
      <c r="A132" s="17" t="str">
        <f t="shared" ca="1" si="2"/>
        <v>Y2 Duration (days)</v>
      </c>
      <c r="B132" s="2" t="s">
        <v>1158</v>
      </c>
      <c r="C132" s="2" t="s">
        <v>1579</v>
      </c>
      <c r="D132" s="2" t="s">
        <v>1580</v>
      </c>
      <c r="E132" s="21" t="s">
        <v>1581</v>
      </c>
    </row>
    <row r="133" spans="1:5" x14ac:dyDescent="0.2">
      <c r="A133" s="17" t="str">
        <f t="shared" ca="1" si="2"/>
        <v>Y2 Quantity</v>
      </c>
      <c r="B133" s="2" t="s">
        <v>28</v>
      </c>
      <c r="C133" s="2" t="s">
        <v>1582</v>
      </c>
      <c r="D133" s="2" t="s">
        <v>1583</v>
      </c>
      <c r="E133" s="21" t="s">
        <v>1584</v>
      </c>
    </row>
    <row r="134" spans="1:5" x14ac:dyDescent="0.2">
      <c r="A134" s="17" t="str">
        <f t="shared" ca="1" si="2"/>
        <v>Y3 Unit Cost</v>
      </c>
      <c r="B134" s="2" t="s">
        <v>29</v>
      </c>
      <c r="C134" s="2" t="s">
        <v>1585</v>
      </c>
      <c r="D134" s="2" t="s">
        <v>1586</v>
      </c>
      <c r="E134" s="21" t="s">
        <v>1587</v>
      </c>
    </row>
    <row r="135" spans="1:5" x14ac:dyDescent="0.2">
      <c r="A135" s="17" t="str">
        <f t="shared" ca="1" si="2"/>
        <v>Y3 Duration (days)</v>
      </c>
      <c r="B135" s="2" t="s">
        <v>1159</v>
      </c>
      <c r="C135" s="2" t="s">
        <v>1588</v>
      </c>
      <c r="D135" s="2" t="s">
        <v>1589</v>
      </c>
      <c r="E135" s="21" t="s">
        <v>1590</v>
      </c>
    </row>
    <row r="136" spans="1:5" x14ac:dyDescent="0.2">
      <c r="A136" s="17" t="str">
        <f t="shared" ca="1" si="2"/>
        <v>Y3 Quantity</v>
      </c>
      <c r="B136" s="2" t="s">
        <v>30</v>
      </c>
      <c r="C136" s="2" t="s">
        <v>1582</v>
      </c>
      <c r="D136" s="2" t="s">
        <v>1591</v>
      </c>
      <c r="E136" s="21" t="s">
        <v>1592</v>
      </c>
    </row>
    <row r="137" spans="1:5" x14ac:dyDescent="0.2">
      <c r="A137" s="17" t="str">
        <f t="shared" ca="1" si="2"/>
        <v>Y4 Unit Cost</v>
      </c>
      <c r="B137" s="2" t="s">
        <v>31</v>
      </c>
      <c r="C137" s="2" t="s">
        <v>1438</v>
      </c>
      <c r="D137" s="2" t="s">
        <v>1593</v>
      </c>
      <c r="E137" s="21" t="s">
        <v>1594</v>
      </c>
    </row>
    <row r="138" spans="1:5" x14ac:dyDescent="0.2">
      <c r="A138" s="17" t="str">
        <f t="shared" ca="1" si="2"/>
        <v>Y4 Duration (days)</v>
      </c>
      <c r="B138" s="2" t="s">
        <v>1160</v>
      </c>
      <c r="C138" s="2" t="s">
        <v>1595</v>
      </c>
      <c r="D138" s="2" t="s">
        <v>1596</v>
      </c>
      <c r="E138" s="21" t="s">
        <v>1597</v>
      </c>
    </row>
    <row r="139" spans="1:5" x14ac:dyDescent="0.2">
      <c r="A139" s="17" t="str">
        <f t="shared" ca="1" si="2"/>
        <v>Y4 Quantity</v>
      </c>
      <c r="B139" s="2" t="s">
        <v>32</v>
      </c>
      <c r="C139" s="2" t="s">
        <v>1598</v>
      </c>
      <c r="D139" s="2" t="s">
        <v>1161</v>
      </c>
      <c r="E139" s="21" t="s">
        <v>1599</v>
      </c>
    </row>
    <row r="140" spans="1:5" x14ac:dyDescent="0.2">
      <c r="A140" s="17" t="str">
        <f t="shared" ca="1" si="2"/>
        <v>Budget Line Activity Name</v>
      </c>
      <c r="B140" s="2" t="s">
        <v>3</v>
      </c>
      <c r="C140" s="2" t="s">
        <v>1600</v>
      </c>
      <c r="D140" s="2" t="s">
        <v>1601</v>
      </c>
      <c r="E140" s="21" t="s">
        <v>1602</v>
      </c>
    </row>
    <row r="141" spans="1:5" x14ac:dyDescent="0.2">
      <c r="A141" s="17" t="str">
        <f t="shared" ca="1" si="2"/>
        <v>Cost Input</v>
      </c>
      <c r="B141" s="2" t="s">
        <v>17</v>
      </c>
      <c r="C141" s="2" t="s">
        <v>1603</v>
      </c>
      <c r="D141" s="2" t="s">
        <v>1718</v>
      </c>
      <c r="E141" s="21" t="s">
        <v>1604</v>
      </c>
    </row>
    <row r="142" spans="1:5" ht="76.5" x14ac:dyDescent="0.2">
      <c r="A142" s="17" t="str">
        <f t="shared" ca="1" si="2"/>
        <v>To refresh the pivot table with latest amounts entered in the Detailed budgets,  click anywhere on the pivot table and then press Alt + F5.</v>
      </c>
      <c r="B142" s="3" t="s">
        <v>1165</v>
      </c>
      <c r="C142" s="2" t="s">
        <v>1605</v>
      </c>
      <c r="D142" s="2" t="s">
        <v>1606</v>
      </c>
      <c r="E142" s="23" t="s">
        <v>1607</v>
      </c>
    </row>
    <row r="143" spans="1:5" x14ac:dyDescent="0.2">
      <c r="A143" s="17" t="str">
        <f t="shared" ca="1" si="2"/>
        <v>Budget Summary (in grant currency)</v>
      </c>
      <c r="B143" s="2" t="s">
        <v>1268</v>
      </c>
      <c r="C143" s="2" t="s">
        <v>1608</v>
      </c>
      <c r="D143" s="2" t="s">
        <v>1609</v>
      </c>
      <c r="E143" s="21" t="s">
        <v>1610</v>
      </c>
    </row>
    <row r="144" spans="1:5" x14ac:dyDescent="0.2">
      <c r="A144" s="17" t="str">
        <f t="shared" ca="1" si="2"/>
        <v>By Module</v>
      </c>
      <c r="B144" s="2" t="s">
        <v>7</v>
      </c>
      <c r="C144" s="2" t="s">
        <v>1611</v>
      </c>
      <c r="D144" s="2" t="s">
        <v>1166</v>
      </c>
      <c r="E144" s="21" t="s">
        <v>1612</v>
      </c>
    </row>
    <row r="145" spans="1:5" x14ac:dyDescent="0.2">
      <c r="A145" s="17" t="str">
        <f t="shared" ca="1" si="2"/>
        <v>By Cost Grouping</v>
      </c>
      <c r="B145" s="2" t="s">
        <v>1167</v>
      </c>
      <c r="C145" s="2" t="s">
        <v>1613</v>
      </c>
      <c r="D145" s="2" t="s">
        <v>1614</v>
      </c>
      <c r="E145" s="21" t="s">
        <v>1615</v>
      </c>
    </row>
    <row r="146" spans="1:5" ht="114.75" x14ac:dyDescent="0.2">
      <c r="A146" s="17" t="str">
        <f t="shared" ca="1" si="2"/>
        <v>To refresh the pivot table with latest amounts entered in the Module budgets on the Concept Note sheet, click anywhere on the pivot table and then press Alt + F5 or go to the menu and select Data and then Refresh All.</v>
      </c>
      <c r="B146" s="18" t="s">
        <v>1175</v>
      </c>
      <c r="C146" s="19" t="s">
        <v>1616</v>
      </c>
      <c r="D146" s="19" t="s">
        <v>1617</v>
      </c>
      <c r="E146" s="23" t="s">
        <v>1618</v>
      </c>
    </row>
    <row r="147" spans="1:5" ht="25.5" x14ac:dyDescent="0.2">
      <c r="A147" s="17" t="str">
        <f t="shared" ca="1" si="2"/>
        <v>Exchange rate
(to grant currency)</v>
      </c>
      <c r="B147" s="18" t="s">
        <v>1255</v>
      </c>
      <c r="C147" s="19" t="s">
        <v>1619</v>
      </c>
      <c r="D147" s="19" t="s">
        <v>1620</v>
      </c>
      <c r="E147" s="23" t="s">
        <v>1621</v>
      </c>
    </row>
    <row r="148" spans="1:5" x14ac:dyDescent="0.2">
      <c r="A148" s="17" t="str">
        <f t="shared" ca="1" si="2"/>
        <v>Currency Code</v>
      </c>
      <c r="B148" s="18" t="s">
        <v>1248</v>
      </c>
      <c r="C148" s="19" t="s">
        <v>1622</v>
      </c>
      <c r="D148" s="19" t="s">
        <v>1623</v>
      </c>
      <c r="E148" s="23" t="s">
        <v>1249</v>
      </c>
    </row>
    <row r="149" spans="1:5" x14ac:dyDescent="0.2">
      <c r="A149" s="17" t="str">
        <f t="shared" ca="1" si="2"/>
        <v>Grant</v>
      </c>
      <c r="B149" s="18" t="s">
        <v>1254</v>
      </c>
      <c r="C149" s="19" t="s">
        <v>1624</v>
      </c>
      <c r="D149" s="19" t="s">
        <v>1625</v>
      </c>
      <c r="E149" s="23" t="s">
        <v>1626</v>
      </c>
    </row>
    <row r="150" spans="1:5" x14ac:dyDescent="0.2">
      <c r="A150" s="17" t="str">
        <f t="shared" ca="1" si="2"/>
        <v>Local</v>
      </c>
      <c r="B150" s="18" t="s">
        <v>1253</v>
      </c>
      <c r="C150" s="19" t="s">
        <v>1627</v>
      </c>
      <c r="D150" s="19" t="s">
        <v>1628</v>
      </c>
      <c r="E150" s="23" t="s">
        <v>1629</v>
      </c>
    </row>
    <row r="151" spans="1:5" x14ac:dyDescent="0.2">
      <c r="A151" s="17" t="str">
        <f t="shared" ca="1" si="2"/>
        <v>Other</v>
      </c>
      <c r="B151" s="18" t="s">
        <v>0</v>
      </c>
      <c r="C151" s="19" t="s">
        <v>1630</v>
      </c>
      <c r="D151" s="19" t="s">
        <v>1252</v>
      </c>
      <c r="E151" s="23" t="s">
        <v>1631</v>
      </c>
    </row>
    <row r="152" spans="1:5" ht="25.5" x14ac:dyDescent="0.2">
      <c r="A152" s="17" t="str">
        <f t="shared" ca="1" si="2"/>
        <v>Y1 Unit Cost (Grant Currency)</v>
      </c>
      <c r="B152" s="18" t="s">
        <v>1218</v>
      </c>
      <c r="C152" s="19" t="s">
        <v>1632</v>
      </c>
      <c r="D152" s="19" t="s">
        <v>1633</v>
      </c>
      <c r="E152" s="23" t="s">
        <v>1634</v>
      </c>
    </row>
    <row r="153" spans="1:5" ht="25.5" x14ac:dyDescent="0.2">
      <c r="A153" s="17" t="str">
        <f t="shared" ca="1" si="2"/>
        <v>Y2 Unit Cost (Grant Currency)</v>
      </c>
      <c r="B153" s="18" t="s">
        <v>1219</v>
      </c>
      <c r="C153" s="19" t="s">
        <v>1635</v>
      </c>
      <c r="D153" s="19" t="s">
        <v>1636</v>
      </c>
      <c r="E153" s="23" t="s">
        <v>1637</v>
      </c>
    </row>
    <row r="154" spans="1:5" ht="25.5" x14ac:dyDescent="0.2">
      <c r="A154" s="17" t="str">
        <f t="shared" ca="1" si="2"/>
        <v>Y3 Unit Cost (Grant Currency)</v>
      </c>
      <c r="B154" s="18" t="s">
        <v>1220</v>
      </c>
      <c r="C154" s="19" t="s">
        <v>1638</v>
      </c>
      <c r="D154" s="19" t="s">
        <v>1639</v>
      </c>
      <c r="E154" s="23" t="s">
        <v>1640</v>
      </c>
    </row>
    <row r="155" spans="1:5" ht="25.5" x14ac:dyDescent="0.2">
      <c r="A155" s="17" t="str">
        <f t="shared" ca="1" si="2"/>
        <v>Y4 Unit Cost (Grant Currency)</v>
      </c>
      <c r="B155" s="18" t="s">
        <v>1221</v>
      </c>
      <c r="C155" s="19" t="s">
        <v>1641</v>
      </c>
      <c r="D155" s="19" t="s">
        <v>1642</v>
      </c>
      <c r="E155" s="23" t="s">
        <v>1643</v>
      </c>
    </row>
    <row r="156" spans="1:5" s="59" customFormat="1" x14ac:dyDescent="0.2">
      <c r="A156" s="58" t="str">
        <f t="shared" ca="1" si="2"/>
        <v xml:space="preserve">Y1 Average Quarterly Cost </v>
      </c>
      <c r="B156" s="63" t="s">
        <v>1761</v>
      </c>
      <c r="C156" s="64" t="s">
        <v>1762</v>
      </c>
      <c r="D156" s="66" t="s">
        <v>1769</v>
      </c>
      <c r="E156" s="67" t="s">
        <v>1785</v>
      </c>
    </row>
    <row r="157" spans="1:5" s="59" customFormat="1" x14ac:dyDescent="0.2">
      <c r="A157" s="58" t="str">
        <f t="shared" ca="1" si="2"/>
        <v>Y2 Average Quarterly Cost</v>
      </c>
      <c r="B157" s="63" t="s">
        <v>1763</v>
      </c>
      <c r="C157" s="64" t="s">
        <v>1764</v>
      </c>
      <c r="D157" s="64" t="s">
        <v>1770</v>
      </c>
      <c r="E157" s="67" t="s">
        <v>1786</v>
      </c>
    </row>
    <row r="158" spans="1:5" s="59" customFormat="1" x14ac:dyDescent="0.2">
      <c r="A158" s="58" t="str">
        <f t="shared" ca="1" si="2"/>
        <v>Y3 Average Quartely Cost</v>
      </c>
      <c r="B158" s="63" t="s">
        <v>1765</v>
      </c>
      <c r="C158" s="64" t="s">
        <v>1767</v>
      </c>
      <c r="D158" s="64" t="s">
        <v>1771</v>
      </c>
      <c r="E158" s="67" t="s">
        <v>1787</v>
      </c>
    </row>
    <row r="159" spans="1:5" s="59" customFormat="1" x14ac:dyDescent="0.2">
      <c r="A159" s="58" t="str">
        <f t="shared" ca="1" si="2"/>
        <v>Y4 Average Quartely Cost</v>
      </c>
      <c r="B159" s="63" t="s">
        <v>1766</v>
      </c>
      <c r="C159" s="64" t="s">
        <v>1768</v>
      </c>
      <c r="D159" s="64" t="s">
        <v>1772</v>
      </c>
      <c r="E159" s="67" t="s">
        <v>1788</v>
      </c>
    </row>
    <row r="160" spans="1:5" x14ac:dyDescent="0.2">
      <c r="A160" s="17" t="str">
        <f t="shared" ca="1" si="2"/>
        <v>Year 1</v>
      </c>
      <c r="B160" s="18" t="s">
        <v>4</v>
      </c>
      <c r="C160" s="19" t="s">
        <v>1644</v>
      </c>
      <c r="D160" s="19" t="s">
        <v>1645</v>
      </c>
      <c r="E160" s="23" t="s">
        <v>1646</v>
      </c>
    </row>
    <row r="161" spans="1:5" x14ac:dyDescent="0.2">
      <c r="A161" s="17" t="str">
        <f t="shared" ref="A161:A194" ca="1" si="3">OFFSET($B161,0,LangOffset,1,1)</f>
        <v>Year 2</v>
      </c>
      <c r="B161" s="18" t="s">
        <v>5</v>
      </c>
      <c r="C161" s="19" t="s">
        <v>1647</v>
      </c>
      <c r="D161" s="19" t="s">
        <v>1648</v>
      </c>
      <c r="E161" s="23" t="s">
        <v>1649</v>
      </c>
    </row>
    <row r="162" spans="1:5" x14ac:dyDescent="0.2">
      <c r="A162" s="17" t="str">
        <f t="shared" ca="1" si="3"/>
        <v>Year 3</v>
      </c>
      <c r="B162" s="18" t="s">
        <v>6</v>
      </c>
      <c r="C162" s="19" t="s">
        <v>1650</v>
      </c>
      <c r="D162" s="19" t="s">
        <v>1651</v>
      </c>
      <c r="E162" s="23" t="s">
        <v>1652</v>
      </c>
    </row>
    <row r="163" spans="1:5" x14ac:dyDescent="0.2">
      <c r="A163" s="17" t="str">
        <f t="shared" ca="1" si="3"/>
        <v>Year 4</v>
      </c>
      <c r="B163" s="18" t="s">
        <v>795</v>
      </c>
      <c r="C163" s="19" t="s">
        <v>796</v>
      </c>
      <c r="D163" s="19" t="s">
        <v>797</v>
      </c>
      <c r="E163" s="23" t="s">
        <v>798</v>
      </c>
    </row>
    <row r="164" spans="1:5" ht="25.5" x14ac:dyDescent="0.2">
      <c r="A164" s="17" t="str">
        <f t="shared" ca="1" si="3"/>
        <v>Y1 Sum of Total Cost by Budget Line</v>
      </c>
      <c r="B164" s="18" t="s">
        <v>1238</v>
      </c>
      <c r="C164" s="19" t="s">
        <v>1653</v>
      </c>
      <c r="D164" s="19" t="s">
        <v>1654</v>
      </c>
      <c r="E164" s="23" t="s">
        <v>1655</v>
      </c>
    </row>
    <row r="165" spans="1:5" ht="25.5" x14ac:dyDescent="0.2">
      <c r="A165" s="17" t="str">
        <f t="shared" ca="1" si="3"/>
        <v>Y2 Sum of Total Cost by Budget Line</v>
      </c>
      <c r="B165" s="18" t="s">
        <v>1239</v>
      </c>
      <c r="C165" s="19" t="s">
        <v>1656</v>
      </c>
      <c r="D165" s="19" t="s">
        <v>1657</v>
      </c>
      <c r="E165" s="23" t="s">
        <v>1658</v>
      </c>
    </row>
    <row r="166" spans="1:5" ht="25.5" x14ac:dyDescent="0.2">
      <c r="A166" s="17" t="str">
        <f t="shared" ca="1" si="3"/>
        <v>Y3 Sum of Total Cost by Budget Line</v>
      </c>
      <c r="B166" s="18" t="s">
        <v>1240</v>
      </c>
      <c r="C166" s="19" t="s">
        <v>1659</v>
      </c>
      <c r="D166" s="19" t="s">
        <v>1660</v>
      </c>
      <c r="E166" s="23" t="s">
        <v>1661</v>
      </c>
    </row>
    <row r="167" spans="1:5" ht="25.5" x14ac:dyDescent="0.2">
      <c r="A167" s="17" t="str">
        <f t="shared" ca="1" si="3"/>
        <v>Y4 Sum of Total Cost by Budget Line</v>
      </c>
      <c r="B167" s="18" t="s">
        <v>1241</v>
      </c>
      <c r="C167" s="19" t="s">
        <v>1662</v>
      </c>
      <c r="D167" s="19" t="s">
        <v>1663</v>
      </c>
      <c r="E167" s="23" t="s">
        <v>1664</v>
      </c>
    </row>
    <row r="168" spans="1:5" x14ac:dyDescent="0.2">
      <c r="A168" s="17" t="str">
        <f t="shared" ca="1" si="3"/>
        <v>By Recipients</v>
      </c>
      <c r="B168" s="18" t="s">
        <v>1237</v>
      </c>
      <c r="C168" s="19" t="s">
        <v>1665</v>
      </c>
      <c r="D168" s="19" t="s">
        <v>1666</v>
      </c>
      <c r="E168" s="23" t="s">
        <v>1667</v>
      </c>
    </row>
    <row r="169" spans="1:5" ht="25.5" x14ac:dyDescent="0.2">
      <c r="A169" s="17" t="str">
        <f t="shared" ca="1" si="3"/>
        <v>Y1 Net Salary (Grant Currency)</v>
      </c>
      <c r="B169" s="18" t="s">
        <v>1242</v>
      </c>
      <c r="C169" s="19" t="s">
        <v>1668</v>
      </c>
      <c r="D169" s="19" t="s">
        <v>1669</v>
      </c>
      <c r="E169" s="23" t="s">
        <v>1670</v>
      </c>
    </row>
    <row r="170" spans="1:5" ht="25.5" x14ac:dyDescent="0.2">
      <c r="A170" s="17" t="str">
        <f t="shared" ca="1" si="3"/>
        <v>Y2 Net Salary (Grant Currency)</v>
      </c>
      <c r="B170" s="18" t="s">
        <v>1243</v>
      </c>
      <c r="C170" s="19" t="s">
        <v>1671</v>
      </c>
      <c r="D170" s="19" t="s">
        <v>1672</v>
      </c>
      <c r="E170" s="23" t="s">
        <v>1673</v>
      </c>
    </row>
    <row r="171" spans="1:5" ht="25.5" x14ac:dyDescent="0.2">
      <c r="A171" s="17" t="str">
        <f t="shared" ca="1" si="3"/>
        <v>Y3 Net Salary (Grant Currency)</v>
      </c>
      <c r="B171" s="18" t="s">
        <v>1244</v>
      </c>
      <c r="C171" s="19" t="s">
        <v>1674</v>
      </c>
      <c r="D171" s="19" t="s">
        <v>1675</v>
      </c>
      <c r="E171" s="23" t="s">
        <v>1676</v>
      </c>
    </row>
    <row r="172" spans="1:5" ht="25.5" x14ac:dyDescent="0.2">
      <c r="A172" s="17" t="str">
        <f t="shared" ca="1" si="3"/>
        <v>Y4 Net Salary (Grant Currency)</v>
      </c>
      <c r="B172" s="18" t="s">
        <v>1245</v>
      </c>
      <c r="C172" s="19" t="s">
        <v>1677</v>
      </c>
      <c r="D172" s="19" t="s">
        <v>1678</v>
      </c>
      <c r="E172" s="23" t="s">
        <v>1679</v>
      </c>
    </row>
    <row r="173" spans="1:5" ht="38.25" x14ac:dyDescent="0.2">
      <c r="A173" s="17" t="str">
        <f t="shared" ca="1" si="3"/>
        <v>Concept Note Module Budget 
(in grant currency)</v>
      </c>
      <c r="B173" s="18" t="s">
        <v>1269</v>
      </c>
      <c r="C173" s="19" t="s">
        <v>1680</v>
      </c>
      <c r="D173" s="19" t="s">
        <v>1681</v>
      </c>
      <c r="E173" s="23" t="s">
        <v>1682</v>
      </c>
    </row>
    <row r="174" spans="1:5" x14ac:dyDescent="0.2">
      <c r="A174" s="17" t="str">
        <f t="shared" ca="1" si="3"/>
        <v>Total</v>
      </c>
      <c r="B174" s="18" t="s">
        <v>1235</v>
      </c>
      <c r="C174" s="19" t="s">
        <v>1235</v>
      </c>
      <c r="D174" s="19" t="s">
        <v>1235</v>
      </c>
      <c r="E174" s="23" t="s">
        <v>1683</v>
      </c>
    </row>
    <row r="175" spans="1:5" x14ac:dyDescent="0.2">
      <c r="A175" s="17" t="str">
        <f t="shared" ca="1" si="3"/>
        <v>Purpose and overall process</v>
      </c>
      <c r="B175" s="18" t="s">
        <v>1270</v>
      </c>
      <c r="C175" s="19" t="s">
        <v>1685</v>
      </c>
      <c r="D175" s="30" t="s">
        <v>1719</v>
      </c>
      <c r="E175" s="19" t="s">
        <v>1701</v>
      </c>
    </row>
    <row r="176" spans="1:5" ht="63.75" x14ac:dyDescent="0.2">
      <c r="A176" s="17" t="str">
        <f t="shared" ca="1" si="3"/>
        <v>This is an offline Excel file intended to be used to either:</v>
      </c>
      <c r="B176" s="18" t="s">
        <v>1271</v>
      </c>
      <c r="C176" s="19" t="s">
        <v>1686</v>
      </c>
      <c r="D176" s="30" t="s">
        <v>1720</v>
      </c>
      <c r="E176" s="19" t="s">
        <v>1702</v>
      </c>
    </row>
    <row r="177" spans="1:5" ht="76.5" x14ac:dyDescent="0.2">
      <c r="A177" s="17" t="str">
        <f t="shared" ca="1" si="3"/>
        <v>a) Populate the online section Detailed Budget and underlying Assumptions during grant-making, or</v>
      </c>
      <c r="B177" s="18" t="s">
        <v>1272</v>
      </c>
      <c r="C177" s="19" t="s">
        <v>1739</v>
      </c>
      <c r="D177" s="30" t="s">
        <v>1721</v>
      </c>
      <c r="E177" s="19" t="s">
        <v>1739</v>
      </c>
    </row>
    <row r="178" spans="1:5" ht="102" x14ac:dyDescent="0.2">
      <c r="A178" s="17" t="str">
        <f t="shared" ca="1" si="3"/>
        <v>b) Feed the output of this Detailed budgeting exercise into the online Concept Note Module Budget (and then continue making use of this Detailed Budget file during grant-making)</v>
      </c>
      <c r="B178" s="18" t="s">
        <v>1273</v>
      </c>
      <c r="C178" s="19" t="s">
        <v>1739</v>
      </c>
      <c r="D178" s="30" t="s">
        <v>1722</v>
      </c>
      <c r="E178" s="19" t="s">
        <v>1739</v>
      </c>
    </row>
    <row r="179" spans="1:5" ht="76.5" x14ac:dyDescent="0.2">
      <c r="A179" s="17" t="str">
        <f t="shared" ca="1" si="3"/>
        <v>In the online grant-making scenario (a) you will fill the majority of budget lines in this offline Excel file in a concentrated effort</v>
      </c>
      <c r="B179" s="18" t="s">
        <v>1274</v>
      </c>
      <c r="C179" s="19" t="s">
        <v>1687</v>
      </c>
      <c r="D179" s="30" t="s">
        <v>1723</v>
      </c>
      <c r="E179" s="19" t="s">
        <v>1703</v>
      </c>
    </row>
    <row r="180" spans="1:5" ht="140.25" x14ac:dyDescent="0.2">
      <c r="A180" s="17" t="str">
        <f t="shared" ca="1" si="3"/>
        <v>After filling in the file you upload it to the Global Fund online portal for grant-making (in case you cannot access online and have agreed with your Global Fund country team, send it in an email to them and they will make sure it gets uploaded online)</v>
      </c>
      <c r="B180" s="18" t="s">
        <v>1275</v>
      </c>
      <c r="C180" s="19" t="s">
        <v>1688</v>
      </c>
      <c r="D180" s="30" t="s">
        <v>1724</v>
      </c>
      <c r="E180" s="19" t="s">
        <v>1704</v>
      </c>
    </row>
    <row r="181" spans="1:5" ht="51" x14ac:dyDescent="0.2">
      <c r="A181" s="17" t="str">
        <f t="shared" ca="1" si="3"/>
        <v>After it has been uploaded online you can consult it online and make further changes to it there</v>
      </c>
      <c r="B181" s="18" t="s">
        <v>50</v>
      </c>
      <c r="C181" s="19" t="s">
        <v>1689</v>
      </c>
      <c r="D181" s="30" t="s">
        <v>1725</v>
      </c>
      <c r="E181" s="19" t="s">
        <v>1705</v>
      </c>
    </row>
    <row r="182" spans="1:5" ht="127.5" x14ac:dyDescent="0.2">
      <c r="A182" s="17" t="str">
        <f t="shared" ca="1" si="3"/>
        <v>In scenario (a) no PSM related cost should be included in this budget file but entered in a dedicated PSM offline template that will be separately uploaded online</v>
      </c>
      <c r="B182" s="18" t="s">
        <v>1276</v>
      </c>
      <c r="C182" s="19" t="s">
        <v>1690</v>
      </c>
      <c r="D182" s="30" t="s">
        <v>1726</v>
      </c>
      <c r="E182" s="19" t="s">
        <v>1706</v>
      </c>
    </row>
    <row r="183" spans="1:5" ht="76.5" x14ac:dyDescent="0.2">
      <c r="A183" s="17" t="str">
        <f t="shared" ca="1" si="3"/>
        <v>No further editing should happen in the offline template file which will be disregarded after transfer of its data to the online system</v>
      </c>
      <c r="B183" s="18" t="s">
        <v>1717</v>
      </c>
      <c r="C183" s="19" t="s">
        <v>1739</v>
      </c>
      <c r="D183" s="30" t="s">
        <v>1727</v>
      </c>
      <c r="E183" s="19" t="s">
        <v>1739</v>
      </c>
    </row>
    <row r="184" spans="1:5" ht="153" x14ac:dyDescent="0.2">
      <c r="A184" s="17" t="str">
        <f t="shared" ca="1" si="3"/>
        <v>In scenario (b) you will copy from the separate PSM offline template, sheet "PSM Detailed Budget" into this file "Detailed Budget" sheet to have the complete budget in this file and be able to use the output sheet Concept Note Module Budget for entry online</v>
      </c>
      <c r="B184" s="18" t="s">
        <v>1284</v>
      </c>
      <c r="C184" s="19" t="s">
        <v>1739</v>
      </c>
      <c r="D184" s="30" t="s">
        <v>1728</v>
      </c>
      <c r="E184" s="19" t="s">
        <v>1739</v>
      </c>
    </row>
    <row r="185" spans="1:5" ht="51" x14ac:dyDescent="0.2">
      <c r="A185" s="17" t="str">
        <f t="shared" ca="1" si="3"/>
        <v>How to enter the detailed budget and underlying assumptions for unit cost</v>
      </c>
      <c r="B185" s="18" t="s">
        <v>1282</v>
      </c>
      <c r="C185" s="19" t="s">
        <v>1692</v>
      </c>
      <c r="D185" s="30" t="s">
        <v>1729</v>
      </c>
      <c r="E185" s="19" t="s">
        <v>1708</v>
      </c>
    </row>
    <row r="186" spans="1:5" ht="63.75" x14ac:dyDescent="0.2">
      <c r="A186" s="17" t="str">
        <f t="shared" ca="1" si="3"/>
        <v xml:space="preserve">The exchange rate to local currency is set by default on the Setup sheet. You can adjust it if needed. </v>
      </c>
      <c r="B186" s="18" t="s">
        <v>1277</v>
      </c>
      <c r="C186" s="19" t="s">
        <v>1691</v>
      </c>
      <c r="D186" s="30" t="s">
        <v>1730</v>
      </c>
      <c r="E186" s="19" t="s">
        <v>1707</v>
      </c>
    </row>
    <row r="187" spans="1:5" ht="153" x14ac:dyDescent="0.2">
      <c r="A187" s="17" t="str">
        <f t="shared" ca="1" si="3"/>
        <v>Enter the Principal Recipients (if using the file for Concept Note) or Principal Implementer and individual or groupings of Sub-recipients on the Setup sheet (if using for grant-making). Their acronyms will be used in the subsequent data entry sheets</v>
      </c>
      <c r="B187" s="18" t="s">
        <v>1283</v>
      </c>
      <c r="C187" s="19" t="s">
        <v>1693</v>
      </c>
      <c r="D187" s="30" t="s">
        <v>1731</v>
      </c>
      <c r="E187" s="19" t="s">
        <v>1709</v>
      </c>
    </row>
    <row r="188" spans="1:5" ht="25.5" x14ac:dyDescent="0.2">
      <c r="A188" s="17" t="str">
        <f t="shared" ca="1" si="3"/>
        <v>Fill in the Detailed Budget sheet</v>
      </c>
      <c r="B188" s="18" t="s">
        <v>49</v>
      </c>
      <c r="C188" s="19" t="s">
        <v>1694</v>
      </c>
      <c r="D188" s="30" t="s">
        <v>1732</v>
      </c>
      <c r="E188" s="19" t="s">
        <v>1710</v>
      </c>
    </row>
    <row r="189" spans="1:5" ht="76.5" x14ac:dyDescent="0.2">
      <c r="A189" s="17" t="str">
        <f t="shared" ca="1" si="3"/>
        <v>When there is a need to detail unit cost (to justify it or to avoid too high lump sum) make use of assumptions sheets:</v>
      </c>
      <c r="B189" s="18" t="s">
        <v>1278</v>
      </c>
      <c r="C189" s="19" t="s">
        <v>1695</v>
      </c>
      <c r="D189" s="30" t="s">
        <v>1733</v>
      </c>
      <c r="E189" s="19" t="s">
        <v>1711</v>
      </c>
    </row>
    <row r="190" spans="1:5" ht="76.5" x14ac:dyDescent="0.2">
      <c r="A190" s="17" t="str">
        <f t="shared" ca="1" si="3"/>
        <v>- There are dedicated Assumptions sheets for Human Resources, Travel Related Cost and Other, which have slightly different columns to fill</v>
      </c>
      <c r="B190" s="18" t="s">
        <v>1279</v>
      </c>
      <c r="C190" s="19" t="s">
        <v>1696</v>
      </c>
      <c r="D190" s="30" t="s">
        <v>1734</v>
      </c>
      <c r="E190" s="19" t="s">
        <v>1712</v>
      </c>
    </row>
    <row r="191" spans="1:5" ht="89.25" x14ac:dyDescent="0.2">
      <c r="A191" s="17" t="str">
        <f t="shared" ca="1" si="3"/>
        <v>- On each Assumption line, you reference the Detailed budget line that the assumption concerns. Several assumption lines can refer to the same budget line</v>
      </c>
      <c r="B191" s="18" t="s">
        <v>51</v>
      </c>
      <c r="C191" s="19" t="s">
        <v>1697</v>
      </c>
      <c r="D191" s="30" t="s">
        <v>1735</v>
      </c>
      <c r="E191" s="19" t="s">
        <v>1713</v>
      </c>
    </row>
    <row r="192" spans="1:5" ht="127.5" x14ac:dyDescent="0.2">
      <c r="A192" s="17" t="str">
        <f t="shared" ca="1" si="3"/>
        <v>- After having entered all assumption lines for a budget line, you can build your own formula in the budget line unit cost cell based on the data entered on the assumption lines, or just enter a resulting figure</v>
      </c>
      <c r="B192" s="18" t="s">
        <v>53</v>
      </c>
      <c r="C192" s="19" t="s">
        <v>1698</v>
      </c>
      <c r="D192" s="30" t="s">
        <v>1736</v>
      </c>
      <c r="E192" s="19" t="s">
        <v>1714</v>
      </c>
    </row>
    <row r="193" spans="1:5" ht="76.5" x14ac:dyDescent="0.2">
      <c r="A193" s="17" t="str">
        <f t="shared" ca="1" si="3"/>
        <v>You can at any time consult the Budget Summary sheet to see a view of the rolled up budget by Module, by Cost Input and by Recipient</v>
      </c>
      <c r="B193" s="18" t="s">
        <v>1280</v>
      </c>
      <c r="C193" s="19" t="s">
        <v>1699</v>
      </c>
      <c r="D193" s="30" t="s">
        <v>1737</v>
      </c>
      <c r="E193" s="19" t="s">
        <v>1716</v>
      </c>
    </row>
    <row r="194" spans="1:5" ht="114.75" x14ac:dyDescent="0.2">
      <c r="A194" s="17" t="str">
        <f t="shared" ca="1" si="3"/>
        <v>When upload of your offline budget lines and assumption lines occurs (scenario a), the budget lines having assumptions will get their unit cost re-calculated based on the data in the assumption lines</v>
      </c>
      <c r="B194" s="18" t="s">
        <v>1281</v>
      </c>
      <c r="C194" s="19" t="s">
        <v>1700</v>
      </c>
      <c r="D194" s="30" t="s">
        <v>1738</v>
      </c>
      <c r="E194" s="19" t="s">
        <v>1715</v>
      </c>
    </row>
    <row r="195" spans="1:5" ht="178.5" x14ac:dyDescent="0.2">
      <c r="A195" s="3" t="str">
        <f t="shared" ref="A195:A214" ca="1" si="4">OFFSET($B195,0,LangOffset,1,1)</f>
        <v>Please note that this template is compatible with MS Excel 2010 or later versions only. Some drop-downs and formulae might not work 
in MS Excel 2007 or earlier versions. Hence, applicants with earlier 
MS versions are requested to upgrade to MS 2010 
or later before starting to work on this file.</v>
      </c>
      <c r="B195" s="3" t="s">
        <v>1741</v>
      </c>
      <c r="C195" s="3" t="s">
        <v>1742</v>
      </c>
      <c r="D195" s="3" t="s">
        <v>1743</v>
      </c>
      <c r="E195" s="31" t="s">
        <v>1744</v>
      </c>
    </row>
    <row r="196" spans="1:5" ht="25.5" x14ac:dyDescent="0.2">
      <c r="A196" s="58" t="str">
        <f t="shared" ca="1" si="4"/>
        <v>Y1 Average cost per person by budget line</v>
      </c>
      <c r="B196" s="63" t="s">
        <v>1773</v>
      </c>
      <c r="C196" s="72" t="s">
        <v>1793</v>
      </c>
      <c r="D196" s="68" t="s">
        <v>1777</v>
      </c>
      <c r="E196" s="65" t="s">
        <v>1789</v>
      </c>
    </row>
    <row r="197" spans="1:5" ht="25.5" x14ac:dyDescent="0.2">
      <c r="A197" s="58" t="str">
        <f t="shared" ca="1" si="4"/>
        <v>Y2 Average cost per person by budget line</v>
      </c>
      <c r="B197" s="63" t="s">
        <v>1774</v>
      </c>
      <c r="C197" s="72" t="s">
        <v>1794</v>
      </c>
      <c r="D197" s="69" t="s">
        <v>1778</v>
      </c>
      <c r="E197" s="71" t="s">
        <v>1791</v>
      </c>
    </row>
    <row r="198" spans="1:5" ht="25.5" x14ac:dyDescent="0.2">
      <c r="A198" s="58" t="str">
        <f t="shared" ca="1" si="4"/>
        <v>Y3 Average cost per person by budget line</v>
      </c>
      <c r="B198" s="63" t="s">
        <v>1775</v>
      </c>
      <c r="C198" s="72" t="s">
        <v>1795</v>
      </c>
      <c r="D198" s="69" t="s">
        <v>1779</v>
      </c>
      <c r="E198" s="69" t="s">
        <v>1790</v>
      </c>
    </row>
    <row r="199" spans="1:5" ht="25.5" x14ac:dyDescent="0.2">
      <c r="A199" s="58" t="str">
        <f t="shared" ca="1" si="4"/>
        <v>Y4 Average cost per person by budget line</v>
      </c>
      <c r="B199" s="63" t="s">
        <v>1776</v>
      </c>
      <c r="C199" s="72" t="s">
        <v>1796</v>
      </c>
      <c r="D199" s="69" t="s">
        <v>1780</v>
      </c>
      <c r="E199" s="69" t="s">
        <v>1792</v>
      </c>
    </row>
    <row r="200" spans="1:5" ht="16.5" thickBot="1" x14ac:dyDescent="0.3">
      <c r="A200" s="58" t="str">
        <f t="shared" ca="1" si="4"/>
        <v>Type of Recipient</v>
      </c>
      <c r="B200" s="2" t="s">
        <v>1809</v>
      </c>
      <c r="C200" s="2" t="s">
        <v>1810</v>
      </c>
      <c r="D200" s="119" t="s">
        <v>1837</v>
      </c>
      <c r="E200" s="121" t="s">
        <v>1865</v>
      </c>
    </row>
    <row r="201" spans="1:5" ht="43.5" thickBot="1" x14ac:dyDescent="0.25">
      <c r="A201" s="58" t="str">
        <f t="shared" ca="1" si="4"/>
        <v>Civil Society - Community Based Organization</v>
      </c>
      <c r="B201" s="2" t="s">
        <v>1824</v>
      </c>
      <c r="C201" s="2" t="s">
        <v>1827</v>
      </c>
      <c r="D201" s="119" t="s">
        <v>1846</v>
      </c>
      <c r="E201" s="121" t="s">
        <v>1859</v>
      </c>
    </row>
    <row r="202" spans="1:5" ht="43.5" thickBot="1" x14ac:dyDescent="0.25">
      <c r="A202" s="58" t="str">
        <f t="shared" ca="1" si="4"/>
        <v>Civil Society - International Faith Based Organization</v>
      </c>
      <c r="B202" s="2" t="s">
        <v>1823</v>
      </c>
      <c r="C202" s="2" t="s">
        <v>1828</v>
      </c>
      <c r="D202" s="119" t="s">
        <v>1848</v>
      </c>
      <c r="E202" s="121" t="s">
        <v>1861</v>
      </c>
    </row>
    <row r="203" spans="1:5" ht="29.25" thickBot="1" x14ac:dyDescent="0.25">
      <c r="A203" s="58" t="str">
        <f t="shared" ca="1" si="4"/>
        <v>Civil Society - International Non-Governmental Organization</v>
      </c>
      <c r="B203" s="2" t="s">
        <v>1822</v>
      </c>
      <c r="C203" s="2" t="s">
        <v>1829</v>
      </c>
      <c r="D203" s="119" t="s">
        <v>1847</v>
      </c>
      <c r="E203" s="121" t="s">
        <v>1860</v>
      </c>
    </row>
    <row r="204" spans="1:5" ht="43.5" thickBot="1" x14ac:dyDescent="0.25">
      <c r="A204" s="58" t="str">
        <f t="shared" ca="1" si="4"/>
        <v>Civil Society - Local Faith Based Organization</v>
      </c>
      <c r="B204" s="2" t="s">
        <v>1821</v>
      </c>
      <c r="C204" s="2" t="s">
        <v>1830</v>
      </c>
      <c r="D204" s="119" t="s">
        <v>1845</v>
      </c>
      <c r="E204" s="121" t="s">
        <v>1858</v>
      </c>
    </row>
    <row r="205" spans="1:5" ht="26.25" thickBot="1" x14ac:dyDescent="0.25">
      <c r="A205" s="58" t="str">
        <f t="shared" ca="1" si="4"/>
        <v>Civil Society - Local Non-Governmental Organization</v>
      </c>
      <c r="B205" s="2" t="s">
        <v>1820</v>
      </c>
      <c r="C205" s="2" t="s">
        <v>1831</v>
      </c>
      <c r="D205" s="119" t="s">
        <v>1844</v>
      </c>
      <c r="E205" s="121" t="s">
        <v>1857</v>
      </c>
    </row>
    <row r="206" spans="1:5" ht="29.25" thickBot="1" x14ac:dyDescent="0.25">
      <c r="A206" s="58" t="str">
        <f t="shared" ca="1" si="4"/>
        <v>Civil Society - Other</v>
      </c>
      <c r="B206" s="2" t="s">
        <v>1826</v>
      </c>
      <c r="C206" s="2" t="s">
        <v>1832</v>
      </c>
      <c r="D206" s="119" t="s">
        <v>1856</v>
      </c>
      <c r="E206" s="121" t="s">
        <v>1862</v>
      </c>
    </row>
    <row r="207" spans="1:5" ht="29.25" thickBot="1" x14ac:dyDescent="0.25">
      <c r="A207" s="58" t="str">
        <f t="shared" ca="1" si="4"/>
        <v>Government - Ministry of Health</v>
      </c>
      <c r="B207" s="2" t="s">
        <v>1811</v>
      </c>
      <c r="C207" s="2" t="s">
        <v>1812</v>
      </c>
      <c r="D207" s="119" t="s">
        <v>1838</v>
      </c>
      <c r="E207" s="120" t="s">
        <v>1850</v>
      </c>
    </row>
    <row r="208" spans="1:5" ht="29.25" thickBot="1" x14ac:dyDescent="0.25">
      <c r="A208" s="58" t="str">
        <f t="shared" ca="1" si="4"/>
        <v>Government - Ministry of Finance</v>
      </c>
      <c r="B208" s="2" t="s">
        <v>1813</v>
      </c>
      <c r="C208" s="2" t="s">
        <v>1814</v>
      </c>
      <c r="D208" s="119" t="s">
        <v>1839</v>
      </c>
      <c r="E208" s="120" t="s">
        <v>1851</v>
      </c>
    </row>
    <row r="209" spans="1:5" ht="15" thickBot="1" x14ac:dyDescent="0.25">
      <c r="A209" s="58" t="str">
        <f t="shared" ca="1" si="4"/>
        <v>Government - Other</v>
      </c>
      <c r="B209" s="2" t="s">
        <v>1815</v>
      </c>
      <c r="C209" s="2" t="s">
        <v>1816</v>
      </c>
      <c r="D209" s="119" t="s">
        <v>1840</v>
      </c>
      <c r="E209" s="120" t="s">
        <v>1852</v>
      </c>
    </row>
    <row r="210" spans="1:5" ht="15" thickBot="1" x14ac:dyDescent="0.25">
      <c r="A210" s="58" t="str">
        <f t="shared" ca="1" si="4"/>
        <v>Multilateral - UNDP</v>
      </c>
      <c r="B210" s="2" t="s">
        <v>1817</v>
      </c>
      <c r="C210" s="2" t="s">
        <v>1833</v>
      </c>
      <c r="D210" s="119" t="s">
        <v>1841</v>
      </c>
      <c r="E210" s="120" t="s">
        <v>1853</v>
      </c>
    </row>
    <row r="211" spans="1:5" ht="29.25" thickBot="1" x14ac:dyDescent="0.25">
      <c r="A211" s="58" t="str">
        <f t="shared" ca="1" si="4"/>
        <v>Multilateral - Other UN agency</v>
      </c>
      <c r="B211" s="2" t="s">
        <v>1819</v>
      </c>
      <c r="C211" s="2" t="s">
        <v>1834</v>
      </c>
      <c r="D211" s="119" t="s">
        <v>1842</v>
      </c>
      <c r="E211" s="120" t="s">
        <v>1854</v>
      </c>
    </row>
    <row r="212" spans="1:5" ht="29.25" thickBot="1" x14ac:dyDescent="0.25">
      <c r="A212" s="58" t="str">
        <f t="shared" ca="1" si="4"/>
        <v>Multilateral - Other</v>
      </c>
      <c r="B212" s="2" t="s">
        <v>1818</v>
      </c>
      <c r="C212" s="2" t="s">
        <v>1835</v>
      </c>
      <c r="D212" s="119" t="s">
        <v>1843</v>
      </c>
      <c r="E212" s="120" t="s">
        <v>1855</v>
      </c>
    </row>
    <row r="213" spans="1:5" ht="15" thickBot="1" x14ac:dyDescent="0.25">
      <c r="A213" s="58" t="str">
        <f t="shared" ca="1" si="4"/>
        <v>Private Sector</v>
      </c>
      <c r="B213" s="2" t="s">
        <v>1825</v>
      </c>
      <c r="C213" s="2" t="s">
        <v>1836</v>
      </c>
      <c r="D213" s="119" t="s">
        <v>1849</v>
      </c>
      <c r="E213" s="120" t="s">
        <v>1863</v>
      </c>
    </row>
    <row r="214" spans="1:5" ht="15" thickBot="1" x14ac:dyDescent="0.25">
      <c r="A214" s="58" t="str">
        <f t="shared" ca="1" si="4"/>
        <v>Other</v>
      </c>
      <c r="B214" s="2" t="s">
        <v>0</v>
      </c>
      <c r="C214" s="2" t="s">
        <v>1172</v>
      </c>
      <c r="D214" s="119" t="s">
        <v>1173</v>
      </c>
      <c r="E214" s="120" t="s">
        <v>1174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pageSetUpPr fitToPage="1"/>
  </sheetPr>
  <dimension ref="A1:AW114"/>
  <sheetViews>
    <sheetView topLeftCell="C1" zoomScale="70" zoomScaleNormal="70" workbookViewId="0">
      <selection activeCell="D16" sqref="D16"/>
    </sheetView>
  </sheetViews>
  <sheetFormatPr defaultColWidth="10.25" defaultRowHeight="12.75" x14ac:dyDescent="0.2"/>
  <cols>
    <col min="1" max="1" width="13.25" style="32" hidden="1" customWidth="1"/>
    <col min="2" max="2" width="17.25" style="32" hidden="1" customWidth="1"/>
    <col min="3" max="3" width="29" style="32" customWidth="1"/>
    <col min="4" max="24" width="10.25" style="34"/>
    <col min="25" max="16384" width="10.25" style="32"/>
  </cols>
  <sheetData>
    <row r="1" spans="1:49" s="35" customFormat="1" ht="15.75" x14ac:dyDescent="0.2">
      <c r="C1" s="10" t="str">
        <f>Setup!A11</f>
        <v>Component Name</v>
      </c>
      <c r="D1" s="36" t="str">
        <f>'Data Sheet'!$A$280 &amp; IF('Data Sheet'!A281 &lt;&gt; "", "," &amp; 'Data Sheet'!A281 &amp; IF('Data Sheet'!A282 &lt;&gt; "", "," &amp; 'Data Sheet'!A282 &amp; IF('Data Sheet'!A283 &lt;&gt; "", "," &amp; 'Data Sheet'!A283,""),""),"")</f>
        <v>HIV/AIDS</v>
      </c>
      <c r="E1" s="36"/>
      <c r="F1" s="36"/>
      <c r="G1" s="131" t="s">
        <v>1866</v>
      </c>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row>
    <row r="2" spans="1:49" s="35" customFormat="1" ht="15.75" x14ac:dyDescent="0.2">
      <c r="C2" s="10" t="str">
        <f ca="1">Setup!A4</f>
        <v>Country / Applicant:</v>
      </c>
      <c r="D2" s="36" t="str">
        <f>Setup!C4</f>
        <v>Lao (Peoples Democratic Republic)</v>
      </c>
      <c r="E2" s="36"/>
      <c r="F2" s="36"/>
      <c r="G2" s="130" t="str">
        <f>IF(X33="","",IF(X33=SUM('Detailed Budget'!BY5:BY1005),"","ERROR: Summary by Module not matching Total of Detailed Budget"))</f>
        <v>ERROR: Summary by Module not matching Total of Detailed Budget</v>
      </c>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row>
    <row r="3" spans="1:49" s="35" customFormat="1" ht="15.75" x14ac:dyDescent="0.2">
      <c r="C3" s="10" t="s">
        <v>1745</v>
      </c>
      <c r="D3" s="36" t="str">
        <f>IFERROR(INDEX(Setup!$K$44:$K$71,MATCH("PR",Setup!$D$44:$D$71,0)),"")</f>
        <v>Ministry of Health of the Lao People's Democratic Republic</v>
      </c>
      <c r="E3" s="36"/>
      <c r="F3" s="36"/>
      <c r="G3" s="130" t="str">
        <f>IF(X51="","",IF(X51=SUM('Detailed Budget'!BY5:BY1005),"","ERROR: Summary by Cost Grouping not matching Total of Detailed Budget"))</f>
        <v>ERROR: Summary by Cost Grouping not matching Total of Detailed Budget</v>
      </c>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ht="15.75" x14ac:dyDescent="0.2">
      <c r="C4" s="33" t="str">
        <f>Setup!A5</f>
        <v>Application/Grant Name</v>
      </c>
      <c r="D4" s="34" t="str">
        <f>Setup!C5</f>
        <v>LAO-H-GFMOH</v>
      </c>
      <c r="G4" s="130" t="str">
        <f>IF(X95="","",IF(X95=SUM('Detailed Budget'!BY5:BY1005),"","ERROR: Summary by Implementer not matching Total of Detailed Budget"))</f>
        <v>ERROR: Summary by Implementer not matching Total of Detailed Budget</v>
      </c>
    </row>
    <row r="5" spans="1:49" ht="15.75" x14ac:dyDescent="0.2">
      <c r="C5" s="33" t="str">
        <f>Setup!A6</f>
        <v>IP Start Date</v>
      </c>
      <c r="D5" s="196">
        <f>Setup!C6</f>
        <v>43101</v>
      </c>
      <c r="G5" s="130" t="str">
        <f>IF('Summary by Intervention'!X107=SUM('Detailed Budget'!BY5:BY1005),"","ERROR: Summary by Intervention not matching Total of Detailed Budget")</f>
        <v>ERROR: Summary by Intervention not matching Total of Detailed Budget</v>
      </c>
    </row>
    <row r="6" spans="1:49" ht="15.75" x14ac:dyDescent="0.2">
      <c r="C6" s="33" t="str">
        <f>Setup!A7</f>
        <v>IP End Date</v>
      </c>
      <c r="D6" s="196">
        <f>Setup!C7</f>
        <v>44196</v>
      </c>
      <c r="G6" s="130" t="str">
        <f>IF('Summary by Cost Input'!X107=SUM('Detailed Budget'!BY5:BY1005),"","ERROR: Summary by Cost Input not matching Total of Detailed Budget")</f>
        <v>ERROR: Summary by Cost Input not matching Total of Detailed Budget</v>
      </c>
    </row>
    <row r="7" spans="1:49" s="35" customFormat="1" ht="15.75" x14ac:dyDescent="0.2">
      <c r="C7" s="10" t="s">
        <v>1746</v>
      </c>
      <c r="D7" s="36" t="str">
        <f>Setup!C30</f>
        <v>USD</v>
      </c>
      <c r="E7" s="36"/>
      <c r="F7" s="36"/>
      <c r="G7" s="130" t="str">
        <f>IF(X33="","",IF(SUM(D33:G33)+SUM(I33:L33)+SUM(N33:Q33)+SUM(S33:V33)=X33,"","ERROR: Sum by quarter not matching Sum by year"))</f>
        <v/>
      </c>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row>
    <row r="8" spans="1:49" s="35" customFormat="1" x14ac:dyDescent="0.2">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row>
    <row r="9" spans="1:49" s="35" customFormat="1" x14ac:dyDescent="0.2">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row>
    <row r="10" spans="1:49" s="37" customFormat="1" ht="18" x14ac:dyDescent="0.25">
      <c r="C10" s="37" t="str">
        <f ca="1">Translations!A143</f>
        <v>Budget Summary (in grant currency)</v>
      </c>
      <c r="D10" s="38"/>
      <c r="E10" s="38"/>
      <c r="F10" s="38"/>
      <c r="G10" s="38"/>
      <c r="H10" s="38"/>
      <c r="I10" s="38"/>
      <c r="J10" s="38"/>
      <c r="K10" s="38"/>
      <c r="L10" s="38"/>
      <c r="M10" s="38"/>
      <c r="N10" s="38"/>
      <c r="O10" s="38"/>
      <c r="P10" s="38"/>
      <c r="Q10" s="38"/>
      <c r="R10" s="38"/>
      <c r="S10" s="38"/>
      <c r="T10" s="38"/>
      <c r="U10" s="38"/>
      <c r="V10" s="38"/>
      <c r="W10" s="38"/>
      <c r="X10" s="38"/>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row>
    <row r="11" spans="1:49" s="35" customFormat="1" ht="13.5" thickBot="1" x14ac:dyDescent="0.25">
      <c r="E11" s="36"/>
      <c r="F11" s="36"/>
      <c r="G11" s="36"/>
      <c r="H11" s="36"/>
      <c r="I11" s="36"/>
      <c r="J11" s="36"/>
      <c r="K11" s="36"/>
      <c r="L11" s="36"/>
      <c r="M11" s="36"/>
      <c r="N11" s="36"/>
      <c r="O11" s="36"/>
      <c r="P11" s="36"/>
      <c r="Q11" s="36"/>
      <c r="R11" s="36"/>
      <c r="S11" s="36"/>
      <c r="T11" s="36"/>
      <c r="U11" s="36"/>
      <c r="V11" s="36"/>
      <c r="W11" s="36"/>
      <c r="X11" s="36"/>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row>
    <row r="12" spans="1:49" s="35" customFormat="1" x14ac:dyDescent="0.2">
      <c r="D12" s="198">
        <f>Setup!C20</f>
        <v>43101</v>
      </c>
      <c r="E12" s="199">
        <f>Setup!C22</f>
        <v>43191</v>
      </c>
      <c r="F12" s="199">
        <f>Setup!C24</f>
        <v>43282</v>
      </c>
      <c r="G12" s="202">
        <f>Setup!C26</f>
        <v>43374</v>
      </c>
      <c r="H12" s="204"/>
      <c r="I12" s="198">
        <f>Setup!E20</f>
        <v>43466</v>
      </c>
      <c r="J12" s="199">
        <f>Setup!E22</f>
        <v>43556</v>
      </c>
      <c r="K12" s="199">
        <f>Setup!E24</f>
        <v>43647</v>
      </c>
      <c r="L12" s="202">
        <f>Setup!E26</f>
        <v>43739</v>
      </c>
      <c r="M12" s="204"/>
      <c r="N12" s="198">
        <f>Setup!G20</f>
        <v>43831</v>
      </c>
      <c r="O12" s="199">
        <f>Setup!G22</f>
        <v>43922</v>
      </c>
      <c r="P12" s="199">
        <f>Setup!G24</f>
        <v>44013</v>
      </c>
      <c r="Q12" s="202">
        <f>Setup!G26</f>
        <v>44105</v>
      </c>
      <c r="R12" s="204"/>
      <c r="S12" s="198" t="str">
        <f>Setup!I20</f>
        <v/>
      </c>
      <c r="T12" s="199" t="str">
        <f>Setup!I22</f>
        <v/>
      </c>
      <c r="U12" s="199" t="str">
        <f>Setup!I24</f>
        <v/>
      </c>
      <c r="V12" s="202" t="str">
        <f>Setup!I26</f>
        <v/>
      </c>
      <c r="W12" s="197"/>
      <c r="X12" s="197"/>
      <c r="Y12" s="197"/>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row>
    <row r="13" spans="1:49" s="35" customFormat="1" ht="13.5" thickBot="1" x14ac:dyDescent="0.25">
      <c r="D13" s="200">
        <f>Setup!C21</f>
        <v>43190</v>
      </c>
      <c r="E13" s="201">
        <f>Setup!C23</f>
        <v>43281</v>
      </c>
      <c r="F13" s="201">
        <f>Setup!C25</f>
        <v>43373</v>
      </c>
      <c r="G13" s="203">
        <f>Setup!C27</f>
        <v>43465</v>
      </c>
      <c r="H13" s="204"/>
      <c r="I13" s="200">
        <f>Setup!E21</f>
        <v>43555</v>
      </c>
      <c r="J13" s="201">
        <f>Setup!E23</f>
        <v>43646</v>
      </c>
      <c r="K13" s="201">
        <f>Setup!E25</f>
        <v>43738</v>
      </c>
      <c r="L13" s="203">
        <f>Setup!E27</f>
        <v>43830</v>
      </c>
      <c r="M13" s="204"/>
      <c r="N13" s="200">
        <f>Setup!G21</f>
        <v>43921</v>
      </c>
      <c r="O13" s="201">
        <f>Setup!G23</f>
        <v>44012</v>
      </c>
      <c r="P13" s="201">
        <f>Setup!G25</f>
        <v>44104</v>
      </c>
      <c r="Q13" s="203">
        <f>Setup!G27</f>
        <v>44196</v>
      </c>
      <c r="R13" s="204"/>
      <c r="S13" s="200" t="str">
        <f>Setup!I21</f>
        <v/>
      </c>
      <c r="T13" s="201" t="str">
        <f>Setup!I23</f>
        <v/>
      </c>
      <c r="U13" s="201" t="str">
        <f>Setup!I25</f>
        <v/>
      </c>
      <c r="V13" s="203" t="str">
        <f>Setup!I27</f>
        <v/>
      </c>
      <c r="W13" s="197"/>
      <c r="X13" s="197"/>
      <c r="Y13" s="197"/>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row>
    <row r="14" spans="1:49" s="35" customFormat="1" x14ac:dyDescent="0.2">
      <c r="D14" s="197"/>
      <c r="E14" s="197"/>
      <c r="F14" s="197"/>
      <c r="G14" s="197"/>
      <c r="H14" s="197"/>
      <c r="I14" s="197"/>
      <c r="J14" s="197"/>
      <c r="K14" s="197"/>
      <c r="L14" s="197"/>
      <c r="M14" s="197"/>
      <c r="N14" s="197"/>
      <c r="O14" s="197"/>
      <c r="P14" s="197"/>
      <c r="Q14" s="197"/>
      <c r="R14" s="197"/>
      <c r="S14" s="197"/>
      <c r="T14" s="197"/>
      <c r="U14" s="197"/>
      <c r="V14" s="197"/>
      <c r="W14" s="197"/>
      <c r="X14" s="197"/>
      <c r="Y14" s="197"/>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row>
    <row r="15" spans="1:49" s="39" customFormat="1" ht="24.75" customHeight="1" x14ac:dyDescent="0.2">
      <c r="B15" s="39" t="str">
        <f>""</f>
        <v/>
      </c>
      <c r="C15" s="40" t="str">
        <f ca="1">Translations!A144</f>
        <v>By Module</v>
      </c>
      <c r="D15" s="41" t="s">
        <v>1168</v>
      </c>
      <c r="E15" s="41" t="s">
        <v>1169</v>
      </c>
      <c r="F15" s="41" t="s">
        <v>1170</v>
      </c>
      <c r="G15" s="41" t="s">
        <v>1171</v>
      </c>
      <c r="H15" s="41" t="str">
        <f ca="1">Translations!A160</f>
        <v>Year 1</v>
      </c>
      <c r="I15" s="41" t="s">
        <v>1223</v>
      </c>
      <c r="J15" s="41" t="s">
        <v>1224</v>
      </c>
      <c r="K15" s="41" t="s">
        <v>1225</v>
      </c>
      <c r="L15" s="41" t="s">
        <v>1226</v>
      </c>
      <c r="M15" s="41" t="str">
        <f ca="1">Translations!A161</f>
        <v>Year 2</v>
      </c>
      <c r="N15" s="41" t="s">
        <v>1227</v>
      </c>
      <c r="O15" s="41" t="s">
        <v>1228</v>
      </c>
      <c r="P15" s="41" t="s">
        <v>1229</v>
      </c>
      <c r="Q15" s="41" t="s">
        <v>1230</v>
      </c>
      <c r="R15" s="41" t="str">
        <f ca="1">Translations!A162</f>
        <v>Year 3</v>
      </c>
      <c r="S15" s="41" t="s">
        <v>1231</v>
      </c>
      <c r="T15" s="41" t="s">
        <v>1232</v>
      </c>
      <c r="U15" s="41" t="s">
        <v>1233</v>
      </c>
      <c r="V15" s="41" t="s">
        <v>1234</v>
      </c>
      <c r="W15" s="41" t="str">
        <f ca="1">Translations!A163</f>
        <v>Year 4</v>
      </c>
      <c r="X15" s="41" t="str">
        <f ca="1">Translations!A174</f>
        <v>Total</v>
      </c>
      <c r="Y15" s="41" t="s">
        <v>1864</v>
      </c>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row>
    <row r="16" spans="1:49" s="35" customFormat="1" ht="25.5" x14ac:dyDescent="0.2">
      <c r="A16" s="42"/>
      <c r="B16" s="39" t="str">
        <f t="array" ref="B16">IFERROR(INDEX(ModuleIdList,MATCH(0,COUNTIF(ModuleIdList,"&lt;"&amp;ModuleIdList)-SUM(COUNTIF(ModuleIdList,B$15:B15)),0)),"")</f>
        <v>a1O36000001EGFCEA4</v>
      </c>
      <c r="C16" s="43" t="str">
        <f>IFERROR(INDEX('Data Sheet'!$A$2:$A$26,MATCH(B16,'Data Sheet'!$D$2:$D$26,0)),"")</f>
        <v>Comprehensive prevention programs for sex workers and their clients</v>
      </c>
      <c r="D16" s="44">
        <f>IF(SUMIF('Detailed Budget'!$D$5:$D$1005,$B16,'Detailed Budget'!$AA$5:$AA$1005)&gt;0,SUMIF('Detailed Budget'!$D$5:$D$1005,$B16,'Detailed Budget'!$AA$5:$AA$1005),"")</f>
        <v>45967.129355579738</v>
      </c>
      <c r="E16" s="44">
        <f>IF(SUMIF('Detailed Budget'!$D$5:$D$1005,$B16,'Detailed Budget'!$AC$5:$AC$1005)&gt;0,SUMIF('Detailed Budget'!$D$5:$D$1005,$B16,'Detailed Budget'!$AC$5:$AC$1005),"")</f>
        <v>53991.364231644846</v>
      </c>
      <c r="F16" s="44">
        <f>IF(SUMIF('Detailed Budget'!$D$5:$D$1005,$B16,'Detailed Budget'!$AE$5:$AE$1005)&gt;0,SUMIF('Detailed Budget'!$D$5:$D$1005,$B16,'Detailed Budget'!$AE$5:$AE$1005),"")</f>
        <v>50764.558432282793</v>
      </c>
      <c r="G16" s="44">
        <f>IF(SUMIF('Detailed Budget'!$D$5:$D$1005,$B16,'Detailed Budget'!$AG$5:$AG$1005)&gt;0,SUMIF('Detailed Budget'!$D$5:$D$1005,$B16,'Detailed Budget'!$AG$5:$AG$1005),"")</f>
        <v>54343.379409757072</v>
      </c>
      <c r="H16" s="45">
        <f>IF(SUMIF('Detailed Budget'!$D$5:$D$1005,$B16,'Detailed Budget'!$AI$5:$AI$1005)&gt;0,SUMIF('Detailed Budget'!$D$5:$D$1005,$B16,'Detailed Budget'!$AI$5:$AI$1005),"")</f>
        <v>205066.43142926446</v>
      </c>
      <c r="I16" s="44">
        <f>IF(SUMIF('Detailed Budget'!$D$5:$D$1005,$B16,'Detailed Budget'!$AN$5:$AN$1005)&gt;0,SUMIF('Detailed Budget'!$D$5:$D$1005,$B16,'Detailed Budget'!$AN$5:$AN$1005),"")</f>
        <v>42917.553420197793</v>
      </c>
      <c r="J16" s="44">
        <f>IF(SUMIF('Detailed Budget'!$D$5:$D$1005,$B16,'Detailed Budget'!$AP$5:$AP$1005)&gt;0,SUMIF('Detailed Budget'!$D$5:$D$1005,$B16,'Detailed Budget'!$AP$5:$AP$1005),"")</f>
        <v>53991.364231644846</v>
      </c>
      <c r="K16" s="44">
        <f>IF(SUMIF('Detailed Budget'!$D$5:$D$1005,$B16,'Detailed Budget'!$AR$5:$AR$1005)&gt;0,SUMIF('Detailed Budget'!$D$5:$D$1005,$B16,'Detailed Budget'!$AR$5:$AR$1005),"")</f>
        <v>50764.558432282793</v>
      </c>
      <c r="L16" s="44">
        <f>IF(SUMIF('Detailed Budget'!$D$5:$D$1005,$B16,'Detailed Budget'!$AT$5:$AT$1005)&gt;0,SUMIF('Detailed Budget'!$D$5:$D$1005,$B16,'Detailed Budget'!$AT$5:$AT$1005),"")</f>
        <v>54343.379409757072</v>
      </c>
      <c r="M16" s="45">
        <f>IF(SUMIF('Detailed Budget'!$D$5:$D$1005,$B16,'Detailed Budget'!$AV$5:$AV$1005)&gt;0,SUMIF('Detailed Budget'!$D$5:$D$1005,$B16,'Detailed Budget'!$AV$5:$AV$1005),"")</f>
        <v>202016.85549388253</v>
      </c>
      <c r="N16" s="44">
        <f>IF(SUMIF('Detailed Budget'!$D$5:$D$1005,$B16,'Detailed Budget'!$BA$5:$BA$1005)&gt;0,SUMIF('Detailed Budget'!$D$5:$D$1005,$B16,'Detailed Budget'!$BA$5:$BA$1005),"")</f>
        <v>42917.553420197793</v>
      </c>
      <c r="O16" s="44">
        <f>IF(SUMIF('Detailed Budget'!$D$5:$D$1005,$B16,'Detailed Budget'!$BC$5:$BC$1005)&gt;0,SUMIF('Detailed Budget'!$D$5:$D$1005,$B16,'Detailed Budget'!$BC$5:$BC$1005),"")</f>
        <v>213450.27759054583</v>
      </c>
      <c r="P16" s="44">
        <f>IF(SUMIF('Detailed Budget'!$D$5:$D$1005,$B16,'Detailed Budget'!$BE$5:$BE$1005)&gt;0,SUMIF('Detailed Budget'!$D$5:$D$1005,$B16,'Detailed Budget'!$BE$5:$BE$1005),"")</f>
        <v>50764.558432282793</v>
      </c>
      <c r="Q16" s="44">
        <f>IF(SUMIF('Detailed Budget'!$D$5:$D$1005,$B16,'Detailed Budget'!$BG$5:$BG$1005)&gt;0,SUMIF('Detailed Budget'!$D$5:$D$1005,$B16,'Detailed Budget'!$BG$5:$BG$1005),"")</f>
        <v>54343.379409757072</v>
      </c>
      <c r="R16" s="45">
        <f>IF(SUMIF('Detailed Budget'!$D$5:$D$1005,$B16,'Detailed Budget'!$BI$5:$BI$1005)&gt;0,SUMIF('Detailed Budget'!$D$5:$D$1005,$B16,'Detailed Budget'!$BI$5:$BI$1005),"")</f>
        <v>361475.76885278348</v>
      </c>
      <c r="S16" s="44" t="str">
        <f>IF(SUMIF('Detailed Budget'!$D$5:$D$1005,$B16,'Detailed Budget'!$BN$5:$BN$1005)&gt;0,SUMIF('Detailed Budget'!$D$5:$D$1005,$B16,'Detailed Budget'!$BN$5:$BN$1005),"")</f>
        <v/>
      </c>
      <c r="T16" s="44" t="str">
        <f>IF(SUMIF('Detailed Budget'!$D$5:$D$1005,$B16,'Detailed Budget'!$BP$5:$BP$1005)&gt;0,SUMIF('Detailed Budget'!$D$5:$D$1005,$B16,'Detailed Budget'!$BP$5:$BP$1005),"")</f>
        <v/>
      </c>
      <c r="U16" s="44" t="str">
        <f>IF(SUMIF('Detailed Budget'!$D$5:$D$1005,$B16,'Detailed Budget'!$BR$5:$BR$1005)&gt;0,SUMIF('Detailed Budget'!$D$5:$D$1005,$B16,'Detailed Budget'!$BR$5:$BR$1005),"")</f>
        <v/>
      </c>
      <c r="V16" s="44" t="str">
        <f>IF(SUMIF('Detailed Budget'!$D$5:$D$1005,$B16,'Detailed Budget'!$BT$5:$BT$1005)&gt;0,SUMIF('Detailed Budget'!$D$5:$D$1005,$B16,'Detailed Budget'!$BT$5:$BT$1005),"")</f>
        <v/>
      </c>
      <c r="W16" s="45" t="str">
        <f>IF(SUMIF('Detailed Budget'!$D$5:$D$1005,$B16,'Detailed Budget'!$BV$5:$BV$1005)&gt;0,SUMIF('Detailed Budget'!$D$5:$D$1005,$B16,'Detailed Budget'!$BV$5:$BV$1005),"")</f>
        <v/>
      </c>
      <c r="X16" s="44">
        <f>IF(SUM(H16,M16,R16,W16)&gt;0,SUM(H16,M16,R16,W16),"")</f>
        <v>768559.05577593041</v>
      </c>
      <c r="Y16" s="122">
        <f>IFERROR($X16/$X$33,"")</f>
        <v>0.11087678811470207</v>
      </c>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row>
    <row r="17" spans="1:49" s="35" customFormat="1" x14ac:dyDescent="0.2">
      <c r="A17" s="42"/>
      <c r="B17" s="39" t="str">
        <f t="array" ref="B17">IFERROR(INDEX(ModuleIdList,MATCH(0,COUNTIF(ModuleIdList,"&lt;"&amp;ModuleIdList)-SUM(COUNTIF(ModuleIdList,B$15:B16)),0)),"")</f>
        <v>a1O36000001EGFHEA4</v>
      </c>
      <c r="C17" s="43" t="str">
        <f>IFERROR(INDEX('Data Sheet'!$A$2:$A$26,MATCH(B17,'Data Sheet'!$D$2:$D$26,0)),"")</f>
        <v>Treatment, care and support</v>
      </c>
      <c r="D17" s="44">
        <f>IF(SUMIF('Detailed Budget'!$D$5:$D$1005,$B17,'Detailed Budget'!$AA$5:$AA$1005)&gt;0,SUMIF('Detailed Budget'!$D$5:$D$1005,$B17,'Detailed Budget'!$AA$5:$AA$1005),"")</f>
        <v>963680.58106975746</v>
      </c>
      <c r="E17" s="44">
        <f>IF(SUMIF('Detailed Budget'!$D$5:$D$1005,$B17,'Detailed Budget'!$AC$5:$AC$1005)&gt;0,SUMIF('Detailed Budget'!$D$5:$D$1005,$B17,'Detailed Budget'!$AC$5:$AC$1005),"")</f>
        <v>97857.231469757287</v>
      </c>
      <c r="F17" s="44">
        <f>IF(SUMIF('Detailed Budget'!$D$5:$D$1005,$B17,'Detailed Budget'!$AE$5:$AE$1005)&gt;0,SUMIF('Detailed Budget'!$D$5:$D$1005,$B17,'Detailed Budget'!$AE$5:$AE$1005),"")</f>
        <v>21921.555469757288</v>
      </c>
      <c r="G17" s="44">
        <f>IF(SUMIF('Detailed Budget'!$D$5:$D$1005,$B17,'Detailed Budget'!$AG$5:$AG$1005)&gt;0,SUMIF('Detailed Budget'!$D$5:$D$1005,$B17,'Detailed Budget'!$AG$5:$AG$1005),"")</f>
        <v>36921.555469757288</v>
      </c>
      <c r="H17" s="45">
        <f>IF(SUMIF('Detailed Budget'!$D$5:$D$1005,$B17,'Detailed Budget'!$AI$5:$AI$1005)&gt;0,SUMIF('Detailed Budget'!$D$5:$D$1005,$B17,'Detailed Budget'!$AI$5:$AI$1005),"")</f>
        <v>1120380.9234790294</v>
      </c>
      <c r="I17" s="44">
        <f>IF(SUMIF('Detailed Budget'!$D$5:$D$1005,$B17,'Detailed Budget'!$AN$5:$AN$1005)&gt;0,SUMIF('Detailed Budget'!$D$5:$D$1005,$B17,'Detailed Budget'!$AN$5:$AN$1005),"")</f>
        <v>939115.8322697574</v>
      </c>
      <c r="J17" s="44">
        <f>IF(SUMIF('Detailed Budget'!$D$5:$D$1005,$B17,'Detailed Budget'!$AP$5:$AP$1005)&gt;0,SUMIF('Detailed Budget'!$D$5:$D$1005,$B17,'Detailed Budget'!$AP$5:$AP$1005),"")</f>
        <v>81777.747469757291</v>
      </c>
      <c r="K17" s="44">
        <f>IF(SUMIF('Detailed Budget'!$D$5:$D$1005,$B17,'Detailed Budget'!$AR$5:$AR$1005)&gt;0,SUMIF('Detailed Budget'!$D$5:$D$1005,$B17,'Detailed Budget'!$AR$5:$AR$1005),"")</f>
        <v>21921.555469757288</v>
      </c>
      <c r="L17" s="44">
        <f>IF(SUMIF('Detailed Budget'!$D$5:$D$1005,$B17,'Detailed Budget'!$AT$5:$AT$1005)&gt;0,SUMIF('Detailed Budget'!$D$5:$D$1005,$B17,'Detailed Budget'!$AT$5:$AT$1005),"")</f>
        <v>36921.555469757288</v>
      </c>
      <c r="M17" s="45">
        <f>IF(SUMIF('Detailed Budget'!$D$5:$D$1005,$B17,'Detailed Budget'!$AV$5:$AV$1005)&gt;0,SUMIF('Detailed Budget'!$D$5:$D$1005,$B17,'Detailed Budget'!$AV$5:$AV$1005),"")</f>
        <v>1079736.6906790293</v>
      </c>
      <c r="N17" s="44">
        <f>IF(SUMIF('Detailed Budget'!$D$5:$D$1005,$B17,'Detailed Budget'!$BA$5:$BA$1005)&gt;0,SUMIF('Detailed Budget'!$D$5:$D$1005,$B17,'Detailed Budget'!$BA$5:$BA$1005),"")</f>
        <v>930530.22103975748</v>
      </c>
      <c r="O17" s="44">
        <f>IF(SUMIF('Detailed Budget'!$D$5:$D$1005,$B17,'Detailed Budget'!$BC$5:$BC$1005)&gt;0,SUMIF('Detailed Budget'!$D$5:$D$1005,$B17,'Detailed Budget'!$BC$5:$BC$1005),"")</f>
        <v>21921.555469757288</v>
      </c>
      <c r="P17" s="44">
        <f>IF(SUMIF('Detailed Budget'!$D$5:$D$1005,$B17,'Detailed Budget'!$BE$5:$BE$1005)&gt;0,SUMIF('Detailed Budget'!$D$5:$D$1005,$B17,'Detailed Budget'!$BE$5:$BE$1005),"")</f>
        <v>21921.555469757288</v>
      </c>
      <c r="Q17" s="44">
        <f>IF(SUMIF('Detailed Budget'!$D$5:$D$1005,$B17,'Detailed Budget'!$BG$5:$BG$1005)&gt;0,SUMIF('Detailed Budget'!$D$5:$D$1005,$B17,'Detailed Budget'!$BG$5:$BG$1005),"")</f>
        <v>21921.555469757288</v>
      </c>
      <c r="R17" s="45">
        <f>IF(SUMIF('Detailed Budget'!$D$5:$D$1005,$B17,'Detailed Budget'!$BI$5:$BI$1005)&gt;0,SUMIF('Detailed Budget'!$D$5:$D$1005,$B17,'Detailed Budget'!$BI$5:$BI$1005),"")</f>
        <v>996294.88744902913</v>
      </c>
      <c r="S17" s="44" t="str">
        <f>IF(SUMIF('Detailed Budget'!$D$5:$D$1005,$B17,'Detailed Budget'!$BN$5:$BN$1005)&gt;0,SUMIF('Detailed Budget'!$D$5:$D$1005,$B17,'Detailed Budget'!$BN$5:$BN$1005),"")</f>
        <v/>
      </c>
      <c r="T17" s="44" t="str">
        <f>IF(SUMIF('Detailed Budget'!$D$5:$D$1005,$B17,'Detailed Budget'!$BP$5:$BP$1005)&gt;0,SUMIF('Detailed Budget'!$D$5:$D$1005,$B17,'Detailed Budget'!$BP$5:$BP$1005),"")</f>
        <v/>
      </c>
      <c r="U17" s="44" t="str">
        <f>IF(SUMIF('Detailed Budget'!$D$5:$D$1005,$B17,'Detailed Budget'!$BR$5:$BR$1005)&gt;0,SUMIF('Detailed Budget'!$D$5:$D$1005,$B17,'Detailed Budget'!$BR$5:$BR$1005),"")</f>
        <v/>
      </c>
      <c r="V17" s="44" t="str">
        <f>IF(SUMIF('Detailed Budget'!$D$5:$D$1005,$B17,'Detailed Budget'!$BT$5:$BT$1005)&gt;0,SUMIF('Detailed Budget'!$D$5:$D$1005,$B17,'Detailed Budget'!$BT$5:$BT$1005),"")</f>
        <v/>
      </c>
      <c r="W17" s="45" t="str">
        <f>IF(SUMIF('Detailed Budget'!$D$5:$D$1005,$B17,'Detailed Budget'!$BV$5:$BV$1005)&gt;0,SUMIF('Detailed Budget'!$D$5:$D$1005,$B17,'Detailed Budget'!$BV$5:$BV$1005),"")</f>
        <v/>
      </c>
      <c r="X17" s="44">
        <f t="shared" ref="X17:X33" si="0">IF(SUM(H17,M17,R17,W17)&gt;0,SUM(H17,M17,R17,W17),"")</f>
        <v>3196412.5016070874</v>
      </c>
      <c r="Y17" s="122">
        <f t="shared" ref="Y17:Y33" si="1">IFERROR($X17/$X$33,"")</f>
        <v>0.46113301119074929</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row>
    <row r="18" spans="1:49" s="35" customFormat="1" ht="34.5" customHeight="1" x14ac:dyDescent="0.2">
      <c r="A18" s="42"/>
      <c r="B18" s="39" t="str">
        <f t="array" ref="B18">IFERROR(INDEX(ModuleIdList,MATCH(0,COUNTIF(ModuleIdList,"&lt;"&amp;ModuleIdList)-SUM(COUNTIF(ModuleIdList,B$15:B17)),0)),"")</f>
        <v>a1O36000001EGFJEA4</v>
      </c>
      <c r="C18" s="43" t="str">
        <f>IFERROR(INDEX('Data Sheet'!$A$2:$A$26,MATCH(B18,'Data Sheet'!$D$2:$D$26,0)),"")</f>
        <v>TB/HIV</v>
      </c>
      <c r="D18" s="44" t="str">
        <f>IF(SUMIF('Detailed Budget'!$D$5:$D$1005,$B18,'Detailed Budget'!$AA$5:$AA$1005)&gt;0,SUMIF('Detailed Budget'!$D$5:$D$1005,$B18,'Detailed Budget'!$AA$5:$AA$1005),"")</f>
        <v/>
      </c>
      <c r="E18" s="44" t="str">
        <f>IF(SUMIF('Detailed Budget'!$D$5:$D$1005,$B18,'Detailed Budget'!$AC$5:$AC$1005)&gt;0,SUMIF('Detailed Budget'!$D$5:$D$1005,$B18,'Detailed Budget'!$AC$5:$AC$1005),"")</f>
        <v/>
      </c>
      <c r="F18" s="44" t="str">
        <f>IF(SUMIF('Detailed Budget'!$D$5:$D$1005,$B18,'Detailed Budget'!$AE$5:$AE$1005)&gt;0,SUMIF('Detailed Budget'!$D$5:$D$1005,$B18,'Detailed Budget'!$AE$5:$AE$1005),"")</f>
        <v/>
      </c>
      <c r="G18" s="44">
        <f>IF(SUMIF('Detailed Budget'!$D$5:$D$1005,$B18,'Detailed Budget'!$AG$5:$AG$1005)&gt;0,SUMIF('Detailed Budget'!$D$5:$D$1005,$B18,'Detailed Budget'!$AG$5:$AG$1005),"")</f>
        <v>2131.6474674573578</v>
      </c>
      <c r="H18" s="45">
        <f>IF(SUMIF('Detailed Budget'!$D$5:$D$1005,$B18,'Detailed Budget'!$AI$5:$AI$1005)&gt;0,SUMIF('Detailed Budget'!$D$5:$D$1005,$B18,'Detailed Budget'!$AI$5:$AI$1005),"")</f>
        <v>2131.6474674573578</v>
      </c>
      <c r="I18" s="44" t="str">
        <f>IF(SUMIF('Detailed Budget'!$D$5:$D$1005,$B18,'Detailed Budget'!$AN$5:$AN$1005)&gt;0,SUMIF('Detailed Budget'!$D$5:$D$1005,$B18,'Detailed Budget'!$AN$5:$AN$1005),"")</f>
        <v/>
      </c>
      <c r="J18" s="44" t="str">
        <f>IF(SUMIF('Detailed Budget'!$D$5:$D$1005,$B18,'Detailed Budget'!$AP$5:$AP$1005)&gt;0,SUMIF('Detailed Budget'!$D$5:$D$1005,$B18,'Detailed Budget'!$AP$5:$AP$1005),"")</f>
        <v/>
      </c>
      <c r="K18" s="44" t="str">
        <f>IF(SUMIF('Detailed Budget'!$D$5:$D$1005,$B18,'Detailed Budget'!$AR$5:$AR$1005)&gt;0,SUMIF('Detailed Budget'!$D$5:$D$1005,$B18,'Detailed Budget'!$AR$5:$AR$1005),"")</f>
        <v/>
      </c>
      <c r="L18" s="44">
        <f>IF(SUMIF('Detailed Budget'!$D$5:$D$1005,$B18,'Detailed Budget'!$AT$5:$AT$1005)&gt;0,SUMIF('Detailed Budget'!$D$5:$D$1005,$B18,'Detailed Budget'!$AT$5:$AT$1005),"")</f>
        <v>2131.6474674573578</v>
      </c>
      <c r="M18" s="45">
        <f>IF(SUMIF('Detailed Budget'!$D$5:$D$1005,$B18,'Detailed Budget'!$AV$5:$AV$1005)&gt;0,SUMIF('Detailed Budget'!$D$5:$D$1005,$B18,'Detailed Budget'!$AV$5:$AV$1005),"")</f>
        <v>2131.6474674573578</v>
      </c>
      <c r="N18" s="44" t="str">
        <f>IF(SUMIF('Detailed Budget'!$D$5:$D$1005,$B18,'Detailed Budget'!$BA$5:$BA$1005)&gt;0,SUMIF('Detailed Budget'!$D$5:$D$1005,$B18,'Detailed Budget'!$BA$5:$BA$1005),"")</f>
        <v/>
      </c>
      <c r="O18" s="44" t="str">
        <f>IF(SUMIF('Detailed Budget'!$D$5:$D$1005,$B18,'Detailed Budget'!$BC$5:$BC$1005)&gt;0,SUMIF('Detailed Budget'!$D$5:$D$1005,$B18,'Detailed Budget'!$BC$5:$BC$1005),"")</f>
        <v/>
      </c>
      <c r="P18" s="44" t="str">
        <f>IF(SUMIF('Detailed Budget'!$D$5:$D$1005,$B18,'Detailed Budget'!$BE$5:$BE$1005)&gt;0,SUMIF('Detailed Budget'!$D$5:$D$1005,$B18,'Detailed Budget'!$BE$5:$BE$1005),"")</f>
        <v/>
      </c>
      <c r="Q18" s="44">
        <f>IF(SUMIF('Detailed Budget'!$D$5:$D$1005,$B18,'Detailed Budget'!$BG$5:$BG$1005)&gt;0,SUMIF('Detailed Budget'!$D$5:$D$1005,$B18,'Detailed Budget'!$BG$5:$BG$1005),"")</f>
        <v>2131.6474674573578</v>
      </c>
      <c r="R18" s="45">
        <f>IF(SUMIF('Detailed Budget'!$D$5:$D$1005,$B18,'Detailed Budget'!$BI$5:$BI$1005)&gt;0,SUMIF('Detailed Budget'!$D$5:$D$1005,$B18,'Detailed Budget'!$BI$5:$BI$1005),"")</f>
        <v>2131.6474674573578</v>
      </c>
      <c r="S18" s="44" t="str">
        <f>IF(SUMIF('Detailed Budget'!$D$5:$D$1005,$B18,'Detailed Budget'!$BN$5:$BN$1005)&gt;0,SUMIF('Detailed Budget'!$D$5:$D$1005,$B18,'Detailed Budget'!$BN$5:$BN$1005),"")</f>
        <v/>
      </c>
      <c r="T18" s="44" t="str">
        <f>IF(SUMIF('Detailed Budget'!$D$5:$D$1005,$B18,'Detailed Budget'!$BP$5:$BP$1005)&gt;0,SUMIF('Detailed Budget'!$D$5:$D$1005,$B18,'Detailed Budget'!$BP$5:$BP$1005),"")</f>
        <v/>
      </c>
      <c r="U18" s="44" t="str">
        <f>IF(SUMIF('Detailed Budget'!$D$5:$D$1005,$B18,'Detailed Budget'!$BR$5:$BR$1005)&gt;0,SUMIF('Detailed Budget'!$D$5:$D$1005,$B18,'Detailed Budget'!$BR$5:$BR$1005),"")</f>
        <v/>
      </c>
      <c r="V18" s="44" t="str">
        <f>IF(SUMIF('Detailed Budget'!$D$5:$D$1005,$B18,'Detailed Budget'!$BT$5:$BT$1005)&gt;0,SUMIF('Detailed Budget'!$D$5:$D$1005,$B18,'Detailed Budget'!$BT$5:$BT$1005),"")</f>
        <v/>
      </c>
      <c r="W18" s="45" t="str">
        <f>IF(SUMIF('Detailed Budget'!$D$5:$D$1005,$B18,'Detailed Budget'!$BV$5:$BV$1005)&gt;0,SUMIF('Detailed Budget'!$D$5:$D$1005,$B18,'Detailed Budget'!$BV$5:$BV$1005),"")</f>
        <v/>
      </c>
      <c r="X18" s="44">
        <f t="shared" si="0"/>
        <v>6394.942402372073</v>
      </c>
      <c r="Y18" s="122">
        <f t="shared" si="1"/>
        <v>9.2257149066792389E-4</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s="35" customFormat="1" x14ac:dyDescent="0.2">
      <c r="A19" s="42"/>
      <c r="B19" s="39" t="str">
        <f t="array" ref="B19">IFERROR(INDEX(ModuleIdList,MATCH(0,COUNTIF(ModuleIdList,"&lt;"&amp;ModuleIdList)-SUM(COUNTIF(ModuleIdList,B$15:B18)),0)),"")</f>
        <v>a1O36000001EGFXEA4</v>
      </c>
      <c r="C19" s="43" t="str">
        <f>IFERROR(INDEX('Data Sheet'!$A$2:$A$26,MATCH(B19,'Data Sheet'!$D$2:$D$26,0)),"")</f>
        <v>Program management</v>
      </c>
      <c r="D19" s="44">
        <f>IF(SUMIF('Detailed Budget'!$D$5:$D$1005,$B19,'Detailed Budget'!$AA$5:$AA$1005)&gt;0,SUMIF('Detailed Budget'!$D$5:$D$1005,$B19,'Detailed Budget'!$AA$5:$AA$1005),"")</f>
        <v>117842.9041002288</v>
      </c>
      <c r="E19" s="44">
        <f>IF(SUMIF('Detailed Budget'!$D$5:$D$1005,$B19,'Detailed Budget'!$AC$5:$AC$1005)&gt;0,SUMIF('Detailed Budget'!$D$5:$D$1005,$B19,'Detailed Budget'!$AC$5:$AC$1005),"")</f>
        <v>123980.84736159125</v>
      </c>
      <c r="F19" s="44">
        <f>IF(SUMIF('Detailed Budget'!$D$5:$D$1005,$B19,'Detailed Budget'!$AE$5:$AE$1005)&gt;0,SUMIF('Detailed Budget'!$D$5:$D$1005,$B19,'Detailed Budget'!$AE$5:$AE$1005),"")</f>
        <v>125498.40168382795</v>
      </c>
      <c r="G19" s="44">
        <f>IF(SUMIF('Detailed Budget'!$D$5:$D$1005,$B19,'Detailed Budget'!$AG$5:$AG$1005)&gt;0,SUMIF('Detailed Budget'!$D$5:$D$1005,$B19,'Detailed Budget'!$AG$5:$AG$1005),"")</f>
        <v>171334.13257868696</v>
      </c>
      <c r="H19" s="45">
        <f>IF(SUMIF('Detailed Budget'!$D$5:$D$1005,$B19,'Detailed Budget'!$AI$5:$AI$1005)&gt;0,SUMIF('Detailed Budget'!$D$5:$D$1005,$B19,'Detailed Budget'!$AI$5:$AI$1005),"")</f>
        <v>538656.285724335</v>
      </c>
      <c r="I19" s="44">
        <f>IF(SUMIF('Detailed Budget'!$D$5:$D$1005,$B19,'Detailed Budget'!$AN$5:$AN$1005)&gt;0,SUMIF('Detailed Budget'!$D$5:$D$1005,$B19,'Detailed Budget'!$AN$5:$AN$1005),"")</f>
        <v>120661.06660022879</v>
      </c>
      <c r="J19" s="44">
        <f>IF(SUMIF('Detailed Budget'!$D$5:$D$1005,$B19,'Detailed Budget'!$AP$5:$AP$1005)&gt;0,SUMIF('Detailed Budget'!$D$5:$D$1005,$B19,'Detailed Budget'!$AP$5:$AP$1005),"")</f>
        <v>122199.00986159124</v>
      </c>
      <c r="K19" s="44">
        <f>IF(SUMIF('Detailed Budget'!$D$5:$D$1005,$B19,'Detailed Budget'!$AR$5:$AR$1005)&gt;0,SUMIF('Detailed Budget'!$D$5:$D$1005,$B19,'Detailed Budget'!$AR$5:$AR$1005),"")</f>
        <v>117016.56418382794</v>
      </c>
      <c r="L19" s="44">
        <f>IF(SUMIF('Detailed Budget'!$D$5:$D$1005,$B19,'Detailed Budget'!$AT$5:$AT$1005)&gt;0,SUMIF('Detailed Budget'!$D$5:$D$1005,$B19,'Detailed Budget'!$AT$5:$AT$1005),"")</f>
        <v>171852.29507868699</v>
      </c>
      <c r="M19" s="45">
        <f>IF(SUMIF('Detailed Budget'!$D$5:$D$1005,$B19,'Detailed Budget'!$AV$5:$AV$1005)&gt;0,SUMIF('Detailed Budget'!$D$5:$D$1005,$B19,'Detailed Budget'!$AV$5:$AV$1005),"")</f>
        <v>531728.93572433491</v>
      </c>
      <c r="N19" s="44">
        <f>IF(SUMIF('Detailed Budget'!$D$5:$D$1005,$B19,'Detailed Budget'!$BA$5:$BA$1005)&gt;0,SUMIF('Detailed Budget'!$D$5:$D$1005,$B19,'Detailed Budget'!$BA$5:$BA$1005),"")</f>
        <v>121189.2816002288</v>
      </c>
      <c r="O19" s="44">
        <f>IF(SUMIF('Detailed Budget'!$D$5:$D$1005,$B19,'Detailed Budget'!$BC$5:$BC$1005)&gt;0,SUMIF('Detailed Budget'!$D$5:$D$1005,$B19,'Detailed Budget'!$BC$5:$BC$1005),"")</f>
        <v>122727.22486159125</v>
      </c>
      <c r="P19" s="44">
        <f>IF(SUMIF('Detailed Budget'!$D$5:$D$1005,$B19,'Detailed Budget'!$BE$5:$BE$1005)&gt;0,SUMIF('Detailed Budget'!$D$5:$D$1005,$B19,'Detailed Budget'!$BE$5:$BE$1005),"")</f>
        <v>126544.77918382795</v>
      </c>
      <c r="Q19" s="44">
        <f>IF(SUMIF('Detailed Budget'!$D$5:$D$1005,$B19,'Detailed Budget'!$BG$5:$BG$1005)&gt;0,SUMIF('Detailed Budget'!$D$5:$D$1005,$B19,'Detailed Budget'!$BG$5:$BG$1005),"")</f>
        <v>153071.01082932265</v>
      </c>
      <c r="R19" s="45">
        <f>IF(SUMIF('Detailed Budget'!$D$5:$D$1005,$B19,'Detailed Budget'!$BI$5:$BI$1005)&gt;0,SUMIF('Detailed Budget'!$D$5:$D$1005,$B19,'Detailed Budget'!$BI$5:$BI$1005),"")</f>
        <v>523532.29647497059</v>
      </c>
      <c r="S19" s="44" t="str">
        <f>IF(SUMIF('Detailed Budget'!$D$5:$D$1005,$B19,'Detailed Budget'!$BN$5:$BN$1005)&gt;0,SUMIF('Detailed Budget'!$D$5:$D$1005,$B19,'Detailed Budget'!$BN$5:$BN$1005),"")</f>
        <v/>
      </c>
      <c r="T19" s="44" t="str">
        <f>IF(SUMIF('Detailed Budget'!$D$5:$D$1005,$B19,'Detailed Budget'!$BP$5:$BP$1005)&gt;0,SUMIF('Detailed Budget'!$D$5:$D$1005,$B19,'Detailed Budget'!$BP$5:$BP$1005),"")</f>
        <v/>
      </c>
      <c r="U19" s="44" t="str">
        <f>IF(SUMIF('Detailed Budget'!$D$5:$D$1005,$B19,'Detailed Budget'!$BR$5:$BR$1005)&gt;0,SUMIF('Detailed Budget'!$D$5:$D$1005,$B19,'Detailed Budget'!$BR$5:$BR$1005),"")</f>
        <v/>
      </c>
      <c r="V19" s="44" t="str">
        <f>IF(SUMIF('Detailed Budget'!$D$5:$D$1005,$B19,'Detailed Budget'!$BT$5:$BT$1005)&gt;0,SUMIF('Detailed Budget'!$D$5:$D$1005,$B19,'Detailed Budget'!$BT$5:$BT$1005),"")</f>
        <v/>
      </c>
      <c r="W19" s="45" t="str">
        <f>IF(SUMIF('Detailed Budget'!$D$5:$D$1005,$B19,'Detailed Budget'!$BV$5:$BV$1005)&gt;0,SUMIF('Detailed Budget'!$D$5:$D$1005,$B19,'Detailed Budget'!$BV$5:$BV$1005),"")</f>
        <v/>
      </c>
      <c r="X19" s="44">
        <f t="shared" si="0"/>
        <v>1593917.5179236406</v>
      </c>
      <c r="Y19" s="122">
        <f t="shared" si="1"/>
        <v>0.2299477881094093</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row>
    <row r="20" spans="1:49" s="35" customFormat="1" x14ac:dyDescent="0.2">
      <c r="A20" s="42"/>
      <c r="B20" s="39" t="str">
        <f t="array" ref="B20">IFERROR(INDEX(ModuleIdList,MATCH(0,COUNTIF(ModuleIdList,"&lt;"&amp;ModuleIdList)-SUM(COUNTIF(ModuleIdList,B$15:B19)),0)),"")</f>
        <v>a1O36000001qZ7uEAE</v>
      </c>
      <c r="C20" s="43" t="str">
        <f>IFERROR(INDEX('Data Sheet'!$A$2:$A$26,MATCH(B20,'Data Sheet'!$D$2:$D$26,0)),"")</f>
        <v>HIV Testing Services</v>
      </c>
      <c r="D20" s="44">
        <f>IF(SUMIF('Detailed Budget'!$D$5:$D$1005,$B20,'Detailed Budget'!$AA$5:$AA$1005)&gt;0,SUMIF('Detailed Budget'!$D$5:$D$1005,$B20,'Detailed Budget'!$AA$5:$AA$1005),"")</f>
        <v>305135.065</v>
      </c>
      <c r="E20" s="44" t="str">
        <f>IF(SUMIF('Detailed Budget'!$D$5:$D$1005,$B20,'Detailed Budget'!$AC$5:$AC$1005)&gt;0,SUMIF('Detailed Budget'!$D$5:$D$1005,$B20,'Detailed Budget'!$AC$5:$AC$1005),"")</f>
        <v/>
      </c>
      <c r="F20" s="44" t="str">
        <f>IF(SUMIF('Detailed Budget'!$D$5:$D$1005,$B20,'Detailed Budget'!$AE$5:$AE$1005)&gt;0,SUMIF('Detailed Budget'!$D$5:$D$1005,$B20,'Detailed Budget'!$AE$5:$AE$1005),"")</f>
        <v/>
      </c>
      <c r="G20" s="44" t="str">
        <f>IF(SUMIF('Detailed Budget'!$D$5:$D$1005,$B20,'Detailed Budget'!$AG$5:$AG$1005)&gt;0,SUMIF('Detailed Budget'!$D$5:$D$1005,$B20,'Detailed Budget'!$AG$5:$AG$1005),"")</f>
        <v/>
      </c>
      <c r="H20" s="45">
        <f>IF(SUMIF('Detailed Budget'!$D$5:$D$1005,$B20,'Detailed Budget'!$AI$5:$AI$1005)&gt;0,SUMIF('Detailed Budget'!$D$5:$D$1005,$B20,'Detailed Budget'!$AI$5:$AI$1005),"")</f>
        <v>305135.065</v>
      </c>
      <c r="I20" s="44">
        <f>IF(SUMIF('Detailed Budget'!$D$5:$D$1005,$B20,'Detailed Budget'!$AN$5:$AN$1005)&gt;0,SUMIF('Detailed Budget'!$D$5:$D$1005,$B20,'Detailed Budget'!$AN$5:$AN$1005),"")</f>
        <v>338748.05263460823</v>
      </c>
      <c r="J20" s="44" t="str">
        <f>IF(SUMIF('Detailed Budget'!$D$5:$D$1005,$B20,'Detailed Budget'!$AP$5:$AP$1005)&gt;0,SUMIF('Detailed Budget'!$D$5:$D$1005,$B20,'Detailed Budget'!$AP$5:$AP$1005),"")</f>
        <v/>
      </c>
      <c r="K20" s="44" t="str">
        <f>IF(SUMIF('Detailed Budget'!$D$5:$D$1005,$B20,'Detailed Budget'!$AR$5:$AR$1005)&gt;0,SUMIF('Detailed Budget'!$D$5:$D$1005,$B20,'Detailed Budget'!$AR$5:$AR$1005),"")</f>
        <v/>
      </c>
      <c r="L20" s="44" t="str">
        <f>IF(SUMIF('Detailed Budget'!$D$5:$D$1005,$B20,'Detailed Budget'!$AT$5:$AT$1005)&gt;0,SUMIF('Detailed Budget'!$D$5:$D$1005,$B20,'Detailed Budget'!$AT$5:$AT$1005),"")</f>
        <v/>
      </c>
      <c r="M20" s="45">
        <f>IF(SUMIF('Detailed Budget'!$D$5:$D$1005,$B20,'Detailed Budget'!$AV$5:$AV$1005)&gt;0,SUMIF('Detailed Budget'!$D$5:$D$1005,$B20,'Detailed Budget'!$AV$5:$AV$1005),"")</f>
        <v>338748.05263460823</v>
      </c>
      <c r="N20" s="44">
        <f>IF(SUMIF('Detailed Budget'!$D$5:$D$1005,$B20,'Detailed Budget'!$BA$5:$BA$1005)&gt;0,SUMIF('Detailed Budget'!$D$5:$D$1005,$B20,'Detailed Budget'!$BA$5:$BA$1005),"")</f>
        <v>372663.89147107105</v>
      </c>
      <c r="O20" s="44" t="str">
        <f>IF(SUMIF('Detailed Budget'!$D$5:$D$1005,$B20,'Detailed Budget'!$BC$5:$BC$1005)&gt;0,SUMIF('Detailed Budget'!$D$5:$D$1005,$B20,'Detailed Budget'!$BC$5:$BC$1005),"")</f>
        <v/>
      </c>
      <c r="P20" s="44" t="str">
        <f>IF(SUMIF('Detailed Budget'!$D$5:$D$1005,$B20,'Detailed Budget'!$BE$5:$BE$1005)&gt;0,SUMIF('Detailed Budget'!$D$5:$D$1005,$B20,'Detailed Budget'!$BE$5:$BE$1005),"")</f>
        <v/>
      </c>
      <c r="Q20" s="44" t="str">
        <f>IF(SUMIF('Detailed Budget'!$D$5:$D$1005,$B20,'Detailed Budget'!$BG$5:$BG$1005)&gt;0,SUMIF('Detailed Budget'!$D$5:$D$1005,$B20,'Detailed Budget'!$BG$5:$BG$1005),"")</f>
        <v/>
      </c>
      <c r="R20" s="45">
        <f>IF(SUMIF('Detailed Budget'!$D$5:$D$1005,$B20,'Detailed Budget'!$BI$5:$BI$1005)&gt;0,SUMIF('Detailed Budget'!$D$5:$D$1005,$B20,'Detailed Budget'!$BI$5:$BI$1005),"")</f>
        <v>372663.89147107105</v>
      </c>
      <c r="S20" s="44" t="str">
        <f>IF(SUMIF('Detailed Budget'!$D$5:$D$1005,$B20,'Detailed Budget'!$BN$5:$BN$1005)&gt;0,SUMIF('Detailed Budget'!$D$5:$D$1005,$B20,'Detailed Budget'!$BN$5:$BN$1005),"")</f>
        <v/>
      </c>
      <c r="T20" s="44" t="str">
        <f>IF(SUMIF('Detailed Budget'!$D$5:$D$1005,$B20,'Detailed Budget'!$BP$5:$BP$1005)&gt;0,SUMIF('Detailed Budget'!$D$5:$D$1005,$B20,'Detailed Budget'!$BP$5:$BP$1005),"")</f>
        <v/>
      </c>
      <c r="U20" s="44" t="str">
        <f>IF(SUMIF('Detailed Budget'!$D$5:$D$1005,$B20,'Detailed Budget'!$BR$5:$BR$1005)&gt;0,SUMIF('Detailed Budget'!$D$5:$D$1005,$B20,'Detailed Budget'!$BR$5:$BR$1005),"")</f>
        <v/>
      </c>
      <c r="V20" s="44" t="str">
        <f>IF(SUMIF('Detailed Budget'!$D$5:$D$1005,$B20,'Detailed Budget'!$BT$5:$BT$1005)&gt;0,SUMIF('Detailed Budget'!$D$5:$D$1005,$B20,'Detailed Budget'!$BT$5:$BT$1005),"")</f>
        <v/>
      </c>
      <c r="W20" s="45" t="str">
        <f>IF(SUMIF('Detailed Budget'!$D$5:$D$1005,$B20,'Detailed Budget'!$BV$5:$BV$1005)&gt;0,SUMIF('Detailed Budget'!$D$5:$D$1005,$B20,'Detailed Budget'!$BV$5:$BV$1005),"")</f>
        <v/>
      </c>
      <c r="X20" s="44">
        <f t="shared" si="0"/>
        <v>1016547.0091056792</v>
      </c>
      <c r="Y20" s="122">
        <f t="shared" si="1"/>
        <v>0.1466529689425779</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row>
    <row r="21" spans="1:49" s="35" customFormat="1" ht="18.75" customHeight="1" x14ac:dyDescent="0.2">
      <c r="A21" s="42"/>
      <c r="B21" s="39" t="str">
        <f t="array" ref="B21">IFERROR(INDEX(ModuleIdList,MATCH(0,COUNTIF(ModuleIdList,"&lt;"&amp;ModuleIdList)-SUM(COUNTIF(ModuleIdList,B$15:B20)),0)),"")</f>
        <v>a1O36000001qZ7vEAE</v>
      </c>
      <c r="C21" s="43" t="str">
        <f>IFERROR(INDEX('Data Sheet'!$A$2:$A$26,MATCH(B21,'Data Sheet'!$D$2:$D$26,0)),"")</f>
        <v>Comprehensive prevention programs for MSM</v>
      </c>
      <c r="D21" s="44">
        <f>IF(SUMIF('Detailed Budget'!$D$5:$D$1005,$B21,'Detailed Budget'!$AA$5:$AA$1005)&gt;0,SUMIF('Detailed Budget'!$D$5:$D$1005,$B21,'Detailed Budget'!$AA$5:$AA$1005),"")</f>
        <v>18890.870087894036</v>
      </c>
      <c r="E21" s="44">
        <f>IF(SUMIF('Detailed Budget'!$D$5:$D$1005,$B21,'Detailed Budget'!$AC$5:$AC$1005)&gt;0,SUMIF('Detailed Budget'!$D$5:$D$1005,$B21,'Detailed Budget'!$AC$5:$AC$1005),"")</f>
        <v>18890.870087894036</v>
      </c>
      <c r="F21" s="44">
        <f>IF(SUMIF('Detailed Budget'!$D$5:$D$1005,$B21,'Detailed Budget'!$AE$5:$AE$1005)&gt;0,SUMIF('Detailed Budget'!$D$5:$D$1005,$B21,'Detailed Budget'!$AE$5:$AE$1005),"")</f>
        <v>18890.870087894036</v>
      </c>
      <c r="G21" s="44">
        <f>IF(SUMIF('Detailed Budget'!$D$5:$D$1005,$B21,'Detailed Budget'!$AG$5:$AG$1005)&gt;0,SUMIF('Detailed Budget'!$D$5:$D$1005,$B21,'Detailed Budget'!$AG$5:$AG$1005),"")</f>
        <v>18890.870087894036</v>
      </c>
      <c r="H21" s="45">
        <f>IF(SUMIF('Detailed Budget'!$D$5:$D$1005,$B21,'Detailed Budget'!$AI$5:$AI$1005)&gt;0,SUMIF('Detailed Budget'!$D$5:$D$1005,$B21,'Detailed Budget'!$AI$5:$AI$1005),"")</f>
        <v>75563.480351576145</v>
      </c>
      <c r="I21" s="44">
        <f>IF(SUMIF('Detailed Budget'!$D$5:$D$1005,$B21,'Detailed Budget'!$AN$5:$AN$1005)&gt;0,SUMIF('Detailed Budget'!$D$5:$D$1005,$B21,'Detailed Budget'!$AN$5:$AN$1005),"")</f>
        <v>18890.870087894036</v>
      </c>
      <c r="J21" s="44">
        <f>IF(SUMIF('Detailed Budget'!$D$5:$D$1005,$B21,'Detailed Budget'!$AP$5:$AP$1005)&gt;0,SUMIF('Detailed Budget'!$D$5:$D$1005,$B21,'Detailed Budget'!$AP$5:$AP$1005),"")</f>
        <v>18890.870087894036</v>
      </c>
      <c r="K21" s="44">
        <f>IF(SUMIF('Detailed Budget'!$D$5:$D$1005,$B21,'Detailed Budget'!$AR$5:$AR$1005)&gt;0,SUMIF('Detailed Budget'!$D$5:$D$1005,$B21,'Detailed Budget'!$AR$5:$AR$1005),"")</f>
        <v>18890.870087894036</v>
      </c>
      <c r="L21" s="44">
        <f>IF(SUMIF('Detailed Budget'!$D$5:$D$1005,$B21,'Detailed Budget'!$AT$5:$AT$1005)&gt;0,SUMIF('Detailed Budget'!$D$5:$D$1005,$B21,'Detailed Budget'!$AT$5:$AT$1005),"")</f>
        <v>18890.870087894036</v>
      </c>
      <c r="M21" s="45">
        <f>IF(SUMIF('Detailed Budget'!$D$5:$D$1005,$B21,'Detailed Budget'!$AV$5:$AV$1005)&gt;0,SUMIF('Detailed Budget'!$D$5:$D$1005,$B21,'Detailed Budget'!$AV$5:$AV$1005),"")</f>
        <v>75563.480351576145</v>
      </c>
      <c r="N21" s="44">
        <f>IF(SUMIF('Detailed Budget'!$D$5:$D$1005,$B21,'Detailed Budget'!$BA$5:$BA$1005)&gt;0,SUMIF('Detailed Budget'!$D$5:$D$1005,$B21,'Detailed Budget'!$BA$5:$BA$1005),"")</f>
        <v>18890.870087894036</v>
      </c>
      <c r="O21" s="44">
        <f>IF(SUMIF('Detailed Budget'!$D$5:$D$1005,$B21,'Detailed Budget'!$BC$5:$BC$1005)&gt;0,SUMIF('Detailed Budget'!$D$5:$D$1005,$B21,'Detailed Budget'!$BC$5:$BC$1005),"")</f>
        <v>142019.10856506915</v>
      </c>
      <c r="P21" s="44">
        <f>IF(SUMIF('Detailed Budget'!$D$5:$D$1005,$B21,'Detailed Budget'!$BE$5:$BE$1005)&gt;0,SUMIF('Detailed Budget'!$D$5:$D$1005,$B21,'Detailed Budget'!$BE$5:$BE$1005),"")</f>
        <v>18890.870087894036</v>
      </c>
      <c r="Q21" s="44">
        <f>IF(SUMIF('Detailed Budget'!$D$5:$D$1005,$B21,'Detailed Budget'!$BG$5:$BG$1005)&gt;0,SUMIF('Detailed Budget'!$D$5:$D$1005,$B21,'Detailed Budget'!$BG$5:$BG$1005),"")</f>
        <v>18890.870087894036</v>
      </c>
      <c r="R21" s="45">
        <f>IF(SUMIF('Detailed Budget'!$D$5:$D$1005,$B21,'Detailed Budget'!$BI$5:$BI$1005)&gt;0,SUMIF('Detailed Budget'!$D$5:$D$1005,$B21,'Detailed Budget'!$BI$5:$BI$1005),"")</f>
        <v>198691.71882875127</v>
      </c>
      <c r="S21" s="44" t="str">
        <f>IF(SUMIF('Detailed Budget'!$D$5:$D$1005,$B21,'Detailed Budget'!$BN$5:$BN$1005)&gt;0,SUMIF('Detailed Budget'!$D$5:$D$1005,$B21,'Detailed Budget'!$BN$5:$BN$1005),"")</f>
        <v/>
      </c>
      <c r="T21" s="44" t="str">
        <f>IF(SUMIF('Detailed Budget'!$D$5:$D$1005,$B21,'Detailed Budget'!$BP$5:$BP$1005)&gt;0,SUMIF('Detailed Budget'!$D$5:$D$1005,$B21,'Detailed Budget'!$BP$5:$BP$1005),"")</f>
        <v/>
      </c>
      <c r="U21" s="44" t="str">
        <f>IF(SUMIF('Detailed Budget'!$D$5:$D$1005,$B21,'Detailed Budget'!$BR$5:$BR$1005)&gt;0,SUMIF('Detailed Budget'!$D$5:$D$1005,$B21,'Detailed Budget'!$BR$5:$BR$1005),"")</f>
        <v/>
      </c>
      <c r="V21" s="44" t="str">
        <f>IF(SUMIF('Detailed Budget'!$D$5:$D$1005,$B21,'Detailed Budget'!$BT$5:$BT$1005)&gt;0,SUMIF('Detailed Budget'!$D$5:$D$1005,$B21,'Detailed Budget'!$BT$5:$BT$1005),"")</f>
        <v/>
      </c>
      <c r="W21" s="45" t="str">
        <f>IF(SUMIF('Detailed Budget'!$D$5:$D$1005,$B21,'Detailed Budget'!$BV$5:$BV$1005)&gt;0,SUMIF('Detailed Budget'!$D$5:$D$1005,$B21,'Detailed Budget'!$BV$5:$BV$1005),"")</f>
        <v/>
      </c>
      <c r="X21" s="44">
        <f t="shared" si="0"/>
        <v>349818.67953190359</v>
      </c>
      <c r="Y21" s="122">
        <f t="shared" si="1"/>
        <v>5.0466872151893341E-2</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row>
    <row r="22" spans="1:49" s="35" customFormat="1" ht="19.5" customHeight="1" x14ac:dyDescent="0.2">
      <c r="A22" s="42"/>
      <c r="B22" s="39" t="str">
        <f t="array" ref="B22">IFERROR(INDEX(ModuleIdList,MATCH(0,COUNTIF(ModuleIdList,"&lt;"&amp;ModuleIdList)-SUM(COUNTIF(ModuleIdList,B$15:B21)),0)),"")</f>
        <v/>
      </c>
      <c r="C22" s="43" t="str">
        <f>IFERROR(INDEX('Data Sheet'!$A$2:$A$26,MATCH(B22,'Data Sheet'!$D$2:$D$26,0)),"")</f>
        <v/>
      </c>
      <c r="D22" s="44" t="str">
        <f>IF(SUMIF('Detailed Budget'!$D$5:$D$1005,$B22,'Detailed Budget'!$AA$5:$AA$1005)&gt;0,SUMIF('Detailed Budget'!$D$5:$D$1005,$B22,'Detailed Budget'!$AA$5:$AA$1005),"")</f>
        <v/>
      </c>
      <c r="E22" s="44" t="str">
        <f>IF(SUMIF('Detailed Budget'!$D$5:$D$1005,$B22,'Detailed Budget'!$AC$5:$AC$1005)&gt;0,SUMIF('Detailed Budget'!$D$5:$D$1005,$B22,'Detailed Budget'!$AC$5:$AC$1005),"")</f>
        <v/>
      </c>
      <c r="F22" s="44" t="str">
        <f>IF(SUMIF('Detailed Budget'!$D$5:$D$1005,$B22,'Detailed Budget'!$AE$5:$AE$1005)&gt;0,SUMIF('Detailed Budget'!$D$5:$D$1005,$B22,'Detailed Budget'!$AE$5:$AE$1005),"")</f>
        <v/>
      </c>
      <c r="G22" s="44" t="str">
        <f>IF(SUMIF('Detailed Budget'!$D$5:$D$1005,$B22,'Detailed Budget'!$AG$5:$AG$1005)&gt;0,SUMIF('Detailed Budget'!$D$5:$D$1005,$B22,'Detailed Budget'!$AG$5:$AG$1005),"")</f>
        <v/>
      </c>
      <c r="H22" s="45" t="str">
        <f>IF(SUMIF('Detailed Budget'!$D$5:$D$1005,$B22,'Detailed Budget'!$AI$5:$AI$1005)&gt;0,SUMIF('Detailed Budget'!$D$5:$D$1005,$B22,'Detailed Budget'!$AI$5:$AI$1005),"")</f>
        <v/>
      </c>
      <c r="I22" s="44" t="str">
        <f>IF(SUMIF('Detailed Budget'!$D$5:$D$1005,$B22,'Detailed Budget'!$AN$5:$AN$1005)&gt;0,SUMIF('Detailed Budget'!$D$5:$D$1005,$B22,'Detailed Budget'!$AN$5:$AN$1005),"")</f>
        <v/>
      </c>
      <c r="J22" s="44" t="str">
        <f>IF(SUMIF('Detailed Budget'!$D$5:$D$1005,$B22,'Detailed Budget'!$AP$5:$AP$1005)&gt;0,SUMIF('Detailed Budget'!$D$5:$D$1005,$B22,'Detailed Budget'!$AP$5:$AP$1005),"")</f>
        <v/>
      </c>
      <c r="K22" s="44" t="str">
        <f>IF(SUMIF('Detailed Budget'!$D$5:$D$1005,$B22,'Detailed Budget'!$AR$5:$AR$1005)&gt;0,SUMIF('Detailed Budget'!$D$5:$D$1005,$B22,'Detailed Budget'!$AR$5:$AR$1005),"")</f>
        <v/>
      </c>
      <c r="L22" s="44" t="str">
        <f>IF(SUMIF('Detailed Budget'!$D$5:$D$1005,$B22,'Detailed Budget'!$AT$5:$AT$1005)&gt;0,SUMIF('Detailed Budget'!$D$5:$D$1005,$B22,'Detailed Budget'!$AT$5:$AT$1005),"")</f>
        <v/>
      </c>
      <c r="M22" s="45" t="str">
        <f>IF(SUMIF('Detailed Budget'!$D$5:$D$1005,$B22,'Detailed Budget'!$AV$5:$AV$1005)&gt;0,SUMIF('Detailed Budget'!$D$5:$D$1005,$B22,'Detailed Budget'!$AV$5:$AV$1005),"")</f>
        <v/>
      </c>
      <c r="N22" s="44" t="str">
        <f>IF(SUMIF('Detailed Budget'!$D$5:$D$1005,$B22,'Detailed Budget'!$BA$5:$BA$1005)&gt;0,SUMIF('Detailed Budget'!$D$5:$D$1005,$B22,'Detailed Budget'!$BA$5:$BA$1005),"")</f>
        <v/>
      </c>
      <c r="O22" s="44" t="str">
        <f>IF(SUMIF('Detailed Budget'!$D$5:$D$1005,$B22,'Detailed Budget'!$BC$5:$BC$1005)&gt;0,SUMIF('Detailed Budget'!$D$5:$D$1005,$B22,'Detailed Budget'!$BC$5:$BC$1005),"")</f>
        <v/>
      </c>
      <c r="P22" s="44" t="str">
        <f>IF(SUMIF('Detailed Budget'!$D$5:$D$1005,$B22,'Detailed Budget'!$BE$5:$BE$1005)&gt;0,SUMIF('Detailed Budget'!$D$5:$D$1005,$B22,'Detailed Budget'!$BE$5:$BE$1005),"")</f>
        <v/>
      </c>
      <c r="Q22" s="44" t="str">
        <f>IF(SUMIF('Detailed Budget'!$D$5:$D$1005,$B22,'Detailed Budget'!$BG$5:$BG$1005)&gt;0,SUMIF('Detailed Budget'!$D$5:$D$1005,$B22,'Detailed Budget'!$BG$5:$BG$1005),"")</f>
        <v/>
      </c>
      <c r="R22" s="45" t="str">
        <f>IF(SUMIF('Detailed Budget'!$D$5:$D$1005,$B22,'Detailed Budget'!$BI$5:$BI$1005)&gt;0,SUMIF('Detailed Budget'!$D$5:$D$1005,$B22,'Detailed Budget'!$BI$5:$BI$1005),"")</f>
        <v/>
      </c>
      <c r="S22" s="44" t="str">
        <f>IF(SUMIF('Detailed Budget'!$D$5:$D$1005,$B22,'Detailed Budget'!$BN$5:$BN$1005)&gt;0,SUMIF('Detailed Budget'!$D$5:$D$1005,$B22,'Detailed Budget'!$BN$5:$BN$1005),"")</f>
        <v/>
      </c>
      <c r="T22" s="44" t="str">
        <f>IF(SUMIF('Detailed Budget'!$D$5:$D$1005,$B22,'Detailed Budget'!$BP$5:$BP$1005)&gt;0,SUMIF('Detailed Budget'!$D$5:$D$1005,$B22,'Detailed Budget'!$BP$5:$BP$1005),"")</f>
        <v/>
      </c>
      <c r="U22" s="44" t="str">
        <f>IF(SUMIF('Detailed Budget'!$D$5:$D$1005,$B22,'Detailed Budget'!$BR$5:$BR$1005)&gt;0,SUMIF('Detailed Budget'!$D$5:$D$1005,$B22,'Detailed Budget'!$BR$5:$BR$1005),"")</f>
        <v/>
      </c>
      <c r="V22" s="44" t="str">
        <f>IF(SUMIF('Detailed Budget'!$D$5:$D$1005,$B22,'Detailed Budget'!$BT$5:$BT$1005)&gt;0,SUMIF('Detailed Budget'!$D$5:$D$1005,$B22,'Detailed Budget'!$BT$5:$BT$1005),"")</f>
        <v/>
      </c>
      <c r="W22" s="45" t="str">
        <f>IF(SUMIF('Detailed Budget'!$D$5:$D$1005,$B22,'Detailed Budget'!$BV$5:$BV$1005)&gt;0,SUMIF('Detailed Budget'!$D$5:$D$1005,$B22,'Detailed Budget'!$BV$5:$BV$1005),"")</f>
        <v/>
      </c>
      <c r="X22" s="44" t="str">
        <f t="shared" si="0"/>
        <v/>
      </c>
      <c r="Y22" s="122" t="str">
        <f t="shared" si="1"/>
        <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row>
    <row r="23" spans="1:49" s="35" customFormat="1" x14ac:dyDescent="0.2">
      <c r="A23" s="42"/>
      <c r="B23" s="39" t="str">
        <f t="array" ref="B23">IFERROR(INDEX(ModuleIdList,MATCH(0,COUNTIF(ModuleIdList,"&lt;"&amp;ModuleIdList)-SUM(COUNTIF(ModuleIdList,B$15:B22)),0)),"")</f>
        <v/>
      </c>
      <c r="C23" s="43" t="str">
        <f>IFERROR(INDEX('Data Sheet'!$A$2:$A$26,MATCH(B23,'Data Sheet'!$D$2:$D$26,0)),"")</f>
        <v/>
      </c>
      <c r="D23" s="44" t="str">
        <f>IF(SUMIF('Detailed Budget'!$D$5:$D$1005,$B23,'Detailed Budget'!$AA$5:$AA$1005)&gt;0,SUMIF('Detailed Budget'!$D$5:$D$1005,$B23,'Detailed Budget'!$AA$5:$AA$1005),"")</f>
        <v/>
      </c>
      <c r="E23" s="44" t="str">
        <f>IF(SUMIF('Detailed Budget'!$D$5:$D$1005,$B23,'Detailed Budget'!$AC$5:$AC$1005)&gt;0,SUMIF('Detailed Budget'!$D$5:$D$1005,$B23,'Detailed Budget'!$AC$5:$AC$1005),"")</f>
        <v/>
      </c>
      <c r="F23" s="44" t="str">
        <f>IF(SUMIF('Detailed Budget'!$D$5:$D$1005,$B23,'Detailed Budget'!$AE$5:$AE$1005)&gt;0,SUMIF('Detailed Budget'!$D$5:$D$1005,$B23,'Detailed Budget'!$AE$5:$AE$1005),"")</f>
        <v/>
      </c>
      <c r="G23" s="44" t="str">
        <f>IF(SUMIF('Detailed Budget'!$D$5:$D$1005,$B23,'Detailed Budget'!$AG$5:$AG$1005)&gt;0,SUMIF('Detailed Budget'!$D$5:$D$1005,$B23,'Detailed Budget'!$AG$5:$AG$1005),"")</f>
        <v/>
      </c>
      <c r="H23" s="45" t="str">
        <f>IF(SUMIF('Detailed Budget'!$D$5:$D$1005,$B23,'Detailed Budget'!$AI$5:$AI$1005)&gt;0,SUMIF('Detailed Budget'!$D$5:$D$1005,$B23,'Detailed Budget'!$AI$5:$AI$1005),"")</f>
        <v/>
      </c>
      <c r="I23" s="44" t="str">
        <f>IF(SUMIF('Detailed Budget'!$D$5:$D$1005,$B23,'Detailed Budget'!$AN$5:$AN$1005)&gt;0,SUMIF('Detailed Budget'!$D$5:$D$1005,$B23,'Detailed Budget'!$AN$5:$AN$1005),"")</f>
        <v/>
      </c>
      <c r="J23" s="44" t="str">
        <f>IF(SUMIF('Detailed Budget'!$D$5:$D$1005,$B23,'Detailed Budget'!$AP$5:$AP$1005)&gt;0,SUMIF('Detailed Budget'!$D$5:$D$1005,$B23,'Detailed Budget'!$AP$5:$AP$1005),"")</f>
        <v/>
      </c>
      <c r="K23" s="44" t="str">
        <f>IF(SUMIF('Detailed Budget'!$D$5:$D$1005,$B23,'Detailed Budget'!$AR$5:$AR$1005)&gt;0,SUMIF('Detailed Budget'!$D$5:$D$1005,$B23,'Detailed Budget'!$AR$5:$AR$1005),"")</f>
        <v/>
      </c>
      <c r="L23" s="44" t="str">
        <f>IF(SUMIF('Detailed Budget'!$D$5:$D$1005,$B23,'Detailed Budget'!$AT$5:$AT$1005)&gt;0,SUMIF('Detailed Budget'!$D$5:$D$1005,$B23,'Detailed Budget'!$AT$5:$AT$1005),"")</f>
        <v/>
      </c>
      <c r="M23" s="45" t="str">
        <f>IF(SUMIF('Detailed Budget'!$D$5:$D$1005,$B23,'Detailed Budget'!$AV$5:$AV$1005)&gt;0,SUMIF('Detailed Budget'!$D$5:$D$1005,$B23,'Detailed Budget'!$AV$5:$AV$1005),"")</f>
        <v/>
      </c>
      <c r="N23" s="44" t="str">
        <f>IF(SUMIF('Detailed Budget'!$D$5:$D$1005,$B23,'Detailed Budget'!$BA$5:$BA$1005)&gt;0,SUMIF('Detailed Budget'!$D$5:$D$1005,$B23,'Detailed Budget'!$BA$5:$BA$1005),"")</f>
        <v/>
      </c>
      <c r="O23" s="44" t="str">
        <f>IF(SUMIF('Detailed Budget'!$D$5:$D$1005,$B23,'Detailed Budget'!$BC$5:$BC$1005)&gt;0,SUMIF('Detailed Budget'!$D$5:$D$1005,$B23,'Detailed Budget'!$BC$5:$BC$1005),"")</f>
        <v/>
      </c>
      <c r="P23" s="44" t="str">
        <f>IF(SUMIF('Detailed Budget'!$D$5:$D$1005,$B23,'Detailed Budget'!$BE$5:$BE$1005)&gt;0,SUMIF('Detailed Budget'!$D$5:$D$1005,$B23,'Detailed Budget'!$BE$5:$BE$1005),"")</f>
        <v/>
      </c>
      <c r="Q23" s="44" t="str">
        <f>IF(SUMIF('Detailed Budget'!$D$5:$D$1005,$B23,'Detailed Budget'!$BG$5:$BG$1005)&gt;0,SUMIF('Detailed Budget'!$D$5:$D$1005,$B23,'Detailed Budget'!$BG$5:$BG$1005),"")</f>
        <v/>
      </c>
      <c r="R23" s="45" t="str">
        <f>IF(SUMIF('Detailed Budget'!$D$5:$D$1005,$B23,'Detailed Budget'!$BI$5:$BI$1005)&gt;0,SUMIF('Detailed Budget'!$D$5:$D$1005,$B23,'Detailed Budget'!$BI$5:$BI$1005),"")</f>
        <v/>
      </c>
      <c r="S23" s="44" t="str">
        <f>IF(SUMIF('Detailed Budget'!$D$5:$D$1005,$B23,'Detailed Budget'!$BN$5:$BN$1005)&gt;0,SUMIF('Detailed Budget'!$D$5:$D$1005,$B23,'Detailed Budget'!$BN$5:$BN$1005),"")</f>
        <v/>
      </c>
      <c r="T23" s="44" t="str">
        <f>IF(SUMIF('Detailed Budget'!$D$5:$D$1005,$B23,'Detailed Budget'!$BP$5:$BP$1005)&gt;0,SUMIF('Detailed Budget'!$D$5:$D$1005,$B23,'Detailed Budget'!$BP$5:$BP$1005),"")</f>
        <v/>
      </c>
      <c r="U23" s="44" t="str">
        <f>IF(SUMIF('Detailed Budget'!$D$5:$D$1005,$B23,'Detailed Budget'!$BR$5:$BR$1005)&gt;0,SUMIF('Detailed Budget'!$D$5:$D$1005,$B23,'Detailed Budget'!$BR$5:$BR$1005),"")</f>
        <v/>
      </c>
      <c r="V23" s="44" t="str">
        <f>IF(SUMIF('Detailed Budget'!$D$5:$D$1005,$B23,'Detailed Budget'!$BT$5:$BT$1005)&gt;0,SUMIF('Detailed Budget'!$D$5:$D$1005,$B23,'Detailed Budget'!$BT$5:$BT$1005),"")</f>
        <v/>
      </c>
      <c r="W23" s="45" t="str">
        <f>IF(SUMIF('Detailed Budget'!$D$5:$D$1005,$B23,'Detailed Budget'!$BV$5:$BV$1005)&gt;0,SUMIF('Detailed Budget'!$D$5:$D$1005,$B23,'Detailed Budget'!$BV$5:$BV$1005),"")</f>
        <v/>
      </c>
      <c r="X23" s="44" t="str">
        <f t="shared" si="0"/>
        <v/>
      </c>
      <c r="Y23" s="122" t="str">
        <f t="shared" si="1"/>
        <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row>
    <row r="24" spans="1:49" s="35" customFormat="1" x14ac:dyDescent="0.2">
      <c r="A24" s="42"/>
      <c r="B24" s="39" t="str">
        <f t="array" ref="B24">IFERROR(INDEX(ModuleIdList,MATCH(0,COUNTIF(ModuleIdList,"&lt;"&amp;ModuleIdList)-SUM(COUNTIF(ModuleIdList,B$15:B23)),0)),"")</f>
        <v/>
      </c>
      <c r="C24" s="43" t="str">
        <f>IFERROR(INDEX('Data Sheet'!$A$2:$A$26,MATCH(B24,'Data Sheet'!$D$2:$D$26,0)),"")</f>
        <v/>
      </c>
      <c r="D24" s="44" t="str">
        <f>IF(SUMIF('Detailed Budget'!$D$5:$D$1005,$B24,'Detailed Budget'!$AA$5:$AA$1005)&gt;0,SUMIF('Detailed Budget'!$D$5:$D$1005,$B24,'Detailed Budget'!$AA$5:$AA$1005),"")</f>
        <v/>
      </c>
      <c r="E24" s="44" t="str">
        <f>IF(SUMIF('Detailed Budget'!$D$5:$D$1005,$B24,'Detailed Budget'!$AC$5:$AC$1005)&gt;0,SUMIF('Detailed Budget'!$D$5:$D$1005,$B24,'Detailed Budget'!$AC$5:$AC$1005),"")</f>
        <v/>
      </c>
      <c r="F24" s="44" t="str">
        <f>IF(SUMIF('Detailed Budget'!$D$5:$D$1005,$B24,'Detailed Budget'!$AE$5:$AE$1005)&gt;0,SUMIF('Detailed Budget'!$D$5:$D$1005,$B24,'Detailed Budget'!$AE$5:$AE$1005),"")</f>
        <v/>
      </c>
      <c r="G24" s="44" t="str">
        <f>IF(SUMIF('Detailed Budget'!$D$5:$D$1005,$B24,'Detailed Budget'!$AG$5:$AG$1005)&gt;0,SUMIF('Detailed Budget'!$D$5:$D$1005,$B24,'Detailed Budget'!$AG$5:$AG$1005),"")</f>
        <v/>
      </c>
      <c r="H24" s="45" t="str">
        <f>IF(SUMIF('Detailed Budget'!$D$5:$D$1005,$B24,'Detailed Budget'!$AI$5:$AI$1005)&gt;0,SUMIF('Detailed Budget'!$D$5:$D$1005,$B24,'Detailed Budget'!$AI$5:$AI$1005),"")</f>
        <v/>
      </c>
      <c r="I24" s="44" t="str">
        <f>IF(SUMIF('Detailed Budget'!$D$5:$D$1005,$B24,'Detailed Budget'!$AN$5:$AN$1005)&gt;0,SUMIF('Detailed Budget'!$D$5:$D$1005,$B24,'Detailed Budget'!$AN$5:$AN$1005),"")</f>
        <v/>
      </c>
      <c r="J24" s="44" t="str">
        <f>IF(SUMIF('Detailed Budget'!$D$5:$D$1005,$B24,'Detailed Budget'!$AP$5:$AP$1005)&gt;0,SUMIF('Detailed Budget'!$D$5:$D$1005,$B24,'Detailed Budget'!$AP$5:$AP$1005),"")</f>
        <v/>
      </c>
      <c r="K24" s="44" t="str">
        <f>IF(SUMIF('Detailed Budget'!$D$5:$D$1005,$B24,'Detailed Budget'!$AR$5:$AR$1005)&gt;0,SUMIF('Detailed Budget'!$D$5:$D$1005,$B24,'Detailed Budget'!$AR$5:$AR$1005),"")</f>
        <v/>
      </c>
      <c r="L24" s="44" t="str">
        <f>IF(SUMIF('Detailed Budget'!$D$5:$D$1005,$B24,'Detailed Budget'!$AT$5:$AT$1005)&gt;0,SUMIF('Detailed Budget'!$D$5:$D$1005,$B24,'Detailed Budget'!$AT$5:$AT$1005),"")</f>
        <v/>
      </c>
      <c r="M24" s="45" t="str">
        <f>IF(SUMIF('Detailed Budget'!$D$5:$D$1005,$B24,'Detailed Budget'!$AV$5:$AV$1005)&gt;0,SUMIF('Detailed Budget'!$D$5:$D$1005,$B24,'Detailed Budget'!$AV$5:$AV$1005),"")</f>
        <v/>
      </c>
      <c r="N24" s="44" t="str">
        <f>IF(SUMIF('Detailed Budget'!$D$5:$D$1005,$B24,'Detailed Budget'!$BA$5:$BA$1005)&gt;0,SUMIF('Detailed Budget'!$D$5:$D$1005,$B24,'Detailed Budget'!$BA$5:$BA$1005),"")</f>
        <v/>
      </c>
      <c r="O24" s="44" t="str">
        <f>IF(SUMIF('Detailed Budget'!$D$5:$D$1005,$B24,'Detailed Budget'!$BC$5:$BC$1005)&gt;0,SUMIF('Detailed Budget'!$D$5:$D$1005,$B24,'Detailed Budget'!$BC$5:$BC$1005),"")</f>
        <v/>
      </c>
      <c r="P24" s="44" t="str">
        <f>IF(SUMIF('Detailed Budget'!$D$5:$D$1005,$B24,'Detailed Budget'!$BE$5:$BE$1005)&gt;0,SUMIF('Detailed Budget'!$D$5:$D$1005,$B24,'Detailed Budget'!$BE$5:$BE$1005),"")</f>
        <v/>
      </c>
      <c r="Q24" s="44" t="str">
        <f>IF(SUMIF('Detailed Budget'!$D$5:$D$1005,$B24,'Detailed Budget'!$BG$5:$BG$1005)&gt;0,SUMIF('Detailed Budget'!$D$5:$D$1005,$B24,'Detailed Budget'!$BG$5:$BG$1005),"")</f>
        <v/>
      </c>
      <c r="R24" s="45" t="str">
        <f>IF(SUMIF('Detailed Budget'!$D$5:$D$1005,$B24,'Detailed Budget'!$BI$5:$BI$1005)&gt;0,SUMIF('Detailed Budget'!$D$5:$D$1005,$B24,'Detailed Budget'!$BI$5:$BI$1005),"")</f>
        <v/>
      </c>
      <c r="S24" s="44" t="str">
        <f>IF(SUMIF('Detailed Budget'!$D$5:$D$1005,$B24,'Detailed Budget'!$BN$5:$BN$1005)&gt;0,SUMIF('Detailed Budget'!$D$5:$D$1005,$B24,'Detailed Budget'!$BN$5:$BN$1005),"")</f>
        <v/>
      </c>
      <c r="T24" s="44" t="str">
        <f>IF(SUMIF('Detailed Budget'!$D$5:$D$1005,$B24,'Detailed Budget'!$BP$5:$BP$1005)&gt;0,SUMIF('Detailed Budget'!$D$5:$D$1005,$B24,'Detailed Budget'!$BP$5:$BP$1005),"")</f>
        <v/>
      </c>
      <c r="U24" s="44" t="str">
        <f>IF(SUMIF('Detailed Budget'!$D$5:$D$1005,$B24,'Detailed Budget'!$BR$5:$BR$1005)&gt;0,SUMIF('Detailed Budget'!$D$5:$D$1005,$B24,'Detailed Budget'!$BR$5:$BR$1005),"")</f>
        <v/>
      </c>
      <c r="V24" s="44" t="str">
        <f>IF(SUMIF('Detailed Budget'!$D$5:$D$1005,$B24,'Detailed Budget'!$BT$5:$BT$1005)&gt;0,SUMIF('Detailed Budget'!$D$5:$D$1005,$B24,'Detailed Budget'!$BT$5:$BT$1005),"")</f>
        <v/>
      </c>
      <c r="W24" s="45" t="str">
        <f>IF(SUMIF('Detailed Budget'!$D$5:$D$1005,$B24,'Detailed Budget'!$BV$5:$BV$1005)&gt;0,SUMIF('Detailed Budget'!$D$5:$D$1005,$B24,'Detailed Budget'!$BV$5:$BV$1005),"")</f>
        <v/>
      </c>
      <c r="X24" s="44" t="str">
        <f t="shared" si="0"/>
        <v/>
      </c>
      <c r="Y24" s="122" t="str">
        <f t="shared" si="1"/>
        <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row>
    <row r="25" spans="1:49" s="35" customFormat="1" x14ac:dyDescent="0.2">
      <c r="A25" s="42"/>
      <c r="B25" s="39" t="str">
        <f t="array" ref="B25">IFERROR(INDEX(ModuleIdList,MATCH(0,COUNTIF(ModuleIdList,"&lt;"&amp;ModuleIdList)-SUM(COUNTIF(ModuleIdList,B$15:B24)),0)),"")</f>
        <v/>
      </c>
      <c r="C25" s="43" t="str">
        <f>IFERROR(INDEX('Data Sheet'!$A$2:$A$26,MATCH(B25,'Data Sheet'!$D$2:$D$26,0)),"")</f>
        <v/>
      </c>
      <c r="D25" s="44" t="str">
        <f>IF(SUMIF('Detailed Budget'!$D$5:$D$1005,$B25,'Detailed Budget'!$AA$5:$AA$1005)&gt;0,SUMIF('Detailed Budget'!$D$5:$D$1005,$B25,'Detailed Budget'!$AA$5:$AA$1005),"")</f>
        <v/>
      </c>
      <c r="E25" s="44" t="str">
        <f>IF(SUMIF('Detailed Budget'!$D$5:$D$1005,$B25,'Detailed Budget'!$AC$5:$AC$1005)&gt;0,SUMIF('Detailed Budget'!$D$5:$D$1005,$B25,'Detailed Budget'!$AC$5:$AC$1005),"")</f>
        <v/>
      </c>
      <c r="F25" s="44" t="str">
        <f>IF(SUMIF('Detailed Budget'!$D$5:$D$1005,$B25,'Detailed Budget'!$AE$5:$AE$1005)&gt;0,SUMIF('Detailed Budget'!$D$5:$D$1005,$B25,'Detailed Budget'!$AE$5:$AE$1005),"")</f>
        <v/>
      </c>
      <c r="G25" s="44" t="str">
        <f>IF(SUMIF('Detailed Budget'!$D$5:$D$1005,$B25,'Detailed Budget'!$AG$5:$AG$1005)&gt;0,SUMIF('Detailed Budget'!$D$5:$D$1005,$B25,'Detailed Budget'!$AG$5:$AG$1005),"")</f>
        <v/>
      </c>
      <c r="H25" s="45" t="str">
        <f>IF(SUMIF('Detailed Budget'!$D$5:$D$1005,$B25,'Detailed Budget'!$AI$5:$AI$1005)&gt;0,SUMIF('Detailed Budget'!$D$5:$D$1005,$B25,'Detailed Budget'!$AI$5:$AI$1005),"")</f>
        <v/>
      </c>
      <c r="I25" s="44" t="str">
        <f>IF(SUMIF('Detailed Budget'!$D$5:$D$1005,$B25,'Detailed Budget'!$AN$5:$AN$1005)&gt;0,SUMIF('Detailed Budget'!$D$5:$D$1005,$B25,'Detailed Budget'!$AN$5:$AN$1005),"")</f>
        <v/>
      </c>
      <c r="J25" s="44" t="str">
        <f>IF(SUMIF('Detailed Budget'!$D$5:$D$1005,$B25,'Detailed Budget'!$AP$5:$AP$1005)&gt;0,SUMIF('Detailed Budget'!$D$5:$D$1005,$B25,'Detailed Budget'!$AP$5:$AP$1005),"")</f>
        <v/>
      </c>
      <c r="K25" s="44" t="str">
        <f>IF(SUMIF('Detailed Budget'!$D$5:$D$1005,$B25,'Detailed Budget'!$AR$5:$AR$1005)&gt;0,SUMIF('Detailed Budget'!$D$5:$D$1005,$B25,'Detailed Budget'!$AR$5:$AR$1005),"")</f>
        <v/>
      </c>
      <c r="L25" s="44" t="str">
        <f>IF(SUMIF('Detailed Budget'!$D$5:$D$1005,$B25,'Detailed Budget'!$AT$5:$AT$1005)&gt;0,SUMIF('Detailed Budget'!$D$5:$D$1005,$B25,'Detailed Budget'!$AT$5:$AT$1005),"")</f>
        <v/>
      </c>
      <c r="M25" s="45" t="str">
        <f>IF(SUMIF('Detailed Budget'!$D$5:$D$1005,$B25,'Detailed Budget'!$AV$5:$AV$1005)&gt;0,SUMIF('Detailed Budget'!$D$5:$D$1005,$B25,'Detailed Budget'!$AV$5:$AV$1005),"")</f>
        <v/>
      </c>
      <c r="N25" s="44" t="str">
        <f>IF(SUMIF('Detailed Budget'!$D$5:$D$1005,$B25,'Detailed Budget'!$BA$5:$BA$1005)&gt;0,SUMIF('Detailed Budget'!$D$5:$D$1005,$B25,'Detailed Budget'!$BA$5:$BA$1005),"")</f>
        <v/>
      </c>
      <c r="O25" s="44" t="str">
        <f>IF(SUMIF('Detailed Budget'!$D$5:$D$1005,$B25,'Detailed Budget'!$BC$5:$BC$1005)&gt;0,SUMIF('Detailed Budget'!$D$5:$D$1005,$B25,'Detailed Budget'!$BC$5:$BC$1005),"")</f>
        <v/>
      </c>
      <c r="P25" s="44" t="str">
        <f>IF(SUMIF('Detailed Budget'!$D$5:$D$1005,$B25,'Detailed Budget'!$BE$5:$BE$1005)&gt;0,SUMIF('Detailed Budget'!$D$5:$D$1005,$B25,'Detailed Budget'!$BE$5:$BE$1005),"")</f>
        <v/>
      </c>
      <c r="Q25" s="44" t="str">
        <f>IF(SUMIF('Detailed Budget'!$D$5:$D$1005,$B25,'Detailed Budget'!$BG$5:$BG$1005)&gt;0,SUMIF('Detailed Budget'!$D$5:$D$1005,$B25,'Detailed Budget'!$BG$5:$BG$1005),"")</f>
        <v/>
      </c>
      <c r="R25" s="45" t="str">
        <f>IF(SUMIF('Detailed Budget'!$D$5:$D$1005,$B25,'Detailed Budget'!$BI$5:$BI$1005)&gt;0,SUMIF('Detailed Budget'!$D$5:$D$1005,$B25,'Detailed Budget'!$BI$5:$BI$1005),"")</f>
        <v/>
      </c>
      <c r="S25" s="44" t="str">
        <f>IF(SUMIF('Detailed Budget'!$D$5:$D$1005,$B25,'Detailed Budget'!$BN$5:$BN$1005)&gt;0,SUMIF('Detailed Budget'!$D$5:$D$1005,$B25,'Detailed Budget'!$BN$5:$BN$1005),"")</f>
        <v/>
      </c>
      <c r="T25" s="44" t="str">
        <f>IF(SUMIF('Detailed Budget'!$D$5:$D$1005,$B25,'Detailed Budget'!$BP$5:$BP$1005)&gt;0,SUMIF('Detailed Budget'!$D$5:$D$1005,$B25,'Detailed Budget'!$BP$5:$BP$1005),"")</f>
        <v/>
      </c>
      <c r="U25" s="44" t="str">
        <f>IF(SUMIF('Detailed Budget'!$D$5:$D$1005,$B25,'Detailed Budget'!$BR$5:$BR$1005)&gt;0,SUMIF('Detailed Budget'!$D$5:$D$1005,$B25,'Detailed Budget'!$BR$5:$BR$1005),"")</f>
        <v/>
      </c>
      <c r="V25" s="44" t="str">
        <f>IF(SUMIF('Detailed Budget'!$D$5:$D$1005,$B25,'Detailed Budget'!$BT$5:$BT$1005)&gt;0,SUMIF('Detailed Budget'!$D$5:$D$1005,$B25,'Detailed Budget'!$BT$5:$BT$1005),"")</f>
        <v/>
      </c>
      <c r="W25" s="45" t="str">
        <f>IF(SUMIF('Detailed Budget'!$D$5:$D$1005,$B25,'Detailed Budget'!$BV$5:$BV$1005)&gt;0,SUMIF('Detailed Budget'!$D$5:$D$1005,$B25,'Detailed Budget'!$BV$5:$BV$1005),"")</f>
        <v/>
      </c>
      <c r="X25" s="44" t="str">
        <f t="shared" si="0"/>
        <v/>
      </c>
      <c r="Y25" s="122" t="str">
        <f t="shared" si="1"/>
        <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row>
    <row r="26" spans="1:49" s="35" customFormat="1" x14ac:dyDescent="0.2">
      <c r="A26" s="42"/>
      <c r="B26" s="39" t="str">
        <f t="array" ref="B26">IFERROR(INDEX(ModuleIdList,MATCH(0,COUNTIF(ModuleIdList,"&lt;"&amp;ModuleIdList)-SUM(COUNTIF(ModuleIdList,B$15:B25)),0)),"")</f>
        <v/>
      </c>
      <c r="C26" s="43" t="str">
        <f>IFERROR(INDEX('Data Sheet'!$A$2:$A$26,MATCH(B26,'Data Sheet'!$D$2:$D$26,0)),"")</f>
        <v/>
      </c>
      <c r="D26" s="44" t="str">
        <f>IF(SUMIF('Detailed Budget'!$D$5:$D$1005,$B26,'Detailed Budget'!$AA$5:$AA$1005)&gt;0,SUMIF('Detailed Budget'!$D$5:$D$1005,$B26,'Detailed Budget'!$AA$5:$AA$1005),"")</f>
        <v/>
      </c>
      <c r="E26" s="44" t="str">
        <f>IF(SUMIF('Detailed Budget'!$D$5:$D$1005,$B26,'Detailed Budget'!$AC$5:$AC$1005)&gt;0,SUMIF('Detailed Budget'!$D$5:$D$1005,$B26,'Detailed Budget'!$AC$5:$AC$1005),"")</f>
        <v/>
      </c>
      <c r="F26" s="44" t="str">
        <f>IF(SUMIF('Detailed Budget'!$D$5:$D$1005,$B26,'Detailed Budget'!$AE$5:$AE$1005)&gt;0,SUMIF('Detailed Budget'!$D$5:$D$1005,$B26,'Detailed Budget'!$AE$5:$AE$1005),"")</f>
        <v/>
      </c>
      <c r="G26" s="44" t="str">
        <f>IF(SUMIF('Detailed Budget'!$D$5:$D$1005,$B26,'Detailed Budget'!$AG$5:$AG$1005)&gt;0,SUMIF('Detailed Budget'!$D$5:$D$1005,$B26,'Detailed Budget'!$AG$5:$AG$1005),"")</f>
        <v/>
      </c>
      <c r="H26" s="45" t="str">
        <f>IF(SUMIF('Detailed Budget'!$D$5:$D$1005,$B26,'Detailed Budget'!$AI$5:$AI$1005)&gt;0,SUMIF('Detailed Budget'!$D$5:$D$1005,$B26,'Detailed Budget'!$AI$5:$AI$1005),"")</f>
        <v/>
      </c>
      <c r="I26" s="44" t="str">
        <f>IF(SUMIF('Detailed Budget'!$D$5:$D$1005,$B26,'Detailed Budget'!$AN$5:$AN$1005)&gt;0,SUMIF('Detailed Budget'!$D$5:$D$1005,$B26,'Detailed Budget'!$AN$5:$AN$1005),"")</f>
        <v/>
      </c>
      <c r="J26" s="44" t="str">
        <f>IF(SUMIF('Detailed Budget'!$D$5:$D$1005,$B26,'Detailed Budget'!$AP$5:$AP$1005)&gt;0,SUMIF('Detailed Budget'!$D$5:$D$1005,$B26,'Detailed Budget'!$AP$5:$AP$1005),"")</f>
        <v/>
      </c>
      <c r="K26" s="44" t="str">
        <f>IF(SUMIF('Detailed Budget'!$D$5:$D$1005,$B26,'Detailed Budget'!$AR$5:$AR$1005)&gt;0,SUMIF('Detailed Budget'!$D$5:$D$1005,$B26,'Detailed Budget'!$AR$5:$AR$1005),"")</f>
        <v/>
      </c>
      <c r="L26" s="44" t="str">
        <f>IF(SUMIF('Detailed Budget'!$D$5:$D$1005,$B26,'Detailed Budget'!$AT$5:$AT$1005)&gt;0,SUMIF('Detailed Budget'!$D$5:$D$1005,$B26,'Detailed Budget'!$AT$5:$AT$1005),"")</f>
        <v/>
      </c>
      <c r="M26" s="45" t="str">
        <f>IF(SUMIF('Detailed Budget'!$D$5:$D$1005,$B26,'Detailed Budget'!$AV$5:$AV$1005)&gt;0,SUMIF('Detailed Budget'!$D$5:$D$1005,$B26,'Detailed Budget'!$AV$5:$AV$1005),"")</f>
        <v/>
      </c>
      <c r="N26" s="44" t="str">
        <f>IF(SUMIF('Detailed Budget'!$D$5:$D$1005,$B26,'Detailed Budget'!$BA$5:$BA$1005)&gt;0,SUMIF('Detailed Budget'!$D$5:$D$1005,$B26,'Detailed Budget'!$BA$5:$BA$1005),"")</f>
        <v/>
      </c>
      <c r="O26" s="44" t="str">
        <f>IF(SUMIF('Detailed Budget'!$D$5:$D$1005,$B26,'Detailed Budget'!$BC$5:$BC$1005)&gt;0,SUMIF('Detailed Budget'!$D$5:$D$1005,$B26,'Detailed Budget'!$BC$5:$BC$1005),"")</f>
        <v/>
      </c>
      <c r="P26" s="44" t="str">
        <f>IF(SUMIF('Detailed Budget'!$D$5:$D$1005,$B26,'Detailed Budget'!$BE$5:$BE$1005)&gt;0,SUMIF('Detailed Budget'!$D$5:$D$1005,$B26,'Detailed Budget'!$BE$5:$BE$1005),"")</f>
        <v/>
      </c>
      <c r="Q26" s="44" t="str">
        <f>IF(SUMIF('Detailed Budget'!$D$5:$D$1005,$B26,'Detailed Budget'!$BG$5:$BG$1005)&gt;0,SUMIF('Detailed Budget'!$D$5:$D$1005,$B26,'Detailed Budget'!$BG$5:$BG$1005),"")</f>
        <v/>
      </c>
      <c r="R26" s="45" t="str">
        <f>IF(SUMIF('Detailed Budget'!$D$5:$D$1005,$B26,'Detailed Budget'!$BI$5:$BI$1005)&gt;0,SUMIF('Detailed Budget'!$D$5:$D$1005,$B26,'Detailed Budget'!$BI$5:$BI$1005),"")</f>
        <v/>
      </c>
      <c r="S26" s="44" t="str">
        <f>IF(SUMIF('Detailed Budget'!$D$5:$D$1005,$B26,'Detailed Budget'!$BN$5:$BN$1005)&gt;0,SUMIF('Detailed Budget'!$D$5:$D$1005,$B26,'Detailed Budget'!$BN$5:$BN$1005),"")</f>
        <v/>
      </c>
      <c r="T26" s="44" t="str">
        <f>IF(SUMIF('Detailed Budget'!$D$5:$D$1005,$B26,'Detailed Budget'!$BP$5:$BP$1005)&gt;0,SUMIF('Detailed Budget'!$D$5:$D$1005,$B26,'Detailed Budget'!$BP$5:$BP$1005),"")</f>
        <v/>
      </c>
      <c r="U26" s="44" t="str">
        <f>IF(SUMIF('Detailed Budget'!$D$5:$D$1005,$B26,'Detailed Budget'!$BR$5:$BR$1005)&gt;0,SUMIF('Detailed Budget'!$D$5:$D$1005,$B26,'Detailed Budget'!$BR$5:$BR$1005),"")</f>
        <v/>
      </c>
      <c r="V26" s="44" t="str">
        <f>IF(SUMIF('Detailed Budget'!$D$5:$D$1005,$B26,'Detailed Budget'!$BT$5:$BT$1005)&gt;0,SUMIF('Detailed Budget'!$D$5:$D$1005,$B26,'Detailed Budget'!$BT$5:$BT$1005),"")</f>
        <v/>
      </c>
      <c r="W26" s="45" t="str">
        <f>IF(SUMIF('Detailed Budget'!$D$5:$D$1005,$B26,'Detailed Budget'!$BV$5:$BV$1005)&gt;0,SUMIF('Detailed Budget'!$D$5:$D$1005,$B26,'Detailed Budget'!$BV$5:$BV$1005),"")</f>
        <v/>
      </c>
      <c r="X26" s="44" t="str">
        <f t="shared" si="0"/>
        <v/>
      </c>
      <c r="Y26" s="122" t="str">
        <f t="shared" si="1"/>
        <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row>
    <row r="27" spans="1:49" s="35" customFormat="1" x14ac:dyDescent="0.2">
      <c r="A27" s="42"/>
      <c r="B27" s="39" t="str">
        <f t="array" ref="B27">IFERROR(INDEX(ModuleIdList,MATCH(0,COUNTIF(ModuleIdList,"&lt;"&amp;ModuleIdList)-SUM(COUNTIF(ModuleIdList,B$15:B26)),0)),"")</f>
        <v/>
      </c>
      <c r="C27" s="43" t="str">
        <f>IFERROR(INDEX('Data Sheet'!$A$2:$A$26,MATCH(B27,'Data Sheet'!$D$2:$D$26,0)),"")</f>
        <v/>
      </c>
      <c r="D27" s="44" t="str">
        <f>IF(SUMIF('Detailed Budget'!$D$5:$D$1005,$B27,'Detailed Budget'!$AA$5:$AA$1005)&gt;0,SUMIF('Detailed Budget'!$D$5:$D$1005,$B27,'Detailed Budget'!$AA$5:$AA$1005),"")</f>
        <v/>
      </c>
      <c r="E27" s="44" t="str">
        <f>IF(SUMIF('Detailed Budget'!$D$5:$D$1005,$B27,'Detailed Budget'!$AC$5:$AC$1005)&gt;0,SUMIF('Detailed Budget'!$D$5:$D$1005,$B27,'Detailed Budget'!$AC$5:$AC$1005),"")</f>
        <v/>
      </c>
      <c r="F27" s="44" t="str">
        <f>IF(SUMIF('Detailed Budget'!$D$5:$D$1005,$B27,'Detailed Budget'!$AE$5:$AE$1005)&gt;0,SUMIF('Detailed Budget'!$D$5:$D$1005,$B27,'Detailed Budget'!$AE$5:$AE$1005),"")</f>
        <v/>
      </c>
      <c r="G27" s="44" t="str">
        <f>IF(SUMIF('Detailed Budget'!$D$5:$D$1005,$B27,'Detailed Budget'!$AG$5:$AG$1005)&gt;0,SUMIF('Detailed Budget'!$D$5:$D$1005,$B27,'Detailed Budget'!$AG$5:$AG$1005),"")</f>
        <v/>
      </c>
      <c r="H27" s="45" t="str">
        <f>IF(SUMIF('Detailed Budget'!$D$5:$D$1005,$B27,'Detailed Budget'!$AI$5:$AI$1005)&gt;0,SUMIF('Detailed Budget'!$D$5:$D$1005,$B27,'Detailed Budget'!$AI$5:$AI$1005),"")</f>
        <v/>
      </c>
      <c r="I27" s="44" t="str">
        <f>IF(SUMIF('Detailed Budget'!$D$5:$D$1005,$B27,'Detailed Budget'!$AN$5:$AN$1005)&gt;0,SUMIF('Detailed Budget'!$D$5:$D$1005,$B27,'Detailed Budget'!$AN$5:$AN$1005),"")</f>
        <v/>
      </c>
      <c r="J27" s="44" t="str">
        <f>IF(SUMIF('Detailed Budget'!$D$5:$D$1005,$B27,'Detailed Budget'!$AP$5:$AP$1005)&gt;0,SUMIF('Detailed Budget'!$D$5:$D$1005,$B27,'Detailed Budget'!$AP$5:$AP$1005),"")</f>
        <v/>
      </c>
      <c r="K27" s="44" t="str">
        <f>IF(SUMIF('Detailed Budget'!$D$5:$D$1005,$B27,'Detailed Budget'!$AR$5:$AR$1005)&gt;0,SUMIF('Detailed Budget'!$D$5:$D$1005,$B27,'Detailed Budget'!$AR$5:$AR$1005),"")</f>
        <v/>
      </c>
      <c r="L27" s="44" t="str">
        <f>IF(SUMIF('Detailed Budget'!$D$5:$D$1005,$B27,'Detailed Budget'!$AT$5:$AT$1005)&gt;0,SUMIF('Detailed Budget'!$D$5:$D$1005,$B27,'Detailed Budget'!$AT$5:$AT$1005),"")</f>
        <v/>
      </c>
      <c r="M27" s="45" t="str">
        <f>IF(SUMIF('Detailed Budget'!$D$5:$D$1005,$B27,'Detailed Budget'!$AV$5:$AV$1005)&gt;0,SUMIF('Detailed Budget'!$D$5:$D$1005,$B27,'Detailed Budget'!$AV$5:$AV$1005),"")</f>
        <v/>
      </c>
      <c r="N27" s="44" t="str">
        <f>IF(SUMIF('Detailed Budget'!$D$5:$D$1005,$B27,'Detailed Budget'!$BA$5:$BA$1005)&gt;0,SUMIF('Detailed Budget'!$D$5:$D$1005,$B27,'Detailed Budget'!$BA$5:$BA$1005),"")</f>
        <v/>
      </c>
      <c r="O27" s="44" t="str">
        <f>IF(SUMIF('Detailed Budget'!$D$5:$D$1005,$B27,'Detailed Budget'!$BC$5:$BC$1005)&gt;0,SUMIF('Detailed Budget'!$D$5:$D$1005,$B27,'Detailed Budget'!$BC$5:$BC$1005),"")</f>
        <v/>
      </c>
      <c r="P27" s="44" t="str">
        <f>IF(SUMIF('Detailed Budget'!$D$5:$D$1005,$B27,'Detailed Budget'!$BE$5:$BE$1005)&gt;0,SUMIF('Detailed Budget'!$D$5:$D$1005,$B27,'Detailed Budget'!$BE$5:$BE$1005),"")</f>
        <v/>
      </c>
      <c r="Q27" s="44" t="str">
        <f>IF(SUMIF('Detailed Budget'!$D$5:$D$1005,$B27,'Detailed Budget'!$BG$5:$BG$1005)&gt;0,SUMIF('Detailed Budget'!$D$5:$D$1005,$B27,'Detailed Budget'!$BG$5:$BG$1005),"")</f>
        <v/>
      </c>
      <c r="R27" s="45" t="str">
        <f>IF(SUMIF('Detailed Budget'!$D$5:$D$1005,$B27,'Detailed Budget'!$BI$5:$BI$1005)&gt;0,SUMIF('Detailed Budget'!$D$5:$D$1005,$B27,'Detailed Budget'!$BI$5:$BI$1005),"")</f>
        <v/>
      </c>
      <c r="S27" s="44" t="str">
        <f>IF(SUMIF('Detailed Budget'!$D$5:$D$1005,$B27,'Detailed Budget'!$BN$5:$BN$1005)&gt;0,SUMIF('Detailed Budget'!$D$5:$D$1005,$B27,'Detailed Budget'!$BN$5:$BN$1005),"")</f>
        <v/>
      </c>
      <c r="T27" s="44" t="str">
        <f>IF(SUMIF('Detailed Budget'!$D$5:$D$1005,$B27,'Detailed Budget'!$BP$5:$BP$1005)&gt;0,SUMIF('Detailed Budget'!$D$5:$D$1005,$B27,'Detailed Budget'!$BP$5:$BP$1005),"")</f>
        <v/>
      </c>
      <c r="U27" s="44" t="str">
        <f>IF(SUMIF('Detailed Budget'!$D$5:$D$1005,$B27,'Detailed Budget'!$BR$5:$BR$1005)&gt;0,SUMIF('Detailed Budget'!$D$5:$D$1005,$B27,'Detailed Budget'!$BR$5:$BR$1005),"")</f>
        <v/>
      </c>
      <c r="V27" s="44" t="str">
        <f>IF(SUMIF('Detailed Budget'!$D$5:$D$1005,$B27,'Detailed Budget'!$BT$5:$BT$1005)&gt;0,SUMIF('Detailed Budget'!$D$5:$D$1005,$B27,'Detailed Budget'!$BT$5:$BT$1005),"")</f>
        <v/>
      </c>
      <c r="W27" s="45" t="str">
        <f>IF(SUMIF('Detailed Budget'!$D$5:$D$1005,$B27,'Detailed Budget'!$BV$5:$BV$1005)&gt;0,SUMIF('Detailed Budget'!$D$5:$D$1005,$B27,'Detailed Budget'!$BV$5:$BV$1005),"")</f>
        <v/>
      </c>
      <c r="X27" s="44" t="str">
        <f t="shared" si="0"/>
        <v/>
      </c>
      <c r="Y27" s="122" t="str">
        <f t="shared" si="1"/>
        <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row>
    <row r="28" spans="1:49" s="35" customFormat="1" x14ac:dyDescent="0.2">
      <c r="A28" s="42"/>
      <c r="B28" s="39" t="str">
        <f t="array" ref="B28">IFERROR(INDEX(ModuleIdList,MATCH(0,COUNTIF(ModuleIdList,"&lt;"&amp;ModuleIdList)-SUM(COUNTIF(ModuleIdList,B$15:B27)),0)),"")</f>
        <v/>
      </c>
      <c r="C28" s="43" t="str">
        <f>IFERROR(INDEX('Data Sheet'!$A$2:$A$26,MATCH(B28,'Data Sheet'!$D$2:$D$26,0)),"")</f>
        <v/>
      </c>
      <c r="D28" s="44" t="str">
        <f>IF(SUMIF('Detailed Budget'!$D$5:$D$1005,$B28,'Detailed Budget'!$AA$5:$AA$1005)&gt;0,SUMIF('Detailed Budget'!$D$5:$D$1005,$B28,'Detailed Budget'!$AA$5:$AA$1005),"")</f>
        <v/>
      </c>
      <c r="E28" s="44" t="str">
        <f>IF(SUMIF('Detailed Budget'!$D$5:$D$1005,$B28,'Detailed Budget'!$AC$5:$AC$1005)&gt;0,SUMIF('Detailed Budget'!$D$5:$D$1005,$B28,'Detailed Budget'!$AC$5:$AC$1005),"")</f>
        <v/>
      </c>
      <c r="F28" s="44" t="str">
        <f>IF(SUMIF('Detailed Budget'!$D$5:$D$1005,$B28,'Detailed Budget'!$AE$5:$AE$1005)&gt;0,SUMIF('Detailed Budget'!$D$5:$D$1005,$B28,'Detailed Budget'!$AE$5:$AE$1005),"")</f>
        <v/>
      </c>
      <c r="G28" s="44" t="str">
        <f>IF(SUMIF('Detailed Budget'!$D$5:$D$1005,$B28,'Detailed Budget'!$AG$5:$AG$1005)&gt;0,SUMIF('Detailed Budget'!$D$5:$D$1005,$B28,'Detailed Budget'!$AG$5:$AG$1005),"")</f>
        <v/>
      </c>
      <c r="H28" s="45" t="str">
        <f>IF(SUMIF('Detailed Budget'!$D$5:$D$1005,$B28,'Detailed Budget'!$AI$5:$AI$1005)&gt;0,SUMIF('Detailed Budget'!$D$5:$D$1005,$B28,'Detailed Budget'!$AI$5:$AI$1005),"")</f>
        <v/>
      </c>
      <c r="I28" s="44" t="str">
        <f>IF(SUMIF('Detailed Budget'!$D$5:$D$1005,$B28,'Detailed Budget'!$AN$5:$AN$1005)&gt;0,SUMIF('Detailed Budget'!$D$5:$D$1005,$B28,'Detailed Budget'!$AN$5:$AN$1005),"")</f>
        <v/>
      </c>
      <c r="J28" s="44" t="str">
        <f>IF(SUMIF('Detailed Budget'!$D$5:$D$1005,$B28,'Detailed Budget'!$AP$5:$AP$1005)&gt;0,SUMIF('Detailed Budget'!$D$5:$D$1005,$B28,'Detailed Budget'!$AP$5:$AP$1005),"")</f>
        <v/>
      </c>
      <c r="K28" s="44" t="str">
        <f>IF(SUMIF('Detailed Budget'!$D$5:$D$1005,$B28,'Detailed Budget'!$AR$5:$AR$1005)&gt;0,SUMIF('Detailed Budget'!$D$5:$D$1005,$B28,'Detailed Budget'!$AR$5:$AR$1005),"")</f>
        <v/>
      </c>
      <c r="L28" s="44" t="str">
        <f>IF(SUMIF('Detailed Budget'!$D$5:$D$1005,$B28,'Detailed Budget'!$AT$5:$AT$1005)&gt;0,SUMIF('Detailed Budget'!$D$5:$D$1005,$B28,'Detailed Budget'!$AT$5:$AT$1005),"")</f>
        <v/>
      </c>
      <c r="M28" s="45" t="str">
        <f>IF(SUMIF('Detailed Budget'!$D$5:$D$1005,$B28,'Detailed Budget'!$AV$5:$AV$1005)&gt;0,SUMIF('Detailed Budget'!$D$5:$D$1005,$B28,'Detailed Budget'!$AV$5:$AV$1005),"")</f>
        <v/>
      </c>
      <c r="N28" s="44" t="str">
        <f>IF(SUMIF('Detailed Budget'!$D$5:$D$1005,$B28,'Detailed Budget'!$BA$5:$BA$1005)&gt;0,SUMIF('Detailed Budget'!$D$5:$D$1005,$B28,'Detailed Budget'!$BA$5:$BA$1005),"")</f>
        <v/>
      </c>
      <c r="O28" s="44" t="str">
        <f>IF(SUMIF('Detailed Budget'!$D$5:$D$1005,$B28,'Detailed Budget'!$BC$5:$BC$1005)&gt;0,SUMIF('Detailed Budget'!$D$5:$D$1005,$B28,'Detailed Budget'!$BC$5:$BC$1005),"")</f>
        <v/>
      </c>
      <c r="P28" s="44" t="str">
        <f>IF(SUMIF('Detailed Budget'!$D$5:$D$1005,$B28,'Detailed Budget'!$BE$5:$BE$1005)&gt;0,SUMIF('Detailed Budget'!$D$5:$D$1005,$B28,'Detailed Budget'!$BE$5:$BE$1005),"")</f>
        <v/>
      </c>
      <c r="Q28" s="44" t="str">
        <f>IF(SUMIF('Detailed Budget'!$D$5:$D$1005,$B28,'Detailed Budget'!$BG$5:$BG$1005)&gt;0,SUMIF('Detailed Budget'!$D$5:$D$1005,$B28,'Detailed Budget'!$BG$5:$BG$1005),"")</f>
        <v/>
      </c>
      <c r="R28" s="45" t="str">
        <f>IF(SUMIF('Detailed Budget'!$D$5:$D$1005,$B28,'Detailed Budget'!$BI$5:$BI$1005)&gt;0,SUMIF('Detailed Budget'!$D$5:$D$1005,$B28,'Detailed Budget'!$BI$5:$BI$1005),"")</f>
        <v/>
      </c>
      <c r="S28" s="44" t="str">
        <f>IF(SUMIF('Detailed Budget'!$D$5:$D$1005,$B28,'Detailed Budget'!$BN$5:$BN$1005)&gt;0,SUMIF('Detailed Budget'!$D$5:$D$1005,$B28,'Detailed Budget'!$BN$5:$BN$1005),"")</f>
        <v/>
      </c>
      <c r="T28" s="44" t="str">
        <f>IF(SUMIF('Detailed Budget'!$D$5:$D$1005,$B28,'Detailed Budget'!$BP$5:$BP$1005)&gt;0,SUMIF('Detailed Budget'!$D$5:$D$1005,$B28,'Detailed Budget'!$BP$5:$BP$1005),"")</f>
        <v/>
      </c>
      <c r="U28" s="44" t="str">
        <f>IF(SUMIF('Detailed Budget'!$D$5:$D$1005,$B28,'Detailed Budget'!$BR$5:$BR$1005)&gt;0,SUMIF('Detailed Budget'!$D$5:$D$1005,$B28,'Detailed Budget'!$BR$5:$BR$1005),"")</f>
        <v/>
      </c>
      <c r="V28" s="44" t="str">
        <f>IF(SUMIF('Detailed Budget'!$D$5:$D$1005,$B28,'Detailed Budget'!$BT$5:$BT$1005)&gt;0,SUMIF('Detailed Budget'!$D$5:$D$1005,$B28,'Detailed Budget'!$BT$5:$BT$1005),"")</f>
        <v/>
      </c>
      <c r="W28" s="45" t="str">
        <f>IF(SUMIF('Detailed Budget'!$D$5:$D$1005,$B28,'Detailed Budget'!$BV$5:$BV$1005)&gt;0,SUMIF('Detailed Budget'!$D$5:$D$1005,$B28,'Detailed Budget'!$BV$5:$BV$1005),"")</f>
        <v/>
      </c>
      <c r="X28" s="44" t="str">
        <f t="shared" si="0"/>
        <v/>
      </c>
      <c r="Y28" s="122" t="str">
        <f t="shared" si="1"/>
        <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row>
    <row r="29" spans="1:49" s="35" customFormat="1" x14ac:dyDescent="0.2">
      <c r="A29" s="42"/>
      <c r="B29" s="39" t="str">
        <f t="array" ref="B29">IFERROR(INDEX(ModuleIdList,MATCH(0,COUNTIF(ModuleIdList,"&lt;"&amp;ModuleIdList)-SUM(COUNTIF(ModuleIdList,B$15:B28)),0)),"")</f>
        <v/>
      </c>
      <c r="C29" s="43" t="str">
        <f>IFERROR(INDEX('Data Sheet'!$A$2:$A$26,MATCH(B29,'Data Sheet'!$D$2:$D$26,0)),"")</f>
        <v/>
      </c>
      <c r="D29" s="44" t="str">
        <f>IF(SUMIF('Detailed Budget'!$D$5:$D$1005,$B29,'Detailed Budget'!$AA$5:$AA$1005)&gt;0,SUMIF('Detailed Budget'!$D$5:$D$1005,$B29,'Detailed Budget'!$AA$5:$AA$1005),"")</f>
        <v/>
      </c>
      <c r="E29" s="44" t="str">
        <f>IF(SUMIF('Detailed Budget'!$D$5:$D$1005,$B29,'Detailed Budget'!$AC$5:$AC$1005)&gt;0,SUMIF('Detailed Budget'!$D$5:$D$1005,$B29,'Detailed Budget'!$AC$5:$AC$1005),"")</f>
        <v/>
      </c>
      <c r="F29" s="44" t="str">
        <f>IF(SUMIF('Detailed Budget'!$D$5:$D$1005,$B29,'Detailed Budget'!$AE$5:$AE$1005)&gt;0,SUMIF('Detailed Budget'!$D$5:$D$1005,$B29,'Detailed Budget'!$AE$5:$AE$1005),"")</f>
        <v/>
      </c>
      <c r="G29" s="44" t="str">
        <f>IF(SUMIF('Detailed Budget'!$D$5:$D$1005,$B29,'Detailed Budget'!$AG$5:$AG$1005)&gt;0,SUMIF('Detailed Budget'!$D$5:$D$1005,$B29,'Detailed Budget'!$AG$5:$AG$1005),"")</f>
        <v/>
      </c>
      <c r="H29" s="45" t="str">
        <f>IF(SUMIF('Detailed Budget'!$D$5:$D$1005,$B29,'Detailed Budget'!$AI$5:$AI$1005)&gt;0,SUMIF('Detailed Budget'!$D$5:$D$1005,$B29,'Detailed Budget'!$AI$5:$AI$1005),"")</f>
        <v/>
      </c>
      <c r="I29" s="44" t="str">
        <f>IF(SUMIF('Detailed Budget'!$D$5:$D$1005,$B29,'Detailed Budget'!$AN$5:$AN$1005)&gt;0,SUMIF('Detailed Budget'!$D$5:$D$1005,$B29,'Detailed Budget'!$AN$5:$AN$1005),"")</f>
        <v/>
      </c>
      <c r="J29" s="44" t="str">
        <f>IF(SUMIF('Detailed Budget'!$D$5:$D$1005,$B29,'Detailed Budget'!$AP$5:$AP$1005)&gt;0,SUMIF('Detailed Budget'!$D$5:$D$1005,$B29,'Detailed Budget'!$AP$5:$AP$1005),"")</f>
        <v/>
      </c>
      <c r="K29" s="44" t="str">
        <f>IF(SUMIF('Detailed Budget'!$D$5:$D$1005,$B29,'Detailed Budget'!$AR$5:$AR$1005)&gt;0,SUMIF('Detailed Budget'!$D$5:$D$1005,$B29,'Detailed Budget'!$AR$5:$AR$1005),"")</f>
        <v/>
      </c>
      <c r="L29" s="44" t="str">
        <f>IF(SUMIF('Detailed Budget'!$D$5:$D$1005,$B29,'Detailed Budget'!$AT$5:$AT$1005)&gt;0,SUMIF('Detailed Budget'!$D$5:$D$1005,$B29,'Detailed Budget'!$AT$5:$AT$1005),"")</f>
        <v/>
      </c>
      <c r="M29" s="45" t="str">
        <f>IF(SUMIF('Detailed Budget'!$D$5:$D$1005,$B29,'Detailed Budget'!$AV$5:$AV$1005)&gt;0,SUMIF('Detailed Budget'!$D$5:$D$1005,$B29,'Detailed Budget'!$AV$5:$AV$1005),"")</f>
        <v/>
      </c>
      <c r="N29" s="44" t="str">
        <f>IF(SUMIF('Detailed Budget'!$D$5:$D$1005,$B29,'Detailed Budget'!$BA$5:$BA$1005)&gt;0,SUMIF('Detailed Budget'!$D$5:$D$1005,$B29,'Detailed Budget'!$BA$5:$BA$1005),"")</f>
        <v/>
      </c>
      <c r="O29" s="44" t="str">
        <f>IF(SUMIF('Detailed Budget'!$D$5:$D$1005,$B29,'Detailed Budget'!$BC$5:$BC$1005)&gt;0,SUMIF('Detailed Budget'!$D$5:$D$1005,$B29,'Detailed Budget'!$BC$5:$BC$1005),"")</f>
        <v/>
      </c>
      <c r="P29" s="44" t="str">
        <f>IF(SUMIF('Detailed Budget'!$D$5:$D$1005,$B29,'Detailed Budget'!$BE$5:$BE$1005)&gt;0,SUMIF('Detailed Budget'!$D$5:$D$1005,$B29,'Detailed Budget'!$BE$5:$BE$1005),"")</f>
        <v/>
      </c>
      <c r="Q29" s="44" t="str">
        <f>IF(SUMIF('Detailed Budget'!$D$5:$D$1005,$B29,'Detailed Budget'!$BG$5:$BG$1005)&gt;0,SUMIF('Detailed Budget'!$D$5:$D$1005,$B29,'Detailed Budget'!$BG$5:$BG$1005),"")</f>
        <v/>
      </c>
      <c r="R29" s="45" t="str">
        <f>IF(SUMIF('Detailed Budget'!$D$5:$D$1005,$B29,'Detailed Budget'!$BI$5:$BI$1005)&gt;0,SUMIF('Detailed Budget'!$D$5:$D$1005,$B29,'Detailed Budget'!$BI$5:$BI$1005),"")</f>
        <v/>
      </c>
      <c r="S29" s="44" t="str">
        <f>IF(SUMIF('Detailed Budget'!$D$5:$D$1005,$B29,'Detailed Budget'!$BN$5:$BN$1005)&gt;0,SUMIF('Detailed Budget'!$D$5:$D$1005,$B29,'Detailed Budget'!$BN$5:$BN$1005),"")</f>
        <v/>
      </c>
      <c r="T29" s="44" t="str">
        <f>IF(SUMIF('Detailed Budget'!$D$5:$D$1005,$B29,'Detailed Budget'!$BP$5:$BP$1005)&gt;0,SUMIF('Detailed Budget'!$D$5:$D$1005,$B29,'Detailed Budget'!$BP$5:$BP$1005),"")</f>
        <v/>
      </c>
      <c r="U29" s="44" t="str">
        <f>IF(SUMIF('Detailed Budget'!$D$5:$D$1005,$B29,'Detailed Budget'!$BR$5:$BR$1005)&gt;0,SUMIF('Detailed Budget'!$D$5:$D$1005,$B29,'Detailed Budget'!$BR$5:$BR$1005),"")</f>
        <v/>
      </c>
      <c r="V29" s="44" t="str">
        <f>IF(SUMIF('Detailed Budget'!$D$5:$D$1005,$B29,'Detailed Budget'!$BT$5:$BT$1005)&gt;0,SUMIF('Detailed Budget'!$D$5:$D$1005,$B29,'Detailed Budget'!$BT$5:$BT$1005),"")</f>
        <v/>
      </c>
      <c r="W29" s="45" t="str">
        <f>IF(SUMIF('Detailed Budget'!$D$5:$D$1005,$B29,'Detailed Budget'!$BV$5:$BV$1005)&gt;0,SUMIF('Detailed Budget'!$D$5:$D$1005,$B29,'Detailed Budget'!$BV$5:$BV$1005),"")</f>
        <v/>
      </c>
      <c r="X29" s="44" t="str">
        <f t="shared" si="0"/>
        <v/>
      </c>
      <c r="Y29" s="122" t="str">
        <f t="shared" si="1"/>
        <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row r="30" spans="1:49" s="35" customFormat="1" x14ac:dyDescent="0.2">
      <c r="A30" s="42"/>
      <c r="B30" s="39" t="str">
        <f t="array" ref="B30">IFERROR(INDEX(ModuleIdList,MATCH(0,COUNTIF(ModuleIdList,"&lt;"&amp;ModuleIdList)-SUM(COUNTIF(ModuleIdList,B$15:B29)),0)),"")</f>
        <v/>
      </c>
      <c r="C30" s="43" t="str">
        <f>IFERROR(INDEX('Data Sheet'!$A$2:$A$26,MATCH(B30,'Data Sheet'!$D$2:$D$26,0)),"")</f>
        <v/>
      </c>
      <c r="D30" s="44" t="str">
        <f>IF(SUMIF('Detailed Budget'!$D$5:$D$1005,$B30,'Detailed Budget'!$AA$5:$AA$1005)&gt;0,SUMIF('Detailed Budget'!$D$5:$D$1005,$B30,'Detailed Budget'!$AA$5:$AA$1005),"")</f>
        <v/>
      </c>
      <c r="E30" s="44" t="str">
        <f>IF(SUMIF('Detailed Budget'!$D$5:$D$1005,$B30,'Detailed Budget'!$AC$5:$AC$1005)&gt;0,SUMIF('Detailed Budget'!$D$5:$D$1005,$B30,'Detailed Budget'!$AC$5:$AC$1005),"")</f>
        <v/>
      </c>
      <c r="F30" s="44" t="str">
        <f>IF(SUMIF('Detailed Budget'!$D$5:$D$1005,$B30,'Detailed Budget'!$AE$5:$AE$1005)&gt;0,SUMIF('Detailed Budget'!$D$5:$D$1005,$B30,'Detailed Budget'!$AE$5:$AE$1005),"")</f>
        <v/>
      </c>
      <c r="G30" s="44" t="str">
        <f>IF(SUMIF('Detailed Budget'!$D$5:$D$1005,$B30,'Detailed Budget'!$AG$5:$AG$1005)&gt;0,SUMIF('Detailed Budget'!$D$5:$D$1005,$B30,'Detailed Budget'!$AG$5:$AG$1005),"")</f>
        <v/>
      </c>
      <c r="H30" s="45" t="str">
        <f>IF(SUMIF('Detailed Budget'!$D$5:$D$1005,$B30,'Detailed Budget'!$AI$5:$AI$1005)&gt;0,SUMIF('Detailed Budget'!$D$5:$D$1005,$B30,'Detailed Budget'!$AI$5:$AI$1005),"")</f>
        <v/>
      </c>
      <c r="I30" s="44" t="str">
        <f>IF(SUMIF('Detailed Budget'!$D$5:$D$1005,$B30,'Detailed Budget'!$AN$5:$AN$1005)&gt;0,SUMIF('Detailed Budget'!$D$5:$D$1005,$B30,'Detailed Budget'!$AN$5:$AN$1005),"")</f>
        <v/>
      </c>
      <c r="J30" s="44" t="str">
        <f>IF(SUMIF('Detailed Budget'!$D$5:$D$1005,$B30,'Detailed Budget'!$AP$5:$AP$1005)&gt;0,SUMIF('Detailed Budget'!$D$5:$D$1005,$B30,'Detailed Budget'!$AP$5:$AP$1005),"")</f>
        <v/>
      </c>
      <c r="K30" s="44" t="str">
        <f>IF(SUMIF('Detailed Budget'!$D$5:$D$1005,$B30,'Detailed Budget'!$AR$5:$AR$1005)&gt;0,SUMIF('Detailed Budget'!$D$5:$D$1005,$B30,'Detailed Budget'!$AR$5:$AR$1005),"")</f>
        <v/>
      </c>
      <c r="L30" s="44" t="str">
        <f>IF(SUMIF('Detailed Budget'!$D$5:$D$1005,$B30,'Detailed Budget'!$AT$5:$AT$1005)&gt;0,SUMIF('Detailed Budget'!$D$5:$D$1005,$B30,'Detailed Budget'!$AT$5:$AT$1005),"")</f>
        <v/>
      </c>
      <c r="M30" s="45" t="str">
        <f>IF(SUMIF('Detailed Budget'!$D$5:$D$1005,$B30,'Detailed Budget'!$AV$5:$AV$1005)&gt;0,SUMIF('Detailed Budget'!$D$5:$D$1005,$B30,'Detailed Budget'!$AV$5:$AV$1005),"")</f>
        <v/>
      </c>
      <c r="N30" s="44" t="str">
        <f>IF(SUMIF('Detailed Budget'!$D$5:$D$1005,$B30,'Detailed Budget'!$BA$5:$BA$1005)&gt;0,SUMIF('Detailed Budget'!$D$5:$D$1005,$B30,'Detailed Budget'!$BA$5:$BA$1005),"")</f>
        <v/>
      </c>
      <c r="O30" s="44" t="str">
        <f>IF(SUMIF('Detailed Budget'!$D$5:$D$1005,$B30,'Detailed Budget'!$BC$5:$BC$1005)&gt;0,SUMIF('Detailed Budget'!$D$5:$D$1005,$B30,'Detailed Budget'!$BC$5:$BC$1005),"")</f>
        <v/>
      </c>
      <c r="P30" s="44" t="str">
        <f>IF(SUMIF('Detailed Budget'!$D$5:$D$1005,$B30,'Detailed Budget'!$BE$5:$BE$1005)&gt;0,SUMIF('Detailed Budget'!$D$5:$D$1005,$B30,'Detailed Budget'!$BE$5:$BE$1005),"")</f>
        <v/>
      </c>
      <c r="Q30" s="44" t="str">
        <f>IF(SUMIF('Detailed Budget'!$D$5:$D$1005,$B30,'Detailed Budget'!$BG$5:$BG$1005)&gt;0,SUMIF('Detailed Budget'!$D$5:$D$1005,$B30,'Detailed Budget'!$BG$5:$BG$1005),"")</f>
        <v/>
      </c>
      <c r="R30" s="45" t="str">
        <f>IF(SUMIF('Detailed Budget'!$D$5:$D$1005,$B30,'Detailed Budget'!$BI$5:$BI$1005)&gt;0,SUMIF('Detailed Budget'!$D$5:$D$1005,$B30,'Detailed Budget'!$BI$5:$BI$1005),"")</f>
        <v/>
      </c>
      <c r="S30" s="44" t="str">
        <f>IF(SUMIF('Detailed Budget'!$D$5:$D$1005,$B30,'Detailed Budget'!$BN$5:$BN$1005)&gt;0,SUMIF('Detailed Budget'!$D$5:$D$1005,$B30,'Detailed Budget'!$BN$5:$BN$1005),"")</f>
        <v/>
      </c>
      <c r="T30" s="44" t="str">
        <f>IF(SUMIF('Detailed Budget'!$D$5:$D$1005,$B30,'Detailed Budget'!$BP$5:$BP$1005)&gt;0,SUMIF('Detailed Budget'!$D$5:$D$1005,$B30,'Detailed Budget'!$BP$5:$BP$1005),"")</f>
        <v/>
      </c>
      <c r="U30" s="44" t="str">
        <f>IF(SUMIF('Detailed Budget'!$D$5:$D$1005,$B30,'Detailed Budget'!$BR$5:$BR$1005)&gt;0,SUMIF('Detailed Budget'!$D$5:$D$1005,$B30,'Detailed Budget'!$BR$5:$BR$1005),"")</f>
        <v/>
      </c>
      <c r="V30" s="44" t="str">
        <f>IF(SUMIF('Detailed Budget'!$D$5:$D$1005,$B30,'Detailed Budget'!$BT$5:$BT$1005)&gt;0,SUMIF('Detailed Budget'!$D$5:$D$1005,$B30,'Detailed Budget'!$BT$5:$BT$1005),"")</f>
        <v/>
      </c>
      <c r="W30" s="45" t="str">
        <f>IF(SUMIF('Detailed Budget'!$D$5:$D$1005,$B30,'Detailed Budget'!$BV$5:$BV$1005)&gt;0,SUMIF('Detailed Budget'!$D$5:$D$1005,$B30,'Detailed Budget'!$BV$5:$BV$1005),"")</f>
        <v/>
      </c>
      <c r="X30" s="44" t="str">
        <f t="shared" si="0"/>
        <v/>
      </c>
      <c r="Y30" s="122" t="str">
        <f t="shared" si="1"/>
        <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row>
    <row r="31" spans="1:49" s="35" customFormat="1" x14ac:dyDescent="0.2">
      <c r="A31" s="42"/>
      <c r="B31" s="39" t="str">
        <f t="array" ref="B31">IFERROR(INDEX(ModuleIdList,MATCH(0,COUNTIF(ModuleIdList,"&lt;"&amp;ModuleIdList)-SUM(COUNTIF(ModuleIdList,B$15:B30)),0)),"")</f>
        <v/>
      </c>
      <c r="C31" s="43" t="str">
        <f>IFERROR(INDEX('Data Sheet'!$A$2:$A$26,MATCH(B31,'Data Sheet'!$D$2:$D$26,0)),"")</f>
        <v/>
      </c>
      <c r="D31" s="44" t="str">
        <f>IF(SUMIF('Detailed Budget'!$D$5:$D$1005,$B31,'Detailed Budget'!$AA$5:$AA$1005)&gt;0,SUMIF('Detailed Budget'!$D$5:$D$1005,$B31,'Detailed Budget'!$AA$5:$AA$1005),"")</f>
        <v/>
      </c>
      <c r="E31" s="44" t="str">
        <f>IF(SUMIF('Detailed Budget'!$D$5:$D$1005,$B31,'Detailed Budget'!$AC$5:$AC$1005)&gt;0,SUMIF('Detailed Budget'!$D$5:$D$1005,$B31,'Detailed Budget'!$AC$5:$AC$1005),"")</f>
        <v/>
      </c>
      <c r="F31" s="44" t="str">
        <f>IF(SUMIF('Detailed Budget'!$D$5:$D$1005,$B31,'Detailed Budget'!$AE$5:$AE$1005)&gt;0,SUMIF('Detailed Budget'!$D$5:$D$1005,$B31,'Detailed Budget'!$AE$5:$AE$1005),"")</f>
        <v/>
      </c>
      <c r="G31" s="44" t="str">
        <f>IF(SUMIF('Detailed Budget'!$D$5:$D$1005,$B31,'Detailed Budget'!$AG$5:$AG$1005)&gt;0,SUMIF('Detailed Budget'!$D$5:$D$1005,$B31,'Detailed Budget'!$AG$5:$AG$1005),"")</f>
        <v/>
      </c>
      <c r="H31" s="45" t="str">
        <f>IF(SUMIF('Detailed Budget'!$D$5:$D$1005,$B31,'Detailed Budget'!$AI$5:$AI$1005)&gt;0,SUMIF('Detailed Budget'!$D$5:$D$1005,$B31,'Detailed Budget'!$AI$5:$AI$1005),"")</f>
        <v/>
      </c>
      <c r="I31" s="44" t="str">
        <f>IF(SUMIF('Detailed Budget'!$D$5:$D$1005,$B31,'Detailed Budget'!$AN$5:$AN$1005)&gt;0,SUMIF('Detailed Budget'!$D$5:$D$1005,$B31,'Detailed Budget'!$AN$5:$AN$1005),"")</f>
        <v/>
      </c>
      <c r="J31" s="44" t="str">
        <f>IF(SUMIF('Detailed Budget'!$D$5:$D$1005,$B31,'Detailed Budget'!$AP$5:$AP$1005)&gt;0,SUMIF('Detailed Budget'!$D$5:$D$1005,$B31,'Detailed Budget'!$AP$5:$AP$1005),"")</f>
        <v/>
      </c>
      <c r="K31" s="44" t="str">
        <f>IF(SUMIF('Detailed Budget'!$D$5:$D$1005,$B31,'Detailed Budget'!$AR$5:$AR$1005)&gt;0,SUMIF('Detailed Budget'!$D$5:$D$1005,$B31,'Detailed Budget'!$AR$5:$AR$1005),"")</f>
        <v/>
      </c>
      <c r="L31" s="44" t="str">
        <f>IF(SUMIF('Detailed Budget'!$D$5:$D$1005,$B31,'Detailed Budget'!$AT$5:$AT$1005)&gt;0,SUMIF('Detailed Budget'!$D$5:$D$1005,$B31,'Detailed Budget'!$AT$5:$AT$1005),"")</f>
        <v/>
      </c>
      <c r="M31" s="45" t="str">
        <f>IF(SUMIF('Detailed Budget'!$D$5:$D$1005,$B31,'Detailed Budget'!$AV$5:$AV$1005)&gt;0,SUMIF('Detailed Budget'!$D$5:$D$1005,$B31,'Detailed Budget'!$AV$5:$AV$1005),"")</f>
        <v/>
      </c>
      <c r="N31" s="44" t="str">
        <f>IF(SUMIF('Detailed Budget'!$D$5:$D$1005,$B31,'Detailed Budget'!$BA$5:$BA$1005)&gt;0,SUMIF('Detailed Budget'!$D$5:$D$1005,$B31,'Detailed Budget'!$BA$5:$BA$1005),"")</f>
        <v/>
      </c>
      <c r="O31" s="44" t="str">
        <f>IF(SUMIF('Detailed Budget'!$D$5:$D$1005,$B31,'Detailed Budget'!$BC$5:$BC$1005)&gt;0,SUMIF('Detailed Budget'!$D$5:$D$1005,$B31,'Detailed Budget'!$BC$5:$BC$1005),"")</f>
        <v/>
      </c>
      <c r="P31" s="44" t="str">
        <f>IF(SUMIF('Detailed Budget'!$D$5:$D$1005,$B31,'Detailed Budget'!$BE$5:$BE$1005)&gt;0,SUMIF('Detailed Budget'!$D$5:$D$1005,$B31,'Detailed Budget'!$BE$5:$BE$1005),"")</f>
        <v/>
      </c>
      <c r="Q31" s="44" t="str">
        <f>IF(SUMIF('Detailed Budget'!$D$5:$D$1005,$B31,'Detailed Budget'!$BG$5:$BG$1005)&gt;0,SUMIF('Detailed Budget'!$D$5:$D$1005,$B31,'Detailed Budget'!$BG$5:$BG$1005),"")</f>
        <v/>
      </c>
      <c r="R31" s="45" t="str">
        <f>IF(SUMIF('Detailed Budget'!$D$5:$D$1005,$B31,'Detailed Budget'!$BI$5:$BI$1005)&gt;0,SUMIF('Detailed Budget'!$D$5:$D$1005,$B31,'Detailed Budget'!$BI$5:$BI$1005),"")</f>
        <v/>
      </c>
      <c r="S31" s="44" t="str">
        <f>IF(SUMIF('Detailed Budget'!$D$5:$D$1005,$B31,'Detailed Budget'!$BN$5:$BN$1005)&gt;0,SUMIF('Detailed Budget'!$D$5:$D$1005,$B31,'Detailed Budget'!$BN$5:$BN$1005),"")</f>
        <v/>
      </c>
      <c r="T31" s="44" t="str">
        <f>IF(SUMIF('Detailed Budget'!$D$5:$D$1005,$B31,'Detailed Budget'!$BP$5:$BP$1005)&gt;0,SUMIF('Detailed Budget'!$D$5:$D$1005,$B31,'Detailed Budget'!$BP$5:$BP$1005),"")</f>
        <v/>
      </c>
      <c r="U31" s="44" t="str">
        <f>IF(SUMIF('Detailed Budget'!$D$5:$D$1005,$B31,'Detailed Budget'!$BR$5:$BR$1005)&gt;0,SUMIF('Detailed Budget'!$D$5:$D$1005,$B31,'Detailed Budget'!$BR$5:$BR$1005),"")</f>
        <v/>
      </c>
      <c r="V31" s="44" t="str">
        <f>IF(SUMIF('Detailed Budget'!$D$5:$D$1005,$B31,'Detailed Budget'!$BT$5:$BT$1005)&gt;0,SUMIF('Detailed Budget'!$D$5:$D$1005,$B31,'Detailed Budget'!$BT$5:$BT$1005),"")</f>
        <v/>
      </c>
      <c r="W31" s="45" t="str">
        <f>IF(SUMIF('Detailed Budget'!$D$5:$D$1005,$B31,'Detailed Budget'!$BV$5:$BV$1005)&gt;0,SUMIF('Detailed Budget'!$D$5:$D$1005,$B31,'Detailed Budget'!$BV$5:$BV$1005),"")</f>
        <v/>
      </c>
      <c r="X31" s="44" t="str">
        <f t="shared" si="0"/>
        <v/>
      </c>
      <c r="Y31" s="122" t="str">
        <f t="shared" si="1"/>
        <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row>
    <row r="32" spans="1:49" s="35" customFormat="1" x14ac:dyDescent="0.2">
      <c r="A32" s="42"/>
      <c r="B32" s="39" t="str">
        <f t="array" ref="B32">IFERROR(INDEX(ModuleIdList,MATCH(0,COUNTIF(ModuleIdList,"&lt;"&amp;ModuleIdList)-SUM(COUNTIF(ModuleIdList,B$15:B31)),0)),"")</f>
        <v/>
      </c>
      <c r="C32" s="43" t="str">
        <f>IFERROR(INDEX('Data Sheet'!$A$2:$A$26,MATCH(B32,'Data Sheet'!$D$2:$D$26,0)),"")</f>
        <v/>
      </c>
      <c r="D32" s="44" t="str">
        <f>IF(SUMIF('Detailed Budget'!$D$5:$D$1005,$B32,'Detailed Budget'!$AA$5:$AA$1005)&gt;0,SUMIF('Detailed Budget'!$D$5:$D$1005,$B32,'Detailed Budget'!$AA$5:$AA$1005),"")</f>
        <v/>
      </c>
      <c r="E32" s="44" t="str">
        <f>IF(SUMIF('Detailed Budget'!$D$5:$D$1005,$B32,'Detailed Budget'!$AC$5:$AC$1005)&gt;0,SUMIF('Detailed Budget'!$D$5:$D$1005,$B32,'Detailed Budget'!$AC$5:$AC$1005),"")</f>
        <v/>
      </c>
      <c r="F32" s="44" t="str">
        <f>IF(SUMIF('Detailed Budget'!$D$5:$D$1005,$B32,'Detailed Budget'!$AE$5:$AE$1005)&gt;0,SUMIF('Detailed Budget'!$D$5:$D$1005,$B32,'Detailed Budget'!$AE$5:$AE$1005),"")</f>
        <v/>
      </c>
      <c r="G32" s="44" t="str">
        <f>IF(SUMIF('Detailed Budget'!$D$5:$D$1005,$B32,'Detailed Budget'!$AG$5:$AG$1005)&gt;0,SUMIF('Detailed Budget'!$D$5:$D$1005,$B32,'Detailed Budget'!$AG$5:$AG$1005),"")</f>
        <v/>
      </c>
      <c r="H32" s="45" t="str">
        <f>IF(SUMIF('Detailed Budget'!$D$5:$D$1005,$B32,'Detailed Budget'!$AI$5:$AI$1005)&gt;0,SUMIF('Detailed Budget'!$D$5:$D$1005,$B32,'Detailed Budget'!$AI$5:$AI$1005),"")</f>
        <v/>
      </c>
      <c r="I32" s="44" t="str">
        <f>IF(SUMIF('Detailed Budget'!$D$5:$D$1005,$B32,'Detailed Budget'!$AN$5:$AN$1005)&gt;0,SUMIF('Detailed Budget'!$D$5:$D$1005,$B32,'Detailed Budget'!$AN$5:$AN$1005),"")</f>
        <v/>
      </c>
      <c r="J32" s="44" t="str">
        <f>IF(SUMIF('Detailed Budget'!$D$5:$D$1005,$B32,'Detailed Budget'!$AP$5:$AP$1005)&gt;0,SUMIF('Detailed Budget'!$D$5:$D$1005,$B32,'Detailed Budget'!$AP$5:$AP$1005),"")</f>
        <v/>
      </c>
      <c r="K32" s="44" t="str">
        <f>IF(SUMIF('Detailed Budget'!$D$5:$D$1005,$B32,'Detailed Budget'!$AR$5:$AR$1005)&gt;0,SUMIF('Detailed Budget'!$D$5:$D$1005,$B32,'Detailed Budget'!$AR$5:$AR$1005),"")</f>
        <v/>
      </c>
      <c r="L32" s="44" t="str">
        <f>IF(SUMIF('Detailed Budget'!$D$5:$D$1005,$B32,'Detailed Budget'!$AT$5:$AT$1005)&gt;0,SUMIF('Detailed Budget'!$D$5:$D$1005,$B32,'Detailed Budget'!$AT$5:$AT$1005),"")</f>
        <v/>
      </c>
      <c r="M32" s="45" t="str">
        <f>IF(SUMIF('Detailed Budget'!$D$5:$D$1005,$B32,'Detailed Budget'!$AV$5:$AV$1005)&gt;0,SUMIF('Detailed Budget'!$D$5:$D$1005,$B32,'Detailed Budget'!$AV$5:$AV$1005),"")</f>
        <v/>
      </c>
      <c r="N32" s="44" t="str">
        <f>IF(SUMIF('Detailed Budget'!$D$5:$D$1005,$B32,'Detailed Budget'!$BA$5:$BA$1005)&gt;0,SUMIF('Detailed Budget'!$D$5:$D$1005,$B32,'Detailed Budget'!$BA$5:$BA$1005),"")</f>
        <v/>
      </c>
      <c r="O32" s="44" t="str">
        <f>IF(SUMIF('Detailed Budget'!$D$5:$D$1005,$B32,'Detailed Budget'!$BC$5:$BC$1005)&gt;0,SUMIF('Detailed Budget'!$D$5:$D$1005,$B32,'Detailed Budget'!$BC$5:$BC$1005),"")</f>
        <v/>
      </c>
      <c r="P32" s="44" t="str">
        <f>IF(SUMIF('Detailed Budget'!$D$5:$D$1005,$B32,'Detailed Budget'!$BE$5:$BE$1005)&gt;0,SUMIF('Detailed Budget'!$D$5:$D$1005,$B32,'Detailed Budget'!$BE$5:$BE$1005),"")</f>
        <v/>
      </c>
      <c r="Q32" s="44" t="str">
        <f>IF(SUMIF('Detailed Budget'!$D$5:$D$1005,$B32,'Detailed Budget'!$BG$5:$BG$1005)&gt;0,SUMIF('Detailed Budget'!$D$5:$D$1005,$B32,'Detailed Budget'!$BG$5:$BG$1005),"")</f>
        <v/>
      </c>
      <c r="R32" s="45" t="str">
        <f>IF(SUMIF('Detailed Budget'!$D$5:$D$1005,$B32,'Detailed Budget'!$BI$5:$BI$1005)&gt;0,SUMIF('Detailed Budget'!$D$5:$D$1005,$B32,'Detailed Budget'!$BI$5:$BI$1005),"")</f>
        <v/>
      </c>
      <c r="S32" s="44" t="str">
        <f>IF(SUMIF('Detailed Budget'!$D$5:$D$1005,$B32,'Detailed Budget'!$BN$5:$BN$1005)&gt;0,SUMIF('Detailed Budget'!$D$5:$D$1005,$B32,'Detailed Budget'!$BN$5:$BN$1005),"")</f>
        <v/>
      </c>
      <c r="T32" s="44" t="str">
        <f>IF(SUMIF('Detailed Budget'!$D$5:$D$1005,$B32,'Detailed Budget'!$BP$5:$BP$1005)&gt;0,SUMIF('Detailed Budget'!$D$5:$D$1005,$B32,'Detailed Budget'!$BP$5:$BP$1005),"")</f>
        <v/>
      </c>
      <c r="U32" s="44" t="str">
        <f>IF(SUMIF('Detailed Budget'!$D$5:$D$1005,$B32,'Detailed Budget'!$BR$5:$BR$1005)&gt;0,SUMIF('Detailed Budget'!$D$5:$D$1005,$B32,'Detailed Budget'!$BR$5:$BR$1005),"")</f>
        <v/>
      </c>
      <c r="V32" s="44" t="str">
        <f>IF(SUMIF('Detailed Budget'!$D$5:$D$1005,$B32,'Detailed Budget'!$BT$5:$BT$1005)&gt;0,SUMIF('Detailed Budget'!$D$5:$D$1005,$B32,'Detailed Budget'!$BT$5:$BT$1005),"")</f>
        <v/>
      </c>
      <c r="W32" s="45" t="str">
        <f>IF(SUMIF('Detailed Budget'!$D$5:$D$1005,$B32,'Detailed Budget'!$BV$5:$BV$1005)&gt;0,SUMIF('Detailed Budget'!$D$5:$D$1005,$B32,'Detailed Budget'!$BV$5:$BV$1005),"")</f>
        <v/>
      </c>
      <c r="X32" s="44" t="str">
        <f t="shared" si="0"/>
        <v/>
      </c>
      <c r="Y32" s="122" t="str">
        <f t="shared" si="1"/>
        <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row>
    <row r="33" spans="2:49" s="39" customFormat="1" x14ac:dyDescent="0.2">
      <c r="C33" s="46" t="str">
        <f ca="1">Translations!A$174</f>
        <v>Total</v>
      </c>
      <c r="D33" s="47">
        <f>IF(SUM(D16:D32)&gt;0,SUM(D16:D32),"")</f>
        <v>1451516.54961346</v>
      </c>
      <c r="E33" s="47">
        <f t="shared" ref="E33:W33" si="2">IF(SUM(E16:E32)&gt;0,SUM(E16:E32),"")</f>
        <v>294720.31315088744</v>
      </c>
      <c r="F33" s="47">
        <f t="shared" si="2"/>
        <v>217075.38567376207</v>
      </c>
      <c r="G33" s="47">
        <f t="shared" si="2"/>
        <v>283621.58501355269</v>
      </c>
      <c r="H33" s="48">
        <f t="shared" si="2"/>
        <v>2246933.8334516622</v>
      </c>
      <c r="I33" s="47">
        <f t="shared" si="2"/>
        <v>1460333.3750126865</v>
      </c>
      <c r="J33" s="47">
        <f t="shared" si="2"/>
        <v>276858.99165088742</v>
      </c>
      <c r="K33" s="47">
        <f t="shared" si="2"/>
        <v>208593.54817376204</v>
      </c>
      <c r="L33" s="47">
        <f t="shared" si="2"/>
        <v>284139.74751355272</v>
      </c>
      <c r="M33" s="48">
        <f t="shared" si="2"/>
        <v>2229925.6623508888</v>
      </c>
      <c r="N33" s="47">
        <f t="shared" si="2"/>
        <v>1486191.8176191491</v>
      </c>
      <c r="O33" s="47">
        <f t="shared" si="2"/>
        <v>500118.16648696351</v>
      </c>
      <c r="P33" s="47">
        <f t="shared" si="2"/>
        <v>218121.76317376207</v>
      </c>
      <c r="Q33" s="47">
        <f t="shared" si="2"/>
        <v>250358.46326418838</v>
      </c>
      <c r="R33" s="48">
        <f t="shared" si="2"/>
        <v>2454790.2105440632</v>
      </c>
      <c r="S33" s="47" t="str">
        <f t="shared" si="2"/>
        <v/>
      </c>
      <c r="T33" s="47" t="str">
        <f t="shared" si="2"/>
        <v/>
      </c>
      <c r="U33" s="47" t="str">
        <f t="shared" si="2"/>
        <v/>
      </c>
      <c r="V33" s="47" t="str">
        <f t="shared" si="2"/>
        <v/>
      </c>
      <c r="W33" s="48" t="str">
        <f t="shared" si="2"/>
        <v/>
      </c>
      <c r="X33" s="47">
        <f t="shared" si="0"/>
        <v>6931649.7063466143</v>
      </c>
      <c r="Y33" s="122">
        <f t="shared" si="1"/>
        <v>1</v>
      </c>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row>
    <row r="34" spans="2:49" s="35" customFormat="1" x14ac:dyDescent="0.2">
      <c r="D34" s="36"/>
      <c r="E34" s="36"/>
      <c r="F34" s="36"/>
      <c r="G34" s="36"/>
      <c r="H34" s="36"/>
      <c r="I34" s="36"/>
      <c r="J34" s="36"/>
      <c r="K34" s="36"/>
      <c r="L34" s="36"/>
      <c r="M34" s="36"/>
      <c r="N34" s="36"/>
      <c r="O34" s="36"/>
      <c r="P34" s="36"/>
      <c r="Q34" s="36"/>
      <c r="R34" s="36"/>
      <c r="S34" s="36"/>
      <c r="T34" s="36"/>
      <c r="U34" s="36"/>
      <c r="V34" s="36"/>
      <c r="W34" s="36"/>
      <c r="X34" s="36"/>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row>
    <row r="35" spans="2:49" s="35" customFormat="1" x14ac:dyDescent="0.2">
      <c r="D35" s="36"/>
      <c r="E35" s="36"/>
      <c r="F35" s="36"/>
      <c r="G35" s="36"/>
      <c r="H35" s="36"/>
      <c r="I35" s="36"/>
      <c r="J35" s="36"/>
      <c r="K35" s="36"/>
      <c r="L35" s="36"/>
      <c r="M35" s="36"/>
      <c r="N35" s="36"/>
      <c r="O35" s="36"/>
      <c r="P35" s="36"/>
      <c r="Q35" s="36"/>
      <c r="R35" s="36"/>
      <c r="S35" s="36"/>
      <c r="T35" s="36"/>
      <c r="U35" s="36"/>
      <c r="V35" s="36"/>
      <c r="W35" s="36"/>
      <c r="X35" s="36"/>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row>
    <row r="36" spans="2:49" s="39" customFormat="1" x14ac:dyDescent="0.2">
      <c r="B36" s="39" t="s">
        <v>1264</v>
      </c>
      <c r="C36" s="40" t="str">
        <f ca="1">Translations!A$145</f>
        <v>By Cost Grouping</v>
      </c>
      <c r="D36" s="41" t="s">
        <v>1168</v>
      </c>
      <c r="E36" s="41" t="s">
        <v>1169</v>
      </c>
      <c r="F36" s="41" t="s">
        <v>1170</v>
      </c>
      <c r="G36" s="41" t="s">
        <v>1171</v>
      </c>
      <c r="H36" s="41" t="str">
        <f ca="1">Translations!A$160</f>
        <v>Year 1</v>
      </c>
      <c r="I36" s="41" t="s">
        <v>1223</v>
      </c>
      <c r="J36" s="41" t="s">
        <v>1224</v>
      </c>
      <c r="K36" s="41" t="s">
        <v>1225</v>
      </c>
      <c r="L36" s="41" t="s">
        <v>1226</v>
      </c>
      <c r="M36" s="41" t="str">
        <f ca="1">Translations!$A$161</f>
        <v>Year 2</v>
      </c>
      <c r="N36" s="41" t="s">
        <v>1227</v>
      </c>
      <c r="O36" s="41" t="s">
        <v>1228</v>
      </c>
      <c r="P36" s="41" t="s">
        <v>1229</v>
      </c>
      <c r="Q36" s="41" t="s">
        <v>1230</v>
      </c>
      <c r="R36" s="41" t="str">
        <f ca="1">Translations!$A$162</f>
        <v>Year 3</v>
      </c>
      <c r="S36" s="41" t="s">
        <v>1231</v>
      </c>
      <c r="T36" s="41" t="s">
        <v>1232</v>
      </c>
      <c r="U36" s="41" t="s">
        <v>1233</v>
      </c>
      <c r="V36" s="41" t="s">
        <v>1234</v>
      </c>
      <c r="W36" s="41" t="str">
        <f ca="1">Translations!A163</f>
        <v>Year 4</v>
      </c>
      <c r="X36" s="41" t="str">
        <f ca="1">Translations!$A$174</f>
        <v>Total</v>
      </c>
      <c r="Y36" s="41" t="s">
        <v>1864</v>
      </c>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row>
    <row r="37" spans="2:49" s="35" customFormat="1" x14ac:dyDescent="0.2">
      <c r="B37" s="233">
        <v>1</v>
      </c>
      <c r="C37" s="44" t="str">
        <f>IFERROR(INDEX('Data Sheet'!$E$198:$E$275,MATCH(B37,'Data Sheet'!$D$198:$D$275,0)),"")</f>
        <v>Human Resources (HR)</v>
      </c>
      <c r="D37" s="44">
        <f>IF(SUMIF('Detailed Budget'!$U$5:$U$1005,$B37,'Detailed Budget'!$AA$5:$AA$1005)&gt;0,SUMIF('Detailed Budget'!$U$5:$U$1005,$B37,'Detailed Budget'!$AA$5:$AA$1005),"")</f>
        <v>107886.54214182707</v>
      </c>
      <c r="E37" s="44">
        <f>IF(SUMIF('Detailed Budget'!$U$5:$U$1005,$B37,'Detailed Budget'!$AC$5:$AC$1005)&gt;0,SUMIF('Detailed Budget'!$U$5:$U$1005,$B37,'Detailed Budget'!$AC$5:$AC$1005),"")</f>
        <v>106542.03972542621</v>
      </c>
      <c r="F37" s="44">
        <f>IF(SUMIF('Detailed Budget'!$U$5:$U$1005,$B37,'Detailed Budget'!$AE$5:$AE$1005)&gt;0,SUMIF('Detailed Budget'!$U$5:$U$1005,$B37,'Detailed Budget'!$AE$5:$AE$1005),"")</f>
        <v>106542.03972542621</v>
      </c>
      <c r="G37" s="44">
        <f>IF(SUMIF('Detailed Budget'!$U$5:$U$1005,$B37,'Detailed Budget'!$AG$5:$AG$1005)&gt;0,SUMIF('Detailed Budget'!$U$5:$U$1005,$B37,'Detailed Budget'!$AG$5:$AG$1005),"")</f>
        <v>106542.03972542621</v>
      </c>
      <c r="H37" s="45">
        <f>IF(SUMIF('Detailed Budget'!$U$5:$U$1005,$B37,'Detailed Budget'!$AI$5:$AI$1005)&gt;0,SUMIF('Detailed Budget'!$U$5:$U$1005,$B37,'Detailed Budget'!$AI$5:$AI$1005),"")</f>
        <v>427512.6613181057</v>
      </c>
      <c r="I37" s="44">
        <f>IF(SUMIF('Detailed Budget'!$U$5:$U$1005,$B37,'Detailed Budget'!$AN$5:$AN$1005)&gt;0,SUMIF('Detailed Budget'!$U$5:$U$1005,$B37,'Detailed Budget'!$AN$5:$AN$1005),"")</f>
        <v>108500.79214182707</v>
      </c>
      <c r="J37" s="44">
        <f>IF(SUMIF('Detailed Budget'!$U$5:$U$1005,$B37,'Detailed Budget'!$AP$5:$AP$1005)&gt;0,SUMIF('Detailed Budget'!$U$5:$U$1005,$B37,'Detailed Budget'!$AP$5:$AP$1005),"")</f>
        <v>107156.28972542621</v>
      </c>
      <c r="K37" s="44">
        <f>IF(SUMIF('Detailed Budget'!$U$5:$U$1005,$B37,'Detailed Budget'!$AR$5:$AR$1005)&gt;0,SUMIF('Detailed Budget'!$U$5:$U$1005,$B37,'Detailed Budget'!$AR$5:$AR$1005),"")</f>
        <v>107156.28972542621</v>
      </c>
      <c r="L37" s="44">
        <f>IF(SUMIF('Detailed Budget'!$U$5:$U$1005,$B37,'Detailed Budget'!$AT$5:$AT$1005)&gt;0,SUMIF('Detailed Budget'!$U$5:$U$1005,$B37,'Detailed Budget'!$AT$5:$AT$1005),"")</f>
        <v>107156.28972542621</v>
      </c>
      <c r="M37" s="45">
        <f>IF(SUMIF('Detailed Budget'!$U$5:$U$1005,$B37,'Detailed Budget'!$AV$5:$AV$1005)&gt;0,SUMIF('Detailed Budget'!$U$5:$U$1005,$B37,'Detailed Budget'!$AV$5:$AV$1005),"")</f>
        <v>429969.6613181057</v>
      </c>
      <c r="N37" s="44">
        <f>IF(SUMIF('Detailed Budget'!$U$5:$U$1005,$B37,'Detailed Budget'!$BA$5:$BA$1005)&gt;0,SUMIF('Detailed Budget'!$U$5:$U$1005,$B37,'Detailed Budget'!$BA$5:$BA$1005),"")</f>
        <v>109133.46964182706</v>
      </c>
      <c r="O37" s="44">
        <f>IF(SUMIF('Detailed Budget'!$U$5:$U$1005,$B37,'Detailed Budget'!$BC$5:$BC$1005)&gt;0,SUMIF('Detailed Budget'!$U$5:$U$1005,$B37,'Detailed Budget'!$BC$5:$BC$1005),"")</f>
        <v>107788.96722542621</v>
      </c>
      <c r="P37" s="44">
        <f>IF(SUMIF('Detailed Budget'!$U$5:$U$1005,$B37,'Detailed Budget'!$BE$5:$BE$1005)&gt;0,SUMIF('Detailed Budget'!$U$5:$U$1005,$B37,'Detailed Budget'!$BE$5:$BE$1005),"")</f>
        <v>107788.96722542621</v>
      </c>
      <c r="Q37" s="44">
        <f>IF(SUMIF('Detailed Budget'!$U$5:$U$1005,$B37,'Detailed Budget'!$BG$5:$BG$1005)&gt;0,SUMIF('Detailed Budget'!$U$5:$U$1005,$B37,'Detailed Budget'!$BG$5:$BG$1005),"")</f>
        <v>107788.96722542621</v>
      </c>
      <c r="R37" s="45">
        <f>IF(SUMIF('Detailed Budget'!$U$5:$U$1005,$B37,'Detailed Budget'!$BI$5:$BI$1005)&gt;0,SUMIF('Detailed Budget'!$U$5:$U$1005,$B37,'Detailed Budget'!$BI$5:$BI$1005),"")</f>
        <v>432500.37131810567</v>
      </c>
      <c r="S37" s="44" t="str">
        <f>IF(SUMIF('Detailed Budget'!$U$5:$U$1005,$B37,'Detailed Budget'!$BN$5:$BN$1005)&gt;0,SUMIF('Detailed Budget'!$U$5:$U$1005,$B37,'Detailed Budget'!$BN$5:$BN$1005),"")</f>
        <v/>
      </c>
      <c r="T37" s="44" t="str">
        <f>IF(SUMIF('Detailed Budget'!$U$5:$U$1005,$B37,'Detailed Budget'!$BP$5:$BP$1005)&gt;0,SUMIF('Detailed Budget'!$U$5:$U$1005,$B37,'Detailed Budget'!$BP$5:$BP$1005),"")</f>
        <v/>
      </c>
      <c r="U37" s="44" t="str">
        <f>IF(SUMIF('Detailed Budget'!$U$5:$U$1005,$B37,'Detailed Budget'!$BR$5:$BR$1005)&gt;0,SUMIF('Detailed Budget'!$U$5:$U$1005,$B37,'Detailed Budget'!$BR$5:$BR$1005),"")</f>
        <v/>
      </c>
      <c r="V37" s="44" t="str">
        <f>IF(SUMIF('Detailed Budget'!$U$5:$U$1005,$B37,'Detailed Budget'!$BT$5:$BT$1005)&gt;0,SUMIF('Detailed Budget'!$U$5:$U$1005,$B37,'Detailed Budget'!$BT$5:$BT$1005),"")</f>
        <v/>
      </c>
      <c r="W37" s="45" t="str">
        <f>IF(SUMIF('Detailed Budget'!$U$5:$U$1005,$B37,'Detailed Budget'!$BV$5:$BV$1005)&gt;0,SUMIF('Detailed Budget'!$U$5:$U$1005,$B37,'Detailed Budget'!$BV$5:$BV$1005),"")</f>
        <v/>
      </c>
      <c r="X37" s="44">
        <f>IF(SUM(H37,M37,R37,W37)&gt;0,SUM(H37,M37,R37,W37),"")</f>
        <v>1289982.6939543171</v>
      </c>
      <c r="Y37" s="122">
        <f>IFERROR($X37/$X$51,"")</f>
        <v>0.18610038715216815</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row>
    <row r="38" spans="2:49" s="35" customFormat="1" x14ac:dyDescent="0.2">
      <c r="B38" s="233">
        <v>2</v>
      </c>
      <c r="C38" s="44" t="str">
        <f>IFERROR(INDEX('Data Sheet'!$E$198:$E$275,MATCH(B38,'Data Sheet'!$D$198:$D$275,0)),"")</f>
        <v>Travel related costs (TRC)</v>
      </c>
      <c r="D38" s="44">
        <f>IF(SUMIF('Detailed Budget'!$U$5:$U$1005,$B38,'Detailed Budget'!$AA$5:$AA$1005)&gt;0,SUMIF('Detailed Budget'!$U$5:$U$1005,$B38,'Detailed Budget'!$AA$5:$AA$1005),"")</f>
        <v>27968.094810985818</v>
      </c>
      <c r="E38" s="44">
        <f>IF(SUMIF('Detailed Budget'!$U$5:$U$1005,$B38,'Detailed Budget'!$AC$5:$AC$1005)&gt;0,SUMIF('Detailed Budget'!$U$5:$U$1005,$B38,'Detailed Budget'!$AC$5:$AC$1005),"")</f>
        <v>41174.775364814224</v>
      </c>
      <c r="F38" s="44">
        <f>IF(SUMIF('Detailed Budget'!$U$5:$U$1005,$B38,'Detailed Budget'!$AE$5:$AE$1005)&gt;0,SUMIF('Detailed Budget'!$U$5:$U$1005,$B38,'Detailed Budget'!$AE$5:$AE$1005),"")</f>
        <v>32765.523887688872</v>
      </c>
      <c r="G38" s="44">
        <f>IF(SUMIF('Detailed Budget'!$U$5:$U$1005,$B38,'Detailed Budget'!$AG$5:$AG$1005)&gt;0,SUMIF('Detailed Budget'!$U$5:$U$1005,$B38,'Detailed Budget'!$AG$5:$AG$1005),"")</f>
        <v>68311.72322747951</v>
      </c>
      <c r="H38" s="45">
        <f>IF(SUMIF('Detailed Budget'!$U$5:$U$1005,$B38,'Detailed Budget'!$AI$5:$AI$1005)&gt;0,SUMIF('Detailed Budget'!$U$5:$U$1005,$B38,'Detailed Budget'!$AI$5:$AI$1005),"")</f>
        <v>170220.1172909684</v>
      </c>
      <c r="I38" s="44">
        <f>IF(SUMIF('Detailed Budget'!$U$5:$U$1005,$B38,'Detailed Budget'!$AN$5:$AN$1005)&gt;0,SUMIF('Detailed Budget'!$U$5:$U$1005,$B38,'Detailed Budget'!$AN$5:$AN$1005),"")</f>
        <v>24918.518875603873</v>
      </c>
      <c r="J38" s="44">
        <f>IF(SUMIF('Detailed Budget'!$U$5:$U$1005,$B38,'Detailed Budget'!$AP$5:$AP$1005)&gt;0,SUMIF('Detailed Budget'!$U$5:$U$1005,$B38,'Detailed Budget'!$AP$5:$AP$1005),"")</f>
        <v>41174.775364814224</v>
      </c>
      <c r="K38" s="44">
        <f>IF(SUMIF('Detailed Budget'!$U$5:$U$1005,$B38,'Detailed Budget'!$AR$5:$AR$1005)&gt;0,SUMIF('Detailed Budget'!$U$5:$U$1005,$B38,'Detailed Budget'!$AR$5:$AR$1005),"")</f>
        <v>32765.523887688872</v>
      </c>
      <c r="L38" s="44">
        <f>IF(SUMIF('Detailed Budget'!$U$5:$U$1005,$B38,'Detailed Budget'!$AT$5:$AT$1005)&gt;0,SUMIF('Detailed Budget'!$U$5:$U$1005,$B38,'Detailed Budget'!$AT$5:$AT$1005),"")</f>
        <v>68311.72322747951</v>
      </c>
      <c r="M38" s="45">
        <f>IF(SUMIF('Detailed Budget'!$U$5:$U$1005,$B38,'Detailed Budget'!$AV$5:$AV$1005)&gt;0,SUMIF('Detailed Budget'!$U$5:$U$1005,$B38,'Detailed Budget'!$AV$5:$AV$1005),"")</f>
        <v>167170.54135558647</v>
      </c>
      <c r="N38" s="44">
        <f>IF(SUMIF('Detailed Budget'!$U$5:$U$1005,$B38,'Detailed Budget'!$BA$5:$BA$1005)&gt;0,SUMIF('Detailed Budget'!$U$5:$U$1005,$B38,'Detailed Budget'!$BA$5:$BA$1005),"")</f>
        <v>24918.518875603873</v>
      </c>
      <c r="O38" s="44">
        <f>IF(SUMIF('Detailed Budget'!$U$5:$U$1005,$B38,'Detailed Budget'!$BC$5:$BC$1005)&gt;0,SUMIF('Detailed Budget'!$U$5:$U$1005,$B38,'Detailed Budget'!$BC$5:$BC$1005),"")</f>
        <v>323761.92720089032</v>
      </c>
      <c r="P38" s="44">
        <f>IF(SUMIF('Detailed Budget'!$U$5:$U$1005,$B38,'Detailed Budget'!$BE$5:$BE$1005)&gt;0,SUMIF('Detailed Budget'!$U$5:$U$1005,$B38,'Detailed Budget'!$BE$5:$BE$1005),"")</f>
        <v>32765.523887688872</v>
      </c>
      <c r="Q38" s="44">
        <f>IF(SUMIF('Detailed Budget'!$U$5:$U$1005,$B38,'Detailed Budget'!$BG$5:$BG$1005)&gt;0,SUMIF('Detailed Budget'!$U$5:$U$1005,$B38,'Detailed Budget'!$BG$5:$BG$1005),"")</f>
        <v>49002.223978115209</v>
      </c>
      <c r="R38" s="45">
        <f>IF(SUMIF('Detailed Budget'!$U$5:$U$1005,$B38,'Detailed Budget'!$BI$5:$BI$1005)&gt;0,SUMIF('Detailed Budget'!$U$5:$U$1005,$B38,'Detailed Budget'!$BI$5:$BI$1005),"")</f>
        <v>430448.1939422983</v>
      </c>
      <c r="S38" s="44" t="str">
        <f>IF(SUMIF('Detailed Budget'!$U$5:$U$1005,$B38,'Detailed Budget'!$BN$5:$BN$1005)&gt;0,SUMIF('Detailed Budget'!$U$5:$U$1005,$B38,'Detailed Budget'!$BN$5:$BN$1005),"")</f>
        <v/>
      </c>
      <c r="T38" s="44" t="str">
        <f>IF(SUMIF('Detailed Budget'!$U$5:$U$1005,$B38,'Detailed Budget'!$BP$5:$BP$1005)&gt;0,SUMIF('Detailed Budget'!$U$5:$U$1005,$B38,'Detailed Budget'!$BP$5:$BP$1005),"")</f>
        <v/>
      </c>
      <c r="U38" s="44" t="str">
        <f>IF(SUMIF('Detailed Budget'!$U$5:$U$1005,$B38,'Detailed Budget'!$BR$5:$BR$1005)&gt;0,SUMIF('Detailed Budget'!$U$5:$U$1005,$B38,'Detailed Budget'!$BR$5:$BR$1005),"")</f>
        <v/>
      </c>
      <c r="V38" s="44" t="str">
        <f>IF(SUMIF('Detailed Budget'!$U$5:$U$1005,$B38,'Detailed Budget'!$BT$5:$BT$1005)&gt;0,SUMIF('Detailed Budget'!$U$5:$U$1005,$B38,'Detailed Budget'!$BT$5:$BT$1005),"")</f>
        <v/>
      </c>
      <c r="W38" s="45" t="str">
        <f>IF(SUMIF('Detailed Budget'!$U$5:$U$1005,$B38,'Detailed Budget'!$BV$5:$BV$1005)&gt;0,SUMIF('Detailed Budget'!$U$5:$U$1005,$B38,'Detailed Budget'!$BV$5:$BV$1005),"")</f>
        <v/>
      </c>
      <c r="X38" s="44">
        <f t="shared" ref="X38:X51" si="3">IF(SUM(H38,M38,R38,W38)&gt;0,SUM(H38,M38,R38,W38),"")</f>
        <v>767838.8525888531</v>
      </c>
      <c r="Y38" s="122">
        <f t="shared" ref="Y38:Y51" si="4">IFERROR($X38/$X$51,"")</f>
        <v>0.11077288742473823</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row>
    <row r="39" spans="2:49" s="35" customFormat="1" x14ac:dyDescent="0.2">
      <c r="B39" s="233">
        <v>3</v>
      </c>
      <c r="C39" s="44" t="str">
        <f>IFERROR(INDEX('Data Sheet'!$E$198:$E$275,MATCH(B39,'Data Sheet'!$D$198:$D$275,0)),"")</f>
        <v>External Professional services (EPS)</v>
      </c>
      <c r="D39" s="44">
        <f>IF(SUMIF('Detailed Budget'!$U$5:$U$1005,$B39,'Detailed Budget'!$AA$5:$AA$1005)&gt;0,SUMIF('Detailed Budget'!$U$5:$U$1005,$B39,'Detailed Budget'!$AA$5:$AA$1005),"")</f>
        <v>16950</v>
      </c>
      <c r="E39" s="44">
        <f>IF(SUMIF('Detailed Budget'!$U$5:$U$1005,$B39,'Detailed Budget'!$AC$5:$AC$1005)&gt;0,SUMIF('Detailed Budget'!$U$5:$U$1005,$B39,'Detailed Budget'!$AC$5:$AC$1005),"")</f>
        <v>16950</v>
      </c>
      <c r="F39" s="44">
        <f>IF(SUMIF('Detailed Budget'!$U$5:$U$1005,$B39,'Detailed Budget'!$AE$5:$AE$1005)&gt;0,SUMIF('Detailed Budget'!$U$5:$U$1005,$B39,'Detailed Budget'!$AE$5:$AE$1005),"")</f>
        <v>25950</v>
      </c>
      <c r="G39" s="44">
        <f>IF(SUMIF('Detailed Budget'!$U$5:$U$1005,$B39,'Detailed Budget'!$AG$5:$AG$1005)&gt;0,SUMIF('Detailed Budget'!$U$5:$U$1005,$B39,'Detailed Budget'!$AG$5:$AG$1005),"")</f>
        <v>41950</v>
      </c>
      <c r="H39" s="45">
        <f>IF(SUMIF('Detailed Budget'!$U$5:$U$1005,$B39,'Detailed Budget'!$AI$5:$AI$1005)&gt;0,SUMIF('Detailed Budget'!$U$5:$U$1005,$B39,'Detailed Budget'!$AI$5:$AI$1005),"")</f>
        <v>101800</v>
      </c>
      <c r="I39" s="44">
        <f>IF(SUMIF('Detailed Budget'!$U$5:$U$1005,$B39,'Detailed Budget'!$AN$5:$AN$1005)&gt;0,SUMIF('Detailed Budget'!$U$5:$U$1005,$B39,'Detailed Budget'!$AN$5:$AN$1005),"")</f>
        <v>16950</v>
      </c>
      <c r="J39" s="44">
        <f>IF(SUMIF('Detailed Budget'!$U$5:$U$1005,$B39,'Detailed Budget'!$AP$5:$AP$1005)&gt;0,SUMIF('Detailed Budget'!$U$5:$U$1005,$B39,'Detailed Budget'!$AP$5:$AP$1005),"")</f>
        <v>16950</v>
      </c>
      <c r="K39" s="44">
        <f>IF(SUMIF('Detailed Budget'!$U$5:$U$1005,$B39,'Detailed Budget'!$AR$5:$AR$1005)&gt;0,SUMIF('Detailed Budget'!$U$5:$U$1005,$B39,'Detailed Budget'!$AR$5:$AR$1005),"")</f>
        <v>16950</v>
      </c>
      <c r="L39" s="44">
        <f>IF(SUMIF('Detailed Budget'!$U$5:$U$1005,$B39,'Detailed Budget'!$AT$5:$AT$1005)&gt;0,SUMIF('Detailed Budget'!$U$5:$U$1005,$B39,'Detailed Budget'!$AT$5:$AT$1005),"")</f>
        <v>41950</v>
      </c>
      <c r="M39" s="45">
        <f>IF(SUMIF('Detailed Budget'!$U$5:$U$1005,$B39,'Detailed Budget'!$AV$5:$AV$1005)&gt;0,SUMIF('Detailed Budget'!$U$5:$U$1005,$B39,'Detailed Budget'!$AV$5:$AV$1005),"")</f>
        <v>92800</v>
      </c>
      <c r="N39" s="44">
        <f>IF(SUMIF('Detailed Budget'!$U$5:$U$1005,$B39,'Detailed Budget'!$BA$5:$BA$1005)&gt;0,SUMIF('Detailed Budget'!$U$5:$U$1005,$B39,'Detailed Budget'!$BA$5:$BA$1005),"")</f>
        <v>16950</v>
      </c>
      <c r="O39" s="44">
        <f>IF(SUMIF('Detailed Budget'!$U$5:$U$1005,$B39,'Detailed Budget'!$BC$5:$BC$1005)&gt;0,SUMIF('Detailed Budget'!$U$5:$U$1005,$B39,'Detailed Budget'!$BC$5:$BC$1005),"")</f>
        <v>16950</v>
      </c>
      <c r="P39" s="44">
        <f>IF(SUMIF('Detailed Budget'!$U$5:$U$1005,$B39,'Detailed Budget'!$BE$5:$BE$1005)&gt;0,SUMIF('Detailed Budget'!$U$5:$U$1005,$B39,'Detailed Budget'!$BE$5:$BE$1005),"")</f>
        <v>25950</v>
      </c>
      <c r="Q39" s="44">
        <f>IF(SUMIF('Detailed Budget'!$U$5:$U$1005,$B39,'Detailed Budget'!$BG$5:$BG$1005)&gt;0,SUMIF('Detailed Budget'!$U$5:$U$1005,$B39,'Detailed Budget'!$BG$5:$BG$1005),"")</f>
        <v>41950</v>
      </c>
      <c r="R39" s="45">
        <f>IF(SUMIF('Detailed Budget'!$U$5:$U$1005,$B39,'Detailed Budget'!$BI$5:$BI$1005)&gt;0,SUMIF('Detailed Budget'!$U$5:$U$1005,$B39,'Detailed Budget'!$BI$5:$BI$1005),"")</f>
        <v>101800</v>
      </c>
      <c r="S39" s="44" t="str">
        <f>IF(SUMIF('Detailed Budget'!$U$5:$U$1005,$B39,'Detailed Budget'!$BN$5:$BN$1005)&gt;0,SUMIF('Detailed Budget'!$U$5:$U$1005,$B39,'Detailed Budget'!$BN$5:$BN$1005),"")</f>
        <v/>
      </c>
      <c r="T39" s="44" t="str">
        <f>IF(SUMIF('Detailed Budget'!$U$5:$U$1005,$B39,'Detailed Budget'!$BP$5:$BP$1005)&gt;0,SUMIF('Detailed Budget'!$U$5:$U$1005,$B39,'Detailed Budget'!$BP$5:$BP$1005),"")</f>
        <v/>
      </c>
      <c r="U39" s="44" t="str">
        <f>IF(SUMIF('Detailed Budget'!$U$5:$U$1005,$B39,'Detailed Budget'!$BR$5:$BR$1005)&gt;0,SUMIF('Detailed Budget'!$U$5:$U$1005,$B39,'Detailed Budget'!$BR$5:$BR$1005),"")</f>
        <v/>
      </c>
      <c r="V39" s="44" t="str">
        <f>IF(SUMIF('Detailed Budget'!$U$5:$U$1005,$B39,'Detailed Budget'!$BT$5:$BT$1005)&gt;0,SUMIF('Detailed Budget'!$U$5:$U$1005,$B39,'Detailed Budget'!$BT$5:$BT$1005),"")</f>
        <v/>
      </c>
      <c r="W39" s="45" t="str">
        <f>IF(SUMIF('Detailed Budget'!$U$5:$U$1005,$B39,'Detailed Budget'!$BV$5:$BV$1005)&gt;0,SUMIF('Detailed Budget'!$U$5:$U$1005,$B39,'Detailed Budget'!$BV$5:$BV$1005),"")</f>
        <v/>
      </c>
      <c r="X39" s="44">
        <f t="shared" si="3"/>
        <v>296400</v>
      </c>
      <c r="Y39" s="122">
        <f t="shared" si="4"/>
        <v>4.2760383538801218E-2</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row>
    <row r="40" spans="2:49" s="35" customFormat="1" x14ac:dyDescent="0.2">
      <c r="B40" s="233">
        <v>4</v>
      </c>
      <c r="C40" s="44" t="str">
        <f>IFERROR(INDEX('Data Sheet'!$E$198:$E$275,MATCH(B40,'Data Sheet'!$D$198:$D$275,0)),"")</f>
        <v>Health Products - Pharmaceutical Products (HPPP)</v>
      </c>
      <c r="D40" s="44">
        <f>IF(SUMIF('Detailed Budget'!$U$5:$U$1005,$B40,'Detailed Budget'!$AA$5:$AA$1005)&gt;0,SUMIF('Detailed Budget'!$U$5:$U$1005,$B40,'Detailed Budget'!$AA$5:$AA$1005),"")</f>
        <v>696435</v>
      </c>
      <c r="E40" s="44">
        <f>IF(SUMIF('Detailed Budget'!$U$5:$U$1005,$B40,'Detailed Budget'!$AC$5:$AC$1005)&gt;0,SUMIF('Detailed Budget'!$U$5:$U$1005,$B40,'Detailed Budget'!$AC$5:$AC$1005),"")</f>
        <v>63279.73</v>
      </c>
      <c r="F40" s="44" t="str">
        <f>IF(SUMIF('Detailed Budget'!$U$5:$U$1005,$B40,'Detailed Budget'!$AE$5:$AE$1005)&gt;0,SUMIF('Detailed Budget'!$U$5:$U$1005,$B40,'Detailed Budget'!$AE$5:$AE$1005),"")</f>
        <v/>
      </c>
      <c r="G40" s="44" t="str">
        <f>IF(SUMIF('Detailed Budget'!$U$5:$U$1005,$B40,'Detailed Budget'!$AG$5:$AG$1005)&gt;0,SUMIF('Detailed Budget'!$U$5:$U$1005,$B40,'Detailed Budget'!$AG$5:$AG$1005),"")</f>
        <v/>
      </c>
      <c r="H40" s="45">
        <f>IF(SUMIF('Detailed Budget'!$U$5:$U$1005,$B40,'Detailed Budget'!$AI$5:$AI$1005)&gt;0,SUMIF('Detailed Budget'!$U$5:$U$1005,$B40,'Detailed Budget'!$AI$5:$AI$1005),"")</f>
        <v>759714.73</v>
      </c>
      <c r="I40" s="44">
        <f>IF(SUMIF('Detailed Budget'!$U$5:$U$1005,$B40,'Detailed Budget'!$AN$5:$AN$1005)&gt;0,SUMIF('Detailed Budget'!$U$5:$U$1005,$B40,'Detailed Budget'!$AN$5:$AN$1005),"")</f>
        <v>674244</v>
      </c>
      <c r="J40" s="44">
        <f>IF(SUMIF('Detailed Budget'!$U$5:$U$1005,$B40,'Detailed Budget'!$AP$5:$AP$1005)&gt;0,SUMIF('Detailed Budget'!$U$5:$U$1005,$B40,'Detailed Budget'!$AP$5:$AP$1005),"")</f>
        <v>49880.160000000003</v>
      </c>
      <c r="K40" s="44" t="str">
        <f>IF(SUMIF('Detailed Budget'!$U$5:$U$1005,$B40,'Detailed Budget'!$AR$5:$AR$1005)&gt;0,SUMIF('Detailed Budget'!$U$5:$U$1005,$B40,'Detailed Budget'!$AR$5:$AR$1005),"")</f>
        <v/>
      </c>
      <c r="L40" s="44" t="str">
        <f>IF(SUMIF('Detailed Budget'!$U$5:$U$1005,$B40,'Detailed Budget'!$AT$5:$AT$1005)&gt;0,SUMIF('Detailed Budget'!$U$5:$U$1005,$B40,'Detailed Budget'!$AT$5:$AT$1005),"")</f>
        <v/>
      </c>
      <c r="M40" s="45">
        <f>IF(SUMIF('Detailed Budget'!$U$5:$U$1005,$B40,'Detailed Budget'!$AV$5:$AV$1005)&gt;0,SUMIF('Detailed Budget'!$U$5:$U$1005,$B40,'Detailed Budget'!$AV$5:$AV$1005),"")</f>
        <v>724124.16000000003</v>
      </c>
      <c r="N40" s="44">
        <f>IF(SUMIF('Detailed Budget'!$U$5:$U$1005,$B40,'Detailed Budget'!$BA$5:$BA$1005)&gt;0,SUMIF('Detailed Budget'!$U$5:$U$1005,$B40,'Detailed Budget'!$BA$5:$BA$1005),"")</f>
        <v>664421.09100000001</v>
      </c>
      <c r="O40" s="44" t="str">
        <f>IF(SUMIF('Detailed Budget'!$U$5:$U$1005,$B40,'Detailed Budget'!$BC$5:$BC$1005)&gt;0,SUMIF('Detailed Budget'!$U$5:$U$1005,$B40,'Detailed Budget'!$BC$5:$BC$1005),"")</f>
        <v/>
      </c>
      <c r="P40" s="44" t="str">
        <f>IF(SUMIF('Detailed Budget'!$U$5:$U$1005,$B40,'Detailed Budget'!$BE$5:$BE$1005)&gt;0,SUMIF('Detailed Budget'!$U$5:$U$1005,$B40,'Detailed Budget'!$BE$5:$BE$1005),"")</f>
        <v/>
      </c>
      <c r="Q40" s="44" t="str">
        <f>IF(SUMIF('Detailed Budget'!$U$5:$U$1005,$B40,'Detailed Budget'!$BG$5:$BG$1005)&gt;0,SUMIF('Detailed Budget'!$U$5:$U$1005,$B40,'Detailed Budget'!$BG$5:$BG$1005),"")</f>
        <v/>
      </c>
      <c r="R40" s="45">
        <f>IF(SUMIF('Detailed Budget'!$U$5:$U$1005,$B40,'Detailed Budget'!$BI$5:$BI$1005)&gt;0,SUMIF('Detailed Budget'!$U$5:$U$1005,$B40,'Detailed Budget'!$BI$5:$BI$1005),"")</f>
        <v>664421.09100000001</v>
      </c>
      <c r="S40" s="44" t="str">
        <f>IF(SUMIF('Detailed Budget'!$U$5:$U$1005,$B40,'Detailed Budget'!$BN$5:$BN$1005)&gt;0,SUMIF('Detailed Budget'!$U$5:$U$1005,$B40,'Detailed Budget'!$BN$5:$BN$1005),"")</f>
        <v/>
      </c>
      <c r="T40" s="44" t="str">
        <f>IF(SUMIF('Detailed Budget'!$U$5:$U$1005,$B40,'Detailed Budget'!$BP$5:$BP$1005)&gt;0,SUMIF('Detailed Budget'!$U$5:$U$1005,$B40,'Detailed Budget'!$BP$5:$BP$1005),"")</f>
        <v/>
      </c>
      <c r="U40" s="44" t="str">
        <f>IF(SUMIF('Detailed Budget'!$U$5:$U$1005,$B40,'Detailed Budget'!$BR$5:$BR$1005)&gt;0,SUMIF('Detailed Budget'!$U$5:$U$1005,$B40,'Detailed Budget'!$BR$5:$BR$1005),"")</f>
        <v/>
      </c>
      <c r="V40" s="44" t="str">
        <f>IF(SUMIF('Detailed Budget'!$U$5:$U$1005,$B40,'Detailed Budget'!$BT$5:$BT$1005)&gt;0,SUMIF('Detailed Budget'!$U$5:$U$1005,$B40,'Detailed Budget'!$BT$5:$BT$1005),"")</f>
        <v/>
      </c>
      <c r="W40" s="45" t="str">
        <f>IF(SUMIF('Detailed Budget'!$U$5:$U$1005,$B40,'Detailed Budget'!$BV$5:$BV$1005)&gt;0,SUMIF('Detailed Budget'!$U$5:$U$1005,$B40,'Detailed Budget'!$BV$5:$BV$1005),"")</f>
        <v/>
      </c>
      <c r="X40" s="44">
        <f t="shared" si="3"/>
        <v>2148259.9810000001</v>
      </c>
      <c r="Y40" s="122">
        <f t="shared" si="4"/>
        <v>0.30992044780235434</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row>
    <row r="41" spans="2:49" s="35" customFormat="1" x14ac:dyDescent="0.2">
      <c r="B41" s="233">
        <v>5</v>
      </c>
      <c r="C41" s="44" t="str">
        <f>IFERROR(INDEX('Data Sheet'!$E$198:$E$275,MATCH(B41,'Data Sheet'!$D$198:$D$275,0)),"")</f>
        <v>Health Products - Non-Pharmaceuticals (HPNP)</v>
      </c>
      <c r="D41" s="44">
        <f>IF(SUMIF('Detailed Budget'!$U$5:$U$1005,$B41,'Detailed Budget'!$AA$5:$AA$1005)&gt;0,SUMIF('Detailed Budget'!$U$5:$U$1005,$B41,'Detailed Budget'!$AA$5:$AA$1005),"")</f>
        <v>47738.75</v>
      </c>
      <c r="E41" s="44" t="str">
        <f>IF(SUMIF('Detailed Budget'!$U$5:$U$1005,$B41,'Detailed Budget'!$AC$5:$AC$1005)&gt;0,SUMIF('Detailed Budget'!$U$5:$U$1005,$B41,'Detailed Budget'!$AC$5:$AC$1005),"")</f>
        <v/>
      </c>
      <c r="F41" s="44" t="str">
        <f>IF(SUMIF('Detailed Budget'!$U$5:$U$1005,$B41,'Detailed Budget'!$AE$5:$AE$1005)&gt;0,SUMIF('Detailed Budget'!$U$5:$U$1005,$B41,'Detailed Budget'!$AE$5:$AE$1005),"")</f>
        <v/>
      </c>
      <c r="G41" s="44" t="str">
        <f>IF(SUMIF('Detailed Budget'!$U$5:$U$1005,$B41,'Detailed Budget'!$AG$5:$AG$1005)&gt;0,SUMIF('Detailed Budget'!$U$5:$U$1005,$B41,'Detailed Budget'!$AG$5:$AG$1005),"")</f>
        <v/>
      </c>
      <c r="H41" s="45">
        <f>IF(SUMIF('Detailed Budget'!$U$5:$U$1005,$B41,'Detailed Budget'!$AI$5:$AI$1005)&gt;0,SUMIF('Detailed Budget'!$U$5:$U$1005,$B41,'Detailed Budget'!$AI$5:$AI$1005),"")</f>
        <v>47738.75</v>
      </c>
      <c r="I41" s="44">
        <f>IF(SUMIF('Detailed Budget'!$U$5:$U$1005,$B41,'Detailed Budget'!$AN$5:$AN$1005)&gt;0,SUMIF('Detailed Budget'!$U$5:$U$1005,$B41,'Detailed Budget'!$AN$5:$AN$1005),"")</f>
        <v>50753.7</v>
      </c>
      <c r="J41" s="44" t="str">
        <f>IF(SUMIF('Detailed Budget'!$U$5:$U$1005,$B41,'Detailed Budget'!$AP$5:$AP$1005)&gt;0,SUMIF('Detailed Budget'!$U$5:$U$1005,$B41,'Detailed Budget'!$AP$5:$AP$1005),"")</f>
        <v/>
      </c>
      <c r="K41" s="44" t="str">
        <f>IF(SUMIF('Detailed Budget'!$U$5:$U$1005,$B41,'Detailed Budget'!$AR$5:$AR$1005)&gt;0,SUMIF('Detailed Budget'!$U$5:$U$1005,$B41,'Detailed Budget'!$AR$5:$AR$1005),"")</f>
        <v/>
      </c>
      <c r="L41" s="44" t="str">
        <f>IF(SUMIF('Detailed Budget'!$U$5:$U$1005,$B41,'Detailed Budget'!$AT$5:$AT$1005)&gt;0,SUMIF('Detailed Budget'!$U$5:$U$1005,$B41,'Detailed Budget'!$AT$5:$AT$1005),"")</f>
        <v/>
      </c>
      <c r="M41" s="45">
        <f>IF(SUMIF('Detailed Budget'!$U$5:$U$1005,$B41,'Detailed Budget'!$AV$5:$AV$1005)&gt;0,SUMIF('Detailed Budget'!$U$5:$U$1005,$B41,'Detailed Budget'!$AV$5:$AV$1005),"")</f>
        <v>50753.7</v>
      </c>
      <c r="N41" s="44">
        <f>IF(SUMIF('Detailed Budget'!$U$5:$U$1005,$B41,'Detailed Budget'!$BA$5:$BA$1005)&gt;0,SUMIF('Detailed Budget'!$U$5:$U$1005,$B41,'Detailed Budget'!$BA$5:$BA$1005),"")</f>
        <v>53994.9</v>
      </c>
      <c r="O41" s="44" t="str">
        <f>IF(SUMIF('Detailed Budget'!$U$5:$U$1005,$B41,'Detailed Budget'!$BC$5:$BC$1005)&gt;0,SUMIF('Detailed Budget'!$U$5:$U$1005,$B41,'Detailed Budget'!$BC$5:$BC$1005),"")</f>
        <v/>
      </c>
      <c r="P41" s="44" t="str">
        <f>IF(SUMIF('Detailed Budget'!$U$5:$U$1005,$B41,'Detailed Budget'!$BE$5:$BE$1005)&gt;0,SUMIF('Detailed Budget'!$U$5:$U$1005,$B41,'Detailed Budget'!$BE$5:$BE$1005),"")</f>
        <v/>
      </c>
      <c r="Q41" s="44" t="str">
        <f>IF(SUMIF('Detailed Budget'!$U$5:$U$1005,$B41,'Detailed Budget'!$BG$5:$BG$1005)&gt;0,SUMIF('Detailed Budget'!$U$5:$U$1005,$B41,'Detailed Budget'!$BG$5:$BG$1005),"")</f>
        <v/>
      </c>
      <c r="R41" s="45">
        <f>IF(SUMIF('Detailed Budget'!$U$5:$U$1005,$B41,'Detailed Budget'!$BI$5:$BI$1005)&gt;0,SUMIF('Detailed Budget'!$U$5:$U$1005,$B41,'Detailed Budget'!$BI$5:$BI$1005),"")</f>
        <v>53994.9</v>
      </c>
      <c r="S41" s="44" t="str">
        <f>IF(SUMIF('Detailed Budget'!$U$5:$U$1005,$B41,'Detailed Budget'!$BN$5:$BN$1005)&gt;0,SUMIF('Detailed Budget'!$U$5:$U$1005,$B41,'Detailed Budget'!$BN$5:$BN$1005),"")</f>
        <v/>
      </c>
      <c r="T41" s="44" t="str">
        <f>IF(SUMIF('Detailed Budget'!$U$5:$U$1005,$B41,'Detailed Budget'!$BP$5:$BP$1005)&gt;0,SUMIF('Detailed Budget'!$U$5:$U$1005,$B41,'Detailed Budget'!$BP$5:$BP$1005),"")</f>
        <v/>
      </c>
      <c r="U41" s="44" t="str">
        <f>IF(SUMIF('Detailed Budget'!$U$5:$U$1005,$B41,'Detailed Budget'!$BR$5:$BR$1005)&gt;0,SUMIF('Detailed Budget'!$U$5:$U$1005,$B41,'Detailed Budget'!$BR$5:$BR$1005),"")</f>
        <v/>
      </c>
      <c r="V41" s="44" t="str">
        <f>IF(SUMIF('Detailed Budget'!$U$5:$U$1005,$B41,'Detailed Budget'!$BT$5:$BT$1005)&gt;0,SUMIF('Detailed Budget'!$U$5:$U$1005,$B41,'Detailed Budget'!$BT$5:$BT$1005),"")</f>
        <v/>
      </c>
      <c r="W41" s="45" t="str">
        <f>IF(SUMIF('Detailed Budget'!$U$5:$U$1005,$B41,'Detailed Budget'!$BV$5:$BV$1005)&gt;0,SUMIF('Detailed Budget'!$U$5:$U$1005,$B41,'Detailed Budget'!$BV$5:$BV$1005),"")</f>
        <v/>
      </c>
      <c r="X41" s="44">
        <f t="shared" si="3"/>
        <v>152487.35</v>
      </c>
      <c r="Y41" s="122">
        <f t="shared" si="4"/>
        <v>2.1998709753088465E-2</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row>
    <row r="42" spans="2:49" s="35" customFormat="1" x14ac:dyDescent="0.2">
      <c r="B42" s="233">
        <v>6</v>
      </c>
      <c r="C42" s="44" t="str">
        <f>IFERROR(INDEX('Data Sheet'!$E$198:$E$275,MATCH(B42,'Data Sheet'!$D$198:$D$275,0)),"")</f>
        <v>Health Products - Equipment (HPE)</v>
      </c>
      <c r="D42" s="44">
        <f>IF(SUMIF('Detailed Budget'!$U$5:$U$1005,$B42,'Detailed Budget'!$AA$5:$AA$1005)&gt;0,SUMIF('Detailed Budget'!$U$5:$U$1005,$B42,'Detailed Budget'!$AA$5:$AA$1005),"")</f>
        <v>305135.065</v>
      </c>
      <c r="E42" s="44" t="str">
        <f>IF(SUMIF('Detailed Budget'!$U$5:$U$1005,$B42,'Detailed Budget'!$AC$5:$AC$1005)&gt;0,SUMIF('Detailed Budget'!$U$5:$U$1005,$B42,'Detailed Budget'!$AC$5:$AC$1005),"")</f>
        <v/>
      </c>
      <c r="F42" s="44" t="str">
        <f>IF(SUMIF('Detailed Budget'!$U$5:$U$1005,$B42,'Detailed Budget'!$AE$5:$AE$1005)&gt;0,SUMIF('Detailed Budget'!$U$5:$U$1005,$B42,'Detailed Budget'!$AE$5:$AE$1005),"")</f>
        <v/>
      </c>
      <c r="G42" s="44" t="str">
        <f>IF(SUMIF('Detailed Budget'!$U$5:$U$1005,$B42,'Detailed Budget'!$AG$5:$AG$1005)&gt;0,SUMIF('Detailed Budget'!$U$5:$U$1005,$B42,'Detailed Budget'!$AG$5:$AG$1005),"")</f>
        <v/>
      </c>
      <c r="H42" s="45">
        <f>IF(SUMIF('Detailed Budget'!$U$5:$U$1005,$B42,'Detailed Budget'!$AI$5:$AI$1005)&gt;0,SUMIF('Detailed Budget'!$U$5:$U$1005,$B42,'Detailed Budget'!$AI$5:$AI$1005),"")</f>
        <v>305135.065</v>
      </c>
      <c r="I42" s="44">
        <f>IF(SUMIF('Detailed Budget'!$U$5:$U$1005,$B42,'Detailed Budget'!$AN$5:$AN$1005)&gt;0,SUMIF('Detailed Budget'!$U$5:$U$1005,$B42,'Detailed Budget'!$AN$5:$AN$1005),"")</f>
        <v>338748.05263460823</v>
      </c>
      <c r="J42" s="44" t="str">
        <f>IF(SUMIF('Detailed Budget'!$U$5:$U$1005,$B42,'Detailed Budget'!$AP$5:$AP$1005)&gt;0,SUMIF('Detailed Budget'!$U$5:$U$1005,$B42,'Detailed Budget'!$AP$5:$AP$1005),"")</f>
        <v/>
      </c>
      <c r="K42" s="44" t="str">
        <f>IF(SUMIF('Detailed Budget'!$U$5:$U$1005,$B42,'Detailed Budget'!$AR$5:$AR$1005)&gt;0,SUMIF('Detailed Budget'!$U$5:$U$1005,$B42,'Detailed Budget'!$AR$5:$AR$1005),"")</f>
        <v/>
      </c>
      <c r="L42" s="44" t="str">
        <f>IF(SUMIF('Detailed Budget'!$U$5:$U$1005,$B42,'Detailed Budget'!$AT$5:$AT$1005)&gt;0,SUMIF('Detailed Budget'!$U$5:$U$1005,$B42,'Detailed Budget'!$AT$5:$AT$1005),"")</f>
        <v/>
      </c>
      <c r="M42" s="45">
        <f>IF(SUMIF('Detailed Budget'!$U$5:$U$1005,$B42,'Detailed Budget'!$AV$5:$AV$1005)&gt;0,SUMIF('Detailed Budget'!$U$5:$U$1005,$B42,'Detailed Budget'!$AV$5:$AV$1005),"")</f>
        <v>338748.05263460823</v>
      </c>
      <c r="N42" s="44">
        <f>IF(SUMIF('Detailed Budget'!$U$5:$U$1005,$B42,'Detailed Budget'!$BA$5:$BA$1005)&gt;0,SUMIF('Detailed Budget'!$U$5:$U$1005,$B42,'Detailed Budget'!$BA$5:$BA$1005),"")</f>
        <v>372663.89147107105</v>
      </c>
      <c r="O42" s="44" t="str">
        <f>IF(SUMIF('Detailed Budget'!$U$5:$U$1005,$B42,'Detailed Budget'!$BC$5:$BC$1005)&gt;0,SUMIF('Detailed Budget'!$U$5:$U$1005,$B42,'Detailed Budget'!$BC$5:$BC$1005),"")</f>
        <v/>
      </c>
      <c r="P42" s="44" t="str">
        <f>IF(SUMIF('Detailed Budget'!$U$5:$U$1005,$B42,'Detailed Budget'!$BE$5:$BE$1005)&gt;0,SUMIF('Detailed Budget'!$U$5:$U$1005,$B42,'Detailed Budget'!$BE$5:$BE$1005),"")</f>
        <v/>
      </c>
      <c r="Q42" s="44" t="str">
        <f>IF(SUMIF('Detailed Budget'!$U$5:$U$1005,$B42,'Detailed Budget'!$BG$5:$BG$1005)&gt;0,SUMIF('Detailed Budget'!$U$5:$U$1005,$B42,'Detailed Budget'!$BG$5:$BG$1005),"")</f>
        <v/>
      </c>
      <c r="R42" s="45">
        <f>IF(SUMIF('Detailed Budget'!$U$5:$U$1005,$B42,'Detailed Budget'!$BI$5:$BI$1005)&gt;0,SUMIF('Detailed Budget'!$U$5:$U$1005,$B42,'Detailed Budget'!$BI$5:$BI$1005),"")</f>
        <v>372663.89147107105</v>
      </c>
      <c r="S42" s="44" t="str">
        <f>IF(SUMIF('Detailed Budget'!$U$5:$U$1005,$B42,'Detailed Budget'!$BN$5:$BN$1005)&gt;0,SUMIF('Detailed Budget'!$U$5:$U$1005,$B42,'Detailed Budget'!$BN$5:$BN$1005),"")</f>
        <v/>
      </c>
      <c r="T42" s="44" t="str">
        <f>IF(SUMIF('Detailed Budget'!$U$5:$U$1005,$B42,'Detailed Budget'!$BP$5:$BP$1005)&gt;0,SUMIF('Detailed Budget'!$U$5:$U$1005,$B42,'Detailed Budget'!$BP$5:$BP$1005),"")</f>
        <v/>
      </c>
      <c r="U42" s="44" t="str">
        <f>IF(SUMIF('Detailed Budget'!$U$5:$U$1005,$B42,'Detailed Budget'!$BR$5:$BR$1005)&gt;0,SUMIF('Detailed Budget'!$U$5:$U$1005,$B42,'Detailed Budget'!$BR$5:$BR$1005),"")</f>
        <v/>
      </c>
      <c r="V42" s="44" t="str">
        <f>IF(SUMIF('Detailed Budget'!$U$5:$U$1005,$B42,'Detailed Budget'!$BT$5:$BT$1005)&gt;0,SUMIF('Detailed Budget'!$U$5:$U$1005,$B42,'Detailed Budget'!$BT$5:$BT$1005),"")</f>
        <v/>
      </c>
      <c r="W42" s="45" t="str">
        <f>IF(SUMIF('Detailed Budget'!$U$5:$U$1005,$B42,'Detailed Budget'!$BV$5:$BV$1005)&gt;0,SUMIF('Detailed Budget'!$U$5:$U$1005,$B42,'Detailed Budget'!$BV$5:$BV$1005),"")</f>
        <v/>
      </c>
      <c r="X42" s="44">
        <f t="shared" si="3"/>
        <v>1016547.0091056792</v>
      </c>
      <c r="Y42" s="122">
        <f t="shared" si="4"/>
        <v>0.14665296894257793</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row>
    <row r="43" spans="2:49" s="35" customFormat="1" x14ac:dyDescent="0.2">
      <c r="B43" s="233">
        <v>7</v>
      </c>
      <c r="C43" s="44" t="str">
        <f>IFERROR(INDEX('Data Sheet'!$E$198:$E$275,MATCH(B43,'Data Sheet'!$D$198:$D$275,0)),"")</f>
        <v>Procurement and Supply-Chain Management costs (PSM)</v>
      </c>
      <c r="D43" s="44">
        <f>IF(SUMIF('Detailed Budget'!$U$5:$U$1005,$B43,'Detailed Budget'!$AA$5:$AA$1005)&gt;0,SUMIF('Detailed Budget'!$U$5:$U$1005,$B43,'Detailed Budget'!$AA$5:$AA$1005),"")</f>
        <v>203435.27560000002</v>
      </c>
      <c r="E43" s="44">
        <f>IF(SUMIF('Detailed Budget'!$U$5:$U$1005,$B43,'Detailed Budget'!$AC$5:$AC$1005)&gt;0,SUMIF('Detailed Budget'!$U$5:$U$1005,$B43,'Detailed Budget'!$AC$5:$AC$1005),"")</f>
        <v>18505.946000000004</v>
      </c>
      <c r="F43" s="44">
        <f>IF(SUMIF('Detailed Budget'!$U$5:$U$1005,$B43,'Detailed Budget'!$AE$5:$AE$1005)&gt;0,SUMIF('Detailed Budget'!$U$5:$U$1005,$B43,'Detailed Budget'!$AE$5:$AE$1005),"")</f>
        <v>5850</v>
      </c>
      <c r="G43" s="44">
        <f>IF(SUMIF('Detailed Budget'!$U$5:$U$1005,$B43,'Detailed Budget'!$AG$5:$AG$1005)&gt;0,SUMIF('Detailed Budget'!$U$5:$U$1005,$B43,'Detailed Budget'!$AG$5:$AG$1005),"")</f>
        <v>20850</v>
      </c>
      <c r="H43" s="45">
        <f>IF(SUMIF('Detailed Budget'!$U$5:$U$1005,$B43,'Detailed Budget'!$AI$5:$AI$1005)&gt;0,SUMIF('Detailed Budget'!$U$5:$U$1005,$B43,'Detailed Budget'!$AI$5:$AI$1005),"")</f>
        <v>248641.22160000002</v>
      </c>
      <c r="I43" s="44">
        <f>IF(SUMIF('Detailed Budget'!$U$5:$U$1005,$B43,'Detailed Budget'!$AN$5:$AN$1005)&gt;0,SUMIF('Detailed Budget'!$U$5:$U$1005,$B43,'Detailed Budget'!$AN$5:$AN$1005),"")</f>
        <v>198046.57680000004</v>
      </c>
      <c r="J43" s="44">
        <f>IF(SUMIF('Detailed Budget'!$U$5:$U$1005,$B43,'Detailed Budget'!$AP$5:$AP$1005)&gt;0,SUMIF('Detailed Budget'!$U$5:$U$1005,$B43,'Detailed Budget'!$AP$5:$AP$1005),"")</f>
        <v>15826.032000000001</v>
      </c>
      <c r="K43" s="44">
        <f>IF(SUMIF('Detailed Budget'!$U$5:$U$1005,$B43,'Detailed Budget'!$AR$5:$AR$1005)&gt;0,SUMIF('Detailed Budget'!$U$5:$U$1005,$B43,'Detailed Budget'!$AR$5:$AR$1005),"")</f>
        <v>5850</v>
      </c>
      <c r="L43" s="44">
        <f>IF(SUMIF('Detailed Budget'!$U$5:$U$1005,$B43,'Detailed Budget'!$AT$5:$AT$1005)&gt;0,SUMIF('Detailed Budget'!$U$5:$U$1005,$B43,'Detailed Budget'!$AT$5:$AT$1005),"")</f>
        <v>20850</v>
      </c>
      <c r="M43" s="45">
        <f>IF(SUMIF('Detailed Budget'!$U$5:$U$1005,$B43,'Detailed Budget'!$AV$5:$AV$1005)&gt;0,SUMIF('Detailed Budget'!$U$5:$U$1005,$B43,'Detailed Budget'!$AV$5:$AV$1005),"")</f>
        <v>240572.60880000005</v>
      </c>
      <c r="N43" s="44">
        <f>IF(SUMIF('Detailed Budget'!$U$5:$U$1005,$B43,'Detailed Budget'!$BA$5:$BA$1005)&gt;0,SUMIF('Detailed Budget'!$U$5:$U$1005,$B43,'Detailed Budget'!$BA$5:$BA$1005),"")</f>
        <v>196042.67457000003</v>
      </c>
      <c r="O43" s="44">
        <f>IF(SUMIF('Detailed Budget'!$U$5:$U$1005,$B43,'Detailed Budget'!$BC$5:$BC$1005)&gt;0,SUMIF('Detailed Budget'!$U$5:$U$1005,$B43,'Detailed Budget'!$BC$5:$BC$1005),"")</f>
        <v>5850</v>
      </c>
      <c r="P43" s="44">
        <f>IF(SUMIF('Detailed Budget'!$U$5:$U$1005,$B43,'Detailed Budget'!$BE$5:$BE$1005)&gt;0,SUMIF('Detailed Budget'!$U$5:$U$1005,$B43,'Detailed Budget'!$BE$5:$BE$1005),"")</f>
        <v>5850</v>
      </c>
      <c r="Q43" s="44">
        <f>IF(SUMIF('Detailed Budget'!$U$5:$U$1005,$B43,'Detailed Budget'!$BG$5:$BG$1005)&gt;0,SUMIF('Detailed Budget'!$U$5:$U$1005,$B43,'Detailed Budget'!$BG$5:$BG$1005),"")</f>
        <v>5850</v>
      </c>
      <c r="R43" s="45">
        <f>IF(SUMIF('Detailed Budget'!$U$5:$U$1005,$B43,'Detailed Budget'!$BI$5:$BI$1005)&gt;0,SUMIF('Detailed Budget'!$U$5:$U$1005,$B43,'Detailed Budget'!$BI$5:$BI$1005),"")</f>
        <v>213592.67457000003</v>
      </c>
      <c r="S43" s="44" t="str">
        <f>IF(SUMIF('Detailed Budget'!$U$5:$U$1005,$B43,'Detailed Budget'!$BN$5:$BN$1005)&gt;0,SUMIF('Detailed Budget'!$U$5:$U$1005,$B43,'Detailed Budget'!$BN$5:$BN$1005),"")</f>
        <v/>
      </c>
      <c r="T43" s="44" t="str">
        <f>IF(SUMIF('Detailed Budget'!$U$5:$U$1005,$B43,'Detailed Budget'!$BP$5:$BP$1005)&gt;0,SUMIF('Detailed Budget'!$U$5:$U$1005,$B43,'Detailed Budget'!$BP$5:$BP$1005),"")</f>
        <v/>
      </c>
      <c r="U43" s="44" t="str">
        <f>IF(SUMIF('Detailed Budget'!$U$5:$U$1005,$B43,'Detailed Budget'!$BR$5:$BR$1005)&gt;0,SUMIF('Detailed Budget'!$U$5:$U$1005,$B43,'Detailed Budget'!$BR$5:$BR$1005),"")</f>
        <v/>
      </c>
      <c r="V43" s="44" t="str">
        <f>IF(SUMIF('Detailed Budget'!$U$5:$U$1005,$B43,'Detailed Budget'!$BT$5:$BT$1005)&gt;0,SUMIF('Detailed Budget'!$U$5:$U$1005,$B43,'Detailed Budget'!$BT$5:$BT$1005),"")</f>
        <v/>
      </c>
      <c r="W43" s="45" t="str">
        <f>IF(SUMIF('Detailed Budget'!$U$5:$U$1005,$B43,'Detailed Budget'!$BV$5:$BV$1005)&gt;0,SUMIF('Detailed Budget'!$U$5:$U$1005,$B43,'Detailed Budget'!$BV$5:$BV$1005),"")</f>
        <v/>
      </c>
      <c r="X43" s="44">
        <f t="shared" si="3"/>
        <v>702806.50497000013</v>
      </c>
      <c r="Y43" s="122">
        <f t="shared" si="4"/>
        <v>0.10139094367773822</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row>
    <row r="44" spans="2:49" s="35" customFormat="1" x14ac:dyDescent="0.2">
      <c r="B44" s="233">
        <v>8</v>
      </c>
      <c r="C44" s="44" t="str">
        <f>IFERROR(INDEX('Data Sheet'!$E$198:$E$275,MATCH(B44,'Data Sheet'!$D$198:$D$275,0)),"")</f>
        <v>Infrastructure (INF)</v>
      </c>
      <c r="D44" s="44" t="str">
        <f>IF(SUMIF('Detailed Budget'!$U$5:$U$1005,$B44,'Detailed Budget'!$AA$5:$AA$1005)&gt;0,SUMIF('Detailed Budget'!$U$5:$U$1005,$B44,'Detailed Budget'!$AA$5:$AA$1005),"")</f>
        <v/>
      </c>
      <c r="E44" s="44" t="str">
        <f>IF(SUMIF('Detailed Budget'!$U$5:$U$1005,$B44,'Detailed Budget'!$AC$5:$AC$1005)&gt;0,SUMIF('Detailed Budget'!$U$5:$U$1005,$B44,'Detailed Budget'!$AC$5:$AC$1005),"")</f>
        <v/>
      </c>
      <c r="F44" s="44" t="str">
        <f>IF(SUMIF('Detailed Budget'!$U$5:$U$1005,$B44,'Detailed Budget'!$AE$5:$AE$1005)&gt;0,SUMIF('Detailed Budget'!$U$5:$U$1005,$B44,'Detailed Budget'!$AE$5:$AE$1005),"")</f>
        <v/>
      </c>
      <c r="G44" s="44" t="str">
        <f>IF(SUMIF('Detailed Budget'!$U$5:$U$1005,$B44,'Detailed Budget'!$AG$5:$AG$1005)&gt;0,SUMIF('Detailed Budget'!$U$5:$U$1005,$B44,'Detailed Budget'!$AG$5:$AG$1005),"")</f>
        <v/>
      </c>
      <c r="H44" s="45" t="str">
        <f>IF(SUMIF('Detailed Budget'!$U$5:$U$1005,$B44,'Detailed Budget'!$AI$5:$AI$1005)&gt;0,SUMIF('Detailed Budget'!$U$5:$U$1005,$B44,'Detailed Budget'!$AI$5:$AI$1005),"")</f>
        <v/>
      </c>
      <c r="I44" s="44" t="str">
        <f>IF(SUMIF('Detailed Budget'!$U$5:$U$1005,$B44,'Detailed Budget'!$AN$5:$AN$1005)&gt;0,SUMIF('Detailed Budget'!$U$5:$U$1005,$B44,'Detailed Budget'!$AN$5:$AN$1005),"")</f>
        <v/>
      </c>
      <c r="J44" s="44" t="str">
        <f>IF(SUMIF('Detailed Budget'!$U$5:$U$1005,$B44,'Detailed Budget'!$AP$5:$AP$1005)&gt;0,SUMIF('Detailed Budget'!$U$5:$U$1005,$B44,'Detailed Budget'!$AP$5:$AP$1005),"")</f>
        <v/>
      </c>
      <c r="K44" s="44" t="str">
        <f>IF(SUMIF('Detailed Budget'!$U$5:$U$1005,$B44,'Detailed Budget'!$AR$5:$AR$1005)&gt;0,SUMIF('Detailed Budget'!$U$5:$U$1005,$B44,'Detailed Budget'!$AR$5:$AR$1005),"")</f>
        <v/>
      </c>
      <c r="L44" s="44" t="str">
        <f>IF(SUMIF('Detailed Budget'!$U$5:$U$1005,$B44,'Detailed Budget'!$AT$5:$AT$1005)&gt;0,SUMIF('Detailed Budget'!$U$5:$U$1005,$B44,'Detailed Budget'!$AT$5:$AT$1005),"")</f>
        <v/>
      </c>
      <c r="M44" s="45" t="str">
        <f>IF(SUMIF('Detailed Budget'!$U$5:$U$1005,$B44,'Detailed Budget'!$AV$5:$AV$1005)&gt;0,SUMIF('Detailed Budget'!$U$5:$U$1005,$B44,'Detailed Budget'!$AV$5:$AV$1005),"")</f>
        <v/>
      </c>
      <c r="N44" s="44" t="str">
        <f>IF(SUMIF('Detailed Budget'!$U$5:$U$1005,$B44,'Detailed Budget'!$BA$5:$BA$1005)&gt;0,SUMIF('Detailed Budget'!$U$5:$U$1005,$B44,'Detailed Budget'!$BA$5:$BA$1005),"")</f>
        <v/>
      </c>
      <c r="O44" s="44" t="str">
        <f>IF(SUMIF('Detailed Budget'!$U$5:$U$1005,$B44,'Detailed Budget'!$BC$5:$BC$1005)&gt;0,SUMIF('Detailed Budget'!$U$5:$U$1005,$B44,'Detailed Budget'!$BC$5:$BC$1005),"")</f>
        <v/>
      </c>
      <c r="P44" s="44" t="str">
        <f>IF(SUMIF('Detailed Budget'!$U$5:$U$1005,$B44,'Detailed Budget'!$BE$5:$BE$1005)&gt;0,SUMIF('Detailed Budget'!$U$5:$U$1005,$B44,'Detailed Budget'!$BE$5:$BE$1005),"")</f>
        <v/>
      </c>
      <c r="Q44" s="44" t="str">
        <f>IF(SUMIF('Detailed Budget'!$U$5:$U$1005,$B44,'Detailed Budget'!$BG$5:$BG$1005)&gt;0,SUMIF('Detailed Budget'!$U$5:$U$1005,$B44,'Detailed Budget'!$BG$5:$BG$1005),"")</f>
        <v/>
      </c>
      <c r="R44" s="45" t="str">
        <f>IF(SUMIF('Detailed Budget'!$U$5:$U$1005,$B44,'Detailed Budget'!$BI$5:$BI$1005)&gt;0,SUMIF('Detailed Budget'!$U$5:$U$1005,$B44,'Detailed Budget'!$BI$5:$BI$1005),"")</f>
        <v/>
      </c>
      <c r="S44" s="44" t="str">
        <f>IF(SUMIF('Detailed Budget'!$U$5:$U$1005,$B44,'Detailed Budget'!$BN$5:$BN$1005)&gt;0,SUMIF('Detailed Budget'!$U$5:$U$1005,$B44,'Detailed Budget'!$BN$5:$BN$1005),"")</f>
        <v/>
      </c>
      <c r="T44" s="44" t="str">
        <f>IF(SUMIF('Detailed Budget'!$U$5:$U$1005,$B44,'Detailed Budget'!$BP$5:$BP$1005)&gt;0,SUMIF('Detailed Budget'!$U$5:$U$1005,$B44,'Detailed Budget'!$BP$5:$BP$1005),"")</f>
        <v/>
      </c>
      <c r="U44" s="44" t="str">
        <f>IF(SUMIF('Detailed Budget'!$U$5:$U$1005,$B44,'Detailed Budget'!$BR$5:$BR$1005)&gt;0,SUMIF('Detailed Budget'!$U$5:$U$1005,$B44,'Detailed Budget'!$BR$5:$BR$1005),"")</f>
        <v/>
      </c>
      <c r="V44" s="44" t="str">
        <f>IF(SUMIF('Detailed Budget'!$U$5:$U$1005,$B44,'Detailed Budget'!$BT$5:$BT$1005)&gt;0,SUMIF('Detailed Budget'!$U$5:$U$1005,$B44,'Detailed Budget'!$BT$5:$BT$1005),"")</f>
        <v/>
      </c>
      <c r="W44" s="45" t="str">
        <f>IF(SUMIF('Detailed Budget'!$U$5:$U$1005,$B44,'Detailed Budget'!$BV$5:$BV$1005)&gt;0,SUMIF('Detailed Budget'!$U$5:$U$1005,$B44,'Detailed Budget'!$BV$5:$BV$1005),"")</f>
        <v/>
      </c>
      <c r="X44" s="44" t="str">
        <f t="shared" si="3"/>
        <v/>
      </c>
      <c r="Y44" s="122" t="str">
        <f t="shared" si="4"/>
        <v/>
      </c>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row>
    <row r="45" spans="2:49" s="35" customFormat="1" x14ac:dyDescent="0.2">
      <c r="B45" s="233">
        <v>9</v>
      </c>
      <c r="C45" s="44" t="str">
        <f>IFERROR(INDEX('Data Sheet'!$E$198:$E$275,MATCH(B45,'Data Sheet'!$D$198:$D$275,0)),"")</f>
        <v>Non-health equipment (NHP)</v>
      </c>
      <c r="D45" s="44">
        <f>IF(SUMIF('Detailed Budget'!$U$5:$U$1005,$B45,'Detailed Budget'!$AA$5:$AA$1005)&gt;0,SUMIF('Detailed Budget'!$U$5:$U$1005,$B45,'Detailed Budget'!$AA$5:$AA$1005),"")</f>
        <v>1014.0345762508512</v>
      </c>
      <c r="E45" s="44">
        <f>IF(SUMIF('Detailed Budget'!$U$5:$U$1005,$B45,'Detailed Budget'!$AC$5:$AC$1005)&gt;0,SUMIF('Detailed Budget'!$U$5:$U$1005,$B45,'Detailed Budget'!$AC$5:$AC$1005),"")</f>
        <v>3314.0345762508509</v>
      </c>
      <c r="F45" s="44">
        <f>IF(SUMIF('Detailed Budget'!$U$5:$U$1005,$B45,'Detailed Budget'!$AE$5:$AE$1005)&gt;0,SUMIF('Detailed Budget'!$U$5:$U$1005,$B45,'Detailed Budget'!$AE$5:$AE$1005),"")</f>
        <v>1014.0345762508512</v>
      </c>
      <c r="G45" s="44">
        <f>IF(SUMIF('Detailed Budget'!$U$5:$U$1005,$B45,'Detailed Budget'!$AG$5:$AG$1005)&gt;0,SUMIF('Detailed Budget'!$U$5:$U$1005,$B45,'Detailed Budget'!$AG$5:$AG$1005),"")</f>
        <v>1014.0345762508512</v>
      </c>
      <c r="H45" s="45">
        <f>IF(SUMIF('Detailed Budget'!$U$5:$U$1005,$B45,'Detailed Budget'!$AI$5:$AI$1005)&gt;0,SUMIF('Detailed Budget'!$U$5:$U$1005,$B45,'Detailed Budget'!$AI$5:$AI$1005),"")</f>
        <v>6356.1383050034037</v>
      </c>
      <c r="I45" s="44">
        <f>IF(SUMIF('Detailed Budget'!$U$5:$U$1005,$B45,'Detailed Budget'!$AN$5:$AN$1005)&gt;0,SUMIF('Detailed Budget'!$U$5:$U$1005,$B45,'Detailed Budget'!$AN$5:$AN$1005),"")</f>
        <v>3314.0345762508509</v>
      </c>
      <c r="J45" s="44">
        <f>IF(SUMIF('Detailed Budget'!$U$5:$U$1005,$B45,'Detailed Budget'!$AP$5:$AP$1005)&gt;0,SUMIF('Detailed Budget'!$U$5:$U$1005,$B45,'Detailed Budget'!$AP$5:$AP$1005),"")</f>
        <v>1014.0345762508512</v>
      </c>
      <c r="K45" s="44">
        <f>IF(SUMIF('Detailed Budget'!$U$5:$U$1005,$B45,'Detailed Budget'!$AR$5:$AR$1005)&gt;0,SUMIF('Detailed Budget'!$U$5:$U$1005,$B45,'Detailed Budget'!$AR$5:$AR$1005),"")</f>
        <v>1014.0345762508512</v>
      </c>
      <c r="L45" s="44">
        <f>IF(SUMIF('Detailed Budget'!$U$5:$U$1005,$B45,'Detailed Budget'!$AT$5:$AT$1005)&gt;0,SUMIF('Detailed Budget'!$U$5:$U$1005,$B45,'Detailed Budget'!$AT$5:$AT$1005),"")</f>
        <v>1014.0345762508512</v>
      </c>
      <c r="M45" s="45">
        <f>IF(SUMIF('Detailed Budget'!$U$5:$U$1005,$B45,'Detailed Budget'!$AV$5:$AV$1005)&gt;0,SUMIF('Detailed Budget'!$U$5:$U$1005,$B45,'Detailed Budget'!$AV$5:$AV$1005),"")</f>
        <v>6356.1383050034037</v>
      </c>
      <c r="N45" s="44">
        <f>IF(SUMIF('Detailed Budget'!$U$5:$U$1005,$B45,'Detailed Budget'!$BA$5:$BA$1005)&gt;0,SUMIF('Detailed Budget'!$U$5:$U$1005,$B45,'Detailed Budget'!$BA$5:$BA$1005),"")</f>
        <v>3314.0345762508509</v>
      </c>
      <c r="O45" s="44">
        <f>IF(SUMIF('Detailed Budget'!$U$5:$U$1005,$B45,'Detailed Budget'!$BC$5:$BC$1005)&gt;0,SUMIF('Detailed Budget'!$U$5:$U$1005,$B45,'Detailed Budget'!$BC$5:$BC$1005),"")</f>
        <v>1014.0345762508512</v>
      </c>
      <c r="P45" s="44">
        <f>IF(SUMIF('Detailed Budget'!$U$5:$U$1005,$B45,'Detailed Budget'!$BE$5:$BE$1005)&gt;0,SUMIF('Detailed Budget'!$U$5:$U$1005,$B45,'Detailed Budget'!$BE$5:$BE$1005),"")</f>
        <v>1014.0345762508512</v>
      </c>
      <c r="Q45" s="44">
        <f>IF(SUMIF('Detailed Budget'!$U$5:$U$1005,$B45,'Detailed Budget'!$BG$5:$BG$1005)&gt;0,SUMIF('Detailed Budget'!$U$5:$U$1005,$B45,'Detailed Budget'!$BG$5:$BG$1005),"")</f>
        <v>1014.0345762508512</v>
      </c>
      <c r="R45" s="45">
        <f>IF(SUMIF('Detailed Budget'!$U$5:$U$1005,$B45,'Detailed Budget'!$BI$5:$BI$1005)&gt;0,SUMIF('Detailed Budget'!$U$5:$U$1005,$B45,'Detailed Budget'!$BI$5:$BI$1005),"")</f>
        <v>6356.1383050034037</v>
      </c>
      <c r="S45" s="44" t="str">
        <f>IF(SUMIF('Detailed Budget'!$U$5:$U$1005,$B45,'Detailed Budget'!$BN$5:$BN$1005)&gt;0,SUMIF('Detailed Budget'!$U$5:$U$1005,$B45,'Detailed Budget'!$BN$5:$BN$1005),"")</f>
        <v/>
      </c>
      <c r="T45" s="44" t="str">
        <f>IF(SUMIF('Detailed Budget'!$U$5:$U$1005,$B45,'Detailed Budget'!$BP$5:$BP$1005)&gt;0,SUMIF('Detailed Budget'!$U$5:$U$1005,$B45,'Detailed Budget'!$BP$5:$BP$1005),"")</f>
        <v/>
      </c>
      <c r="U45" s="44" t="str">
        <f>IF(SUMIF('Detailed Budget'!$U$5:$U$1005,$B45,'Detailed Budget'!$BR$5:$BR$1005)&gt;0,SUMIF('Detailed Budget'!$U$5:$U$1005,$B45,'Detailed Budget'!$BR$5:$BR$1005),"")</f>
        <v/>
      </c>
      <c r="V45" s="44" t="str">
        <f>IF(SUMIF('Detailed Budget'!$U$5:$U$1005,$B45,'Detailed Budget'!$BT$5:$BT$1005)&gt;0,SUMIF('Detailed Budget'!$U$5:$U$1005,$B45,'Detailed Budget'!$BT$5:$BT$1005),"")</f>
        <v/>
      </c>
      <c r="W45" s="45" t="str">
        <f>IF(SUMIF('Detailed Budget'!$U$5:$U$1005,$B45,'Detailed Budget'!$BV$5:$BV$1005)&gt;0,SUMIF('Detailed Budget'!$U$5:$U$1005,$B45,'Detailed Budget'!$BV$5:$BV$1005),"")</f>
        <v/>
      </c>
      <c r="X45" s="44">
        <f t="shared" si="3"/>
        <v>19068.414915010209</v>
      </c>
      <c r="Y45" s="122">
        <f t="shared" si="4"/>
        <v>2.7509201593887795E-3</v>
      </c>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row>
    <row r="46" spans="2:49" s="35" customFormat="1" x14ac:dyDescent="0.2">
      <c r="B46" s="233">
        <v>10</v>
      </c>
      <c r="C46" s="44" t="str">
        <f>IFERROR(INDEX('Data Sheet'!$E$198:$E$275,MATCH(B46,'Data Sheet'!$D$198:$D$275,0)),"")</f>
        <v>Communication Material and Publications (CMP)</v>
      </c>
      <c r="D46" s="44" t="str">
        <f>IF(SUMIF('Detailed Budget'!$U$5:$U$1005,$B46,'Detailed Budget'!$AA$5:$AA$1005)&gt;0,SUMIF('Detailed Budget'!$U$5:$U$1005,$B46,'Detailed Budget'!$AA$5:$AA$1005),"")</f>
        <v/>
      </c>
      <c r="E46" s="44" t="str">
        <f>IF(SUMIF('Detailed Budget'!$U$5:$U$1005,$B46,'Detailed Budget'!$AC$5:$AC$1005)&gt;0,SUMIF('Detailed Budget'!$U$5:$U$1005,$B46,'Detailed Budget'!$AC$5:$AC$1005),"")</f>
        <v/>
      </c>
      <c r="F46" s="44" t="str">
        <f>IF(SUMIF('Detailed Budget'!$U$5:$U$1005,$B46,'Detailed Budget'!$AE$5:$AE$1005)&gt;0,SUMIF('Detailed Budget'!$U$5:$U$1005,$B46,'Detailed Budget'!$AE$5:$AE$1005),"")</f>
        <v/>
      </c>
      <c r="G46" s="44" t="str">
        <f>IF(SUMIF('Detailed Budget'!$U$5:$U$1005,$B46,'Detailed Budget'!$AG$5:$AG$1005)&gt;0,SUMIF('Detailed Budget'!$U$5:$U$1005,$B46,'Detailed Budget'!$AG$5:$AG$1005),"")</f>
        <v/>
      </c>
      <c r="H46" s="45" t="str">
        <f>IF(SUMIF('Detailed Budget'!$U$5:$U$1005,$B46,'Detailed Budget'!$AI$5:$AI$1005)&gt;0,SUMIF('Detailed Budget'!$U$5:$U$1005,$B46,'Detailed Budget'!$AI$5:$AI$1005),"")</f>
        <v/>
      </c>
      <c r="I46" s="44" t="str">
        <f>IF(SUMIF('Detailed Budget'!$U$5:$U$1005,$B46,'Detailed Budget'!$AN$5:$AN$1005)&gt;0,SUMIF('Detailed Budget'!$U$5:$U$1005,$B46,'Detailed Budget'!$AN$5:$AN$1005),"")</f>
        <v/>
      </c>
      <c r="J46" s="44" t="str">
        <f>IF(SUMIF('Detailed Budget'!$U$5:$U$1005,$B46,'Detailed Budget'!$AP$5:$AP$1005)&gt;0,SUMIF('Detailed Budget'!$U$5:$U$1005,$B46,'Detailed Budget'!$AP$5:$AP$1005),"")</f>
        <v/>
      </c>
      <c r="K46" s="44" t="str">
        <f>IF(SUMIF('Detailed Budget'!$U$5:$U$1005,$B46,'Detailed Budget'!$AR$5:$AR$1005)&gt;0,SUMIF('Detailed Budget'!$U$5:$U$1005,$B46,'Detailed Budget'!$AR$5:$AR$1005),"")</f>
        <v/>
      </c>
      <c r="L46" s="44" t="str">
        <f>IF(SUMIF('Detailed Budget'!$U$5:$U$1005,$B46,'Detailed Budget'!$AT$5:$AT$1005)&gt;0,SUMIF('Detailed Budget'!$U$5:$U$1005,$B46,'Detailed Budget'!$AT$5:$AT$1005),"")</f>
        <v/>
      </c>
      <c r="M46" s="45" t="str">
        <f>IF(SUMIF('Detailed Budget'!$U$5:$U$1005,$B46,'Detailed Budget'!$AV$5:$AV$1005)&gt;0,SUMIF('Detailed Budget'!$U$5:$U$1005,$B46,'Detailed Budget'!$AV$5:$AV$1005),"")</f>
        <v/>
      </c>
      <c r="N46" s="44" t="str">
        <f>IF(SUMIF('Detailed Budget'!$U$5:$U$1005,$B46,'Detailed Budget'!$BA$5:$BA$1005)&gt;0,SUMIF('Detailed Budget'!$U$5:$U$1005,$B46,'Detailed Budget'!$BA$5:$BA$1005),"")</f>
        <v/>
      </c>
      <c r="O46" s="44" t="str">
        <f>IF(SUMIF('Detailed Budget'!$U$5:$U$1005,$B46,'Detailed Budget'!$BC$5:$BC$1005)&gt;0,SUMIF('Detailed Budget'!$U$5:$U$1005,$B46,'Detailed Budget'!$BC$5:$BC$1005),"")</f>
        <v/>
      </c>
      <c r="P46" s="44" t="str">
        <f>IF(SUMIF('Detailed Budget'!$U$5:$U$1005,$B46,'Detailed Budget'!$BE$5:$BE$1005)&gt;0,SUMIF('Detailed Budget'!$U$5:$U$1005,$B46,'Detailed Budget'!$BE$5:$BE$1005),"")</f>
        <v/>
      </c>
      <c r="Q46" s="44" t="str">
        <f>IF(SUMIF('Detailed Budget'!$U$5:$U$1005,$B46,'Detailed Budget'!$BG$5:$BG$1005)&gt;0,SUMIF('Detailed Budget'!$U$5:$U$1005,$B46,'Detailed Budget'!$BG$5:$BG$1005),"")</f>
        <v/>
      </c>
      <c r="R46" s="45" t="str">
        <f>IF(SUMIF('Detailed Budget'!$U$5:$U$1005,$B46,'Detailed Budget'!$BI$5:$BI$1005)&gt;0,SUMIF('Detailed Budget'!$U$5:$U$1005,$B46,'Detailed Budget'!$BI$5:$BI$1005),"")</f>
        <v/>
      </c>
      <c r="S46" s="44" t="str">
        <f>IF(SUMIF('Detailed Budget'!$U$5:$U$1005,$B46,'Detailed Budget'!$BN$5:$BN$1005)&gt;0,SUMIF('Detailed Budget'!$U$5:$U$1005,$B46,'Detailed Budget'!$BN$5:$BN$1005),"")</f>
        <v/>
      </c>
      <c r="T46" s="44" t="str">
        <f>IF(SUMIF('Detailed Budget'!$U$5:$U$1005,$B46,'Detailed Budget'!$BP$5:$BP$1005)&gt;0,SUMIF('Detailed Budget'!$U$5:$U$1005,$B46,'Detailed Budget'!$BP$5:$BP$1005),"")</f>
        <v/>
      </c>
      <c r="U46" s="44" t="str">
        <f>IF(SUMIF('Detailed Budget'!$U$5:$U$1005,$B46,'Detailed Budget'!$BR$5:$BR$1005)&gt;0,SUMIF('Detailed Budget'!$U$5:$U$1005,$B46,'Detailed Budget'!$BR$5:$BR$1005),"")</f>
        <v/>
      </c>
      <c r="V46" s="44" t="str">
        <f>IF(SUMIF('Detailed Budget'!$U$5:$U$1005,$B46,'Detailed Budget'!$BT$5:$BT$1005)&gt;0,SUMIF('Detailed Budget'!$U$5:$U$1005,$B46,'Detailed Budget'!$BT$5:$BT$1005),"")</f>
        <v/>
      </c>
      <c r="W46" s="45" t="str">
        <f>IF(SUMIF('Detailed Budget'!$U$5:$U$1005,$B46,'Detailed Budget'!$BV$5:$BV$1005)&gt;0,SUMIF('Detailed Budget'!$U$5:$U$1005,$B46,'Detailed Budget'!$BV$5:$BV$1005),"")</f>
        <v/>
      </c>
      <c r="X46" s="44" t="str">
        <f t="shared" si="3"/>
        <v/>
      </c>
      <c r="Y46" s="122" t="str">
        <f t="shared" si="4"/>
        <v/>
      </c>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row>
    <row r="47" spans="2:49" s="35" customFormat="1" x14ac:dyDescent="0.2">
      <c r="B47" s="233">
        <v>11</v>
      </c>
      <c r="C47" s="44" t="str">
        <f>IFERROR(INDEX('Data Sheet'!$E$198:$E$275,MATCH(B47,'Data Sheet'!$D$198:$D$275,0)),"")</f>
        <v>Programme Administration costs (PA)</v>
      </c>
      <c r="D47" s="44">
        <f>IF(SUMIF('Detailed Budget'!$U$5:$U$1005,$B47,'Detailed Budget'!$AA$5:$AA$1005)&gt;0,SUMIF('Detailed Budget'!$U$5:$U$1005,$B47,'Detailed Budget'!$AA$5:$AA$1005),"")</f>
        <v>20560.548566585636</v>
      </c>
      <c r="E47" s="44">
        <f>IF(SUMIF('Detailed Budget'!$U$5:$U$1005,$B47,'Detailed Budget'!$AC$5:$AC$1005)&gt;0,SUMIF('Detailed Budget'!$U$5:$U$1005,$B47,'Detailed Budget'!$AC$5:$AC$1005),"")</f>
        <v>20560.548566585636</v>
      </c>
      <c r="F47" s="44">
        <f>IF(SUMIF('Detailed Budget'!$U$5:$U$1005,$B47,'Detailed Budget'!$AE$5:$AE$1005)&gt;0,SUMIF('Detailed Budget'!$U$5:$U$1005,$B47,'Detailed Budget'!$AE$5:$AE$1005),"")</f>
        <v>20560.548566585636</v>
      </c>
      <c r="G47" s="44">
        <f>IF(SUMIF('Detailed Budget'!$U$5:$U$1005,$B47,'Detailed Budget'!$AG$5:$AG$1005)&gt;0,SUMIF('Detailed Budget'!$U$5:$U$1005,$B47,'Detailed Budget'!$AG$5:$AG$1005),"")</f>
        <v>20560.548566585636</v>
      </c>
      <c r="H47" s="45">
        <f>IF(SUMIF('Detailed Budget'!$U$5:$U$1005,$B47,'Detailed Budget'!$AI$5:$AI$1005)&gt;0,SUMIF('Detailed Budget'!$U$5:$U$1005,$B47,'Detailed Budget'!$AI$5:$AI$1005),"")</f>
        <v>82242.194266342543</v>
      </c>
      <c r="I47" s="44">
        <f>IF(SUMIF('Detailed Budget'!$U$5:$U$1005,$B47,'Detailed Budget'!$AN$5:$AN$1005)&gt;0,SUMIF('Detailed Budget'!$U$5:$U$1005,$B47,'Detailed Budget'!$AN$5:$AN$1005),"")</f>
        <v>20464.461066585638</v>
      </c>
      <c r="J47" s="44">
        <f>IF(SUMIF('Detailed Budget'!$U$5:$U$1005,$B47,'Detailed Budget'!$AP$5:$AP$1005)&gt;0,SUMIF('Detailed Budget'!$U$5:$U$1005,$B47,'Detailed Budget'!$AP$5:$AP$1005),"")</f>
        <v>20464.461066585638</v>
      </c>
      <c r="K47" s="44">
        <f>IF(SUMIF('Detailed Budget'!$U$5:$U$1005,$B47,'Detailed Budget'!$AR$5:$AR$1005)&gt;0,SUMIF('Detailed Budget'!$U$5:$U$1005,$B47,'Detailed Budget'!$AR$5:$AR$1005),"")</f>
        <v>20464.461066585638</v>
      </c>
      <c r="L47" s="44">
        <f>IF(SUMIF('Detailed Budget'!$U$5:$U$1005,$B47,'Detailed Budget'!$AT$5:$AT$1005)&gt;0,SUMIF('Detailed Budget'!$U$5:$U$1005,$B47,'Detailed Budget'!$AT$5:$AT$1005),"")</f>
        <v>20464.461066585638</v>
      </c>
      <c r="M47" s="45">
        <f>IF(SUMIF('Detailed Budget'!$U$5:$U$1005,$B47,'Detailed Budget'!$AV$5:$AV$1005)&gt;0,SUMIF('Detailed Budget'!$U$5:$U$1005,$B47,'Detailed Budget'!$AV$5:$AV$1005),"")</f>
        <v>81857.844266342552</v>
      </c>
      <c r="N47" s="44">
        <f>IF(SUMIF('Detailed Budget'!$U$5:$U$1005,$B47,'Detailed Budget'!$BA$5:$BA$1005)&gt;0,SUMIF('Detailed Budget'!$U$5:$U$1005,$B47,'Detailed Budget'!$BA$5:$BA$1005),"")</f>
        <v>20359.998566585637</v>
      </c>
      <c r="O47" s="44">
        <f>IF(SUMIF('Detailed Budget'!$U$5:$U$1005,$B47,'Detailed Budget'!$BC$5:$BC$1005)&gt;0,SUMIF('Detailed Budget'!$U$5:$U$1005,$B47,'Detailed Budget'!$BC$5:$BC$1005),"")</f>
        <v>20359.998566585637</v>
      </c>
      <c r="P47" s="44">
        <f>IF(SUMIF('Detailed Budget'!$U$5:$U$1005,$B47,'Detailed Budget'!$BE$5:$BE$1005)&gt;0,SUMIF('Detailed Budget'!$U$5:$U$1005,$B47,'Detailed Budget'!$BE$5:$BE$1005),"")</f>
        <v>20359.998566585637</v>
      </c>
      <c r="Q47" s="44">
        <f>IF(SUMIF('Detailed Budget'!$U$5:$U$1005,$B47,'Detailed Budget'!$BG$5:$BG$1005)&gt;0,SUMIF('Detailed Budget'!$U$5:$U$1005,$B47,'Detailed Budget'!$BG$5:$BG$1005),"")</f>
        <v>20359.998566585637</v>
      </c>
      <c r="R47" s="45">
        <f>IF(SUMIF('Detailed Budget'!$U$5:$U$1005,$B47,'Detailed Budget'!$BI$5:$BI$1005)&gt;0,SUMIF('Detailed Budget'!$U$5:$U$1005,$B47,'Detailed Budget'!$BI$5:$BI$1005),"")</f>
        <v>81439.994266342546</v>
      </c>
      <c r="S47" s="44" t="str">
        <f>IF(SUMIF('Detailed Budget'!$U$5:$U$1005,$B47,'Detailed Budget'!$BN$5:$BN$1005)&gt;0,SUMIF('Detailed Budget'!$U$5:$U$1005,$B47,'Detailed Budget'!$BN$5:$BN$1005),"")</f>
        <v/>
      </c>
      <c r="T47" s="44" t="str">
        <f>IF(SUMIF('Detailed Budget'!$U$5:$U$1005,$B47,'Detailed Budget'!$BP$5:$BP$1005)&gt;0,SUMIF('Detailed Budget'!$U$5:$U$1005,$B47,'Detailed Budget'!$BP$5:$BP$1005),"")</f>
        <v/>
      </c>
      <c r="U47" s="44" t="str">
        <f>IF(SUMIF('Detailed Budget'!$U$5:$U$1005,$B47,'Detailed Budget'!$BR$5:$BR$1005)&gt;0,SUMIF('Detailed Budget'!$U$5:$U$1005,$B47,'Detailed Budget'!$BR$5:$BR$1005),"")</f>
        <v/>
      </c>
      <c r="V47" s="44" t="str">
        <f>IF(SUMIF('Detailed Budget'!$U$5:$U$1005,$B47,'Detailed Budget'!$BT$5:$BT$1005)&gt;0,SUMIF('Detailed Budget'!$U$5:$U$1005,$B47,'Detailed Budget'!$BT$5:$BT$1005),"")</f>
        <v/>
      </c>
      <c r="W47" s="45" t="str">
        <f>IF(SUMIF('Detailed Budget'!$U$5:$U$1005,$B47,'Detailed Budget'!$BV$5:$BV$1005)&gt;0,SUMIF('Detailed Budget'!$U$5:$U$1005,$B47,'Detailed Budget'!$BV$5:$BV$1005),"")</f>
        <v/>
      </c>
      <c r="X47" s="44">
        <f t="shared" si="3"/>
        <v>245540.03279902763</v>
      </c>
      <c r="Y47" s="122">
        <f t="shared" si="4"/>
        <v>3.5423029610716104E-2</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row>
    <row r="48" spans="2:49" s="35" customFormat="1" x14ac:dyDescent="0.2">
      <c r="B48" s="233">
        <v>12</v>
      </c>
      <c r="C48" s="44" t="str">
        <f>IFERROR(INDEX('Data Sheet'!$E$198:$E$275,MATCH(B48,'Data Sheet'!$D$198:$D$275,0)),"")</f>
        <v>Living support to client/ target population (LSCTP)</v>
      </c>
      <c r="D48" s="44">
        <f>IF(SUMIF('Detailed Budget'!$U$5:$U$1005,$B48,'Detailed Budget'!$AA$5:$AA$1005)&gt;0,SUMIF('Detailed Budget'!$U$5:$U$1005,$B48,'Detailed Budget'!$AA$5:$AA$1005),"")</f>
        <v>23232.07774000975</v>
      </c>
      <c r="E48" s="44">
        <f>IF(SUMIF('Detailed Budget'!$U$5:$U$1005,$B48,'Detailed Budget'!$AC$5:$AC$1005)&gt;0,SUMIF('Detailed Budget'!$U$5:$U$1005,$B48,'Detailed Budget'!$AC$5:$AC$1005),"")</f>
        <v>23232.07774000975</v>
      </c>
      <c r="F48" s="44">
        <f>IF(SUMIF('Detailed Budget'!$U$5:$U$1005,$B48,'Detailed Budget'!$AE$5:$AE$1005)&gt;0,SUMIF('Detailed Budget'!$U$5:$U$1005,$B48,'Detailed Budget'!$AE$5:$AE$1005),"")</f>
        <v>23232.07774000975</v>
      </c>
      <c r="G48" s="44">
        <f>IF(SUMIF('Detailed Budget'!$U$5:$U$1005,$B48,'Detailed Budget'!$AG$5:$AG$1005)&gt;0,SUMIF('Detailed Budget'!$U$5:$U$1005,$B48,'Detailed Budget'!$AG$5:$AG$1005),"")</f>
        <v>23232.07774000975</v>
      </c>
      <c r="H48" s="45">
        <f>IF(SUMIF('Detailed Budget'!$U$5:$U$1005,$B48,'Detailed Budget'!$AI$5:$AI$1005)&gt;0,SUMIF('Detailed Budget'!$U$5:$U$1005,$B48,'Detailed Budget'!$AI$5:$AI$1005),"")</f>
        <v>92928.310960039002</v>
      </c>
      <c r="I48" s="44">
        <f>IF(SUMIF('Detailed Budget'!$U$5:$U$1005,$B48,'Detailed Budget'!$AN$5:$AN$1005)&gt;0,SUMIF('Detailed Budget'!$U$5:$U$1005,$B48,'Detailed Budget'!$AN$5:$AN$1005),"")</f>
        <v>23232.07774000975</v>
      </c>
      <c r="J48" s="44">
        <f>IF(SUMIF('Detailed Budget'!$U$5:$U$1005,$B48,'Detailed Budget'!$AP$5:$AP$1005)&gt;0,SUMIF('Detailed Budget'!$U$5:$U$1005,$B48,'Detailed Budget'!$AP$5:$AP$1005),"")</f>
        <v>23232.07774000975</v>
      </c>
      <c r="K48" s="44">
        <f>IF(SUMIF('Detailed Budget'!$U$5:$U$1005,$B48,'Detailed Budget'!$AR$5:$AR$1005)&gt;0,SUMIF('Detailed Budget'!$U$5:$U$1005,$B48,'Detailed Budget'!$AR$5:$AR$1005),"")</f>
        <v>23232.07774000975</v>
      </c>
      <c r="L48" s="44">
        <f>IF(SUMIF('Detailed Budget'!$U$5:$U$1005,$B48,'Detailed Budget'!$AT$5:$AT$1005)&gt;0,SUMIF('Detailed Budget'!$U$5:$U$1005,$B48,'Detailed Budget'!$AT$5:$AT$1005),"")</f>
        <v>23232.07774000975</v>
      </c>
      <c r="M48" s="45">
        <f>IF(SUMIF('Detailed Budget'!$U$5:$U$1005,$B48,'Detailed Budget'!$AV$5:$AV$1005)&gt;0,SUMIF('Detailed Budget'!$U$5:$U$1005,$B48,'Detailed Budget'!$AV$5:$AV$1005),"")</f>
        <v>92928.310960039002</v>
      </c>
      <c r="N48" s="44">
        <f>IF(SUMIF('Detailed Budget'!$U$5:$U$1005,$B48,'Detailed Budget'!$BA$5:$BA$1005)&gt;0,SUMIF('Detailed Budget'!$U$5:$U$1005,$B48,'Detailed Budget'!$BA$5:$BA$1005),"")</f>
        <v>23232.07774000975</v>
      </c>
      <c r="O48" s="44">
        <f>IF(SUMIF('Detailed Budget'!$U$5:$U$1005,$B48,'Detailed Budget'!$BC$5:$BC$1005)&gt;0,SUMIF('Detailed Budget'!$U$5:$U$1005,$B48,'Detailed Budget'!$BC$5:$BC$1005),"")</f>
        <v>23232.07774000975</v>
      </c>
      <c r="P48" s="44">
        <f>IF(SUMIF('Detailed Budget'!$U$5:$U$1005,$B48,'Detailed Budget'!$BE$5:$BE$1005)&gt;0,SUMIF('Detailed Budget'!$U$5:$U$1005,$B48,'Detailed Budget'!$BE$5:$BE$1005),"")</f>
        <v>23232.07774000975</v>
      </c>
      <c r="Q48" s="44">
        <f>IF(SUMIF('Detailed Budget'!$U$5:$U$1005,$B48,'Detailed Budget'!$BG$5:$BG$1005)&gt;0,SUMIF('Detailed Budget'!$U$5:$U$1005,$B48,'Detailed Budget'!$BG$5:$BG$1005),"")</f>
        <v>23232.07774000975</v>
      </c>
      <c r="R48" s="45">
        <f>IF(SUMIF('Detailed Budget'!$U$5:$U$1005,$B48,'Detailed Budget'!$BI$5:$BI$1005)&gt;0,SUMIF('Detailed Budget'!$U$5:$U$1005,$B48,'Detailed Budget'!$BI$5:$BI$1005),"")</f>
        <v>92928.310960039002</v>
      </c>
      <c r="S48" s="44" t="str">
        <f>IF(SUMIF('Detailed Budget'!$U$5:$U$1005,$B48,'Detailed Budget'!$BN$5:$BN$1005)&gt;0,SUMIF('Detailed Budget'!$U$5:$U$1005,$B48,'Detailed Budget'!$BN$5:$BN$1005),"")</f>
        <v/>
      </c>
      <c r="T48" s="44" t="str">
        <f>IF(SUMIF('Detailed Budget'!$U$5:$U$1005,$B48,'Detailed Budget'!$BP$5:$BP$1005)&gt;0,SUMIF('Detailed Budget'!$U$5:$U$1005,$B48,'Detailed Budget'!$BP$5:$BP$1005),"")</f>
        <v/>
      </c>
      <c r="U48" s="44" t="str">
        <f>IF(SUMIF('Detailed Budget'!$U$5:$U$1005,$B48,'Detailed Budget'!$BR$5:$BR$1005)&gt;0,SUMIF('Detailed Budget'!$U$5:$U$1005,$B48,'Detailed Budget'!$BR$5:$BR$1005),"")</f>
        <v/>
      </c>
      <c r="V48" s="44" t="str">
        <f>IF(SUMIF('Detailed Budget'!$U$5:$U$1005,$B48,'Detailed Budget'!$BT$5:$BT$1005)&gt;0,SUMIF('Detailed Budget'!$U$5:$U$1005,$B48,'Detailed Budget'!$BT$5:$BT$1005),"")</f>
        <v/>
      </c>
      <c r="W48" s="45" t="str">
        <f>IF(SUMIF('Detailed Budget'!$U$5:$U$1005,$B48,'Detailed Budget'!$BV$5:$BV$1005)&gt;0,SUMIF('Detailed Budget'!$U$5:$U$1005,$B48,'Detailed Budget'!$BV$5:$BV$1005),"")</f>
        <v/>
      </c>
      <c r="X48" s="44">
        <f t="shared" si="3"/>
        <v>278784.93288011698</v>
      </c>
      <c r="Y48" s="122">
        <f t="shared" si="4"/>
        <v>4.0219131763808223E-2</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row>
    <row r="49" spans="2:49" s="35" customFormat="1" x14ac:dyDescent="0.2">
      <c r="B49" s="233">
        <v>13</v>
      </c>
      <c r="C49" s="44" t="str">
        <f>IFERROR(INDEX('Data Sheet'!$E$198:$E$275,MATCH(B49,'Data Sheet'!$D$198:$D$275,0)),"")</f>
        <v>Payment for Results</v>
      </c>
      <c r="D49" s="44">
        <f>IF(SUMIF('Detailed Budget'!$U$5:$U$1005,$B49,'Detailed Budget'!$AA$5:$AA$1005)&gt;0,SUMIF('Detailed Budget'!$U$5:$U$1005,$B49,'Detailed Budget'!$AA$5:$AA$1005),"")</f>
        <v>1161.1611778007398</v>
      </c>
      <c r="E49" s="44">
        <f>IF(SUMIF('Detailed Budget'!$U$5:$U$1005,$B49,'Detailed Budget'!$AC$5:$AC$1005)&gt;0,SUMIF('Detailed Budget'!$U$5:$U$1005,$B49,'Detailed Budget'!$AC$5:$AC$1005),"")</f>
        <v>1161.1611778007398</v>
      </c>
      <c r="F49" s="44">
        <f>IF(SUMIF('Detailed Budget'!$U$5:$U$1005,$B49,'Detailed Budget'!$AE$5:$AE$1005)&gt;0,SUMIF('Detailed Budget'!$U$5:$U$1005,$B49,'Detailed Budget'!$AE$5:$AE$1005),"")</f>
        <v>1161.1611778007398</v>
      </c>
      <c r="G49" s="44">
        <f>IF(SUMIF('Detailed Budget'!$U$5:$U$1005,$B49,'Detailed Budget'!$AG$5:$AG$1005)&gt;0,SUMIF('Detailed Budget'!$U$5:$U$1005,$B49,'Detailed Budget'!$AG$5:$AG$1005),"")</f>
        <v>1161.1611778007398</v>
      </c>
      <c r="H49" s="45">
        <f>IF(SUMIF('Detailed Budget'!$U$5:$U$1005,$B49,'Detailed Budget'!$AI$5:$AI$1005)&gt;0,SUMIF('Detailed Budget'!$U$5:$U$1005,$B49,'Detailed Budget'!$AI$5:$AI$1005),"")</f>
        <v>4644.6447112029591</v>
      </c>
      <c r="I49" s="44">
        <f>IF(SUMIF('Detailed Budget'!$U$5:$U$1005,$B49,'Detailed Budget'!$AN$5:$AN$1005)&gt;0,SUMIF('Detailed Budget'!$U$5:$U$1005,$B49,'Detailed Budget'!$AN$5:$AN$1005),"")</f>
        <v>1161.1611778007398</v>
      </c>
      <c r="J49" s="44">
        <f>IF(SUMIF('Detailed Budget'!$U$5:$U$1005,$B49,'Detailed Budget'!$AP$5:$AP$1005)&gt;0,SUMIF('Detailed Budget'!$U$5:$U$1005,$B49,'Detailed Budget'!$AP$5:$AP$1005),"")</f>
        <v>1161.1611778007398</v>
      </c>
      <c r="K49" s="44">
        <f>IF(SUMIF('Detailed Budget'!$U$5:$U$1005,$B49,'Detailed Budget'!$AR$5:$AR$1005)&gt;0,SUMIF('Detailed Budget'!$U$5:$U$1005,$B49,'Detailed Budget'!$AR$5:$AR$1005),"")</f>
        <v>1161.1611778007398</v>
      </c>
      <c r="L49" s="44">
        <f>IF(SUMIF('Detailed Budget'!$U$5:$U$1005,$B49,'Detailed Budget'!$AT$5:$AT$1005)&gt;0,SUMIF('Detailed Budget'!$U$5:$U$1005,$B49,'Detailed Budget'!$AT$5:$AT$1005),"")</f>
        <v>1161.1611778007398</v>
      </c>
      <c r="M49" s="45">
        <f>IF(SUMIF('Detailed Budget'!$U$5:$U$1005,$B49,'Detailed Budget'!$AV$5:$AV$1005)&gt;0,SUMIF('Detailed Budget'!$U$5:$U$1005,$B49,'Detailed Budget'!$AV$5:$AV$1005),"")</f>
        <v>4644.6447112029591</v>
      </c>
      <c r="N49" s="44">
        <f>IF(SUMIF('Detailed Budget'!$U$5:$U$1005,$B49,'Detailed Budget'!$BA$5:$BA$1005)&gt;0,SUMIF('Detailed Budget'!$U$5:$U$1005,$B49,'Detailed Budget'!$BA$5:$BA$1005),"")</f>
        <v>1161.1611778007398</v>
      </c>
      <c r="O49" s="44">
        <f>IF(SUMIF('Detailed Budget'!$U$5:$U$1005,$B49,'Detailed Budget'!$BC$5:$BC$1005)&gt;0,SUMIF('Detailed Budget'!$U$5:$U$1005,$B49,'Detailed Budget'!$BC$5:$BC$1005),"")</f>
        <v>1161.1611778007398</v>
      </c>
      <c r="P49" s="44">
        <f>IF(SUMIF('Detailed Budget'!$U$5:$U$1005,$B49,'Detailed Budget'!$BE$5:$BE$1005)&gt;0,SUMIF('Detailed Budget'!$U$5:$U$1005,$B49,'Detailed Budget'!$BE$5:$BE$1005),"")</f>
        <v>1161.1611778007398</v>
      </c>
      <c r="Q49" s="44">
        <f>IF(SUMIF('Detailed Budget'!$U$5:$U$1005,$B49,'Detailed Budget'!$BG$5:$BG$1005)&gt;0,SUMIF('Detailed Budget'!$U$5:$U$1005,$B49,'Detailed Budget'!$BG$5:$BG$1005),"")</f>
        <v>1161.1611778007398</v>
      </c>
      <c r="R49" s="45">
        <f>IF(SUMIF('Detailed Budget'!$U$5:$U$1005,$B49,'Detailed Budget'!$BI$5:$BI$1005)&gt;0,SUMIF('Detailed Budget'!$U$5:$U$1005,$B49,'Detailed Budget'!$BI$5:$BI$1005),"")</f>
        <v>4644.6447112029591</v>
      </c>
      <c r="S49" s="44" t="str">
        <f>IF(SUMIF('Detailed Budget'!$U$5:$U$1005,$B49,'Detailed Budget'!$BN$5:$BN$1005)&gt;0,SUMIF('Detailed Budget'!$U$5:$U$1005,$B49,'Detailed Budget'!$BN$5:$BN$1005),"")</f>
        <v/>
      </c>
      <c r="T49" s="44" t="str">
        <f>IF(SUMIF('Detailed Budget'!$U$5:$U$1005,$B49,'Detailed Budget'!$BP$5:$BP$1005)&gt;0,SUMIF('Detailed Budget'!$U$5:$U$1005,$B49,'Detailed Budget'!$BP$5:$BP$1005),"")</f>
        <v/>
      </c>
      <c r="U49" s="44" t="str">
        <f>IF(SUMIF('Detailed Budget'!$U$5:$U$1005,$B49,'Detailed Budget'!$BR$5:$BR$1005)&gt;0,SUMIF('Detailed Budget'!$U$5:$U$1005,$B49,'Detailed Budget'!$BR$5:$BR$1005),"")</f>
        <v/>
      </c>
      <c r="V49" s="44" t="str">
        <f>IF(SUMIF('Detailed Budget'!$U$5:$U$1005,$B49,'Detailed Budget'!$BT$5:$BT$1005)&gt;0,SUMIF('Detailed Budget'!$U$5:$U$1005,$B49,'Detailed Budget'!$BT$5:$BT$1005),"")</f>
        <v/>
      </c>
      <c r="W49" s="45" t="str">
        <f>IF(SUMIF('Detailed Budget'!$U$5:$U$1005,$B49,'Detailed Budget'!$BV$5:$BV$1005)&gt;0,SUMIF('Detailed Budget'!$U$5:$U$1005,$B49,'Detailed Budget'!$BV$5:$BV$1005),"")</f>
        <v/>
      </c>
      <c r="X49" s="44">
        <f t="shared" si="3"/>
        <v>13933.934133608876</v>
      </c>
      <c r="Y49" s="122">
        <f t="shared" si="4"/>
        <v>2.0101901746204772E-3</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row>
    <row r="50" spans="2:49" s="35" customFormat="1" x14ac:dyDescent="0.2">
      <c r="C50" s="44"/>
      <c r="D50" s="44" t="str">
        <f>IF(SUMIF('Detailed Budget'!$U$5:$U$1005,$B50,'Detailed Budget'!$AA$5:$AA$1005)&gt;0,SUMIF('Detailed Budget'!$U$5:$U$1005,$B50,'Detailed Budget'!$AA$5:$AA$1005),"")</f>
        <v/>
      </c>
      <c r="E50" s="44" t="str">
        <f>IF(SUMIF('Detailed Budget'!$U$5:$U$1005,$B50,'Detailed Budget'!$AC$5:$AC$1005)&gt;0,SUMIF('Detailed Budget'!$U$5:$U$1005,$B50,'Detailed Budget'!$AC$5:$AC$1005),"")</f>
        <v/>
      </c>
      <c r="F50" s="44" t="str">
        <f>IF(SUMIF('Detailed Budget'!$U$5:$U$1005,$B50,'Detailed Budget'!$AE$5:$AE$1005)&gt;0,SUMIF('Detailed Budget'!$U$5:$U$1005,$B50,'Detailed Budget'!$AE$5:$AE$1005),"")</f>
        <v/>
      </c>
      <c r="G50" s="44" t="str">
        <f>IF(SUMIF('Detailed Budget'!$U$5:$U$1005,$B50,'Detailed Budget'!$AG$5:$AG$1005)&gt;0,SUMIF('Detailed Budget'!$U$5:$U$1005,$B50,'Detailed Budget'!$AG$5:$AG$1005),"")</f>
        <v/>
      </c>
      <c r="H50" s="45" t="str">
        <f>IF(SUMIF('Detailed Budget'!$U$5:$U$1005,$B50,'Detailed Budget'!$AI$5:$AI$1005)&gt;0,SUMIF('Detailed Budget'!$U$5:$U$1005,$B50,'Detailed Budget'!$AI$5:$AI$1005),"")</f>
        <v/>
      </c>
      <c r="I50" s="44" t="str">
        <f>IF(SUMIF('Detailed Budget'!$U$5:$U$1005,$B50,'Detailed Budget'!$AN$5:$AN$1005)&gt;0,SUMIF('Detailed Budget'!$U$5:$U$1005,$B50,'Detailed Budget'!$AN$5:$AN$1005),"")</f>
        <v/>
      </c>
      <c r="J50" s="44" t="str">
        <f>IF(SUMIF('Detailed Budget'!$U$5:$U$1005,$B50,'Detailed Budget'!$AP$5:$AP$1005)&gt;0,SUMIF('Detailed Budget'!$U$5:$U$1005,$B50,'Detailed Budget'!$AP$5:$AP$1005),"")</f>
        <v/>
      </c>
      <c r="K50" s="44" t="str">
        <f>IF(SUMIF('Detailed Budget'!$U$5:$U$1005,$B50,'Detailed Budget'!$AR$5:$AR$1005)&gt;0,SUMIF('Detailed Budget'!$U$5:$U$1005,$B50,'Detailed Budget'!$AR$5:$AR$1005),"")</f>
        <v/>
      </c>
      <c r="L50" s="44" t="str">
        <f>IF(SUMIF('Detailed Budget'!$U$5:$U$1005,$B50,'Detailed Budget'!$AT$5:$AT$1005)&gt;0,SUMIF('Detailed Budget'!$U$5:$U$1005,$B50,'Detailed Budget'!$AT$5:$AT$1005),"")</f>
        <v/>
      </c>
      <c r="M50" s="45" t="str">
        <f>IF(SUMIF('Detailed Budget'!$U$5:$U$1005,$B50,'Detailed Budget'!$AV$5:$AV$1005)&gt;0,SUMIF('Detailed Budget'!$U$5:$U$1005,$B50,'Detailed Budget'!$AV$5:$AV$1005),"")</f>
        <v/>
      </c>
      <c r="N50" s="44" t="str">
        <f>IF(SUMIF('Detailed Budget'!$U$5:$U$1005,$B50,'Detailed Budget'!$BA$5:$BA$1005)&gt;0,SUMIF('Detailed Budget'!$U$5:$U$1005,$B50,'Detailed Budget'!$BA$5:$BA$1005),"")</f>
        <v/>
      </c>
      <c r="O50" s="44" t="str">
        <f>IF(SUMIF('Detailed Budget'!$U$5:$U$1005,$B50,'Detailed Budget'!$BC$5:$BC$1005)&gt;0,SUMIF('Detailed Budget'!$U$5:$U$1005,$B50,'Detailed Budget'!$BC$5:$BC$1005),"")</f>
        <v/>
      </c>
      <c r="P50" s="44" t="str">
        <f>IF(SUMIF('Detailed Budget'!$U$5:$U$1005,$B50,'Detailed Budget'!$BE$5:$BE$1005)&gt;0,SUMIF('Detailed Budget'!$U$5:$U$1005,$B50,'Detailed Budget'!$BE$5:$BE$1005),"")</f>
        <v/>
      </c>
      <c r="Q50" s="44" t="str">
        <f>IF(SUMIF('Detailed Budget'!$U$5:$U$1005,$B50,'Detailed Budget'!$BG$5:$BG$1005)&gt;0,SUMIF('Detailed Budget'!$U$5:$U$1005,$B50,'Detailed Budget'!$BG$5:$BG$1005),"")</f>
        <v/>
      </c>
      <c r="R50" s="45" t="str">
        <f>IF(SUMIF('Detailed Budget'!$U$5:$U$1005,$B50,'Detailed Budget'!$BI$5:$BI$1005)&gt;0,SUMIF('Detailed Budget'!$U$5:$U$1005,$B50,'Detailed Budget'!$BI$5:$BI$1005),"")</f>
        <v/>
      </c>
      <c r="S50" s="44" t="str">
        <f>IF(SUMIF('Detailed Budget'!$U$5:$U$1005,$B50,'Detailed Budget'!$BN$5:$BN$1005)&gt;0,SUMIF('Detailed Budget'!$U$5:$U$1005,$B50,'Detailed Budget'!$BN$5:$BN$1005),"")</f>
        <v/>
      </c>
      <c r="T50" s="44" t="str">
        <f>IF(SUMIF('Detailed Budget'!$U$5:$U$1005,$B50,'Detailed Budget'!$BP$5:$BP$1005)&gt;0,SUMIF('Detailed Budget'!$U$5:$U$1005,$B50,'Detailed Budget'!$BP$5:$BP$1005),"")</f>
        <v/>
      </c>
      <c r="U50" s="44" t="str">
        <f>IF(SUMIF('Detailed Budget'!$U$5:$U$1005,$B50,'Detailed Budget'!$BR$5:$BR$1005)&gt;0,SUMIF('Detailed Budget'!$U$5:$U$1005,$B50,'Detailed Budget'!$BR$5:$BR$1005),"")</f>
        <v/>
      </c>
      <c r="V50" s="44" t="str">
        <f>IF(SUMIF('Detailed Budget'!$U$5:$U$1005,$B50,'Detailed Budget'!$BT$5:$BT$1005)&gt;0,SUMIF('Detailed Budget'!$U$5:$U$1005,$B50,'Detailed Budget'!$BT$5:$BT$1005),"")</f>
        <v/>
      </c>
      <c r="W50" s="45" t="str">
        <f>IF(SUMIF('Detailed Budget'!$U$5:$U$1005,$B50,'Detailed Budget'!$BV$5:$BV$1005)&gt;0,SUMIF('Detailed Budget'!$U$5:$U$1005,$B50,'Detailed Budget'!$BV$5:$BV$1005),"")</f>
        <v/>
      </c>
      <c r="X50" s="44" t="str">
        <f t="shared" si="3"/>
        <v/>
      </c>
      <c r="Y50" s="122" t="str">
        <f t="shared" si="4"/>
        <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row>
    <row r="51" spans="2:49" s="39" customFormat="1" x14ac:dyDescent="0.2">
      <c r="C51" s="47" t="str">
        <f ca="1">Translations!A$174</f>
        <v>Total</v>
      </c>
      <c r="D51" s="47">
        <f t="shared" ref="D51:W51" si="5">IF(SUM(D37:D50)&gt;0,SUM(D37:D50),"")</f>
        <v>1451516.54961346</v>
      </c>
      <c r="E51" s="47">
        <f t="shared" si="5"/>
        <v>294720.31315088744</v>
      </c>
      <c r="F51" s="47">
        <f t="shared" si="5"/>
        <v>217075.38567376207</v>
      </c>
      <c r="G51" s="47">
        <f t="shared" si="5"/>
        <v>283621.58501355269</v>
      </c>
      <c r="H51" s="48">
        <f t="shared" si="5"/>
        <v>2246933.8334516617</v>
      </c>
      <c r="I51" s="47">
        <f t="shared" si="5"/>
        <v>1460333.375012686</v>
      </c>
      <c r="J51" s="47">
        <f t="shared" si="5"/>
        <v>276858.99165088742</v>
      </c>
      <c r="K51" s="47">
        <f t="shared" si="5"/>
        <v>208593.54817376207</v>
      </c>
      <c r="L51" s="47">
        <f t="shared" si="5"/>
        <v>284139.74751355272</v>
      </c>
      <c r="M51" s="48">
        <f t="shared" si="5"/>
        <v>2229925.6623508884</v>
      </c>
      <c r="N51" s="47">
        <f t="shared" si="5"/>
        <v>1486191.8176191491</v>
      </c>
      <c r="O51" s="47">
        <f t="shared" si="5"/>
        <v>500118.16648696351</v>
      </c>
      <c r="P51" s="47">
        <f t="shared" si="5"/>
        <v>218121.76317376207</v>
      </c>
      <c r="Q51" s="47">
        <f t="shared" si="5"/>
        <v>250358.46326418838</v>
      </c>
      <c r="R51" s="48">
        <f t="shared" si="5"/>
        <v>2454790.2105440628</v>
      </c>
      <c r="S51" s="47" t="str">
        <f t="shared" si="5"/>
        <v/>
      </c>
      <c r="T51" s="47" t="str">
        <f t="shared" si="5"/>
        <v/>
      </c>
      <c r="U51" s="47" t="str">
        <f t="shared" si="5"/>
        <v/>
      </c>
      <c r="V51" s="47" t="str">
        <f t="shared" si="5"/>
        <v/>
      </c>
      <c r="W51" s="48" t="str">
        <f t="shared" si="5"/>
        <v/>
      </c>
      <c r="X51" s="47">
        <f t="shared" si="3"/>
        <v>6931649.7063466124</v>
      </c>
      <c r="Y51" s="122">
        <f t="shared" si="4"/>
        <v>1</v>
      </c>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row>
    <row r="52" spans="2:49" s="35" customFormat="1" x14ac:dyDescent="0.2">
      <c r="D52" s="36"/>
      <c r="E52" s="36"/>
      <c r="F52" s="36"/>
      <c r="G52" s="36"/>
      <c r="H52" s="36"/>
      <c r="I52" s="36"/>
      <c r="J52" s="36"/>
      <c r="K52" s="36"/>
      <c r="L52" s="36"/>
      <c r="M52" s="36"/>
      <c r="N52" s="36"/>
      <c r="O52" s="36"/>
      <c r="P52" s="36"/>
      <c r="Q52" s="36"/>
      <c r="R52" s="36"/>
      <c r="S52" s="36"/>
      <c r="T52" s="36"/>
      <c r="U52" s="36"/>
      <c r="V52" s="36"/>
      <c r="W52" s="36"/>
      <c r="X52" s="36"/>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row>
    <row r="53" spans="2:49" s="35" customFormat="1" x14ac:dyDescent="0.2">
      <c r="D53" s="36"/>
      <c r="E53" s="36"/>
      <c r="F53" s="36"/>
      <c r="G53" s="36"/>
      <c r="H53" s="36"/>
      <c r="I53" s="36"/>
      <c r="J53" s="36"/>
      <c r="K53" s="36"/>
      <c r="L53" s="36"/>
      <c r="M53" s="36"/>
      <c r="N53" s="36"/>
      <c r="O53" s="36"/>
      <c r="P53" s="36"/>
      <c r="Q53" s="36"/>
      <c r="R53" s="36"/>
      <c r="S53" s="36"/>
      <c r="T53" s="36"/>
      <c r="U53" s="36"/>
      <c r="V53" s="36"/>
      <c r="W53" s="36"/>
      <c r="X53" s="36"/>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row>
    <row r="54" spans="2:49" s="39" customFormat="1" x14ac:dyDescent="0.2">
      <c r="B54" s="39" t="str">
        <f>""</f>
        <v/>
      </c>
      <c r="C54" s="40" t="str">
        <f ca="1">Translations!A$168</f>
        <v>By Recipients</v>
      </c>
      <c r="D54" s="41" t="s">
        <v>1168</v>
      </c>
      <c r="E54" s="41" t="s">
        <v>1169</v>
      </c>
      <c r="F54" s="41" t="s">
        <v>1170</v>
      </c>
      <c r="G54" s="41" t="s">
        <v>1171</v>
      </c>
      <c r="H54" s="41" t="str">
        <f ca="1">Translations!A$160</f>
        <v>Year 1</v>
      </c>
      <c r="I54" s="41" t="s">
        <v>1223</v>
      </c>
      <c r="J54" s="41" t="s">
        <v>1224</v>
      </c>
      <c r="K54" s="41" t="s">
        <v>1225</v>
      </c>
      <c r="L54" s="41" t="s">
        <v>1226</v>
      </c>
      <c r="M54" s="41" t="str">
        <f ca="1">Translations!$A$161</f>
        <v>Year 2</v>
      </c>
      <c r="N54" s="41" t="s">
        <v>1227</v>
      </c>
      <c r="O54" s="41" t="s">
        <v>1228</v>
      </c>
      <c r="P54" s="41" t="s">
        <v>1229</v>
      </c>
      <c r="Q54" s="41" t="s">
        <v>1230</v>
      </c>
      <c r="R54" s="41" t="str">
        <f ca="1">Translations!$A$162</f>
        <v>Year 3</v>
      </c>
      <c r="S54" s="41" t="s">
        <v>1231</v>
      </c>
      <c r="T54" s="41" t="s">
        <v>1232</v>
      </c>
      <c r="U54" s="41" t="s">
        <v>1233</v>
      </c>
      <c r="V54" s="41" t="s">
        <v>1234</v>
      </c>
      <c r="W54" s="41" t="str">
        <f ca="1">Translations!A163</f>
        <v>Year 4</v>
      </c>
      <c r="X54" s="41" t="str">
        <f ca="1">Translations!$A$174</f>
        <v>Total</v>
      </c>
      <c r="Y54" s="41" t="s">
        <v>1864</v>
      </c>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row>
    <row r="55" spans="2:49" s="35" customFormat="1" x14ac:dyDescent="0.2">
      <c r="B55" s="39" t="str">
        <f t="array" ref="B55">IFERROR(INDEX(RecipientList,MATCH(0,COUNTIF(RecipientList,"&lt;"&amp;RecipientList)-SUM(COUNTIF(RecipientList,B$54:B54)),0)),"")</f>
        <v>CHAS</v>
      </c>
      <c r="C55" s="44" t="str">
        <f>B55</f>
        <v>CHAS</v>
      </c>
      <c r="D55" s="44">
        <f>IF(SUMIF('Detailed Budget'!$M$5:$M$1005,$C55,'Detailed Budget'!$AA$5:$AA$1005)&gt;0,SUMIF('Detailed Budget'!$M$5:$M$1005,$C55,'Detailed Budget'!$AA$5:$AA$1005),"")</f>
        <v>1306147.3800889468</v>
      </c>
      <c r="E55" s="44">
        <f>IF(SUMIF('Detailed Budget'!$M$5:$M$1005,$C55,'Detailed Budget'!$AC$5:$AC$1005)&gt;0,SUMIF('Detailed Budget'!$M$5:$M$1005,$C55,'Detailed Budget'!$AC$5:$AC$1005),"")</f>
        <v>135188.96548894656</v>
      </c>
      <c r="F55" s="44">
        <f>IF(SUMIF('Detailed Budget'!$M$5:$M$1005,$C55,'Detailed Budget'!$AE$5:$AE$1005)&gt;0,SUMIF('Detailed Budget'!$M$5:$M$1005,$C55,'Detailed Budget'!$AE$5:$AE$1005),"")</f>
        <v>59253.289488946553</v>
      </c>
      <c r="G55" s="44">
        <f>IF(SUMIF('Detailed Budget'!$M$5:$M$1005,$C55,'Detailed Budget'!$AG$5:$AG$1005)&gt;0,SUMIF('Detailed Budget'!$M$5:$M$1005,$C55,'Detailed Budget'!$AG$5:$AG$1005),"")</f>
        <v>93562.788738310875</v>
      </c>
      <c r="H55" s="45">
        <f>IF(SUMIF('Detailed Budget'!$M$5:$M$1005,$C55,'Detailed Budget'!$AI$5:$AI$1005)&gt;0,SUMIF('Detailed Budget'!$M$5:$M$1005,$C55,'Detailed Budget'!$AI$5:$AI$1005),"")</f>
        <v>1594152.4238051509</v>
      </c>
      <c r="I55" s="44">
        <f>IF(SUMIF('Detailed Budget'!$M$5:$M$1005,$C55,'Detailed Budget'!$AN$5:$AN$1005)&gt;0,SUMIF('Detailed Budget'!$M$5:$M$1005,$C55,'Detailed Budget'!$AN$5:$AN$1005),"")</f>
        <v>1315195.6189235549</v>
      </c>
      <c r="J55" s="44">
        <f>IF(SUMIF('Detailed Budget'!$M$5:$M$1005,$C55,'Detailed Budget'!$AP$5:$AP$1005)&gt;0,SUMIF('Detailed Budget'!$M$5:$M$1005,$C55,'Detailed Budget'!$AP$5:$AP$1005),"")</f>
        <v>119109.48148894658</v>
      </c>
      <c r="K55" s="44">
        <f>IF(SUMIF('Detailed Budget'!$M$5:$M$1005,$C55,'Detailed Budget'!$AR$5:$AR$1005)&gt;0,SUMIF('Detailed Budget'!$M$5:$M$1005,$C55,'Detailed Budget'!$AR$5:$AR$1005),"")</f>
        <v>59253.289488946553</v>
      </c>
      <c r="L55" s="44">
        <f>IF(SUMIF('Detailed Budget'!$M$5:$M$1005,$C55,'Detailed Budget'!$AT$5:$AT$1005)&gt;0,SUMIF('Detailed Budget'!$M$5:$M$1005,$C55,'Detailed Budget'!$AT$5:$AT$1005),"")</f>
        <v>93562.788738310875</v>
      </c>
      <c r="M55" s="45">
        <f>IF(SUMIF('Detailed Budget'!$M$5:$M$1005,$C55,'Detailed Budget'!$AV$5:$AV$1005)&gt;0,SUMIF('Detailed Budget'!$M$5:$M$1005,$C55,'Detailed Budget'!$AV$5:$AV$1005),"")</f>
        <v>1587121.1786397588</v>
      </c>
      <c r="N55" s="44">
        <f>IF(SUMIF('Detailed Budget'!$M$5:$M$1005,$C55,'Detailed Budget'!$BA$5:$BA$1005)&gt;0,SUMIF('Detailed Budget'!$M$5:$M$1005,$C55,'Detailed Budget'!$BA$5:$BA$1005),"")</f>
        <v>1340525.8465300177</v>
      </c>
      <c r="O55" s="44">
        <f>IF(SUMIF('Detailed Budget'!$M$5:$M$1005,$C55,'Detailed Budget'!$BC$5:$BC$1005)&gt;0,SUMIF('Detailed Budget'!$M$5:$M$1005,$C55,'Detailed Budget'!$BC$5:$BC$1005),"")</f>
        <v>341840.44132502266</v>
      </c>
      <c r="P55" s="44">
        <f>IF(SUMIF('Detailed Budget'!$M$5:$M$1005,$C55,'Detailed Budget'!$BE$5:$BE$1005)&gt;0,SUMIF('Detailed Budget'!$M$5:$M$1005,$C55,'Detailed Budget'!$BE$5:$BE$1005),"")</f>
        <v>59253.289488946553</v>
      </c>
      <c r="Q55" s="44">
        <f>IF(SUMIF('Detailed Budget'!$M$5:$M$1005,$C55,'Detailed Budget'!$BG$5:$BG$1005)&gt;0,SUMIF('Detailed Budget'!$M$5:$M$1005,$C55,'Detailed Budget'!$BG$5:$BG$1005),"")</f>
        <v>59253.289488946553</v>
      </c>
      <c r="R55" s="45">
        <f>IF(SUMIF('Detailed Budget'!$M$5:$M$1005,$C55,'Detailed Budget'!$BI$5:$BI$1005)&gt;0,SUMIF('Detailed Budget'!$M$5:$M$1005,$C55,'Detailed Budget'!$BI$5:$BI$1005),"")</f>
        <v>1800872.8668329336</v>
      </c>
      <c r="S55" s="44" t="str">
        <f>IF(SUMIF('Detailed Budget'!$M$5:$M$1005,$C55,'Detailed Budget'!$BN$5:$BN$1005)&gt;0,SUMIF('Detailed Budget'!$M$5:$M$1005,$C55,'Detailed Budget'!$BN$5:$BN$1005),"")</f>
        <v/>
      </c>
      <c r="T55" s="44" t="str">
        <f>IF(SUMIF('Detailed Budget'!$M$5:$M$1005,$C55,'Detailed Budget'!$BP$5:$BP$1005)&gt;0,SUMIF('Detailed Budget'!$M$5:$M$1005,$C55,'Detailed Budget'!$BP$5:$BP$1005),"")</f>
        <v/>
      </c>
      <c r="U55" s="44" t="str">
        <f>IF(SUMIF('Detailed Budget'!$M$5:$M$1005,$C55,'Detailed Budget'!$BR$5:$BR$1005)&gt;0,SUMIF('Detailed Budget'!$M$5:$M$1005,$C55,'Detailed Budget'!$BR$5:$BR$1005),"")</f>
        <v/>
      </c>
      <c r="V55" s="44" t="str">
        <f>IF(SUMIF('Detailed Budget'!$M$5:$M$1005,$C55,'Detailed Budget'!$BT$5:$BT$1005)&gt;0,SUMIF('Detailed Budget'!$M$5:$M$1005,$C55,'Detailed Budget'!$BT$5:$BT$1005),"")</f>
        <v/>
      </c>
      <c r="W55" s="45" t="str">
        <f>IF(SUMIF('Detailed Budget'!$M$5:$M$1005,$C55,'Detailed Budget'!$BV$5:$BV$1005)&gt;0,SUMIF('Detailed Budget'!$M$5:$M$1005,$C55,'Detailed Budget'!$BV$5:$BV$1005),"")</f>
        <v/>
      </c>
      <c r="X55" s="44">
        <f>IF(SUM(H55,M55,R55,W55)&gt;0,SUM(H55,M55,R55,W55),"")</f>
        <v>4982146.4692778429</v>
      </c>
      <c r="Y55" s="122">
        <f>IFERROR($X55/$X$95,"")</f>
        <v>0.71875335314711486</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row>
    <row r="56" spans="2:49" s="35" customFormat="1" x14ac:dyDescent="0.2">
      <c r="B56" s="39" t="str">
        <f t="array" ref="B56">IFERROR(INDEX(RecipientList,MATCH(0,COUNTIF(RecipientList,"&lt;"&amp;RecipientList)-SUM(COUNTIF(RecipientList,B$54:B55)),0)),"")</f>
        <v>LaoPHA</v>
      </c>
      <c r="C56" s="44" t="str">
        <f t="shared" ref="C56:C94" si="6">B56</f>
        <v>LaoPHA</v>
      </c>
      <c r="D56" s="44">
        <f>IF(SUMIF('Detailed Budget'!$M$5:$M$1005,$C56,'Detailed Budget'!$AA$5:$AA$1005)&gt;0,SUMIF('Detailed Budget'!$M$5:$M$1005,$C56,'Detailed Budget'!$AA$5:$AA$1005),"")</f>
        <v>50592.400598552922</v>
      </c>
      <c r="E56" s="44">
        <f>IF(SUMIF('Detailed Budget'!$M$5:$M$1005,$C56,'Detailed Budget'!$AC$5:$AC$1005)&gt;0,SUMIF('Detailed Budget'!$M$5:$M$1005,$C56,'Detailed Budget'!$AC$5:$AC$1005),"")</f>
        <v>55774.846276316224</v>
      </c>
      <c r="F56" s="44">
        <f>IF(SUMIF('Detailed Budget'!$M$5:$M$1005,$C56,'Detailed Budget'!$AE$5:$AE$1005)&gt;0,SUMIF('Detailed Budget'!$M$5:$M$1005,$C56,'Detailed Budget'!$AE$5:$AE$1005),"")</f>
        <v>50592.400598552922</v>
      </c>
      <c r="G56" s="44">
        <f>IF(SUMIF('Detailed Budget'!$M$5:$M$1005,$C56,'Detailed Budget'!$AG$5:$AG$1005)&gt;0,SUMIF('Detailed Budget'!$M$5:$M$1005,$C56,'Detailed Budget'!$AG$5:$AG$1005),"")</f>
        <v>61118.632244047629</v>
      </c>
      <c r="H56" s="45">
        <f>IF(SUMIF('Detailed Budget'!$M$5:$M$1005,$C56,'Detailed Budget'!$AI$5:$AI$1005)&gt;0,SUMIF('Detailed Budget'!$M$5:$M$1005,$C56,'Detailed Budget'!$AI$5:$AI$1005),"")</f>
        <v>218078.27971746968</v>
      </c>
      <c r="I56" s="44">
        <f>IF(SUMIF('Detailed Budget'!$M$5:$M$1005,$C56,'Detailed Budget'!$AN$5:$AN$1005)&gt;0,SUMIF('Detailed Budget'!$M$5:$M$1005,$C56,'Detailed Budget'!$AN$5:$AN$1005),"")</f>
        <v>50592.400598552922</v>
      </c>
      <c r="J56" s="44">
        <f>IF(SUMIF('Detailed Budget'!$M$5:$M$1005,$C56,'Detailed Budget'!$AP$5:$AP$1005)&gt;0,SUMIF('Detailed Budget'!$M$5:$M$1005,$C56,'Detailed Budget'!$AP$5:$AP$1005),"")</f>
        <v>55774.846276316224</v>
      </c>
      <c r="K56" s="44">
        <f>IF(SUMIF('Detailed Budget'!$M$5:$M$1005,$C56,'Detailed Budget'!$AR$5:$AR$1005)&gt;0,SUMIF('Detailed Budget'!$M$5:$M$1005,$C56,'Detailed Budget'!$AR$5:$AR$1005),"")</f>
        <v>50592.400598552922</v>
      </c>
      <c r="L56" s="44">
        <f>IF(SUMIF('Detailed Budget'!$M$5:$M$1005,$C56,'Detailed Budget'!$AT$5:$AT$1005)&gt;0,SUMIF('Detailed Budget'!$M$5:$M$1005,$C56,'Detailed Budget'!$AT$5:$AT$1005),"")</f>
        <v>61118.632244047629</v>
      </c>
      <c r="M56" s="45">
        <f>IF(SUMIF('Detailed Budget'!$M$5:$M$1005,$C56,'Detailed Budget'!$AV$5:$AV$1005)&gt;0,SUMIF('Detailed Budget'!$M$5:$M$1005,$C56,'Detailed Budget'!$AV$5:$AV$1005),"")</f>
        <v>218078.27971746968</v>
      </c>
      <c r="N56" s="44">
        <f>IF(SUMIF('Detailed Budget'!$M$5:$M$1005,$C56,'Detailed Budget'!$BA$5:$BA$1005)&gt;0,SUMIF('Detailed Budget'!$M$5:$M$1005,$C56,'Detailed Budget'!$BA$5:$BA$1005),"")</f>
        <v>50592.400598552922</v>
      </c>
      <c r="O56" s="44">
        <f>IF(SUMIF('Detailed Budget'!$M$5:$M$1005,$C56,'Detailed Budget'!$BC$5:$BC$1005)&gt;0,SUMIF('Detailed Budget'!$M$5:$M$1005,$C56,'Detailed Budget'!$BC$5:$BC$1005),"")</f>
        <v>55774.846276316224</v>
      </c>
      <c r="P56" s="44">
        <f>IF(SUMIF('Detailed Budget'!$M$5:$M$1005,$C56,'Detailed Budget'!$BE$5:$BE$1005)&gt;0,SUMIF('Detailed Budget'!$M$5:$M$1005,$C56,'Detailed Budget'!$BE$5:$BE$1005),"")</f>
        <v>50592.400598552922</v>
      </c>
      <c r="Q56" s="44">
        <f>IF(SUMIF('Detailed Budget'!$M$5:$M$1005,$C56,'Detailed Budget'!$BG$5:$BG$1005)&gt;0,SUMIF('Detailed Budget'!$M$5:$M$1005,$C56,'Detailed Budget'!$BG$5:$BG$1005),"")</f>
        <v>61118.632244047629</v>
      </c>
      <c r="R56" s="45">
        <f>IF(SUMIF('Detailed Budget'!$M$5:$M$1005,$C56,'Detailed Budget'!$BI$5:$BI$1005)&gt;0,SUMIF('Detailed Budget'!$M$5:$M$1005,$C56,'Detailed Budget'!$BI$5:$BI$1005),"")</f>
        <v>218078.27971746968</v>
      </c>
      <c r="S56" s="44" t="str">
        <f>IF(SUMIF('Detailed Budget'!$M$5:$M$1005,$C56,'Detailed Budget'!$BN$5:$BN$1005)&gt;0,SUMIF('Detailed Budget'!$M$5:$M$1005,$C56,'Detailed Budget'!$BN$5:$BN$1005),"")</f>
        <v/>
      </c>
      <c r="T56" s="44" t="str">
        <f>IF(SUMIF('Detailed Budget'!$M$5:$M$1005,$C56,'Detailed Budget'!$BP$5:$BP$1005)&gt;0,SUMIF('Detailed Budget'!$M$5:$M$1005,$C56,'Detailed Budget'!$BP$5:$BP$1005),"")</f>
        <v/>
      </c>
      <c r="U56" s="44" t="str">
        <f>IF(SUMIF('Detailed Budget'!$M$5:$M$1005,$C56,'Detailed Budget'!$BR$5:$BR$1005)&gt;0,SUMIF('Detailed Budget'!$M$5:$M$1005,$C56,'Detailed Budget'!$BR$5:$BR$1005),"")</f>
        <v/>
      </c>
      <c r="V56" s="44" t="str">
        <f>IF(SUMIF('Detailed Budget'!$M$5:$M$1005,$C56,'Detailed Budget'!$BT$5:$BT$1005)&gt;0,SUMIF('Detailed Budget'!$M$5:$M$1005,$C56,'Detailed Budget'!$BT$5:$BT$1005),"")</f>
        <v/>
      </c>
      <c r="W56" s="45" t="str">
        <f>IF(SUMIF('Detailed Budget'!$M$5:$M$1005,$C56,'Detailed Budget'!$BV$5:$BV$1005)&gt;0,SUMIF('Detailed Budget'!$M$5:$M$1005,$C56,'Detailed Budget'!$BV$5:$BV$1005),"")</f>
        <v/>
      </c>
      <c r="X56" s="44">
        <f t="shared" ref="X56:X94" si="7">IF(SUM(H56,M56,R56,W56)&gt;0,SUM(H56,M56,R56,W56),"")</f>
        <v>654234.839152409</v>
      </c>
      <c r="Y56" s="122">
        <f t="shared" ref="Y56:Y95" si="8">IFERROR($X56/$X$95,"")</f>
        <v>9.4383713382600973E-2</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row>
    <row r="57" spans="2:49" s="35" customFormat="1" x14ac:dyDescent="0.2">
      <c r="B57" s="39" t="str">
        <f t="array" ref="B57">IFERROR(INDEX(RecipientList,MATCH(0,COUNTIF(RecipientList,"&lt;"&amp;RecipientList)-SUM(COUNTIF(RecipientList,B$54:B56)),0)),"")</f>
        <v>Ministry of Health of the Lao People's Democratic Republic</v>
      </c>
      <c r="C57" s="44" t="str">
        <f t="shared" si="6"/>
        <v>Ministry of Health of the Lao People's Democratic Republic</v>
      </c>
      <c r="D57" s="44">
        <f>IF(SUMIF('Detailed Budget'!$M$5:$M$1005,$C57,'Detailed Budget'!$AA$5:$AA$1005)&gt;0,SUMIF('Detailed Budget'!$M$5:$M$1005,$C57,'Detailed Budget'!$AA$5:$AA$1005),"")</f>
        <v>41592.957490842658</v>
      </c>
      <c r="E57" s="44">
        <f>IF(SUMIF('Detailed Budget'!$M$5:$M$1005,$C57,'Detailed Budget'!$AC$5:$AC$1005)&gt;0,SUMIF('Detailed Budget'!$M$5:$M$1005,$C57,'Detailed Budget'!$AC$5:$AC$1005),"")</f>
        <v>42548.455074441794</v>
      </c>
      <c r="F57" s="44">
        <f>IF(SUMIF('Detailed Budget'!$M$5:$M$1005,$C57,'Detailed Budget'!$AE$5:$AE$1005)&gt;0,SUMIF('Detailed Budget'!$M$5:$M$1005,$C57,'Detailed Budget'!$AE$5:$AE$1005),"")</f>
        <v>49248.455074441801</v>
      </c>
      <c r="G57" s="44">
        <f>IF(SUMIF('Detailed Budget'!$M$5:$M$1005,$C57,'Detailed Budget'!$AG$5:$AG$1005)&gt;0,SUMIF('Detailed Budget'!$M$5:$M$1005,$C57,'Detailed Budget'!$AG$5:$AG$1005),"")</f>
        <v>65248.455074441794</v>
      </c>
      <c r="H57" s="45">
        <f>IF(SUMIF('Detailed Budget'!$M$5:$M$1005,$C57,'Detailed Budget'!$AI$5:$AI$1005)&gt;0,SUMIF('Detailed Budget'!$M$5:$M$1005,$C57,'Detailed Budget'!$AI$5:$AI$1005),"")</f>
        <v>198638.32271416805</v>
      </c>
      <c r="I57" s="44">
        <f>IF(SUMIF('Detailed Budget'!$M$5:$M$1005,$C57,'Detailed Budget'!$AN$5:$AN$1005)&gt;0,SUMIF('Detailed Budget'!$M$5:$M$1005,$C57,'Detailed Budget'!$AN$5:$AN$1005),"")</f>
        <v>44507.207490842658</v>
      </c>
      <c r="J57" s="44">
        <f>IF(SUMIF('Detailed Budget'!$M$5:$M$1005,$C57,'Detailed Budget'!$AP$5:$AP$1005)&gt;0,SUMIF('Detailed Budget'!$M$5:$M$1005,$C57,'Detailed Budget'!$AP$5:$AP$1005),"")</f>
        <v>40862.705074441801</v>
      </c>
      <c r="K57" s="44">
        <f>IF(SUMIF('Detailed Budget'!$M$5:$M$1005,$C57,'Detailed Budget'!$AR$5:$AR$1005)&gt;0,SUMIF('Detailed Budget'!$M$5:$M$1005,$C57,'Detailed Budget'!$AR$5:$AR$1005),"")</f>
        <v>40862.705074441801</v>
      </c>
      <c r="L57" s="44">
        <f>IF(SUMIF('Detailed Budget'!$M$5:$M$1005,$C57,'Detailed Budget'!$AT$5:$AT$1005)&gt;0,SUMIF('Detailed Budget'!$M$5:$M$1005,$C57,'Detailed Budget'!$AT$5:$AT$1005),"")</f>
        <v>65862.705074441794</v>
      </c>
      <c r="M57" s="45">
        <f>IF(SUMIF('Detailed Budget'!$M$5:$M$1005,$C57,'Detailed Budget'!$AV$5:$AV$1005)&gt;0,SUMIF('Detailed Budget'!$M$5:$M$1005,$C57,'Detailed Budget'!$AV$5:$AV$1005),"")</f>
        <v>192095.32271416805</v>
      </c>
      <c r="N57" s="44">
        <f>IF(SUMIF('Detailed Budget'!$M$5:$M$1005,$C57,'Detailed Budget'!$BA$5:$BA$1005)&gt;0,SUMIF('Detailed Budget'!$M$5:$M$1005,$C57,'Detailed Budget'!$BA$5:$BA$1005),"")</f>
        <v>45139.884990842656</v>
      </c>
      <c r="O57" s="44">
        <f>IF(SUMIF('Detailed Budget'!$M$5:$M$1005,$C57,'Detailed Budget'!$BC$5:$BC$1005)&gt;0,SUMIF('Detailed Budget'!$M$5:$M$1005,$C57,'Detailed Budget'!$BC$5:$BC$1005),"")</f>
        <v>41495.382574441799</v>
      </c>
      <c r="P57" s="44">
        <f>IF(SUMIF('Detailed Budget'!$M$5:$M$1005,$C57,'Detailed Budget'!$BE$5:$BE$1005)&gt;0,SUMIF('Detailed Budget'!$M$5:$M$1005,$C57,'Detailed Budget'!$BE$5:$BE$1005),"")</f>
        <v>50495.382574441799</v>
      </c>
      <c r="Q57" s="44">
        <f>IF(SUMIF('Detailed Budget'!$M$5:$M$1005,$C57,'Detailed Budget'!$BG$5:$BG$1005)&gt;0,SUMIF('Detailed Budget'!$M$5:$M$1005,$C57,'Detailed Budget'!$BG$5:$BG$1005),"")</f>
        <v>66495.382574441799</v>
      </c>
      <c r="R57" s="45">
        <f>IF(SUMIF('Detailed Budget'!$M$5:$M$1005,$C57,'Detailed Budget'!$BI$5:$BI$1005)&gt;0,SUMIF('Detailed Budget'!$M$5:$M$1005,$C57,'Detailed Budget'!$BI$5:$BI$1005),"")</f>
        <v>203626.03271416808</v>
      </c>
      <c r="S57" s="44" t="str">
        <f>IF(SUMIF('Detailed Budget'!$M$5:$M$1005,$C57,'Detailed Budget'!$BN$5:$BN$1005)&gt;0,SUMIF('Detailed Budget'!$M$5:$M$1005,$C57,'Detailed Budget'!$BN$5:$BN$1005),"")</f>
        <v/>
      </c>
      <c r="T57" s="44" t="str">
        <f>IF(SUMIF('Detailed Budget'!$M$5:$M$1005,$C57,'Detailed Budget'!$BP$5:$BP$1005)&gt;0,SUMIF('Detailed Budget'!$M$5:$M$1005,$C57,'Detailed Budget'!$BP$5:$BP$1005),"")</f>
        <v/>
      </c>
      <c r="U57" s="44" t="str">
        <f>IF(SUMIF('Detailed Budget'!$M$5:$M$1005,$C57,'Detailed Budget'!$BR$5:$BR$1005)&gt;0,SUMIF('Detailed Budget'!$M$5:$M$1005,$C57,'Detailed Budget'!$BR$5:$BR$1005),"")</f>
        <v/>
      </c>
      <c r="V57" s="44" t="str">
        <f>IF(SUMIF('Detailed Budget'!$M$5:$M$1005,$C57,'Detailed Budget'!$BT$5:$BT$1005)&gt;0,SUMIF('Detailed Budget'!$M$5:$M$1005,$C57,'Detailed Budget'!$BT$5:$BT$1005),"")</f>
        <v/>
      </c>
      <c r="W57" s="45" t="str">
        <f>IF(SUMIF('Detailed Budget'!$M$5:$M$1005,$C57,'Detailed Budget'!$BV$5:$BV$1005)&gt;0,SUMIF('Detailed Budget'!$M$5:$M$1005,$C57,'Detailed Budget'!$BV$5:$BV$1005),"")</f>
        <v/>
      </c>
      <c r="X57" s="44">
        <f t="shared" si="7"/>
        <v>594359.67814250418</v>
      </c>
      <c r="Y57" s="122">
        <f t="shared" si="8"/>
        <v>8.574577529477706E-2</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row>
    <row r="58" spans="2:49" s="35" customFormat="1" x14ac:dyDescent="0.2">
      <c r="B58" s="39" t="str">
        <f t="array" ref="B58">IFERROR(INDEX(RecipientList,MATCH(0,COUNTIF(RecipientList,"&lt;"&amp;RecipientList)-SUM(COUNTIF(RecipientList,B$54:B57)),0)),"")</f>
        <v>PEDA</v>
      </c>
      <c r="C58" s="44" t="str">
        <f t="shared" si="6"/>
        <v>PEDA</v>
      </c>
      <c r="D58" s="44">
        <f>IF(SUMIF('Detailed Budget'!$M$5:$M$1005,$C58,'Detailed Budget'!$AA$5:$AA$1005)&gt;0,SUMIF('Detailed Budget'!$M$5:$M$1005,$C58,'Detailed Budget'!$AA$5:$AA$1005),"")</f>
        <v>21246.291648437458</v>
      </c>
      <c r="E58" s="44">
        <f>IF(SUMIF('Detailed Budget'!$M$5:$M$1005,$C58,'Detailed Budget'!$AC$5:$AC$1005)&gt;0,SUMIF('Detailed Budget'!$M$5:$M$1005,$C58,'Detailed Budget'!$AC$5:$AC$1005),"")</f>
        <v>31744.410970680146</v>
      </c>
      <c r="F58" s="44">
        <f>IF(SUMIF('Detailed Budget'!$M$5:$M$1005,$C58,'Detailed Budget'!$AE$5:$AE$1005)&gt;0,SUMIF('Detailed Budget'!$M$5:$M$1005,$C58,'Detailed Budget'!$AE$5:$AE$1005),"")</f>
        <v>29445.311838634676</v>
      </c>
      <c r="G58" s="44">
        <f>IF(SUMIF('Detailed Budget'!$M$5:$M$1005,$C58,'Detailed Budget'!$AG$5:$AG$1005)&gt;0,SUMIF('Detailed Budget'!$M$5:$M$1005,$C58,'Detailed Budget'!$AG$5:$AG$1005),"")</f>
        <v>32096.426148792365</v>
      </c>
      <c r="H58" s="45">
        <f>IF(SUMIF('Detailed Budget'!$M$5:$M$1005,$C58,'Detailed Budget'!$AI$5:$AI$1005)&gt;0,SUMIF('Detailed Budget'!$M$5:$M$1005,$C58,'Detailed Budget'!$AI$5:$AI$1005),"")</f>
        <v>114532.44060654464</v>
      </c>
      <c r="I58" s="44">
        <f>IF(SUMIF('Detailed Budget'!$M$5:$M$1005,$C58,'Detailed Budget'!$AN$5:$AN$1005)&gt;0,SUMIF('Detailed Budget'!$M$5:$M$1005,$C58,'Detailed Budget'!$AN$5:$AN$1005),"")</f>
        <v>21246.291648437458</v>
      </c>
      <c r="J58" s="44">
        <f>IF(SUMIF('Detailed Budget'!$M$5:$M$1005,$C58,'Detailed Budget'!$AP$5:$AP$1005)&gt;0,SUMIF('Detailed Budget'!$M$5:$M$1005,$C58,'Detailed Budget'!$AP$5:$AP$1005),"")</f>
        <v>31744.410970680146</v>
      </c>
      <c r="K58" s="44">
        <f>IF(SUMIF('Detailed Budget'!$M$5:$M$1005,$C58,'Detailed Budget'!$AR$5:$AR$1005)&gt;0,SUMIF('Detailed Budget'!$M$5:$M$1005,$C58,'Detailed Budget'!$AR$5:$AR$1005),"")</f>
        <v>29445.311838634676</v>
      </c>
      <c r="L58" s="44">
        <f>IF(SUMIF('Detailed Budget'!$M$5:$M$1005,$C58,'Detailed Budget'!$AT$5:$AT$1005)&gt;0,SUMIF('Detailed Budget'!$M$5:$M$1005,$C58,'Detailed Budget'!$AT$5:$AT$1005),"")</f>
        <v>32096.426148792365</v>
      </c>
      <c r="M58" s="45">
        <f>IF(SUMIF('Detailed Budget'!$M$5:$M$1005,$C58,'Detailed Budget'!$AV$5:$AV$1005)&gt;0,SUMIF('Detailed Budget'!$M$5:$M$1005,$C58,'Detailed Budget'!$AV$5:$AV$1005),"")</f>
        <v>114532.44060654464</v>
      </c>
      <c r="N58" s="44">
        <f>IF(SUMIF('Detailed Budget'!$M$5:$M$1005,$C58,'Detailed Budget'!$BA$5:$BA$1005)&gt;0,SUMIF('Detailed Budget'!$M$5:$M$1005,$C58,'Detailed Budget'!$BA$5:$BA$1005),"")</f>
        <v>21246.291648437458</v>
      </c>
      <c r="O58" s="44">
        <f>IF(SUMIF('Detailed Budget'!$M$5:$M$1005,$C58,'Detailed Budget'!$BC$5:$BC$1005)&gt;0,SUMIF('Detailed Budget'!$M$5:$M$1005,$C58,'Detailed Budget'!$BC$5:$BC$1005),"")</f>
        <v>31744.410970680146</v>
      </c>
      <c r="P58" s="44">
        <f>IF(SUMIF('Detailed Budget'!$M$5:$M$1005,$C58,'Detailed Budget'!$BE$5:$BE$1005)&gt;0,SUMIF('Detailed Budget'!$M$5:$M$1005,$C58,'Detailed Budget'!$BE$5:$BE$1005),"")</f>
        <v>29445.311838634676</v>
      </c>
      <c r="Q58" s="44">
        <f>IF(SUMIF('Detailed Budget'!$M$5:$M$1005,$C58,'Detailed Budget'!$BG$5:$BG$1005)&gt;0,SUMIF('Detailed Budget'!$M$5:$M$1005,$C58,'Detailed Budget'!$BG$5:$BG$1005),"")</f>
        <v>32096.426148792365</v>
      </c>
      <c r="R58" s="45">
        <f>IF(SUMIF('Detailed Budget'!$M$5:$M$1005,$C58,'Detailed Budget'!$BI$5:$BI$1005)&gt;0,SUMIF('Detailed Budget'!$M$5:$M$1005,$C58,'Detailed Budget'!$BI$5:$BI$1005),"")</f>
        <v>114532.44060654464</v>
      </c>
      <c r="S58" s="44" t="str">
        <f>IF(SUMIF('Detailed Budget'!$M$5:$M$1005,$C58,'Detailed Budget'!$BN$5:$BN$1005)&gt;0,SUMIF('Detailed Budget'!$M$5:$M$1005,$C58,'Detailed Budget'!$BN$5:$BN$1005),"")</f>
        <v/>
      </c>
      <c r="T58" s="44" t="str">
        <f>IF(SUMIF('Detailed Budget'!$M$5:$M$1005,$C58,'Detailed Budget'!$BP$5:$BP$1005)&gt;0,SUMIF('Detailed Budget'!$M$5:$M$1005,$C58,'Detailed Budget'!$BP$5:$BP$1005),"")</f>
        <v/>
      </c>
      <c r="U58" s="44" t="str">
        <f>IF(SUMIF('Detailed Budget'!$M$5:$M$1005,$C58,'Detailed Budget'!$BR$5:$BR$1005)&gt;0,SUMIF('Detailed Budget'!$M$5:$M$1005,$C58,'Detailed Budget'!$BR$5:$BR$1005),"")</f>
        <v/>
      </c>
      <c r="V58" s="44" t="str">
        <f>IF(SUMIF('Detailed Budget'!$M$5:$M$1005,$C58,'Detailed Budget'!$BT$5:$BT$1005)&gt;0,SUMIF('Detailed Budget'!$M$5:$M$1005,$C58,'Detailed Budget'!$BT$5:$BT$1005),"")</f>
        <v/>
      </c>
      <c r="W58" s="45" t="str">
        <f>IF(SUMIF('Detailed Budget'!$M$5:$M$1005,$C58,'Detailed Budget'!$BV$5:$BV$1005)&gt;0,SUMIF('Detailed Budget'!$M$5:$M$1005,$C58,'Detailed Budget'!$BV$5:$BV$1005),"")</f>
        <v/>
      </c>
      <c r="X58" s="44">
        <f t="shared" si="7"/>
        <v>343597.32181963394</v>
      </c>
      <c r="Y58" s="122">
        <f t="shared" si="8"/>
        <v>4.956934299565606E-2</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row>
    <row r="59" spans="2:49" s="35" customFormat="1" x14ac:dyDescent="0.2">
      <c r="B59" s="39" t="str">
        <f t="array" ref="B59">IFERROR(INDEX(RecipientList,MATCH(0,COUNTIF(RecipientList,"&lt;"&amp;RecipientList)-SUM(COUNTIF(RecipientList,B$54:B58)),0)),"")</f>
        <v>PSI</v>
      </c>
      <c r="C59" s="44" t="str">
        <f t="shared" si="6"/>
        <v>PSI</v>
      </c>
      <c r="D59" s="44">
        <f>IF(SUMIF('Detailed Budget'!$M$5:$M$1005,$C59,'Detailed Budget'!$AA$5:$AA$1005)&gt;0,SUMIF('Detailed Budget'!$M$5:$M$1005,$C59,'Detailed Budget'!$AA$5:$AA$1005),"")</f>
        <v>31937.519786680266</v>
      </c>
      <c r="E59" s="44">
        <f>IF(SUMIF('Detailed Budget'!$M$5:$M$1005,$C59,'Detailed Budget'!$AC$5:$AC$1005)&gt;0,SUMIF('Detailed Budget'!$M$5:$M$1005,$C59,'Detailed Budget'!$AC$5:$AC$1005),"")</f>
        <v>29463.635340502689</v>
      </c>
      <c r="F59" s="44">
        <f>IF(SUMIF('Detailed Budget'!$M$5:$M$1005,$C59,'Detailed Budget'!$AE$5:$AE$1005)&gt;0,SUMIF('Detailed Budget'!$M$5:$M$1005,$C59,'Detailed Budget'!$AE$5:$AE$1005),"")</f>
        <v>28535.928673186099</v>
      </c>
      <c r="G59" s="44">
        <f>IF(SUMIF('Detailed Budget'!$M$5:$M$1005,$C59,'Detailed Budget'!$AG$5:$AG$1005)&gt;0,SUMIF('Detailed Budget'!$M$5:$M$1005,$C59,'Detailed Budget'!$AG$5:$AG$1005),"")</f>
        <v>31595.282807960048</v>
      </c>
      <c r="H59" s="45">
        <f>IF(SUMIF('Detailed Budget'!$M$5:$M$1005,$C59,'Detailed Budget'!$AI$5:$AI$1005)&gt;0,SUMIF('Detailed Budget'!$M$5:$M$1005,$C59,'Detailed Budget'!$AI$5:$AI$1005),"")</f>
        <v>121532.3666083291</v>
      </c>
      <c r="I59" s="44">
        <f>IF(SUMIF('Detailed Budget'!$M$5:$M$1005,$C59,'Detailed Budget'!$AN$5:$AN$1005)&gt;0,SUMIF('Detailed Budget'!$M$5:$M$1005,$C59,'Detailed Budget'!$AN$5:$AN$1005),"")</f>
        <v>28791.856351298324</v>
      </c>
      <c r="J59" s="44">
        <f>IF(SUMIF('Detailed Budget'!$M$5:$M$1005,$C59,'Detailed Budget'!$AP$5:$AP$1005)&gt;0,SUMIF('Detailed Budget'!$M$5:$M$1005,$C59,'Detailed Budget'!$AP$5:$AP$1005),"")</f>
        <v>29367.547840502692</v>
      </c>
      <c r="K59" s="44">
        <f>IF(SUMIF('Detailed Budget'!$M$5:$M$1005,$C59,'Detailed Budget'!$AR$5:$AR$1005)&gt;0,SUMIF('Detailed Budget'!$M$5:$M$1005,$C59,'Detailed Budget'!$AR$5:$AR$1005),"")</f>
        <v>28439.841173186102</v>
      </c>
      <c r="L59" s="44">
        <f>IF(SUMIF('Detailed Budget'!$M$5:$M$1005,$C59,'Detailed Budget'!$AT$5:$AT$1005)&gt;0,SUMIF('Detailed Budget'!$M$5:$M$1005,$C59,'Detailed Budget'!$AT$5:$AT$1005),"")</f>
        <v>31499.19530796005</v>
      </c>
      <c r="M59" s="45">
        <f>IF(SUMIF('Detailed Budget'!$M$5:$M$1005,$C59,'Detailed Budget'!$AV$5:$AV$1005)&gt;0,SUMIF('Detailed Budget'!$M$5:$M$1005,$C59,'Detailed Budget'!$AV$5:$AV$1005),"")</f>
        <v>118098.44067294717</v>
      </c>
      <c r="N59" s="44">
        <f>IF(SUMIF('Detailed Budget'!$M$5:$M$1005,$C59,'Detailed Budget'!$BA$5:$BA$1005)&gt;0,SUMIF('Detailed Budget'!$M$5:$M$1005,$C59,'Detailed Budget'!$BA$5:$BA$1005),"")</f>
        <v>28687.393851298322</v>
      </c>
      <c r="O59" s="44">
        <f>IF(SUMIF('Detailed Budget'!$M$5:$M$1005,$C59,'Detailed Budget'!$BC$5:$BC$1005)&gt;0,SUMIF('Detailed Budget'!$M$5:$M$1005,$C59,'Detailed Budget'!$BC$5:$BC$1005),"")</f>
        <v>29263.08534050269</v>
      </c>
      <c r="P59" s="44">
        <f>IF(SUMIF('Detailed Budget'!$M$5:$M$1005,$C59,'Detailed Budget'!$BE$5:$BE$1005)&gt;0,SUMIF('Detailed Budget'!$M$5:$M$1005,$C59,'Detailed Budget'!$BE$5:$BE$1005),"")</f>
        <v>28335.3786731861</v>
      </c>
      <c r="Q59" s="44">
        <f>IF(SUMIF('Detailed Budget'!$M$5:$M$1005,$C59,'Detailed Budget'!$BG$5:$BG$1005)&gt;0,SUMIF('Detailed Budget'!$M$5:$M$1005,$C59,'Detailed Budget'!$BG$5:$BG$1005),"")</f>
        <v>31394.732807960048</v>
      </c>
      <c r="R59" s="45">
        <f>IF(SUMIF('Detailed Budget'!$M$5:$M$1005,$C59,'Detailed Budget'!$BI$5:$BI$1005)&gt;0,SUMIF('Detailed Budget'!$M$5:$M$1005,$C59,'Detailed Budget'!$BI$5:$BI$1005),"")</f>
        <v>117680.59067294716</v>
      </c>
      <c r="S59" s="44" t="str">
        <f>IF(SUMIF('Detailed Budget'!$M$5:$M$1005,$C59,'Detailed Budget'!$BN$5:$BN$1005)&gt;0,SUMIF('Detailed Budget'!$M$5:$M$1005,$C59,'Detailed Budget'!$BN$5:$BN$1005),"")</f>
        <v/>
      </c>
      <c r="T59" s="44" t="str">
        <f>IF(SUMIF('Detailed Budget'!$M$5:$M$1005,$C59,'Detailed Budget'!$BP$5:$BP$1005)&gt;0,SUMIF('Detailed Budget'!$M$5:$M$1005,$C59,'Detailed Budget'!$BP$5:$BP$1005),"")</f>
        <v/>
      </c>
      <c r="U59" s="44" t="str">
        <f>IF(SUMIF('Detailed Budget'!$M$5:$M$1005,$C59,'Detailed Budget'!$BR$5:$BR$1005)&gt;0,SUMIF('Detailed Budget'!$M$5:$M$1005,$C59,'Detailed Budget'!$BR$5:$BR$1005),"")</f>
        <v/>
      </c>
      <c r="V59" s="44" t="str">
        <f>IF(SUMIF('Detailed Budget'!$M$5:$M$1005,$C59,'Detailed Budget'!$BT$5:$BT$1005)&gt;0,SUMIF('Detailed Budget'!$M$5:$M$1005,$C59,'Detailed Budget'!$BT$5:$BT$1005),"")</f>
        <v/>
      </c>
      <c r="W59" s="45" t="str">
        <f>IF(SUMIF('Detailed Budget'!$M$5:$M$1005,$C59,'Detailed Budget'!$BV$5:$BV$1005)&gt;0,SUMIF('Detailed Budget'!$M$5:$M$1005,$C59,'Detailed Budget'!$BV$5:$BV$1005),"")</f>
        <v/>
      </c>
      <c r="X59" s="44">
        <f t="shared" si="7"/>
        <v>357311.39795422344</v>
      </c>
      <c r="Y59" s="122">
        <f t="shared" si="8"/>
        <v>5.1547815179850957E-2</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row>
    <row r="60" spans="2:49" s="35" customFormat="1" x14ac:dyDescent="0.2">
      <c r="B60" s="39" t="str">
        <f t="array" ref="B60">IFERROR(INDEX(RecipientList,MATCH(0,COUNTIF(RecipientList,"&lt;"&amp;RecipientList)-SUM(COUNTIF(RecipientList,B$54:B59)),0)),"")</f>
        <v/>
      </c>
      <c r="C60" s="44" t="str">
        <f t="shared" si="6"/>
        <v/>
      </c>
      <c r="D60" s="44" t="str">
        <f>IF(SUMIF('Detailed Budget'!$M$5:$M$1005,$C60,'Detailed Budget'!$AA$5:$AA$1005)&gt;0,SUMIF('Detailed Budget'!$M$5:$M$1005,$C60,'Detailed Budget'!$AA$5:$AA$1005),"")</f>
        <v/>
      </c>
      <c r="E60" s="44" t="str">
        <f>IF(SUMIF('Detailed Budget'!$M$5:$M$1005,$C60,'Detailed Budget'!$AC$5:$AC$1005)&gt;0,SUMIF('Detailed Budget'!$M$5:$M$1005,$C60,'Detailed Budget'!$AC$5:$AC$1005),"")</f>
        <v/>
      </c>
      <c r="F60" s="44" t="str">
        <f>IF(SUMIF('Detailed Budget'!$M$5:$M$1005,$C60,'Detailed Budget'!$AE$5:$AE$1005)&gt;0,SUMIF('Detailed Budget'!$M$5:$M$1005,$C60,'Detailed Budget'!$AE$5:$AE$1005),"")</f>
        <v/>
      </c>
      <c r="G60" s="44" t="str">
        <f>IF(SUMIF('Detailed Budget'!$M$5:$M$1005,$C60,'Detailed Budget'!$AG$5:$AG$1005)&gt;0,SUMIF('Detailed Budget'!$M$5:$M$1005,$C60,'Detailed Budget'!$AG$5:$AG$1005),"")</f>
        <v/>
      </c>
      <c r="H60" s="45" t="str">
        <f>IF(SUMIF('Detailed Budget'!$M$5:$M$1005,$C60,'Detailed Budget'!$AI$5:$AI$1005)&gt;0,SUMIF('Detailed Budget'!$M$5:$M$1005,$C60,'Detailed Budget'!$AI$5:$AI$1005),"")</f>
        <v/>
      </c>
      <c r="I60" s="44" t="str">
        <f>IF(SUMIF('Detailed Budget'!$M$5:$M$1005,$C60,'Detailed Budget'!$AN$5:$AN$1005)&gt;0,SUMIF('Detailed Budget'!$M$5:$M$1005,$C60,'Detailed Budget'!$AN$5:$AN$1005),"")</f>
        <v/>
      </c>
      <c r="J60" s="44" t="str">
        <f>IF(SUMIF('Detailed Budget'!$M$5:$M$1005,$C60,'Detailed Budget'!$AP$5:$AP$1005)&gt;0,SUMIF('Detailed Budget'!$M$5:$M$1005,$C60,'Detailed Budget'!$AP$5:$AP$1005),"")</f>
        <v/>
      </c>
      <c r="K60" s="44" t="str">
        <f>IF(SUMIF('Detailed Budget'!$M$5:$M$1005,$C60,'Detailed Budget'!$AR$5:$AR$1005)&gt;0,SUMIF('Detailed Budget'!$M$5:$M$1005,$C60,'Detailed Budget'!$AR$5:$AR$1005),"")</f>
        <v/>
      </c>
      <c r="L60" s="44" t="str">
        <f>IF(SUMIF('Detailed Budget'!$M$5:$M$1005,$C60,'Detailed Budget'!$AT$5:$AT$1005)&gt;0,SUMIF('Detailed Budget'!$M$5:$M$1005,$C60,'Detailed Budget'!$AT$5:$AT$1005),"")</f>
        <v/>
      </c>
      <c r="M60" s="45" t="str">
        <f>IF(SUMIF('Detailed Budget'!$M$5:$M$1005,$C60,'Detailed Budget'!$AV$5:$AV$1005)&gt;0,SUMIF('Detailed Budget'!$M$5:$M$1005,$C60,'Detailed Budget'!$AV$5:$AV$1005),"")</f>
        <v/>
      </c>
      <c r="N60" s="44" t="str">
        <f>IF(SUMIF('Detailed Budget'!$M$5:$M$1005,$C60,'Detailed Budget'!$BA$5:$BA$1005)&gt;0,SUMIF('Detailed Budget'!$M$5:$M$1005,$C60,'Detailed Budget'!$BA$5:$BA$1005),"")</f>
        <v/>
      </c>
      <c r="O60" s="44" t="str">
        <f>IF(SUMIF('Detailed Budget'!$M$5:$M$1005,$C60,'Detailed Budget'!$BC$5:$BC$1005)&gt;0,SUMIF('Detailed Budget'!$M$5:$M$1005,$C60,'Detailed Budget'!$BC$5:$BC$1005),"")</f>
        <v/>
      </c>
      <c r="P60" s="44" t="str">
        <f>IF(SUMIF('Detailed Budget'!$M$5:$M$1005,$C60,'Detailed Budget'!$BE$5:$BE$1005)&gt;0,SUMIF('Detailed Budget'!$M$5:$M$1005,$C60,'Detailed Budget'!$BE$5:$BE$1005),"")</f>
        <v/>
      </c>
      <c r="Q60" s="44" t="str">
        <f>IF(SUMIF('Detailed Budget'!$M$5:$M$1005,$C60,'Detailed Budget'!$BG$5:$BG$1005)&gt;0,SUMIF('Detailed Budget'!$M$5:$M$1005,$C60,'Detailed Budget'!$BG$5:$BG$1005),"")</f>
        <v/>
      </c>
      <c r="R60" s="45" t="str">
        <f>IF(SUMIF('Detailed Budget'!$M$5:$M$1005,$C60,'Detailed Budget'!$BI$5:$BI$1005)&gt;0,SUMIF('Detailed Budget'!$M$5:$M$1005,$C60,'Detailed Budget'!$BI$5:$BI$1005),"")</f>
        <v/>
      </c>
      <c r="S60" s="44" t="str">
        <f>IF(SUMIF('Detailed Budget'!$M$5:$M$1005,$C60,'Detailed Budget'!$BN$5:$BN$1005)&gt;0,SUMIF('Detailed Budget'!$M$5:$M$1005,$C60,'Detailed Budget'!$BN$5:$BN$1005),"")</f>
        <v/>
      </c>
      <c r="T60" s="44" t="str">
        <f>IF(SUMIF('Detailed Budget'!$M$5:$M$1005,$C60,'Detailed Budget'!$BP$5:$BP$1005)&gt;0,SUMIF('Detailed Budget'!$M$5:$M$1005,$C60,'Detailed Budget'!$BP$5:$BP$1005),"")</f>
        <v/>
      </c>
      <c r="U60" s="44" t="str">
        <f>IF(SUMIF('Detailed Budget'!$M$5:$M$1005,$C60,'Detailed Budget'!$BR$5:$BR$1005)&gt;0,SUMIF('Detailed Budget'!$M$5:$M$1005,$C60,'Detailed Budget'!$BR$5:$BR$1005),"")</f>
        <v/>
      </c>
      <c r="V60" s="44" t="str">
        <f>IF(SUMIF('Detailed Budget'!$M$5:$M$1005,$C60,'Detailed Budget'!$BT$5:$BT$1005)&gt;0,SUMIF('Detailed Budget'!$M$5:$M$1005,$C60,'Detailed Budget'!$BT$5:$BT$1005),"")</f>
        <v/>
      </c>
      <c r="W60" s="45" t="str">
        <f>IF(SUMIF('Detailed Budget'!$M$5:$M$1005,$C60,'Detailed Budget'!$BV$5:$BV$1005)&gt;0,SUMIF('Detailed Budget'!$M$5:$M$1005,$C60,'Detailed Budget'!$BV$5:$BV$1005),"")</f>
        <v/>
      </c>
      <c r="X60" s="44" t="str">
        <f t="shared" si="7"/>
        <v/>
      </c>
      <c r="Y60" s="122" t="str">
        <f t="shared" si="8"/>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row>
    <row r="61" spans="2:49" s="35" customFormat="1" x14ac:dyDescent="0.2">
      <c r="B61" s="39" t="str">
        <f t="array" ref="B61">IFERROR(INDEX(RecipientList,MATCH(0,COUNTIF(RecipientList,"&lt;"&amp;RecipientList)-SUM(COUNTIF(RecipientList,B$54:B60)),0)),"")</f>
        <v/>
      </c>
      <c r="C61" s="44" t="str">
        <f t="shared" si="6"/>
        <v/>
      </c>
      <c r="D61" s="44" t="str">
        <f>IF(SUMIF('Detailed Budget'!$M$5:$M$1005,$C61,'Detailed Budget'!$AA$5:$AA$1005)&gt;0,SUMIF('Detailed Budget'!$M$5:$M$1005,$C61,'Detailed Budget'!$AA$5:$AA$1005),"")</f>
        <v/>
      </c>
      <c r="E61" s="44" t="str">
        <f>IF(SUMIF('Detailed Budget'!$M$5:$M$1005,$C61,'Detailed Budget'!$AC$5:$AC$1005)&gt;0,SUMIF('Detailed Budget'!$M$5:$M$1005,$C61,'Detailed Budget'!$AC$5:$AC$1005),"")</f>
        <v/>
      </c>
      <c r="F61" s="44" t="str">
        <f>IF(SUMIF('Detailed Budget'!$M$5:$M$1005,$C61,'Detailed Budget'!$AE$5:$AE$1005)&gt;0,SUMIF('Detailed Budget'!$M$5:$M$1005,$C61,'Detailed Budget'!$AE$5:$AE$1005),"")</f>
        <v/>
      </c>
      <c r="G61" s="44" t="str">
        <f>IF(SUMIF('Detailed Budget'!$M$5:$M$1005,$C61,'Detailed Budget'!$AG$5:$AG$1005)&gt;0,SUMIF('Detailed Budget'!$M$5:$M$1005,$C61,'Detailed Budget'!$AG$5:$AG$1005),"")</f>
        <v/>
      </c>
      <c r="H61" s="45" t="str">
        <f>IF(SUMIF('Detailed Budget'!$M$5:$M$1005,$C61,'Detailed Budget'!$AI$5:$AI$1005)&gt;0,SUMIF('Detailed Budget'!$M$5:$M$1005,$C61,'Detailed Budget'!$AI$5:$AI$1005),"")</f>
        <v/>
      </c>
      <c r="I61" s="44" t="str">
        <f>IF(SUMIF('Detailed Budget'!$M$5:$M$1005,$C61,'Detailed Budget'!$AN$5:$AN$1005)&gt;0,SUMIF('Detailed Budget'!$M$5:$M$1005,$C61,'Detailed Budget'!$AN$5:$AN$1005),"")</f>
        <v/>
      </c>
      <c r="J61" s="44" t="str">
        <f>IF(SUMIF('Detailed Budget'!$M$5:$M$1005,$C61,'Detailed Budget'!$AP$5:$AP$1005)&gt;0,SUMIF('Detailed Budget'!$M$5:$M$1005,$C61,'Detailed Budget'!$AP$5:$AP$1005),"")</f>
        <v/>
      </c>
      <c r="K61" s="44" t="str">
        <f>IF(SUMIF('Detailed Budget'!$M$5:$M$1005,$C61,'Detailed Budget'!$AR$5:$AR$1005)&gt;0,SUMIF('Detailed Budget'!$M$5:$M$1005,$C61,'Detailed Budget'!$AR$5:$AR$1005),"")</f>
        <v/>
      </c>
      <c r="L61" s="44" t="str">
        <f>IF(SUMIF('Detailed Budget'!$M$5:$M$1005,$C61,'Detailed Budget'!$AT$5:$AT$1005)&gt;0,SUMIF('Detailed Budget'!$M$5:$M$1005,$C61,'Detailed Budget'!$AT$5:$AT$1005),"")</f>
        <v/>
      </c>
      <c r="M61" s="45" t="str">
        <f>IF(SUMIF('Detailed Budget'!$M$5:$M$1005,$C61,'Detailed Budget'!$AV$5:$AV$1005)&gt;0,SUMIF('Detailed Budget'!$M$5:$M$1005,$C61,'Detailed Budget'!$AV$5:$AV$1005),"")</f>
        <v/>
      </c>
      <c r="N61" s="44" t="str">
        <f>IF(SUMIF('Detailed Budget'!$M$5:$M$1005,$C61,'Detailed Budget'!$BA$5:$BA$1005)&gt;0,SUMIF('Detailed Budget'!$M$5:$M$1005,$C61,'Detailed Budget'!$BA$5:$BA$1005),"")</f>
        <v/>
      </c>
      <c r="O61" s="44" t="str">
        <f>IF(SUMIF('Detailed Budget'!$M$5:$M$1005,$C61,'Detailed Budget'!$BC$5:$BC$1005)&gt;0,SUMIF('Detailed Budget'!$M$5:$M$1005,$C61,'Detailed Budget'!$BC$5:$BC$1005),"")</f>
        <v/>
      </c>
      <c r="P61" s="44" t="str">
        <f>IF(SUMIF('Detailed Budget'!$M$5:$M$1005,$C61,'Detailed Budget'!$BE$5:$BE$1005)&gt;0,SUMIF('Detailed Budget'!$M$5:$M$1005,$C61,'Detailed Budget'!$BE$5:$BE$1005),"")</f>
        <v/>
      </c>
      <c r="Q61" s="44" t="str">
        <f>IF(SUMIF('Detailed Budget'!$M$5:$M$1005,$C61,'Detailed Budget'!$BG$5:$BG$1005)&gt;0,SUMIF('Detailed Budget'!$M$5:$M$1005,$C61,'Detailed Budget'!$BG$5:$BG$1005),"")</f>
        <v/>
      </c>
      <c r="R61" s="45" t="str">
        <f>IF(SUMIF('Detailed Budget'!$M$5:$M$1005,$C61,'Detailed Budget'!$BI$5:$BI$1005)&gt;0,SUMIF('Detailed Budget'!$M$5:$M$1005,$C61,'Detailed Budget'!$BI$5:$BI$1005),"")</f>
        <v/>
      </c>
      <c r="S61" s="44" t="str">
        <f>IF(SUMIF('Detailed Budget'!$M$5:$M$1005,$C61,'Detailed Budget'!$BN$5:$BN$1005)&gt;0,SUMIF('Detailed Budget'!$M$5:$M$1005,$C61,'Detailed Budget'!$BN$5:$BN$1005),"")</f>
        <v/>
      </c>
      <c r="T61" s="44" t="str">
        <f>IF(SUMIF('Detailed Budget'!$M$5:$M$1005,$C61,'Detailed Budget'!$BP$5:$BP$1005)&gt;0,SUMIF('Detailed Budget'!$M$5:$M$1005,$C61,'Detailed Budget'!$BP$5:$BP$1005),"")</f>
        <v/>
      </c>
      <c r="U61" s="44" t="str">
        <f>IF(SUMIF('Detailed Budget'!$M$5:$M$1005,$C61,'Detailed Budget'!$BR$5:$BR$1005)&gt;0,SUMIF('Detailed Budget'!$M$5:$M$1005,$C61,'Detailed Budget'!$BR$5:$BR$1005),"")</f>
        <v/>
      </c>
      <c r="V61" s="44" t="str">
        <f>IF(SUMIF('Detailed Budget'!$M$5:$M$1005,$C61,'Detailed Budget'!$BT$5:$BT$1005)&gt;0,SUMIF('Detailed Budget'!$M$5:$M$1005,$C61,'Detailed Budget'!$BT$5:$BT$1005),"")</f>
        <v/>
      </c>
      <c r="W61" s="45" t="str">
        <f>IF(SUMIF('Detailed Budget'!$M$5:$M$1005,$C61,'Detailed Budget'!$BV$5:$BV$1005)&gt;0,SUMIF('Detailed Budget'!$M$5:$M$1005,$C61,'Detailed Budget'!$BV$5:$BV$1005),"")</f>
        <v/>
      </c>
      <c r="X61" s="44" t="str">
        <f t="shared" si="7"/>
        <v/>
      </c>
      <c r="Y61" s="122" t="str">
        <f t="shared" si="8"/>
        <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row>
    <row r="62" spans="2:49" s="35" customFormat="1" x14ac:dyDescent="0.2">
      <c r="B62" s="39" t="str">
        <f t="array" ref="B62">IFERROR(INDEX(RecipientList,MATCH(0,COUNTIF(RecipientList,"&lt;"&amp;RecipientList)-SUM(COUNTIF(RecipientList,B$54:B61)),0)),"")</f>
        <v/>
      </c>
      <c r="C62" s="44" t="str">
        <f t="shared" si="6"/>
        <v/>
      </c>
      <c r="D62" s="44" t="str">
        <f>IF(SUMIF('Detailed Budget'!$M$5:$M$1005,$C62,'Detailed Budget'!$AA$5:$AA$1005)&gt;0,SUMIF('Detailed Budget'!$M$5:$M$1005,$C62,'Detailed Budget'!$AA$5:$AA$1005),"")</f>
        <v/>
      </c>
      <c r="E62" s="44" t="str">
        <f>IF(SUMIF('Detailed Budget'!$M$5:$M$1005,$C62,'Detailed Budget'!$AC$5:$AC$1005)&gt;0,SUMIF('Detailed Budget'!$M$5:$M$1005,$C62,'Detailed Budget'!$AC$5:$AC$1005),"")</f>
        <v/>
      </c>
      <c r="F62" s="44" t="str">
        <f>IF(SUMIF('Detailed Budget'!$M$5:$M$1005,$C62,'Detailed Budget'!$AE$5:$AE$1005)&gt;0,SUMIF('Detailed Budget'!$M$5:$M$1005,$C62,'Detailed Budget'!$AE$5:$AE$1005),"")</f>
        <v/>
      </c>
      <c r="G62" s="44" t="str">
        <f>IF(SUMIF('Detailed Budget'!$M$5:$M$1005,$C62,'Detailed Budget'!$AG$5:$AG$1005)&gt;0,SUMIF('Detailed Budget'!$M$5:$M$1005,$C62,'Detailed Budget'!$AG$5:$AG$1005),"")</f>
        <v/>
      </c>
      <c r="H62" s="45" t="str">
        <f>IF(SUMIF('Detailed Budget'!$M$5:$M$1005,$C62,'Detailed Budget'!$AI$5:$AI$1005)&gt;0,SUMIF('Detailed Budget'!$M$5:$M$1005,$C62,'Detailed Budget'!$AI$5:$AI$1005),"")</f>
        <v/>
      </c>
      <c r="I62" s="44" t="str">
        <f>IF(SUMIF('Detailed Budget'!$M$5:$M$1005,$C62,'Detailed Budget'!$AN$5:$AN$1005)&gt;0,SUMIF('Detailed Budget'!$M$5:$M$1005,$C62,'Detailed Budget'!$AN$5:$AN$1005),"")</f>
        <v/>
      </c>
      <c r="J62" s="44" t="str">
        <f>IF(SUMIF('Detailed Budget'!$M$5:$M$1005,$C62,'Detailed Budget'!$AP$5:$AP$1005)&gt;0,SUMIF('Detailed Budget'!$M$5:$M$1005,$C62,'Detailed Budget'!$AP$5:$AP$1005),"")</f>
        <v/>
      </c>
      <c r="K62" s="44" t="str">
        <f>IF(SUMIF('Detailed Budget'!$M$5:$M$1005,$C62,'Detailed Budget'!$AR$5:$AR$1005)&gt;0,SUMIF('Detailed Budget'!$M$5:$M$1005,$C62,'Detailed Budget'!$AR$5:$AR$1005),"")</f>
        <v/>
      </c>
      <c r="L62" s="44" t="str">
        <f>IF(SUMIF('Detailed Budget'!$M$5:$M$1005,$C62,'Detailed Budget'!$AT$5:$AT$1005)&gt;0,SUMIF('Detailed Budget'!$M$5:$M$1005,$C62,'Detailed Budget'!$AT$5:$AT$1005),"")</f>
        <v/>
      </c>
      <c r="M62" s="45" t="str">
        <f>IF(SUMIF('Detailed Budget'!$M$5:$M$1005,$C62,'Detailed Budget'!$AV$5:$AV$1005)&gt;0,SUMIF('Detailed Budget'!$M$5:$M$1005,$C62,'Detailed Budget'!$AV$5:$AV$1005),"")</f>
        <v/>
      </c>
      <c r="N62" s="44" t="str">
        <f>IF(SUMIF('Detailed Budget'!$M$5:$M$1005,$C62,'Detailed Budget'!$BA$5:$BA$1005)&gt;0,SUMIF('Detailed Budget'!$M$5:$M$1005,$C62,'Detailed Budget'!$BA$5:$BA$1005),"")</f>
        <v/>
      </c>
      <c r="O62" s="44" t="str">
        <f>IF(SUMIF('Detailed Budget'!$M$5:$M$1005,$C62,'Detailed Budget'!$BC$5:$BC$1005)&gt;0,SUMIF('Detailed Budget'!$M$5:$M$1005,$C62,'Detailed Budget'!$BC$5:$BC$1005),"")</f>
        <v/>
      </c>
      <c r="P62" s="44" t="str">
        <f>IF(SUMIF('Detailed Budget'!$M$5:$M$1005,$C62,'Detailed Budget'!$BE$5:$BE$1005)&gt;0,SUMIF('Detailed Budget'!$M$5:$M$1005,$C62,'Detailed Budget'!$BE$5:$BE$1005),"")</f>
        <v/>
      </c>
      <c r="Q62" s="44" t="str">
        <f>IF(SUMIF('Detailed Budget'!$M$5:$M$1005,$C62,'Detailed Budget'!$BG$5:$BG$1005)&gt;0,SUMIF('Detailed Budget'!$M$5:$M$1005,$C62,'Detailed Budget'!$BG$5:$BG$1005),"")</f>
        <v/>
      </c>
      <c r="R62" s="45" t="str">
        <f>IF(SUMIF('Detailed Budget'!$M$5:$M$1005,$C62,'Detailed Budget'!$BI$5:$BI$1005)&gt;0,SUMIF('Detailed Budget'!$M$5:$M$1005,$C62,'Detailed Budget'!$BI$5:$BI$1005),"")</f>
        <v/>
      </c>
      <c r="S62" s="44" t="str">
        <f>IF(SUMIF('Detailed Budget'!$M$5:$M$1005,$C62,'Detailed Budget'!$BN$5:$BN$1005)&gt;0,SUMIF('Detailed Budget'!$M$5:$M$1005,$C62,'Detailed Budget'!$BN$5:$BN$1005),"")</f>
        <v/>
      </c>
      <c r="T62" s="44" t="str">
        <f>IF(SUMIF('Detailed Budget'!$M$5:$M$1005,$C62,'Detailed Budget'!$BP$5:$BP$1005)&gt;0,SUMIF('Detailed Budget'!$M$5:$M$1005,$C62,'Detailed Budget'!$BP$5:$BP$1005),"")</f>
        <v/>
      </c>
      <c r="U62" s="44" t="str">
        <f>IF(SUMIF('Detailed Budget'!$M$5:$M$1005,$C62,'Detailed Budget'!$BR$5:$BR$1005)&gt;0,SUMIF('Detailed Budget'!$M$5:$M$1005,$C62,'Detailed Budget'!$BR$5:$BR$1005),"")</f>
        <v/>
      </c>
      <c r="V62" s="44" t="str">
        <f>IF(SUMIF('Detailed Budget'!$M$5:$M$1005,$C62,'Detailed Budget'!$BT$5:$BT$1005)&gt;0,SUMIF('Detailed Budget'!$M$5:$M$1005,$C62,'Detailed Budget'!$BT$5:$BT$1005),"")</f>
        <v/>
      </c>
      <c r="W62" s="45" t="str">
        <f>IF(SUMIF('Detailed Budget'!$M$5:$M$1005,$C62,'Detailed Budget'!$BV$5:$BV$1005)&gt;0,SUMIF('Detailed Budget'!$M$5:$M$1005,$C62,'Detailed Budget'!$BV$5:$BV$1005),"")</f>
        <v/>
      </c>
      <c r="X62" s="44" t="str">
        <f t="shared" si="7"/>
        <v/>
      </c>
      <c r="Y62" s="122" t="str">
        <f t="shared" si="8"/>
        <v/>
      </c>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row>
    <row r="63" spans="2:49" s="35" customFormat="1" x14ac:dyDescent="0.2">
      <c r="B63" s="39" t="str">
        <f t="array" ref="B63">IFERROR(INDEX(RecipientList,MATCH(0,COUNTIF(RecipientList,"&lt;"&amp;RecipientList)-SUM(COUNTIF(RecipientList,B$54:B62)),0)),"")</f>
        <v/>
      </c>
      <c r="C63" s="44" t="str">
        <f t="shared" si="6"/>
        <v/>
      </c>
      <c r="D63" s="44" t="str">
        <f>IF(SUMIF('Detailed Budget'!$M$5:$M$1005,$C63,'Detailed Budget'!$AA$5:$AA$1005)&gt;0,SUMIF('Detailed Budget'!$M$5:$M$1005,$C63,'Detailed Budget'!$AA$5:$AA$1005),"")</f>
        <v/>
      </c>
      <c r="E63" s="44" t="str">
        <f>IF(SUMIF('Detailed Budget'!$M$5:$M$1005,$C63,'Detailed Budget'!$AC$5:$AC$1005)&gt;0,SUMIF('Detailed Budget'!$M$5:$M$1005,$C63,'Detailed Budget'!$AC$5:$AC$1005),"")</f>
        <v/>
      </c>
      <c r="F63" s="44" t="str">
        <f>IF(SUMIF('Detailed Budget'!$M$5:$M$1005,$C63,'Detailed Budget'!$AE$5:$AE$1005)&gt;0,SUMIF('Detailed Budget'!$M$5:$M$1005,$C63,'Detailed Budget'!$AE$5:$AE$1005),"")</f>
        <v/>
      </c>
      <c r="G63" s="44" t="str">
        <f>IF(SUMIF('Detailed Budget'!$M$5:$M$1005,$C63,'Detailed Budget'!$AG$5:$AG$1005)&gt;0,SUMIF('Detailed Budget'!$M$5:$M$1005,$C63,'Detailed Budget'!$AG$5:$AG$1005),"")</f>
        <v/>
      </c>
      <c r="H63" s="45" t="str">
        <f>IF(SUMIF('Detailed Budget'!$M$5:$M$1005,$C63,'Detailed Budget'!$AI$5:$AI$1005)&gt;0,SUMIF('Detailed Budget'!$M$5:$M$1005,$C63,'Detailed Budget'!$AI$5:$AI$1005),"")</f>
        <v/>
      </c>
      <c r="I63" s="44" t="str">
        <f>IF(SUMIF('Detailed Budget'!$M$5:$M$1005,$C63,'Detailed Budget'!$AN$5:$AN$1005)&gt;0,SUMIF('Detailed Budget'!$M$5:$M$1005,$C63,'Detailed Budget'!$AN$5:$AN$1005),"")</f>
        <v/>
      </c>
      <c r="J63" s="44" t="str">
        <f>IF(SUMIF('Detailed Budget'!$M$5:$M$1005,$C63,'Detailed Budget'!$AP$5:$AP$1005)&gt;0,SUMIF('Detailed Budget'!$M$5:$M$1005,$C63,'Detailed Budget'!$AP$5:$AP$1005),"")</f>
        <v/>
      </c>
      <c r="K63" s="44" t="str">
        <f>IF(SUMIF('Detailed Budget'!$M$5:$M$1005,$C63,'Detailed Budget'!$AR$5:$AR$1005)&gt;0,SUMIF('Detailed Budget'!$M$5:$M$1005,$C63,'Detailed Budget'!$AR$5:$AR$1005),"")</f>
        <v/>
      </c>
      <c r="L63" s="44" t="str">
        <f>IF(SUMIF('Detailed Budget'!$M$5:$M$1005,$C63,'Detailed Budget'!$AT$5:$AT$1005)&gt;0,SUMIF('Detailed Budget'!$M$5:$M$1005,$C63,'Detailed Budget'!$AT$5:$AT$1005),"")</f>
        <v/>
      </c>
      <c r="M63" s="45" t="str">
        <f>IF(SUMIF('Detailed Budget'!$M$5:$M$1005,$C63,'Detailed Budget'!$AV$5:$AV$1005)&gt;0,SUMIF('Detailed Budget'!$M$5:$M$1005,$C63,'Detailed Budget'!$AV$5:$AV$1005),"")</f>
        <v/>
      </c>
      <c r="N63" s="44" t="str">
        <f>IF(SUMIF('Detailed Budget'!$M$5:$M$1005,$C63,'Detailed Budget'!$BA$5:$BA$1005)&gt;0,SUMIF('Detailed Budget'!$M$5:$M$1005,$C63,'Detailed Budget'!$BA$5:$BA$1005),"")</f>
        <v/>
      </c>
      <c r="O63" s="44" t="str">
        <f>IF(SUMIF('Detailed Budget'!$M$5:$M$1005,$C63,'Detailed Budget'!$BC$5:$BC$1005)&gt;0,SUMIF('Detailed Budget'!$M$5:$M$1005,$C63,'Detailed Budget'!$BC$5:$BC$1005),"")</f>
        <v/>
      </c>
      <c r="P63" s="44" t="str">
        <f>IF(SUMIF('Detailed Budget'!$M$5:$M$1005,$C63,'Detailed Budget'!$BE$5:$BE$1005)&gt;0,SUMIF('Detailed Budget'!$M$5:$M$1005,$C63,'Detailed Budget'!$BE$5:$BE$1005),"")</f>
        <v/>
      </c>
      <c r="Q63" s="44" t="str">
        <f>IF(SUMIF('Detailed Budget'!$M$5:$M$1005,$C63,'Detailed Budget'!$BG$5:$BG$1005)&gt;0,SUMIF('Detailed Budget'!$M$5:$M$1005,$C63,'Detailed Budget'!$BG$5:$BG$1005),"")</f>
        <v/>
      </c>
      <c r="R63" s="45" t="str">
        <f>IF(SUMIF('Detailed Budget'!$M$5:$M$1005,$C63,'Detailed Budget'!$BI$5:$BI$1005)&gt;0,SUMIF('Detailed Budget'!$M$5:$M$1005,$C63,'Detailed Budget'!$BI$5:$BI$1005),"")</f>
        <v/>
      </c>
      <c r="S63" s="44" t="str">
        <f>IF(SUMIF('Detailed Budget'!$M$5:$M$1005,$C63,'Detailed Budget'!$BN$5:$BN$1005)&gt;0,SUMIF('Detailed Budget'!$M$5:$M$1005,$C63,'Detailed Budget'!$BN$5:$BN$1005),"")</f>
        <v/>
      </c>
      <c r="T63" s="44" t="str">
        <f>IF(SUMIF('Detailed Budget'!$M$5:$M$1005,$C63,'Detailed Budget'!$BP$5:$BP$1005)&gt;0,SUMIF('Detailed Budget'!$M$5:$M$1005,$C63,'Detailed Budget'!$BP$5:$BP$1005),"")</f>
        <v/>
      </c>
      <c r="U63" s="44" t="str">
        <f>IF(SUMIF('Detailed Budget'!$M$5:$M$1005,$C63,'Detailed Budget'!$BR$5:$BR$1005)&gt;0,SUMIF('Detailed Budget'!$M$5:$M$1005,$C63,'Detailed Budget'!$BR$5:$BR$1005),"")</f>
        <v/>
      </c>
      <c r="V63" s="44" t="str">
        <f>IF(SUMIF('Detailed Budget'!$M$5:$M$1005,$C63,'Detailed Budget'!$BT$5:$BT$1005)&gt;0,SUMIF('Detailed Budget'!$M$5:$M$1005,$C63,'Detailed Budget'!$BT$5:$BT$1005),"")</f>
        <v/>
      </c>
      <c r="W63" s="45" t="str">
        <f>IF(SUMIF('Detailed Budget'!$M$5:$M$1005,$C63,'Detailed Budget'!$BV$5:$BV$1005)&gt;0,SUMIF('Detailed Budget'!$M$5:$M$1005,$C63,'Detailed Budget'!$BV$5:$BV$1005),"")</f>
        <v/>
      </c>
      <c r="X63" s="44" t="str">
        <f t="shared" si="7"/>
        <v/>
      </c>
      <c r="Y63" s="122" t="str">
        <f t="shared" si="8"/>
        <v/>
      </c>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row>
    <row r="64" spans="2:49" s="35" customFormat="1" x14ac:dyDescent="0.2">
      <c r="B64" s="39" t="str">
        <f t="array" ref="B64">IFERROR(INDEX(RecipientList,MATCH(0,COUNTIF(RecipientList,"&lt;"&amp;RecipientList)-SUM(COUNTIF(RecipientList,B$54:B63)),0)),"")</f>
        <v/>
      </c>
      <c r="C64" s="44" t="str">
        <f t="shared" si="6"/>
        <v/>
      </c>
      <c r="D64" s="44" t="str">
        <f>IF(SUMIF('Detailed Budget'!$M$5:$M$1005,$C64,'Detailed Budget'!$AA$5:$AA$1005)&gt;0,SUMIF('Detailed Budget'!$M$5:$M$1005,$C64,'Detailed Budget'!$AA$5:$AA$1005),"")</f>
        <v/>
      </c>
      <c r="E64" s="44" t="str">
        <f>IF(SUMIF('Detailed Budget'!$M$5:$M$1005,$C64,'Detailed Budget'!$AC$5:$AC$1005)&gt;0,SUMIF('Detailed Budget'!$M$5:$M$1005,$C64,'Detailed Budget'!$AC$5:$AC$1005),"")</f>
        <v/>
      </c>
      <c r="F64" s="44" t="str">
        <f>IF(SUMIF('Detailed Budget'!$M$5:$M$1005,$C64,'Detailed Budget'!$AE$5:$AE$1005)&gt;0,SUMIF('Detailed Budget'!$M$5:$M$1005,$C64,'Detailed Budget'!$AE$5:$AE$1005),"")</f>
        <v/>
      </c>
      <c r="G64" s="44" t="str">
        <f>IF(SUMIF('Detailed Budget'!$M$5:$M$1005,$C64,'Detailed Budget'!$AG$5:$AG$1005)&gt;0,SUMIF('Detailed Budget'!$M$5:$M$1005,$C64,'Detailed Budget'!$AG$5:$AG$1005),"")</f>
        <v/>
      </c>
      <c r="H64" s="45" t="str">
        <f>IF(SUMIF('Detailed Budget'!$M$5:$M$1005,$C64,'Detailed Budget'!$AI$5:$AI$1005)&gt;0,SUMIF('Detailed Budget'!$M$5:$M$1005,$C64,'Detailed Budget'!$AI$5:$AI$1005),"")</f>
        <v/>
      </c>
      <c r="I64" s="44" t="str">
        <f>IF(SUMIF('Detailed Budget'!$M$5:$M$1005,$C64,'Detailed Budget'!$AN$5:$AN$1005)&gt;0,SUMIF('Detailed Budget'!$M$5:$M$1005,$C64,'Detailed Budget'!$AN$5:$AN$1005),"")</f>
        <v/>
      </c>
      <c r="J64" s="44" t="str">
        <f>IF(SUMIF('Detailed Budget'!$M$5:$M$1005,$C64,'Detailed Budget'!$AP$5:$AP$1005)&gt;0,SUMIF('Detailed Budget'!$M$5:$M$1005,$C64,'Detailed Budget'!$AP$5:$AP$1005),"")</f>
        <v/>
      </c>
      <c r="K64" s="44" t="str">
        <f>IF(SUMIF('Detailed Budget'!$M$5:$M$1005,$C64,'Detailed Budget'!$AR$5:$AR$1005)&gt;0,SUMIF('Detailed Budget'!$M$5:$M$1005,$C64,'Detailed Budget'!$AR$5:$AR$1005),"")</f>
        <v/>
      </c>
      <c r="L64" s="44" t="str">
        <f>IF(SUMIF('Detailed Budget'!$M$5:$M$1005,$C64,'Detailed Budget'!$AT$5:$AT$1005)&gt;0,SUMIF('Detailed Budget'!$M$5:$M$1005,$C64,'Detailed Budget'!$AT$5:$AT$1005),"")</f>
        <v/>
      </c>
      <c r="M64" s="45" t="str">
        <f>IF(SUMIF('Detailed Budget'!$M$5:$M$1005,$C64,'Detailed Budget'!$AV$5:$AV$1005)&gt;0,SUMIF('Detailed Budget'!$M$5:$M$1005,$C64,'Detailed Budget'!$AV$5:$AV$1005),"")</f>
        <v/>
      </c>
      <c r="N64" s="44" t="str">
        <f>IF(SUMIF('Detailed Budget'!$M$5:$M$1005,$C64,'Detailed Budget'!$BA$5:$BA$1005)&gt;0,SUMIF('Detailed Budget'!$M$5:$M$1005,$C64,'Detailed Budget'!$BA$5:$BA$1005),"")</f>
        <v/>
      </c>
      <c r="O64" s="44" t="str">
        <f>IF(SUMIF('Detailed Budget'!$M$5:$M$1005,$C64,'Detailed Budget'!$BC$5:$BC$1005)&gt;0,SUMIF('Detailed Budget'!$M$5:$M$1005,$C64,'Detailed Budget'!$BC$5:$BC$1005),"")</f>
        <v/>
      </c>
      <c r="P64" s="44" t="str">
        <f>IF(SUMIF('Detailed Budget'!$M$5:$M$1005,$C64,'Detailed Budget'!$BE$5:$BE$1005)&gt;0,SUMIF('Detailed Budget'!$M$5:$M$1005,$C64,'Detailed Budget'!$BE$5:$BE$1005),"")</f>
        <v/>
      </c>
      <c r="Q64" s="44" t="str">
        <f>IF(SUMIF('Detailed Budget'!$M$5:$M$1005,$C64,'Detailed Budget'!$BG$5:$BG$1005)&gt;0,SUMIF('Detailed Budget'!$M$5:$M$1005,$C64,'Detailed Budget'!$BG$5:$BG$1005),"")</f>
        <v/>
      </c>
      <c r="R64" s="45" t="str">
        <f>IF(SUMIF('Detailed Budget'!$M$5:$M$1005,$C64,'Detailed Budget'!$BI$5:$BI$1005)&gt;0,SUMIF('Detailed Budget'!$M$5:$M$1005,$C64,'Detailed Budget'!$BI$5:$BI$1005),"")</f>
        <v/>
      </c>
      <c r="S64" s="44" t="str">
        <f>IF(SUMIF('Detailed Budget'!$M$5:$M$1005,$C64,'Detailed Budget'!$BN$5:$BN$1005)&gt;0,SUMIF('Detailed Budget'!$M$5:$M$1005,$C64,'Detailed Budget'!$BN$5:$BN$1005),"")</f>
        <v/>
      </c>
      <c r="T64" s="44" t="str">
        <f>IF(SUMIF('Detailed Budget'!$M$5:$M$1005,$C64,'Detailed Budget'!$BP$5:$BP$1005)&gt;0,SUMIF('Detailed Budget'!$M$5:$M$1005,$C64,'Detailed Budget'!$BP$5:$BP$1005),"")</f>
        <v/>
      </c>
      <c r="U64" s="44" t="str">
        <f>IF(SUMIF('Detailed Budget'!$M$5:$M$1005,$C64,'Detailed Budget'!$BR$5:$BR$1005)&gt;0,SUMIF('Detailed Budget'!$M$5:$M$1005,$C64,'Detailed Budget'!$BR$5:$BR$1005),"")</f>
        <v/>
      </c>
      <c r="V64" s="44" t="str">
        <f>IF(SUMIF('Detailed Budget'!$M$5:$M$1005,$C64,'Detailed Budget'!$BT$5:$BT$1005)&gt;0,SUMIF('Detailed Budget'!$M$5:$M$1005,$C64,'Detailed Budget'!$BT$5:$BT$1005),"")</f>
        <v/>
      </c>
      <c r="W64" s="45" t="str">
        <f>IF(SUMIF('Detailed Budget'!$M$5:$M$1005,$C64,'Detailed Budget'!$BV$5:$BV$1005)&gt;0,SUMIF('Detailed Budget'!$M$5:$M$1005,$C64,'Detailed Budget'!$BV$5:$BV$1005),"")</f>
        <v/>
      </c>
      <c r="X64" s="44" t="str">
        <f t="shared" si="7"/>
        <v/>
      </c>
      <c r="Y64" s="122" t="str">
        <f t="shared" si="8"/>
        <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row>
    <row r="65" spans="2:49" s="35" customFormat="1" x14ac:dyDescent="0.2">
      <c r="B65" s="39" t="str">
        <f t="array" ref="B65">IFERROR(INDEX(RecipientList,MATCH(0,COUNTIF(RecipientList,"&lt;"&amp;RecipientList)-SUM(COUNTIF(RecipientList,B$54:B64)),0)),"")</f>
        <v/>
      </c>
      <c r="C65" s="44" t="str">
        <f t="shared" si="6"/>
        <v/>
      </c>
      <c r="D65" s="44" t="str">
        <f>IF(SUMIF('Detailed Budget'!$M$5:$M$1005,$C65,'Detailed Budget'!$AA$5:$AA$1005)&gt;0,SUMIF('Detailed Budget'!$M$5:$M$1005,$C65,'Detailed Budget'!$AA$5:$AA$1005),"")</f>
        <v/>
      </c>
      <c r="E65" s="44" t="str">
        <f>IF(SUMIF('Detailed Budget'!$M$5:$M$1005,$C65,'Detailed Budget'!$AC$5:$AC$1005)&gt;0,SUMIF('Detailed Budget'!$M$5:$M$1005,$C65,'Detailed Budget'!$AC$5:$AC$1005),"")</f>
        <v/>
      </c>
      <c r="F65" s="44" t="str">
        <f>IF(SUMIF('Detailed Budget'!$M$5:$M$1005,$C65,'Detailed Budget'!$AE$5:$AE$1005)&gt;0,SUMIF('Detailed Budget'!$M$5:$M$1005,$C65,'Detailed Budget'!$AE$5:$AE$1005),"")</f>
        <v/>
      </c>
      <c r="G65" s="44" t="str">
        <f>IF(SUMIF('Detailed Budget'!$M$5:$M$1005,$C65,'Detailed Budget'!$AG$5:$AG$1005)&gt;0,SUMIF('Detailed Budget'!$M$5:$M$1005,$C65,'Detailed Budget'!$AG$5:$AG$1005),"")</f>
        <v/>
      </c>
      <c r="H65" s="45" t="str">
        <f>IF(SUMIF('Detailed Budget'!$M$5:$M$1005,$C65,'Detailed Budget'!$AI$5:$AI$1005)&gt;0,SUMIF('Detailed Budget'!$M$5:$M$1005,$C65,'Detailed Budget'!$AI$5:$AI$1005),"")</f>
        <v/>
      </c>
      <c r="I65" s="44" t="str">
        <f>IF(SUMIF('Detailed Budget'!$M$5:$M$1005,$C65,'Detailed Budget'!$AN$5:$AN$1005)&gt;0,SUMIF('Detailed Budget'!$M$5:$M$1005,$C65,'Detailed Budget'!$AN$5:$AN$1005),"")</f>
        <v/>
      </c>
      <c r="J65" s="44" t="str">
        <f>IF(SUMIF('Detailed Budget'!$M$5:$M$1005,$C65,'Detailed Budget'!$AP$5:$AP$1005)&gt;0,SUMIF('Detailed Budget'!$M$5:$M$1005,$C65,'Detailed Budget'!$AP$5:$AP$1005),"")</f>
        <v/>
      </c>
      <c r="K65" s="44" t="str">
        <f>IF(SUMIF('Detailed Budget'!$M$5:$M$1005,$C65,'Detailed Budget'!$AR$5:$AR$1005)&gt;0,SUMIF('Detailed Budget'!$M$5:$M$1005,$C65,'Detailed Budget'!$AR$5:$AR$1005),"")</f>
        <v/>
      </c>
      <c r="L65" s="44" t="str">
        <f>IF(SUMIF('Detailed Budget'!$M$5:$M$1005,$C65,'Detailed Budget'!$AT$5:$AT$1005)&gt;0,SUMIF('Detailed Budget'!$M$5:$M$1005,$C65,'Detailed Budget'!$AT$5:$AT$1005),"")</f>
        <v/>
      </c>
      <c r="M65" s="45" t="str">
        <f>IF(SUMIF('Detailed Budget'!$M$5:$M$1005,$C65,'Detailed Budget'!$AV$5:$AV$1005)&gt;0,SUMIF('Detailed Budget'!$M$5:$M$1005,$C65,'Detailed Budget'!$AV$5:$AV$1005),"")</f>
        <v/>
      </c>
      <c r="N65" s="44" t="str">
        <f>IF(SUMIF('Detailed Budget'!$M$5:$M$1005,$C65,'Detailed Budget'!$BA$5:$BA$1005)&gt;0,SUMIF('Detailed Budget'!$M$5:$M$1005,$C65,'Detailed Budget'!$BA$5:$BA$1005),"")</f>
        <v/>
      </c>
      <c r="O65" s="44" t="str">
        <f>IF(SUMIF('Detailed Budget'!$M$5:$M$1005,$C65,'Detailed Budget'!$BC$5:$BC$1005)&gt;0,SUMIF('Detailed Budget'!$M$5:$M$1005,$C65,'Detailed Budget'!$BC$5:$BC$1005),"")</f>
        <v/>
      </c>
      <c r="P65" s="44" t="str">
        <f>IF(SUMIF('Detailed Budget'!$M$5:$M$1005,$C65,'Detailed Budget'!$BE$5:$BE$1005)&gt;0,SUMIF('Detailed Budget'!$M$5:$M$1005,$C65,'Detailed Budget'!$BE$5:$BE$1005),"")</f>
        <v/>
      </c>
      <c r="Q65" s="44" t="str">
        <f>IF(SUMIF('Detailed Budget'!$M$5:$M$1005,$C65,'Detailed Budget'!$BG$5:$BG$1005)&gt;0,SUMIF('Detailed Budget'!$M$5:$M$1005,$C65,'Detailed Budget'!$BG$5:$BG$1005),"")</f>
        <v/>
      </c>
      <c r="R65" s="45" t="str">
        <f>IF(SUMIF('Detailed Budget'!$M$5:$M$1005,$C65,'Detailed Budget'!$BI$5:$BI$1005)&gt;0,SUMIF('Detailed Budget'!$M$5:$M$1005,$C65,'Detailed Budget'!$BI$5:$BI$1005),"")</f>
        <v/>
      </c>
      <c r="S65" s="44" t="str">
        <f>IF(SUMIF('Detailed Budget'!$M$5:$M$1005,$C65,'Detailed Budget'!$BN$5:$BN$1005)&gt;0,SUMIF('Detailed Budget'!$M$5:$M$1005,$C65,'Detailed Budget'!$BN$5:$BN$1005),"")</f>
        <v/>
      </c>
      <c r="T65" s="44" t="str">
        <f>IF(SUMIF('Detailed Budget'!$M$5:$M$1005,$C65,'Detailed Budget'!$BP$5:$BP$1005)&gt;0,SUMIF('Detailed Budget'!$M$5:$M$1005,$C65,'Detailed Budget'!$BP$5:$BP$1005),"")</f>
        <v/>
      </c>
      <c r="U65" s="44" t="str">
        <f>IF(SUMIF('Detailed Budget'!$M$5:$M$1005,$C65,'Detailed Budget'!$BR$5:$BR$1005)&gt;0,SUMIF('Detailed Budget'!$M$5:$M$1005,$C65,'Detailed Budget'!$BR$5:$BR$1005),"")</f>
        <v/>
      </c>
      <c r="V65" s="44" t="str">
        <f>IF(SUMIF('Detailed Budget'!$M$5:$M$1005,$C65,'Detailed Budget'!$BT$5:$BT$1005)&gt;0,SUMIF('Detailed Budget'!$M$5:$M$1005,$C65,'Detailed Budget'!$BT$5:$BT$1005),"")</f>
        <v/>
      </c>
      <c r="W65" s="45" t="str">
        <f>IF(SUMIF('Detailed Budget'!$M$5:$M$1005,$C65,'Detailed Budget'!$BV$5:$BV$1005)&gt;0,SUMIF('Detailed Budget'!$M$5:$M$1005,$C65,'Detailed Budget'!$BV$5:$BV$1005),"")</f>
        <v/>
      </c>
      <c r="X65" s="44" t="str">
        <f t="shared" si="7"/>
        <v/>
      </c>
      <c r="Y65" s="122" t="str">
        <f t="shared" si="8"/>
        <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row>
    <row r="66" spans="2:49" s="35" customFormat="1" x14ac:dyDescent="0.2">
      <c r="B66" s="39" t="str">
        <f t="array" ref="B66">IFERROR(INDEX(RecipientList,MATCH(0,COUNTIF(RecipientList,"&lt;"&amp;RecipientList)-SUM(COUNTIF(RecipientList,B$54:B65)),0)),"")</f>
        <v/>
      </c>
      <c r="C66" s="44" t="str">
        <f t="shared" si="6"/>
        <v/>
      </c>
      <c r="D66" s="44" t="str">
        <f>IF(SUMIF('Detailed Budget'!$M$5:$M$1005,$C66,'Detailed Budget'!$AA$5:$AA$1005)&gt;0,SUMIF('Detailed Budget'!$M$5:$M$1005,$C66,'Detailed Budget'!$AA$5:$AA$1005),"")</f>
        <v/>
      </c>
      <c r="E66" s="44" t="str">
        <f>IF(SUMIF('Detailed Budget'!$M$5:$M$1005,$C66,'Detailed Budget'!$AC$5:$AC$1005)&gt;0,SUMIF('Detailed Budget'!$M$5:$M$1005,$C66,'Detailed Budget'!$AC$5:$AC$1005),"")</f>
        <v/>
      </c>
      <c r="F66" s="44" t="str">
        <f>IF(SUMIF('Detailed Budget'!$M$5:$M$1005,$C66,'Detailed Budget'!$AE$5:$AE$1005)&gt;0,SUMIF('Detailed Budget'!$M$5:$M$1005,$C66,'Detailed Budget'!$AE$5:$AE$1005),"")</f>
        <v/>
      </c>
      <c r="G66" s="44" t="str">
        <f>IF(SUMIF('Detailed Budget'!$M$5:$M$1005,$C66,'Detailed Budget'!$AG$5:$AG$1005)&gt;0,SUMIF('Detailed Budget'!$M$5:$M$1005,$C66,'Detailed Budget'!$AG$5:$AG$1005),"")</f>
        <v/>
      </c>
      <c r="H66" s="45" t="str">
        <f>IF(SUMIF('Detailed Budget'!$M$5:$M$1005,$C66,'Detailed Budget'!$AI$5:$AI$1005)&gt;0,SUMIF('Detailed Budget'!$M$5:$M$1005,$C66,'Detailed Budget'!$AI$5:$AI$1005),"")</f>
        <v/>
      </c>
      <c r="I66" s="44" t="str">
        <f>IF(SUMIF('Detailed Budget'!$M$5:$M$1005,$C66,'Detailed Budget'!$AN$5:$AN$1005)&gt;0,SUMIF('Detailed Budget'!$M$5:$M$1005,$C66,'Detailed Budget'!$AN$5:$AN$1005),"")</f>
        <v/>
      </c>
      <c r="J66" s="44" t="str">
        <f>IF(SUMIF('Detailed Budget'!$M$5:$M$1005,$C66,'Detailed Budget'!$AP$5:$AP$1005)&gt;0,SUMIF('Detailed Budget'!$M$5:$M$1005,$C66,'Detailed Budget'!$AP$5:$AP$1005),"")</f>
        <v/>
      </c>
      <c r="K66" s="44" t="str">
        <f>IF(SUMIF('Detailed Budget'!$M$5:$M$1005,$C66,'Detailed Budget'!$AR$5:$AR$1005)&gt;0,SUMIF('Detailed Budget'!$M$5:$M$1005,$C66,'Detailed Budget'!$AR$5:$AR$1005),"")</f>
        <v/>
      </c>
      <c r="L66" s="44" t="str">
        <f>IF(SUMIF('Detailed Budget'!$M$5:$M$1005,$C66,'Detailed Budget'!$AT$5:$AT$1005)&gt;0,SUMIF('Detailed Budget'!$M$5:$M$1005,$C66,'Detailed Budget'!$AT$5:$AT$1005),"")</f>
        <v/>
      </c>
      <c r="M66" s="45" t="str">
        <f>IF(SUMIF('Detailed Budget'!$M$5:$M$1005,$C66,'Detailed Budget'!$AV$5:$AV$1005)&gt;0,SUMIF('Detailed Budget'!$M$5:$M$1005,$C66,'Detailed Budget'!$AV$5:$AV$1005),"")</f>
        <v/>
      </c>
      <c r="N66" s="44" t="str">
        <f>IF(SUMIF('Detailed Budget'!$M$5:$M$1005,$C66,'Detailed Budget'!$BA$5:$BA$1005)&gt;0,SUMIF('Detailed Budget'!$M$5:$M$1005,$C66,'Detailed Budget'!$BA$5:$BA$1005),"")</f>
        <v/>
      </c>
      <c r="O66" s="44" t="str">
        <f>IF(SUMIF('Detailed Budget'!$M$5:$M$1005,$C66,'Detailed Budget'!$BC$5:$BC$1005)&gt;0,SUMIF('Detailed Budget'!$M$5:$M$1005,$C66,'Detailed Budget'!$BC$5:$BC$1005),"")</f>
        <v/>
      </c>
      <c r="P66" s="44" t="str">
        <f>IF(SUMIF('Detailed Budget'!$M$5:$M$1005,$C66,'Detailed Budget'!$BE$5:$BE$1005)&gt;0,SUMIF('Detailed Budget'!$M$5:$M$1005,$C66,'Detailed Budget'!$BE$5:$BE$1005),"")</f>
        <v/>
      </c>
      <c r="Q66" s="44" t="str">
        <f>IF(SUMIF('Detailed Budget'!$M$5:$M$1005,$C66,'Detailed Budget'!$BG$5:$BG$1005)&gt;0,SUMIF('Detailed Budget'!$M$5:$M$1005,$C66,'Detailed Budget'!$BG$5:$BG$1005),"")</f>
        <v/>
      </c>
      <c r="R66" s="45" t="str">
        <f>IF(SUMIF('Detailed Budget'!$M$5:$M$1005,$C66,'Detailed Budget'!$BI$5:$BI$1005)&gt;0,SUMIF('Detailed Budget'!$M$5:$M$1005,$C66,'Detailed Budget'!$BI$5:$BI$1005),"")</f>
        <v/>
      </c>
      <c r="S66" s="44" t="str">
        <f>IF(SUMIF('Detailed Budget'!$M$5:$M$1005,$C66,'Detailed Budget'!$BN$5:$BN$1005)&gt;0,SUMIF('Detailed Budget'!$M$5:$M$1005,$C66,'Detailed Budget'!$BN$5:$BN$1005),"")</f>
        <v/>
      </c>
      <c r="T66" s="44" t="str">
        <f>IF(SUMIF('Detailed Budget'!$M$5:$M$1005,$C66,'Detailed Budget'!$BP$5:$BP$1005)&gt;0,SUMIF('Detailed Budget'!$M$5:$M$1005,$C66,'Detailed Budget'!$BP$5:$BP$1005),"")</f>
        <v/>
      </c>
      <c r="U66" s="44" t="str">
        <f>IF(SUMIF('Detailed Budget'!$M$5:$M$1005,$C66,'Detailed Budget'!$BR$5:$BR$1005)&gt;0,SUMIF('Detailed Budget'!$M$5:$M$1005,$C66,'Detailed Budget'!$BR$5:$BR$1005),"")</f>
        <v/>
      </c>
      <c r="V66" s="44" t="str">
        <f>IF(SUMIF('Detailed Budget'!$M$5:$M$1005,$C66,'Detailed Budget'!$BT$5:$BT$1005)&gt;0,SUMIF('Detailed Budget'!$M$5:$M$1005,$C66,'Detailed Budget'!$BT$5:$BT$1005),"")</f>
        <v/>
      </c>
      <c r="W66" s="45" t="str">
        <f>IF(SUMIF('Detailed Budget'!$M$5:$M$1005,$C66,'Detailed Budget'!$BV$5:$BV$1005)&gt;0,SUMIF('Detailed Budget'!$M$5:$M$1005,$C66,'Detailed Budget'!$BV$5:$BV$1005),"")</f>
        <v/>
      </c>
      <c r="X66" s="44" t="str">
        <f t="shared" si="7"/>
        <v/>
      </c>
      <c r="Y66" s="122" t="str">
        <f t="shared" si="8"/>
        <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row>
    <row r="67" spans="2:49" s="35" customFormat="1" x14ac:dyDescent="0.2">
      <c r="B67" s="39" t="str">
        <f t="array" ref="B67">IFERROR(INDEX(RecipientList,MATCH(0,COUNTIF(RecipientList,"&lt;"&amp;RecipientList)-SUM(COUNTIF(RecipientList,B$54:B66)),0)),"")</f>
        <v/>
      </c>
      <c r="C67" s="44" t="str">
        <f t="shared" si="6"/>
        <v/>
      </c>
      <c r="D67" s="44" t="str">
        <f>IF(SUMIF('Detailed Budget'!$M$5:$M$1005,$C67,'Detailed Budget'!$AA$5:$AA$1005)&gt;0,SUMIF('Detailed Budget'!$M$5:$M$1005,$C67,'Detailed Budget'!$AA$5:$AA$1005),"")</f>
        <v/>
      </c>
      <c r="E67" s="44" t="str">
        <f>IF(SUMIF('Detailed Budget'!$M$5:$M$1005,$C67,'Detailed Budget'!$AC$5:$AC$1005)&gt;0,SUMIF('Detailed Budget'!$M$5:$M$1005,$C67,'Detailed Budget'!$AC$5:$AC$1005),"")</f>
        <v/>
      </c>
      <c r="F67" s="44" t="str">
        <f>IF(SUMIF('Detailed Budget'!$M$5:$M$1005,$C67,'Detailed Budget'!$AE$5:$AE$1005)&gt;0,SUMIF('Detailed Budget'!$M$5:$M$1005,$C67,'Detailed Budget'!$AE$5:$AE$1005),"")</f>
        <v/>
      </c>
      <c r="G67" s="44" t="str">
        <f>IF(SUMIF('Detailed Budget'!$M$5:$M$1005,$C67,'Detailed Budget'!$AG$5:$AG$1005)&gt;0,SUMIF('Detailed Budget'!$M$5:$M$1005,$C67,'Detailed Budget'!$AG$5:$AG$1005),"")</f>
        <v/>
      </c>
      <c r="H67" s="45" t="str">
        <f>IF(SUMIF('Detailed Budget'!$M$5:$M$1005,$C67,'Detailed Budget'!$AI$5:$AI$1005)&gt;0,SUMIF('Detailed Budget'!$M$5:$M$1005,$C67,'Detailed Budget'!$AI$5:$AI$1005),"")</f>
        <v/>
      </c>
      <c r="I67" s="44" t="str">
        <f>IF(SUMIF('Detailed Budget'!$M$5:$M$1005,$C67,'Detailed Budget'!$AN$5:$AN$1005)&gt;0,SUMIF('Detailed Budget'!$M$5:$M$1005,$C67,'Detailed Budget'!$AN$5:$AN$1005),"")</f>
        <v/>
      </c>
      <c r="J67" s="44" t="str">
        <f>IF(SUMIF('Detailed Budget'!$M$5:$M$1005,$C67,'Detailed Budget'!$AP$5:$AP$1005)&gt;0,SUMIF('Detailed Budget'!$M$5:$M$1005,$C67,'Detailed Budget'!$AP$5:$AP$1005),"")</f>
        <v/>
      </c>
      <c r="K67" s="44" t="str">
        <f>IF(SUMIF('Detailed Budget'!$M$5:$M$1005,$C67,'Detailed Budget'!$AR$5:$AR$1005)&gt;0,SUMIF('Detailed Budget'!$M$5:$M$1005,$C67,'Detailed Budget'!$AR$5:$AR$1005),"")</f>
        <v/>
      </c>
      <c r="L67" s="44" t="str">
        <f>IF(SUMIF('Detailed Budget'!$M$5:$M$1005,$C67,'Detailed Budget'!$AT$5:$AT$1005)&gt;0,SUMIF('Detailed Budget'!$M$5:$M$1005,$C67,'Detailed Budget'!$AT$5:$AT$1005),"")</f>
        <v/>
      </c>
      <c r="M67" s="45" t="str">
        <f>IF(SUMIF('Detailed Budget'!$M$5:$M$1005,$C67,'Detailed Budget'!$AV$5:$AV$1005)&gt;0,SUMIF('Detailed Budget'!$M$5:$M$1005,$C67,'Detailed Budget'!$AV$5:$AV$1005),"")</f>
        <v/>
      </c>
      <c r="N67" s="44" t="str">
        <f>IF(SUMIF('Detailed Budget'!$M$5:$M$1005,$C67,'Detailed Budget'!$BA$5:$BA$1005)&gt;0,SUMIF('Detailed Budget'!$M$5:$M$1005,$C67,'Detailed Budget'!$BA$5:$BA$1005),"")</f>
        <v/>
      </c>
      <c r="O67" s="44" t="str">
        <f>IF(SUMIF('Detailed Budget'!$M$5:$M$1005,$C67,'Detailed Budget'!$BC$5:$BC$1005)&gt;0,SUMIF('Detailed Budget'!$M$5:$M$1005,$C67,'Detailed Budget'!$BC$5:$BC$1005),"")</f>
        <v/>
      </c>
      <c r="P67" s="44" t="str">
        <f>IF(SUMIF('Detailed Budget'!$M$5:$M$1005,$C67,'Detailed Budget'!$BE$5:$BE$1005)&gt;0,SUMIF('Detailed Budget'!$M$5:$M$1005,$C67,'Detailed Budget'!$BE$5:$BE$1005),"")</f>
        <v/>
      </c>
      <c r="Q67" s="44" t="str">
        <f>IF(SUMIF('Detailed Budget'!$M$5:$M$1005,$C67,'Detailed Budget'!$BG$5:$BG$1005)&gt;0,SUMIF('Detailed Budget'!$M$5:$M$1005,$C67,'Detailed Budget'!$BG$5:$BG$1005),"")</f>
        <v/>
      </c>
      <c r="R67" s="45" t="str">
        <f>IF(SUMIF('Detailed Budget'!$M$5:$M$1005,$C67,'Detailed Budget'!$BI$5:$BI$1005)&gt;0,SUMIF('Detailed Budget'!$M$5:$M$1005,$C67,'Detailed Budget'!$BI$5:$BI$1005),"")</f>
        <v/>
      </c>
      <c r="S67" s="44" t="str">
        <f>IF(SUMIF('Detailed Budget'!$M$5:$M$1005,$C67,'Detailed Budget'!$BN$5:$BN$1005)&gt;0,SUMIF('Detailed Budget'!$M$5:$M$1005,$C67,'Detailed Budget'!$BN$5:$BN$1005),"")</f>
        <v/>
      </c>
      <c r="T67" s="44" t="str">
        <f>IF(SUMIF('Detailed Budget'!$M$5:$M$1005,$C67,'Detailed Budget'!$BP$5:$BP$1005)&gt;0,SUMIF('Detailed Budget'!$M$5:$M$1005,$C67,'Detailed Budget'!$BP$5:$BP$1005),"")</f>
        <v/>
      </c>
      <c r="U67" s="44" t="str">
        <f>IF(SUMIF('Detailed Budget'!$M$5:$M$1005,$C67,'Detailed Budget'!$BR$5:$BR$1005)&gt;0,SUMIF('Detailed Budget'!$M$5:$M$1005,$C67,'Detailed Budget'!$BR$5:$BR$1005),"")</f>
        <v/>
      </c>
      <c r="V67" s="44" t="str">
        <f>IF(SUMIF('Detailed Budget'!$M$5:$M$1005,$C67,'Detailed Budget'!$BT$5:$BT$1005)&gt;0,SUMIF('Detailed Budget'!$M$5:$M$1005,$C67,'Detailed Budget'!$BT$5:$BT$1005),"")</f>
        <v/>
      </c>
      <c r="W67" s="45" t="str">
        <f>IF(SUMIF('Detailed Budget'!$M$5:$M$1005,$C67,'Detailed Budget'!$BV$5:$BV$1005)&gt;0,SUMIF('Detailed Budget'!$M$5:$M$1005,$C67,'Detailed Budget'!$BV$5:$BV$1005),"")</f>
        <v/>
      </c>
      <c r="X67" s="44" t="str">
        <f t="shared" si="7"/>
        <v/>
      </c>
      <c r="Y67" s="122" t="str">
        <f t="shared" si="8"/>
        <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row>
    <row r="68" spans="2:49" s="35" customFormat="1" x14ac:dyDescent="0.2">
      <c r="B68" s="39" t="str">
        <f t="array" ref="B68">IFERROR(INDEX(RecipientList,MATCH(0,COUNTIF(RecipientList,"&lt;"&amp;RecipientList)-SUM(COUNTIF(RecipientList,B$54:B67)),0)),"")</f>
        <v/>
      </c>
      <c r="C68" s="44" t="str">
        <f t="shared" si="6"/>
        <v/>
      </c>
      <c r="D68" s="44" t="str">
        <f>IF(SUMIF('Detailed Budget'!$M$5:$M$1005,$C68,'Detailed Budget'!$AA$5:$AA$1005)&gt;0,SUMIF('Detailed Budget'!$M$5:$M$1005,$C68,'Detailed Budget'!$AA$5:$AA$1005),"")</f>
        <v/>
      </c>
      <c r="E68" s="44" t="str">
        <f>IF(SUMIF('Detailed Budget'!$M$5:$M$1005,$C68,'Detailed Budget'!$AC$5:$AC$1005)&gt;0,SUMIF('Detailed Budget'!$M$5:$M$1005,$C68,'Detailed Budget'!$AC$5:$AC$1005),"")</f>
        <v/>
      </c>
      <c r="F68" s="44" t="str">
        <f>IF(SUMIF('Detailed Budget'!$M$5:$M$1005,$C68,'Detailed Budget'!$AE$5:$AE$1005)&gt;0,SUMIF('Detailed Budget'!$M$5:$M$1005,$C68,'Detailed Budget'!$AE$5:$AE$1005),"")</f>
        <v/>
      </c>
      <c r="G68" s="44" t="str">
        <f>IF(SUMIF('Detailed Budget'!$M$5:$M$1005,$C68,'Detailed Budget'!$AG$5:$AG$1005)&gt;0,SUMIF('Detailed Budget'!$M$5:$M$1005,$C68,'Detailed Budget'!$AG$5:$AG$1005),"")</f>
        <v/>
      </c>
      <c r="H68" s="45" t="str">
        <f>IF(SUMIF('Detailed Budget'!$M$5:$M$1005,$C68,'Detailed Budget'!$AI$5:$AI$1005)&gt;0,SUMIF('Detailed Budget'!$M$5:$M$1005,$C68,'Detailed Budget'!$AI$5:$AI$1005),"")</f>
        <v/>
      </c>
      <c r="I68" s="44" t="str">
        <f>IF(SUMIF('Detailed Budget'!$M$5:$M$1005,$C68,'Detailed Budget'!$AN$5:$AN$1005)&gt;0,SUMIF('Detailed Budget'!$M$5:$M$1005,$C68,'Detailed Budget'!$AN$5:$AN$1005),"")</f>
        <v/>
      </c>
      <c r="J68" s="44" t="str">
        <f>IF(SUMIF('Detailed Budget'!$M$5:$M$1005,$C68,'Detailed Budget'!$AP$5:$AP$1005)&gt;0,SUMIF('Detailed Budget'!$M$5:$M$1005,$C68,'Detailed Budget'!$AP$5:$AP$1005),"")</f>
        <v/>
      </c>
      <c r="K68" s="44" t="str">
        <f>IF(SUMIF('Detailed Budget'!$M$5:$M$1005,$C68,'Detailed Budget'!$AR$5:$AR$1005)&gt;0,SUMIF('Detailed Budget'!$M$5:$M$1005,$C68,'Detailed Budget'!$AR$5:$AR$1005),"")</f>
        <v/>
      </c>
      <c r="L68" s="44" t="str">
        <f>IF(SUMIF('Detailed Budget'!$M$5:$M$1005,$C68,'Detailed Budget'!$AT$5:$AT$1005)&gt;0,SUMIF('Detailed Budget'!$M$5:$M$1005,$C68,'Detailed Budget'!$AT$5:$AT$1005),"")</f>
        <v/>
      </c>
      <c r="M68" s="45" t="str">
        <f>IF(SUMIF('Detailed Budget'!$M$5:$M$1005,$C68,'Detailed Budget'!$AV$5:$AV$1005)&gt;0,SUMIF('Detailed Budget'!$M$5:$M$1005,$C68,'Detailed Budget'!$AV$5:$AV$1005),"")</f>
        <v/>
      </c>
      <c r="N68" s="44" t="str">
        <f>IF(SUMIF('Detailed Budget'!$M$5:$M$1005,$C68,'Detailed Budget'!$BA$5:$BA$1005)&gt;0,SUMIF('Detailed Budget'!$M$5:$M$1005,$C68,'Detailed Budget'!$BA$5:$BA$1005),"")</f>
        <v/>
      </c>
      <c r="O68" s="44" t="str">
        <f>IF(SUMIF('Detailed Budget'!$M$5:$M$1005,$C68,'Detailed Budget'!$BC$5:$BC$1005)&gt;0,SUMIF('Detailed Budget'!$M$5:$M$1005,$C68,'Detailed Budget'!$BC$5:$BC$1005),"")</f>
        <v/>
      </c>
      <c r="P68" s="44" t="str">
        <f>IF(SUMIF('Detailed Budget'!$M$5:$M$1005,$C68,'Detailed Budget'!$BE$5:$BE$1005)&gt;0,SUMIF('Detailed Budget'!$M$5:$M$1005,$C68,'Detailed Budget'!$BE$5:$BE$1005),"")</f>
        <v/>
      </c>
      <c r="Q68" s="44" t="str">
        <f>IF(SUMIF('Detailed Budget'!$M$5:$M$1005,$C68,'Detailed Budget'!$BG$5:$BG$1005)&gt;0,SUMIF('Detailed Budget'!$M$5:$M$1005,$C68,'Detailed Budget'!$BG$5:$BG$1005),"")</f>
        <v/>
      </c>
      <c r="R68" s="45" t="str">
        <f>IF(SUMIF('Detailed Budget'!$M$5:$M$1005,$C68,'Detailed Budget'!$BI$5:$BI$1005)&gt;0,SUMIF('Detailed Budget'!$M$5:$M$1005,$C68,'Detailed Budget'!$BI$5:$BI$1005),"")</f>
        <v/>
      </c>
      <c r="S68" s="44" t="str">
        <f>IF(SUMIF('Detailed Budget'!$M$5:$M$1005,$C68,'Detailed Budget'!$BN$5:$BN$1005)&gt;0,SUMIF('Detailed Budget'!$M$5:$M$1005,$C68,'Detailed Budget'!$BN$5:$BN$1005),"")</f>
        <v/>
      </c>
      <c r="T68" s="44" t="str">
        <f>IF(SUMIF('Detailed Budget'!$M$5:$M$1005,$C68,'Detailed Budget'!$BP$5:$BP$1005)&gt;0,SUMIF('Detailed Budget'!$M$5:$M$1005,$C68,'Detailed Budget'!$BP$5:$BP$1005),"")</f>
        <v/>
      </c>
      <c r="U68" s="44" t="str">
        <f>IF(SUMIF('Detailed Budget'!$M$5:$M$1005,$C68,'Detailed Budget'!$BR$5:$BR$1005)&gt;0,SUMIF('Detailed Budget'!$M$5:$M$1005,$C68,'Detailed Budget'!$BR$5:$BR$1005),"")</f>
        <v/>
      </c>
      <c r="V68" s="44" t="str">
        <f>IF(SUMIF('Detailed Budget'!$M$5:$M$1005,$C68,'Detailed Budget'!$BT$5:$BT$1005)&gt;0,SUMIF('Detailed Budget'!$M$5:$M$1005,$C68,'Detailed Budget'!$BT$5:$BT$1005),"")</f>
        <v/>
      </c>
      <c r="W68" s="45" t="str">
        <f>IF(SUMIF('Detailed Budget'!$M$5:$M$1005,$C68,'Detailed Budget'!$BV$5:$BV$1005)&gt;0,SUMIF('Detailed Budget'!$M$5:$M$1005,$C68,'Detailed Budget'!$BV$5:$BV$1005),"")</f>
        <v/>
      </c>
      <c r="X68" s="44" t="str">
        <f t="shared" si="7"/>
        <v/>
      </c>
      <c r="Y68" s="122" t="str">
        <f t="shared" si="8"/>
        <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row>
    <row r="69" spans="2:49" s="35" customFormat="1" x14ac:dyDescent="0.2">
      <c r="B69" s="39" t="str">
        <f t="array" ref="B69">IFERROR(INDEX(RecipientList,MATCH(0,COUNTIF(RecipientList,"&lt;"&amp;RecipientList)-SUM(COUNTIF(RecipientList,B$54:B68)),0)),"")</f>
        <v/>
      </c>
      <c r="C69" s="44" t="str">
        <f t="shared" si="6"/>
        <v/>
      </c>
      <c r="D69" s="44" t="str">
        <f>IF(SUMIF('Detailed Budget'!$M$5:$M$1005,$C69,'Detailed Budget'!$AA$5:$AA$1005)&gt;0,SUMIF('Detailed Budget'!$M$5:$M$1005,$C69,'Detailed Budget'!$AA$5:$AA$1005),"")</f>
        <v/>
      </c>
      <c r="E69" s="44" t="str">
        <f>IF(SUMIF('Detailed Budget'!$M$5:$M$1005,$C69,'Detailed Budget'!$AC$5:$AC$1005)&gt;0,SUMIF('Detailed Budget'!$M$5:$M$1005,$C69,'Detailed Budget'!$AC$5:$AC$1005),"")</f>
        <v/>
      </c>
      <c r="F69" s="44" t="str">
        <f>IF(SUMIF('Detailed Budget'!$M$5:$M$1005,$C69,'Detailed Budget'!$AE$5:$AE$1005)&gt;0,SUMIF('Detailed Budget'!$M$5:$M$1005,$C69,'Detailed Budget'!$AE$5:$AE$1005),"")</f>
        <v/>
      </c>
      <c r="G69" s="44" t="str">
        <f>IF(SUMIF('Detailed Budget'!$M$5:$M$1005,$C69,'Detailed Budget'!$AG$5:$AG$1005)&gt;0,SUMIF('Detailed Budget'!$M$5:$M$1005,$C69,'Detailed Budget'!$AG$5:$AG$1005),"")</f>
        <v/>
      </c>
      <c r="H69" s="45" t="str">
        <f>IF(SUMIF('Detailed Budget'!$M$5:$M$1005,$C69,'Detailed Budget'!$AI$5:$AI$1005)&gt;0,SUMIF('Detailed Budget'!$M$5:$M$1005,$C69,'Detailed Budget'!$AI$5:$AI$1005),"")</f>
        <v/>
      </c>
      <c r="I69" s="44" t="str">
        <f>IF(SUMIF('Detailed Budget'!$M$5:$M$1005,$C69,'Detailed Budget'!$AN$5:$AN$1005)&gt;0,SUMIF('Detailed Budget'!$M$5:$M$1005,$C69,'Detailed Budget'!$AN$5:$AN$1005),"")</f>
        <v/>
      </c>
      <c r="J69" s="44" t="str">
        <f>IF(SUMIF('Detailed Budget'!$M$5:$M$1005,$C69,'Detailed Budget'!$AP$5:$AP$1005)&gt;0,SUMIF('Detailed Budget'!$M$5:$M$1005,$C69,'Detailed Budget'!$AP$5:$AP$1005),"")</f>
        <v/>
      </c>
      <c r="K69" s="44" t="str">
        <f>IF(SUMIF('Detailed Budget'!$M$5:$M$1005,$C69,'Detailed Budget'!$AR$5:$AR$1005)&gt;0,SUMIF('Detailed Budget'!$M$5:$M$1005,$C69,'Detailed Budget'!$AR$5:$AR$1005),"")</f>
        <v/>
      </c>
      <c r="L69" s="44" t="str">
        <f>IF(SUMIF('Detailed Budget'!$M$5:$M$1005,$C69,'Detailed Budget'!$AT$5:$AT$1005)&gt;0,SUMIF('Detailed Budget'!$M$5:$M$1005,$C69,'Detailed Budget'!$AT$5:$AT$1005),"")</f>
        <v/>
      </c>
      <c r="M69" s="45" t="str">
        <f>IF(SUMIF('Detailed Budget'!$M$5:$M$1005,$C69,'Detailed Budget'!$AV$5:$AV$1005)&gt;0,SUMIF('Detailed Budget'!$M$5:$M$1005,$C69,'Detailed Budget'!$AV$5:$AV$1005),"")</f>
        <v/>
      </c>
      <c r="N69" s="44" t="str">
        <f>IF(SUMIF('Detailed Budget'!$M$5:$M$1005,$C69,'Detailed Budget'!$BA$5:$BA$1005)&gt;0,SUMIF('Detailed Budget'!$M$5:$M$1005,$C69,'Detailed Budget'!$BA$5:$BA$1005),"")</f>
        <v/>
      </c>
      <c r="O69" s="44" t="str">
        <f>IF(SUMIF('Detailed Budget'!$M$5:$M$1005,$C69,'Detailed Budget'!$BC$5:$BC$1005)&gt;0,SUMIF('Detailed Budget'!$M$5:$M$1005,$C69,'Detailed Budget'!$BC$5:$BC$1005),"")</f>
        <v/>
      </c>
      <c r="P69" s="44" t="str">
        <f>IF(SUMIF('Detailed Budget'!$M$5:$M$1005,$C69,'Detailed Budget'!$BE$5:$BE$1005)&gt;0,SUMIF('Detailed Budget'!$M$5:$M$1005,$C69,'Detailed Budget'!$BE$5:$BE$1005),"")</f>
        <v/>
      </c>
      <c r="Q69" s="44" t="str">
        <f>IF(SUMIF('Detailed Budget'!$M$5:$M$1005,$C69,'Detailed Budget'!$BG$5:$BG$1005)&gt;0,SUMIF('Detailed Budget'!$M$5:$M$1005,$C69,'Detailed Budget'!$BG$5:$BG$1005),"")</f>
        <v/>
      </c>
      <c r="R69" s="45" t="str">
        <f>IF(SUMIF('Detailed Budget'!$M$5:$M$1005,$C69,'Detailed Budget'!$BI$5:$BI$1005)&gt;0,SUMIF('Detailed Budget'!$M$5:$M$1005,$C69,'Detailed Budget'!$BI$5:$BI$1005),"")</f>
        <v/>
      </c>
      <c r="S69" s="44" t="str">
        <f>IF(SUMIF('Detailed Budget'!$M$5:$M$1005,$C69,'Detailed Budget'!$BN$5:$BN$1005)&gt;0,SUMIF('Detailed Budget'!$M$5:$M$1005,$C69,'Detailed Budget'!$BN$5:$BN$1005),"")</f>
        <v/>
      </c>
      <c r="T69" s="44" t="str">
        <f>IF(SUMIF('Detailed Budget'!$M$5:$M$1005,$C69,'Detailed Budget'!$BP$5:$BP$1005)&gt;0,SUMIF('Detailed Budget'!$M$5:$M$1005,$C69,'Detailed Budget'!$BP$5:$BP$1005),"")</f>
        <v/>
      </c>
      <c r="U69" s="44" t="str">
        <f>IF(SUMIF('Detailed Budget'!$M$5:$M$1005,$C69,'Detailed Budget'!$BR$5:$BR$1005)&gt;0,SUMIF('Detailed Budget'!$M$5:$M$1005,$C69,'Detailed Budget'!$BR$5:$BR$1005),"")</f>
        <v/>
      </c>
      <c r="V69" s="44" t="str">
        <f>IF(SUMIF('Detailed Budget'!$M$5:$M$1005,$C69,'Detailed Budget'!$BT$5:$BT$1005)&gt;0,SUMIF('Detailed Budget'!$M$5:$M$1005,$C69,'Detailed Budget'!$BT$5:$BT$1005),"")</f>
        <v/>
      </c>
      <c r="W69" s="45" t="str">
        <f>IF(SUMIF('Detailed Budget'!$M$5:$M$1005,$C69,'Detailed Budget'!$BV$5:$BV$1005)&gt;0,SUMIF('Detailed Budget'!$M$5:$M$1005,$C69,'Detailed Budget'!$BV$5:$BV$1005),"")</f>
        <v/>
      </c>
      <c r="X69" s="44" t="str">
        <f t="shared" si="7"/>
        <v/>
      </c>
      <c r="Y69" s="122" t="str">
        <f t="shared" si="8"/>
        <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row>
    <row r="70" spans="2:49" s="35" customFormat="1" x14ac:dyDescent="0.2">
      <c r="B70" s="39" t="str">
        <f t="array" ref="B70">IFERROR(INDEX(RecipientList,MATCH(0,COUNTIF(RecipientList,"&lt;"&amp;RecipientList)-SUM(COUNTIF(RecipientList,B$54:B69)),0)),"")</f>
        <v/>
      </c>
      <c r="C70" s="44" t="str">
        <f t="shared" si="6"/>
        <v/>
      </c>
      <c r="D70" s="44" t="str">
        <f>IF(SUMIF('Detailed Budget'!$M$5:$M$1005,$C70,'Detailed Budget'!$AA$5:$AA$1005)&gt;0,SUMIF('Detailed Budget'!$M$5:$M$1005,$C70,'Detailed Budget'!$AA$5:$AA$1005),"")</f>
        <v/>
      </c>
      <c r="E70" s="44" t="str">
        <f>IF(SUMIF('Detailed Budget'!$M$5:$M$1005,$C70,'Detailed Budget'!$AC$5:$AC$1005)&gt;0,SUMIF('Detailed Budget'!$M$5:$M$1005,$C70,'Detailed Budget'!$AC$5:$AC$1005),"")</f>
        <v/>
      </c>
      <c r="F70" s="44" t="str">
        <f>IF(SUMIF('Detailed Budget'!$M$5:$M$1005,$C70,'Detailed Budget'!$AE$5:$AE$1005)&gt;0,SUMIF('Detailed Budget'!$M$5:$M$1005,$C70,'Detailed Budget'!$AE$5:$AE$1005),"")</f>
        <v/>
      </c>
      <c r="G70" s="44" t="str">
        <f>IF(SUMIF('Detailed Budget'!$M$5:$M$1005,$C70,'Detailed Budget'!$AG$5:$AG$1005)&gt;0,SUMIF('Detailed Budget'!$M$5:$M$1005,$C70,'Detailed Budget'!$AG$5:$AG$1005),"")</f>
        <v/>
      </c>
      <c r="H70" s="45" t="str">
        <f>IF(SUMIF('Detailed Budget'!$M$5:$M$1005,$C70,'Detailed Budget'!$AI$5:$AI$1005)&gt;0,SUMIF('Detailed Budget'!$M$5:$M$1005,$C70,'Detailed Budget'!$AI$5:$AI$1005),"")</f>
        <v/>
      </c>
      <c r="I70" s="44" t="str">
        <f>IF(SUMIF('Detailed Budget'!$M$5:$M$1005,$C70,'Detailed Budget'!$AN$5:$AN$1005)&gt;0,SUMIF('Detailed Budget'!$M$5:$M$1005,$C70,'Detailed Budget'!$AN$5:$AN$1005),"")</f>
        <v/>
      </c>
      <c r="J70" s="44" t="str">
        <f>IF(SUMIF('Detailed Budget'!$M$5:$M$1005,$C70,'Detailed Budget'!$AP$5:$AP$1005)&gt;0,SUMIF('Detailed Budget'!$M$5:$M$1005,$C70,'Detailed Budget'!$AP$5:$AP$1005),"")</f>
        <v/>
      </c>
      <c r="K70" s="44" t="str">
        <f>IF(SUMIF('Detailed Budget'!$M$5:$M$1005,$C70,'Detailed Budget'!$AR$5:$AR$1005)&gt;0,SUMIF('Detailed Budget'!$M$5:$M$1005,$C70,'Detailed Budget'!$AR$5:$AR$1005),"")</f>
        <v/>
      </c>
      <c r="L70" s="44" t="str">
        <f>IF(SUMIF('Detailed Budget'!$M$5:$M$1005,$C70,'Detailed Budget'!$AT$5:$AT$1005)&gt;0,SUMIF('Detailed Budget'!$M$5:$M$1005,$C70,'Detailed Budget'!$AT$5:$AT$1005),"")</f>
        <v/>
      </c>
      <c r="M70" s="45" t="str">
        <f>IF(SUMIF('Detailed Budget'!$M$5:$M$1005,$C70,'Detailed Budget'!$AV$5:$AV$1005)&gt;0,SUMIF('Detailed Budget'!$M$5:$M$1005,$C70,'Detailed Budget'!$AV$5:$AV$1005),"")</f>
        <v/>
      </c>
      <c r="N70" s="44" t="str">
        <f>IF(SUMIF('Detailed Budget'!$M$5:$M$1005,$C70,'Detailed Budget'!$BA$5:$BA$1005)&gt;0,SUMIF('Detailed Budget'!$M$5:$M$1005,$C70,'Detailed Budget'!$BA$5:$BA$1005),"")</f>
        <v/>
      </c>
      <c r="O70" s="44" t="str">
        <f>IF(SUMIF('Detailed Budget'!$M$5:$M$1005,$C70,'Detailed Budget'!$BC$5:$BC$1005)&gt;0,SUMIF('Detailed Budget'!$M$5:$M$1005,$C70,'Detailed Budget'!$BC$5:$BC$1005),"")</f>
        <v/>
      </c>
      <c r="P70" s="44" t="str">
        <f>IF(SUMIF('Detailed Budget'!$M$5:$M$1005,$C70,'Detailed Budget'!$BE$5:$BE$1005)&gt;0,SUMIF('Detailed Budget'!$M$5:$M$1005,$C70,'Detailed Budget'!$BE$5:$BE$1005),"")</f>
        <v/>
      </c>
      <c r="Q70" s="44" t="str">
        <f>IF(SUMIF('Detailed Budget'!$M$5:$M$1005,$C70,'Detailed Budget'!$BG$5:$BG$1005)&gt;0,SUMIF('Detailed Budget'!$M$5:$M$1005,$C70,'Detailed Budget'!$BG$5:$BG$1005),"")</f>
        <v/>
      </c>
      <c r="R70" s="45" t="str">
        <f>IF(SUMIF('Detailed Budget'!$M$5:$M$1005,$C70,'Detailed Budget'!$BI$5:$BI$1005)&gt;0,SUMIF('Detailed Budget'!$M$5:$M$1005,$C70,'Detailed Budget'!$BI$5:$BI$1005),"")</f>
        <v/>
      </c>
      <c r="S70" s="44" t="str">
        <f>IF(SUMIF('Detailed Budget'!$M$5:$M$1005,$C70,'Detailed Budget'!$BN$5:$BN$1005)&gt;0,SUMIF('Detailed Budget'!$M$5:$M$1005,$C70,'Detailed Budget'!$BN$5:$BN$1005),"")</f>
        <v/>
      </c>
      <c r="T70" s="44" t="str">
        <f>IF(SUMIF('Detailed Budget'!$M$5:$M$1005,$C70,'Detailed Budget'!$BP$5:$BP$1005)&gt;0,SUMIF('Detailed Budget'!$M$5:$M$1005,$C70,'Detailed Budget'!$BP$5:$BP$1005),"")</f>
        <v/>
      </c>
      <c r="U70" s="44" t="str">
        <f>IF(SUMIF('Detailed Budget'!$M$5:$M$1005,$C70,'Detailed Budget'!$BR$5:$BR$1005)&gt;0,SUMIF('Detailed Budget'!$M$5:$M$1005,$C70,'Detailed Budget'!$BR$5:$BR$1005),"")</f>
        <v/>
      </c>
      <c r="V70" s="44" t="str">
        <f>IF(SUMIF('Detailed Budget'!$M$5:$M$1005,$C70,'Detailed Budget'!$BT$5:$BT$1005)&gt;0,SUMIF('Detailed Budget'!$M$5:$M$1005,$C70,'Detailed Budget'!$BT$5:$BT$1005),"")</f>
        <v/>
      </c>
      <c r="W70" s="45" t="str">
        <f>IF(SUMIF('Detailed Budget'!$M$5:$M$1005,$C70,'Detailed Budget'!$BV$5:$BV$1005)&gt;0,SUMIF('Detailed Budget'!$M$5:$M$1005,$C70,'Detailed Budget'!$BV$5:$BV$1005),"")</f>
        <v/>
      </c>
      <c r="X70" s="44" t="str">
        <f t="shared" si="7"/>
        <v/>
      </c>
      <c r="Y70" s="122" t="str">
        <f t="shared" si="8"/>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row>
    <row r="71" spans="2:49" s="35" customFormat="1" x14ac:dyDescent="0.2">
      <c r="B71" s="39" t="str">
        <f t="array" ref="B71">IFERROR(INDEX(RecipientList,MATCH(0,COUNTIF(RecipientList,"&lt;"&amp;RecipientList)-SUM(COUNTIF(RecipientList,B$54:B70)),0)),"")</f>
        <v/>
      </c>
      <c r="C71" s="44" t="str">
        <f t="shared" si="6"/>
        <v/>
      </c>
      <c r="D71" s="44" t="str">
        <f>IF(SUMIF('Detailed Budget'!$M$5:$M$1005,$C71,'Detailed Budget'!$AA$5:$AA$1005)&gt;0,SUMIF('Detailed Budget'!$M$5:$M$1005,$C71,'Detailed Budget'!$AA$5:$AA$1005),"")</f>
        <v/>
      </c>
      <c r="E71" s="44" t="str">
        <f>IF(SUMIF('Detailed Budget'!$M$5:$M$1005,$C71,'Detailed Budget'!$AC$5:$AC$1005)&gt;0,SUMIF('Detailed Budget'!$M$5:$M$1005,$C71,'Detailed Budget'!$AC$5:$AC$1005),"")</f>
        <v/>
      </c>
      <c r="F71" s="44" t="str">
        <f>IF(SUMIF('Detailed Budget'!$M$5:$M$1005,$C71,'Detailed Budget'!$AE$5:$AE$1005)&gt;0,SUMIF('Detailed Budget'!$M$5:$M$1005,$C71,'Detailed Budget'!$AE$5:$AE$1005),"")</f>
        <v/>
      </c>
      <c r="G71" s="44" t="str">
        <f>IF(SUMIF('Detailed Budget'!$M$5:$M$1005,$C71,'Detailed Budget'!$AG$5:$AG$1005)&gt;0,SUMIF('Detailed Budget'!$M$5:$M$1005,$C71,'Detailed Budget'!$AG$5:$AG$1005),"")</f>
        <v/>
      </c>
      <c r="H71" s="45" t="str">
        <f>IF(SUMIF('Detailed Budget'!$M$5:$M$1005,$C71,'Detailed Budget'!$AI$5:$AI$1005)&gt;0,SUMIF('Detailed Budget'!$M$5:$M$1005,$C71,'Detailed Budget'!$AI$5:$AI$1005),"")</f>
        <v/>
      </c>
      <c r="I71" s="44" t="str">
        <f>IF(SUMIF('Detailed Budget'!$M$5:$M$1005,$C71,'Detailed Budget'!$AN$5:$AN$1005)&gt;0,SUMIF('Detailed Budget'!$M$5:$M$1005,$C71,'Detailed Budget'!$AN$5:$AN$1005),"")</f>
        <v/>
      </c>
      <c r="J71" s="44" t="str">
        <f>IF(SUMIF('Detailed Budget'!$M$5:$M$1005,$C71,'Detailed Budget'!$AP$5:$AP$1005)&gt;0,SUMIF('Detailed Budget'!$M$5:$M$1005,$C71,'Detailed Budget'!$AP$5:$AP$1005),"")</f>
        <v/>
      </c>
      <c r="K71" s="44" t="str">
        <f>IF(SUMIF('Detailed Budget'!$M$5:$M$1005,$C71,'Detailed Budget'!$AR$5:$AR$1005)&gt;0,SUMIF('Detailed Budget'!$M$5:$M$1005,$C71,'Detailed Budget'!$AR$5:$AR$1005),"")</f>
        <v/>
      </c>
      <c r="L71" s="44" t="str">
        <f>IF(SUMIF('Detailed Budget'!$M$5:$M$1005,$C71,'Detailed Budget'!$AT$5:$AT$1005)&gt;0,SUMIF('Detailed Budget'!$M$5:$M$1005,$C71,'Detailed Budget'!$AT$5:$AT$1005),"")</f>
        <v/>
      </c>
      <c r="M71" s="45" t="str">
        <f>IF(SUMIF('Detailed Budget'!$M$5:$M$1005,$C71,'Detailed Budget'!$AV$5:$AV$1005)&gt;0,SUMIF('Detailed Budget'!$M$5:$M$1005,$C71,'Detailed Budget'!$AV$5:$AV$1005),"")</f>
        <v/>
      </c>
      <c r="N71" s="44" t="str">
        <f>IF(SUMIF('Detailed Budget'!$M$5:$M$1005,$C71,'Detailed Budget'!$BA$5:$BA$1005)&gt;0,SUMIF('Detailed Budget'!$M$5:$M$1005,$C71,'Detailed Budget'!$BA$5:$BA$1005),"")</f>
        <v/>
      </c>
      <c r="O71" s="44" t="str">
        <f>IF(SUMIF('Detailed Budget'!$M$5:$M$1005,$C71,'Detailed Budget'!$BC$5:$BC$1005)&gt;0,SUMIF('Detailed Budget'!$M$5:$M$1005,$C71,'Detailed Budget'!$BC$5:$BC$1005),"")</f>
        <v/>
      </c>
      <c r="P71" s="44" t="str">
        <f>IF(SUMIF('Detailed Budget'!$M$5:$M$1005,$C71,'Detailed Budget'!$BE$5:$BE$1005)&gt;0,SUMIF('Detailed Budget'!$M$5:$M$1005,$C71,'Detailed Budget'!$BE$5:$BE$1005),"")</f>
        <v/>
      </c>
      <c r="Q71" s="44" t="str">
        <f>IF(SUMIF('Detailed Budget'!$M$5:$M$1005,$C71,'Detailed Budget'!$BG$5:$BG$1005)&gt;0,SUMIF('Detailed Budget'!$M$5:$M$1005,$C71,'Detailed Budget'!$BG$5:$BG$1005),"")</f>
        <v/>
      </c>
      <c r="R71" s="45" t="str">
        <f>IF(SUMIF('Detailed Budget'!$M$5:$M$1005,$C71,'Detailed Budget'!$BI$5:$BI$1005)&gt;0,SUMIF('Detailed Budget'!$M$5:$M$1005,$C71,'Detailed Budget'!$BI$5:$BI$1005),"")</f>
        <v/>
      </c>
      <c r="S71" s="44" t="str">
        <f>IF(SUMIF('Detailed Budget'!$M$5:$M$1005,$C71,'Detailed Budget'!$BN$5:$BN$1005)&gt;0,SUMIF('Detailed Budget'!$M$5:$M$1005,$C71,'Detailed Budget'!$BN$5:$BN$1005),"")</f>
        <v/>
      </c>
      <c r="T71" s="44" t="str">
        <f>IF(SUMIF('Detailed Budget'!$M$5:$M$1005,$C71,'Detailed Budget'!$BP$5:$BP$1005)&gt;0,SUMIF('Detailed Budget'!$M$5:$M$1005,$C71,'Detailed Budget'!$BP$5:$BP$1005),"")</f>
        <v/>
      </c>
      <c r="U71" s="44" t="str">
        <f>IF(SUMIF('Detailed Budget'!$M$5:$M$1005,$C71,'Detailed Budget'!$BR$5:$BR$1005)&gt;0,SUMIF('Detailed Budget'!$M$5:$M$1005,$C71,'Detailed Budget'!$BR$5:$BR$1005),"")</f>
        <v/>
      </c>
      <c r="V71" s="44" t="str">
        <f>IF(SUMIF('Detailed Budget'!$M$5:$M$1005,$C71,'Detailed Budget'!$BT$5:$BT$1005)&gt;0,SUMIF('Detailed Budget'!$M$5:$M$1005,$C71,'Detailed Budget'!$BT$5:$BT$1005),"")</f>
        <v/>
      </c>
      <c r="W71" s="45" t="str">
        <f>IF(SUMIF('Detailed Budget'!$M$5:$M$1005,$C71,'Detailed Budget'!$BV$5:$BV$1005)&gt;0,SUMIF('Detailed Budget'!$M$5:$M$1005,$C71,'Detailed Budget'!$BV$5:$BV$1005),"")</f>
        <v/>
      </c>
      <c r="X71" s="44" t="str">
        <f t="shared" si="7"/>
        <v/>
      </c>
      <c r="Y71" s="122" t="str">
        <f t="shared" si="8"/>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row>
    <row r="72" spans="2:49" s="35" customFormat="1" x14ac:dyDescent="0.2">
      <c r="B72" s="39" t="str">
        <f t="array" ref="B72">IFERROR(INDEX(RecipientList,MATCH(0,COUNTIF(RecipientList,"&lt;"&amp;RecipientList)-SUM(COUNTIF(RecipientList,B$54:B71)),0)),"")</f>
        <v/>
      </c>
      <c r="C72" s="44" t="str">
        <f t="shared" si="6"/>
        <v/>
      </c>
      <c r="D72" s="44" t="str">
        <f>IF(SUMIF('Detailed Budget'!$M$5:$M$1005,$C72,'Detailed Budget'!$AA$5:$AA$1005)&gt;0,SUMIF('Detailed Budget'!$M$5:$M$1005,$C72,'Detailed Budget'!$AA$5:$AA$1005),"")</f>
        <v/>
      </c>
      <c r="E72" s="44" t="str">
        <f>IF(SUMIF('Detailed Budget'!$M$5:$M$1005,$C72,'Detailed Budget'!$AC$5:$AC$1005)&gt;0,SUMIF('Detailed Budget'!$M$5:$M$1005,$C72,'Detailed Budget'!$AC$5:$AC$1005),"")</f>
        <v/>
      </c>
      <c r="F72" s="44" t="str">
        <f>IF(SUMIF('Detailed Budget'!$M$5:$M$1005,$C72,'Detailed Budget'!$AE$5:$AE$1005)&gt;0,SUMIF('Detailed Budget'!$M$5:$M$1005,$C72,'Detailed Budget'!$AE$5:$AE$1005),"")</f>
        <v/>
      </c>
      <c r="G72" s="44" t="str">
        <f>IF(SUMIF('Detailed Budget'!$M$5:$M$1005,$C72,'Detailed Budget'!$AG$5:$AG$1005)&gt;0,SUMIF('Detailed Budget'!$M$5:$M$1005,$C72,'Detailed Budget'!$AG$5:$AG$1005),"")</f>
        <v/>
      </c>
      <c r="H72" s="45" t="str">
        <f>IF(SUMIF('Detailed Budget'!$M$5:$M$1005,$C72,'Detailed Budget'!$AI$5:$AI$1005)&gt;0,SUMIF('Detailed Budget'!$M$5:$M$1005,$C72,'Detailed Budget'!$AI$5:$AI$1005),"")</f>
        <v/>
      </c>
      <c r="I72" s="44" t="str">
        <f>IF(SUMIF('Detailed Budget'!$M$5:$M$1005,$C72,'Detailed Budget'!$AN$5:$AN$1005)&gt;0,SUMIF('Detailed Budget'!$M$5:$M$1005,$C72,'Detailed Budget'!$AN$5:$AN$1005),"")</f>
        <v/>
      </c>
      <c r="J72" s="44" t="str">
        <f>IF(SUMIF('Detailed Budget'!$M$5:$M$1005,$C72,'Detailed Budget'!$AP$5:$AP$1005)&gt;0,SUMIF('Detailed Budget'!$M$5:$M$1005,$C72,'Detailed Budget'!$AP$5:$AP$1005),"")</f>
        <v/>
      </c>
      <c r="K72" s="44" t="str">
        <f>IF(SUMIF('Detailed Budget'!$M$5:$M$1005,$C72,'Detailed Budget'!$AR$5:$AR$1005)&gt;0,SUMIF('Detailed Budget'!$M$5:$M$1005,$C72,'Detailed Budget'!$AR$5:$AR$1005),"")</f>
        <v/>
      </c>
      <c r="L72" s="44" t="str">
        <f>IF(SUMIF('Detailed Budget'!$M$5:$M$1005,$C72,'Detailed Budget'!$AT$5:$AT$1005)&gt;0,SUMIF('Detailed Budget'!$M$5:$M$1005,$C72,'Detailed Budget'!$AT$5:$AT$1005),"")</f>
        <v/>
      </c>
      <c r="M72" s="45" t="str">
        <f>IF(SUMIF('Detailed Budget'!$M$5:$M$1005,$C72,'Detailed Budget'!$AV$5:$AV$1005)&gt;0,SUMIF('Detailed Budget'!$M$5:$M$1005,$C72,'Detailed Budget'!$AV$5:$AV$1005),"")</f>
        <v/>
      </c>
      <c r="N72" s="44" t="str">
        <f>IF(SUMIF('Detailed Budget'!$M$5:$M$1005,$C72,'Detailed Budget'!$BA$5:$BA$1005)&gt;0,SUMIF('Detailed Budget'!$M$5:$M$1005,$C72,'Detailed Budget'!$BA$5:$BA$1005),"")</f>
        <v/>
      </c>
      <c r="O72" s="44" t="str">
        <f>IF(SUMIF('Detailed Budget'!$M$5:$M$1005,$C72,'Detailed Budget'!$BC$5:$BC$1005)&gt;0,SUMIF('Detailed Budget'!$M$5:$M$1005,$C72,'Detailed Budget'!$BC$5:$BC$1005),"")</f>
        <v/>
      </c>
      <c r="P72" s="44" t="str">
        <f>IF(SUMIF('Detailed Budget'!$M$5:$M$1005,$C72,'Detailed Budget'!$BE$5:$BE$1005)&gt;0,SUMIF('Detailed Budget'!$M$5:$M$1005,$C72,'Detailed Budget'!$BE$5:$BE$1005),"")</f>
        <v/>
      </c>
      <c r="Q72" s="44" t="str">
        <f>IF(SUMIF('Detailed Budget'!$M$5:$M$1005,$C72,'Detailed Budget'!$BG$5:$BG$1005)&gt;0,SUMIF('Detailed Budget'!$M$5:$M$1005,$C72,'Detailed Budget'!$BG$5:$BG$1005),"")</f>
        <v/>
      </c>
      <c r="R72" s="45" t="str">
        <f>IF(SUMIF('Detailed Budget'!$M$5:$M$1005,$C72,'Detailed Budget'!$BI$5:$BI$1005)&gt;0,SUMIF('Detailed Budget'!$M$5:$M$1005,$C72,'Detailed Budget'!$BI$5:$BI$1005),"")</f>
        <v/>
      </c>
      <c r="S72" s="44" t="str">
        <f>IF(SUMIF('Detailed Budget'!$M$5:$M$1005,$C72,'Detailed Budget'!$BN$5:$BN$1005)&gt;0,SUMIF('Detailed Budget'!$M$5:$M$1005,$C72,'Detailed Budget'!$BN$5:$BN$1005),"")</f>
        <v/>
      </c>
      <c r="T72" s="44" t="str">
        <f>IF(SUMIF('Detailed Budget'!$M$5:$M$1005,$C72,'Detailed Budget'!$BP$5:$BP$1005)&gt;0,SUMIF('Detailed Budget'!$M$5:$M$1005,$C72,'Detailed Budget'!$BP$5:$BP$1005),"")</f>
        <v/>
      </c>
      <c r="U72" s="44" t="str">
        <f>IF(SUMIF('Detailed Budget'!$M$5:$M$1005,$C72,'Detailed Budget'!$BR$5:$BR$1005)&gt;0,SUMIF('Detailed Budget'!$M$5:$M$1005,$C72,'Detailed Budget'!$BR$5:$BR$1005),"")</f>
        <v/>
      </c>
      <c r="V72" s="44" t="str">
        <f>IF(SUMIF('Detailed Budget'!$M$5:$M$1005,$C72,'Detailed Budget'!$BT$5:$BT$1005)&gt;0,SUMIF('Detailed Budget'!$M$5:$M$1005,$C72,'Detailed Budget'!$BT$5:$BT$1005),"")</f>
        <v/>
      </c>
      <c r="W72" s="45" t="str">
        <f>IF(SUMIF('Detailed Budget'!$M$5:$M$1005,$C72,'Detailed Budget'!$BV$5:$BV$1005)&gt;0,SUMIF('Detailed Budget'!$M$5:$M$1005,$C72,'Detailed Budget'!$BV$5:$BV$1005),"")</f>
        <v/>
      </c>
      <c r="X72" s="44" t="str">
        <f t="shared" si="7"/>
        <v/>
      </c>
      <c r="Y72" s="122" t="str">
        <f t="shared" si="8"/>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row>
    <row r="73" spans="2:49" s="35" customFormat="1" x14ac:dyDescent="0.2">
      <c r="B73" s="39" t="str">
        <f t="array" ref="B73">IFERROR(INDEX(RecipientList,MATCH(0,COUNTIF(RecipientList,"&lt;"&amp;RecipientList)-SUM(COUNTIF(RecipientList,B$54:B72)),0)),"")</f>
        <v/>
      </c>
      <c r="C73" s="44" t="str">
        <f t="shared" si="6"/>
        <v/>
      </c>
      <c r="D73" s="44" t="str">
        <f>IF(SUMIF('Detailed Budget'!$M$5:$M$1005,$C73,'Detailed Budget'!$AA$5:$AA$1005)&gt;0,SUMIF('Detailed Budget'!$M$5:$M$1005,$C73,'Detailed Budget'!$AA$5:$AA$1005),"")</f>
        <v/>
      </c>
      <c r="E73" s="44" t="str">
        <f>IF(SUMIF('Detailed Budget'!$M$5:$M$1005,$C73,'Detailed Budget'!$AC$5:$AC$1005)&gt;0,SUMIF('Detailed Budget'!$M$5:$M$1005,$C73,'Detailed Budget'!$AC$5:$AC$1005),"")</f>
        <v/>
      </c>
      <c r="F73" s="44" t="str">
        <f>IF(SUMIF('Detailed Budget'!$M$5:$M$1005,$C73,'Detailed Budget'!$AE$5:$AE$1005)&gt;0,SUMIF('Detailed Budget'!$M$5:$M$1005,$C73,'Detailed Budget'!$AE$5:$AE$1005),"")</f>
        <v/>
      </c>
      <c r="G73" s="44" t="str">
        <f>IF(SUMIF('Detailed Budget'!$M$5:$M$1005,$C73,'Detailed Budget'!$AG$5:$AG$1005)&gt;0,SUMIF('Detailed Budget'!$M$5:$M$1005,$C73,'Detailed Budget'!$AG$5:$AG$1005),"")</f>
        <v/>
      </c>
      <c r="H73" s="45" t="str">
        <f>IF(SUMIF('Detailed Budget'!$M$5:$M$1005,$C73,'Detailed Budget'!$AI$5:$AI$1005)&gt;0,SUMIF('Detailed Budget'!$M$5:$M$1005,$C73,'Detailed Budget'!$AI$5:$AI$1005),"")</f>
        <v/>
      </c>
      <c r="I73" s="44" t="str">
        <f>IF(SUMIF('Detailed Budget'!$M$5:$M$1005,$C73,'Detailed Budget'!$AN$5:$AN$1005)&gt;0,SUMIF('Detailed Budget'!$M$5:$M$1005,$C73,'Detailed Budget'!$AN$5:$AN$1005),"")</f>
        <v/>
      </c>
      <c r="J73" s="44" t="str">
        <f>IF(SUMIF('Detailed Budget'!$M$5:$M$1005,$C73,'Detailed Budget'!$AP$5:$AP$1005)&gt;0,SUMIF('Detailed Budget'!$M$5:$M$1005,$C73,'Detailed Budget'!$AP$5:$AP$1005),"")</f>
        <v/>
      </c>
      <c r="K73" s="44" t="str">
        <f>IF(SUMIF('Detailed Budget'!$M$5:$M$1005,$C73,'Detailed Budget'!$AR$5:$AR$1005)&gt;0,SUMIF('Detailed Budget'!$M$5:$M$1005,$C73,'Detailed Budget'!$AR$5:$AR$1005),"")</f>
        <v/>
      </c>
      <c r="L73" s="44" t="str">
        <f>IF(SUMIF('Detailed Budget'!$M$5:$M$1005,$C73,'Detailed Budget'!$AT$5:$AT$1005)&gt;0,SUMIF('Detailed Budget'!$M$5:$M$1005,$C73,'Detailed Budget'!$AT$5:$AT$1005),"")</f>
        <v/>
      </c>
      <c r="M73" s="45" t="str">
        <f>IF(SUMIF('Detailed Budget'!$M$5:$M$1005,$C73,'Detailed Budget'!$AV$5:$AV$1005)&gt;0,SUMIF('Detailed Budget'!$M$5:$M$1005,$C73,'Detailed Budget'!$AV$5:$AV$1005),"")</f>
        <v/>
      </c>
      <c r="N73" s="44" t="str">
        <f>IF(SUMIF('Detailed Budget'!$M$5:$M$1005,$C73,'Detailed Budget'!$BA$5:$BA$1005)&gt;0,SUMIF('Detailed Budget'!$M$5:$M$1005,$C73,'Detailed Budget'!$BA$5:$BA$1005),"")</f>
        <v/>
      </c>
      <c r="O73" s="44" t="str">
        <f>IF(SUMIF('Detailed Budget'!$M$5:$M$1005,$C73,'Detailed Budget'!$BC$5:$BC$1005)&gt;0,SUMIF('Detailed Budget'!$M$5:$M$1005,$C73,'Detailed Budget'!$BC$5:$BC$1005),"")</f>
        <v/>
      </c>
      <c r="P73" s="44" t="str">
        <f>IF(SUMIF('Detailed Budget'!$M$5:$M$1005,$C73,'Detailed Budget'!$BE$5:$BE$1005)&gt;0,SUMIF('Detailed Budget'!$M$5:$M$1005,$C73,'Detailed Budget'!$BE$5:$BE$1005),"")</f>
        <v/>
      </c>
      <c r="Q73" s="44" t="str">
        <f>IF(SUMIF('Detailed Budget'!$M$5:$M$1005,$C73,'Detailed Budget'!$BG$5:$BG$1005)&gt;0,SUMIF('Detailed Budget'!$M$5:$M$1005,$C73,'Detailed Budget'!$BG$5:$BG$1005),"")</f>
        <v/>
      </c>
      <c r="R73" s="45" t="str">
        <f>IF(SUMIF('Detailed Budget'!$M$5:$M$1005,$C73,'Detailed Budget'!$BI$5:$BI$1005)&gt;0,SUMIF('Detailed Budget'!$M$5:$M$1005,$C73,'Detailed Budget'!$BI$5:$BI$1005),"")</f>
        <v/>
      </c>
      <c r="S73" s="44" t="str">
        <f>IF(SUMIF('Detailed Budget'!$M$5:$M$1005,$C73,'Detailed Budget'!$BN$5:$BN$1005)&gt;0,SUMIF('Detailed Budget'!$M$5:$M$1005,$C73,'Detailed Budget'!$BN$5:$BN$1005),"")</f>
        <v/>
      </c>
      <c r="T73" s="44" t="str">
        <f>IF(SUMIF('Detailed Budget'!$M$5:$M$1005,$C73,'Detailed Budget'!$BP$5:$BP$1005)&gt;0,SUMIF('Detailed Budget'!$M$5:$M$1005,$C73,'Detailed Budget'!$BP$5:$BP$1005),"")</f>
        <v/>
      </c>
      <c r="U73" s="44" t="str">
        <f>IF(SUMIF('Detailed Budget'!$M$5:$M$1005,$C73,'Detailed Budget'!$BR$5:$BR$1005)&gt;0,SUMIF('Detailed Budget'!$M$5:$M$1005,$C73,'Detailed Budget'!$BR$5:$BR$1005),"")</f>
        <v/>
      </c>
      <c r="V73" s="44" t="str">
        <f>IF(SUMIF('Detailed Budget'!$M$5:$M$1005,$C73,'Detailed Budget'!$BT$5:$BT$1005)&gt;0,SUMIF('Detailed Budget'!$M$5:$M$1005,$C73,'Detailed Budget'!$BT$5:$BT$1005),"")</f>
        <v/>
      </c>
      <c r="W73" s="45" t="str">
        <f>IF(SUMIF('Detailed Budget'!$M$5:$M$1005,$C73,'Detailed Budget'!$BV$5:$BV$1005)&gt;0,SUMIF('Detailed Budget'!$M$5:$M$1005,$C73,'Detailed Budget'!$BV$5:$BV$1005),"")</f>
        <v/>
      </c>
      <c r="X73" s="44" t="str">
        <f t="shared" si="7"/>
        <v/>
      </c>
      <c r="Y73" s="122" t="str">
        <f t="shared" si="8"/>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row>
    <row r="74" spans="2:49" s="35" customFormat="1" x14ac:dyDescent="0.2">
      <c r="B74" s="39" t="str">
        <f t="array" ref="B74">IFERROR(INDEX(RecipientList,MATCH(0,COUNTIF(RecipientList,"&lt;"&amp;RecipientList)-SUM(COUNTIF(RecipientList,B$54:B73)),0)),"")</f>
        <v/>
      </c>
      <c r="C74" s="44" t="str">
        <f t="shared" si="6"/>
        <v/>
      </c>
      <c r="D74" s="44" t="str">
        <f>IF(SUMIF('Detailed Budget'!$M$5:$M$1005,$C74,'Detailed Budget'!$AA$5:$AA$1005)&gt;0,SUMIF('Detailed Budget'!$M$5:$M$1005,$C74,'Detailed Budget'!$AA$5:$AA$1005),"")</f>
        <v/>
      </c>
      <c r="E74" s="44" t="str">
        <f>IF(SUMIF('Detailed Budget'!$M$5:$M$1005,$C74,'Detailed Budget'!$AC$5:$AC$1005)&gt;0,SUMIF('Detailed Budget'!$M$5:$M$1005,$C74,'Detailed Budget'!$AC$5:$AC$1005),"")</f>
        <v/>
      </c>
      <c r="F74" s="44" t="str">
        <f>IF(SUMIF('Detailed Budget'!$M$5:$M$1005,$C74,'Detailed Budget'!$AE$5:$AE$1005)&gt;0,SUMIF('Detailed Budget'!$M$5:$M$1005,$C74,'Detailed Budget'!$AE$5:$AE$1005),"")</f>
        <v/>
      </c>
      <c r="G74" s="44" t="str">
        <f>IF(SUMIF('Detailed Budget'!$M$5:$M$1005,$C74,'Detailed Budget'!$AG$5:$AG$1005)&gt;0,SUMIF('Detailed Budget'!$M$5:$M$1005,$C74,'Detailed Budget'!$AG$5:$AG$1005),"")</f>
        <v/>
      </c>
      <c r="H74" s="45" t="str">
        <f>IF(SUMIF('Detailed Budget'!$M$5:$M$1005,$C74,'Detailed Budget'!$AI$5:$AI$1005)&gt;0,SUMIF('Detailed Budget'!$M$5:$M$1005,$C74,'Detailed Budget'!$AI$5:$AI$1005),"")</f>
        <v/>
      </c>
      <c r="I74" s="44" t="str">
        <f>IF(SUMIF('Detailed Budget'!$M$5:$M$1005,$C74,'Detailed Budget'!$AN$5:$AN$1005)&gt;0,SUMIF('Detailed Budget'!$M$5:$M$1005,$C74,'Detailed Budget'!$AN$5:$AN$1005),"")</f>
        <v/>
      </c>
      <c r="J74" s="44" t="str">
        <f>IF(SUMIF('Detailed Budget'!$M$5:$M$1005,$C74,'Detailed Budget'!$AP$5:$AP$1005)&gt;0,SUMIF('Detailed Budget'!$M$5:$M$1005,$C74,'Detailed Budget'!$AP$5:$AP$1005),"")</f>
        <v/>
      </c>
      <c r="K74" s="44" t="str">
        <f>IF(SUMIF('Detailed Budget'!$M$5:$M$1005,$C74,'Detailed Budget'!$AR$5:$AR$1005)&gt;0,SUMIF('Detailed Budget'!$M$5:$M$1005,$C74,'Detailed Budget'!$AR$5:$AR$1005),"")</f>
        <v/>
      </c>
      <c r="L74" s="44" t="str">
        <f>IF(SUMIF('Detailed Budget'!$M$5:$M$1005,$C74,'Detailed Budget'!$AT$5:$AT$1005)&gt;0,SUMIF('Detailed Budget'!$M$5:$M$1005,$C74,'Detailed Budget'!$AT$5:$AT$1005),"")</f>
        <v/>
      </c>
      <c r="M74" s="45" t="str">
        <f>IF(SUMIF('Detailed Budget'!$M$5:$M$1005,$C74,'Detailed Budget'!$AV$5:$AV$1005)&gt;0,SUMIF('Detailed Budget'!$M$5:$M$1005,$C74,'Detailed Budget'!$AV$5:$AV$1005),"")</f>
        <v/>
      </c>
      <c r="N74" s="44" t="str">
        <f>IF(SUMIF('Detailed Budget'!$M$5:$M$1005,$C74,'Detailed Budget'!$BA$5:$BA$1005)&gt;0,SUMIF('Detailed Budget'!$M$5:$M$1005,$C74,'Detailed Budget'!$BA$5:$BA$1005),"")</f>
        <v/>
      </c>
      <c r="O74" s="44" t="str">
        <f>IF(SUMIF('Detailed Budget'!$M$5:$M$1005,$C74,'Detailed Budget'!$BC$5:$BC$1005)&gt;0,SUMIF('Detailed Budget'!$M$5:$M$1005,$C74,'Detailed Budget'!$BC$5:$BC$1005),"")</f>
        <v/>
      </c>
      <c r="P74" s="44" t="str">
        <f>IF(SUMIF('Detailed Budget'!$M$5:$M$1005,$C74,'Detailed Budget'!$BE$5:$BE$1005)&gt;0,SUMIF('Detailed Budget'!$M$5:$M$1005,$C74,'Detailed Budget'!$BE$5:$BE$1005),"")</f>
        <v/>
      </c>
      <c r="Q74" s="44" t="str">
        <f>IF(SUMIF('Detailed Budget'!$M$5:$M$1005,$C74,'Detailed Budget'!$BG$5:$BG$1005)&gt;0,SUMIF('Detailed Budget'!$M$5:$M$1005,$C74,'Detailed Budget'!$BG$5:$BG$1005),"")</f>
        <v/>
      </c>
      <c r="R74" s="45" t="str">
        <f>IF(SUMIF('Detailed Budget'!$M$5:$M$1005,$C74,'Detailed Budget'!$BI$5:$BI$1005)&gt;0,SUMIF('Detailed Budget'!$M$5:$M$1005,$C74,'Detailed Budget'!$BI$5:$BI$1005),"")</f>
        <v/>
      </c>
      <c r="S74" s="44" t="str">
        <f>IF(SUMIF('Detailed Budget'!$M$5:$M$1005,$C74,'Detailed Budget'!$BN$5:$BN$1005)&gt;0,SUMIF('Detailed Budget'!$M$5:$M$1005,$C74,'Detailed Budget'!$BN$5:$BN$1005),"")</f>
        <v/>
      </c>
      <c r="T74" s="44" t="str">
        <f>IF(SUMIF('Detailed Budget'!$M$5:$M$1005,$C74,'Detailed Budget'!$BP$5:$BP$1005)&gt;0,SUMIF('Detailed Budget'!$M$5:$M$1005,$C74,'Detailed Budget'!$BP$5:$BP$1005),"")</f>
        <v/>
      </c>
      <c r="U74" s="44" t="str">
        <f>IF(SUMIF('Detailed Budget'!$M$5:$M$1005,$C74,'Detailed Budget'!$BR$5:$BR$1005)&gt;0,SUMIF('Detailed Budget'!$M$5:$M$1005,$C74,'Detailed Budget'!$BR$5:$BR$1005),"")</f>
        <v/>
      </c>
      <c r="V74" s="44" t="str">
        <f>IF(SUMIF('Detailed Budget'!$M$5:$M$1005,$C74,'Detailed Budget'!$BT$5:$BT$1005)&gt;0,SUMIF('Detailed Budget'!$M$5:$M$1005,$C74,'Detailed Budget'!$BT$5:$BT$1005),"")</f>
        <v/>
      </c>
      <c r="W74" s="45" t="str">
        <f>IF(SUMIF('Detailed Budget'!$M$5:$M$1005,$C74,'Detailed Budget'!$BV$5:$BV$1005)&gt;0,SUMIF('Detailed Budget'!$M$5:$M$1005,$C74,'Detailed Budget'!$BV$5:$BV$1005),"")</f>
        <v/>
      </c>
      <c r="X74" s="44" t="str">
        <f t="shared" si="7"/>
        <v/>
      </c>
      <c r="Y74" s="122" t="str">
        <f t="shared" si="8"/>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row>
    <row r="75" spans="2:49" s="35" customFormat="1" x14ac:dyDescent="0.2">
      <c r="B75" s="39" t="str">
        <f t="array" ref="B75">IFERROR(INDEX(RecipientList,MATCH(0,COUNTIF(RecipientList,"&lt;"&amp;RecipientList)-SUM(COUNTIF(RecipientList,B$54:B74)),0)),"")</f>
        <v/>
      </c>
      <c r="C75" s="44" t="str">
        <f t="shared" si="6"/>
        <v/>
      </c>
      <c r="D75" s="44" t="str">
        <f>IF(SUMIF('Detailed Budget'!$M$5:$M$1005,$C75,'Detailed Budget'!$AA$5:$AA$1005)&gt;0,SUMIF('Detailed Budget'!$M$5:$M$1005,$C75,'Detailed Budget'!$AA$5:$AA$1005),"")</f>
        <v/>
      </c>
      <c r="E75" s="44" t="str">
        <f>IF(SUMIF('Detailed Budget'!$M$5:$M$1005,$C75,'Detailed Budget'!$AC$5:$AC$1005)&gt;0,SUMIF('Detailed Budget'!$M$5:$M$1005,$C75,'Detailed Budget'!$AC$5:$AC$1005),"")</f>
        <v/>
      </c>
      <c r="F75" s="44" t="str">
        <f>IF(SUMIF('Detailed Budget'!$M$5:$M$1005,$C75,'Detailed Budget'!$AE$5:$AE$1005)&gt;0,SUMIF('Detailed Budget'!$M$5:$M$1005,$C75,'Detailed Budget'!$AE$5:$AE$1005),"")</f>
        <v/>
      </c>
      <c r="G75" s="44" t="str">
        <f>IF(SUMIF('Detailed Budget'!$M$5:$M$1005,$C75,'Detailed Budget'!$AG$5:$AG$1005)&gt;0,SUMIF('Detailed Budget'!$M$5:$M$1005,$C75,'Detailed Budget'!$AG$5:$AG$1005),"")</f>
        <v/>
      </c>
      <c r="H75" s="45" t="str">
        <f>IF(SUMIF('Detailed Budget'!$M$5:$M$1005,$C75,'Detailed Budget'!$AI$5:$AI$1005)&gt;0,SUMIF('Detailed Budget'!$M$5:$M$1005,$C75,'Detailed Budget'!$AI$5:$AI$1005),"")</f>
        <v/>
      </c>
      <c r="I75" s="44" t="str">
        <f>IF(SUMIF('Detailed Budget'!$M$5:$M$1005,$C75,'Detailed Budget'!$AN$5:$AN$1005)&gt;0,SUMIF('Detailed Budget'!$M$5:$M$1005,$C75,'Detailed Budget'!$AN$5:$AN$1005),"")</f>
        <v/>
      </c>
      <c r="J75" s="44" t="str">
        <f>IF(SUMIF('Detailed Budget'!$M$5:$M$1005,$C75,'Detailed Budget'!$AP$5:$AP$1005)&gt;0,SUMIF('Detailed Budget'!$M$5:$M$1005,$C75,'Detailed Budget'!$AP$5:$AP$1005),"")</f>
        <v/>
      </c>
      <c r="K75" s="44" t="str">
        <f>IF(SUMIF('Detailed Budget'!$M$5:$M$1005,$C75,'Detailed Budget'!$AR$5:$AR$1005)&gt;0,SUMIF('Detailed Budget'!$M$5:$M$1005,$C75,'Detailed Budget'!$AR$5:$AR$1005),"")</f>
        <v/>
      </c>
      <c r="L75" s="44" t="str">
        <f>IF(SUMIF('Detailed Budget'!$M$5:$M$1005,$C75,'Detailed Budget'!$AT$5:$AT$1005)&gt;0,SUMIF('Detailed Budget'!$M$5:$M$1005,$C75,'Detailed Budget'!$AT$5:$AT$1005),"")</f>
        <v/>
      </c>
      <c r="M75" s="45" t="str">
        <f>IF(SUMIF('Detailed Budget'!$M$5:$M$1005,$C75,'Detailed Budget'!$AV$5:$AV$1005)&gt;0,SUMIF('Detailed Budget'!$M$5:$M$1005,$C75,'Detailed Budget'!$AV$5:$AV$1005),"")</f>
        <v/>
      </c>
      <c r="N75" s="44" t="str">
        <f>IF(SUMIF('Detailed Budget'!$M$5:$M$1005,$C75,'Detailed Budget'!$BA$5:$BA$1005)&gt;0,SUMIF('Detailed Budget'!$M$5:$M$1005,$C75,'Detailed Budget'!$BA$5:$BA$1005),"")</f>
        <v/>
      </c>
      <c r="O75" s="44" t="str">
        <f>IF(SUMIF('Detailed Budget'!$M$5:$M$1005,$C75,'Detailed Budget'!$BC$5:$BC$1005)&gt;0,SUMIF('Detailed Budget'!$M$5:$M$1005,$C75,'Detailed Budget'!$BC$5:$BC$1005),"")</f>
        <v/>
      </c>
      <c r="P75" s="44" t="str">
        <f>IF(SUMIF('Detailed Budget'!$M$5:$M$1005,$C75,'Detailed Budget'!$BE$5:$BE$1005)&gt;0,SUMIF('Detailed Budget'!$M$5:$M$1005,$C75,'Detailed Budget'!$BE$5:$BE$1005),"")</f>
        <v/>
      </c>
      <c r="Q75" s="44" t="str">
        <f>IF(SUMIF('Detailed Budget'!$M$5:$M$1005,$C75,'Detailed Budget'!$BG$5:$BG$1005)&gt;0,SUMIF('Detailed Budget'!$M$5:$M$1005,$C75,'Detailed Budget'!$BG$5:$BG$1005),"")</f>
        <v/>
      </c>
      <c r="R75" s="45" t="str">
        <f>IF(SUMIF('Detailed Budget'!$M$5:$M$1005,$C75,'Detailed Budget'!$BI$5:$BI$1005)&gt;0,SUMIF('Detailed Budget'!$M$5:$M$1005,$C75,'Detailed Budget'!$BI$5:$BI$1005),"")</f>
        <v/>
      </c>
      <c r="S75" s="44" t="str">
        <f>IF(SUMIF('Detailed Budget'!$M$5:$M$1005,$C75,'Detailed Budget'!$BN$5:$BN$1005)&gt;0,SUMIF('Detailed Budget'!$M$5:$M$1005,$C75,'Detailed Budget'!$BN$5:$BN$1005),"")</f>
        <v/>
      </c>
      <c r="T75" s="44" t="str">
        <f>IF(SUMIF('Detailed Budget'!$M$5:$M$1005,$C75,'Detailed Budget'!$BP$5:$BP$1005)&gt;0,SUMIF('Detailed Budget'!$M$5:$M$1005,$C75,'Detailed Budget'!$BP$5:$BP$1005),"")</f>
        <v/>
      </c>
      <c r="U75" s="44" t="str">
        <f>IF(SUMIF('Detailed Budget'!$M$5:$M$1005,$C75,'Detailed Budget'!$BR$5:$BR$1005)&gt;0,SUMIF('Detailed Budget'!$M$5:$M$1005,$C75,'Detailed Budget'!$BR$5:$BR$1005),"")</f>
        <v/>
      </c>
      <c r="V75" s="44" t="str">
        <f>IF(SUMIF('Detailed Budget'!$M$5:$M$1005,$C75,'Detailed Budget'!$BT$5:$BT$1005)&gt;0,SUMIF('Detailed Budget'!$M$5:$M$1005,$C75,'Detailed Budget'!$BT$5:$BT$1005),"")</f>
        <v/>
      </c>
      <c r="W75" s="45" t="str">
        <f>IF(SUMIF('Detailed Budget'!$M$5:$M$1005,$C75,'Detailed Budget'!$BV$5:$BV$1005)&gt;0,SUMIF('Detailed Budget'!$M$5:$M$1005,$C75,'Detailed Budget'!$BV$5:$BV$1005),"")</f>
        <v/>
      </c>
      <c r="X75" s="44" t="str">
        <f t="shared" si="7"/>
        <v/>
      </c>
      <c r="Y75" s="122" t="str">
        <f t="shared" si="8"/>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row>
    <row r="76" spans="2:49" s="35" customFormat="1" x14ac:dyDescent="0.2">
      <c r="B76" s="39" t="str">
        <f t="array" ref="B76">IFERROR(INDEX(RecipientList,MATCH(0,COUNTIF(RecipientList,"&lt;"&amp;RecipientList)-SUM(COUNTIF(RecipientList,B$54:B75)),0)),"")</f>
        <v/>
      </c>
      <c r="C76" s="44" t="str">
        <f t="shared" si="6"/>
        <v/>
      </c>
      <c r="D76" s="44" t="str">
        <f>IF(SUMIF('Detailed Budget'!$M$5:$M$1005,$C76,'Detailed Budget'!$AA$5:$AA$1005)&gt;0,SUMIF('Detailed Budget'!$M$5:$M$1005,$C76,'Detailed Budget'!$AA$5:$AA$1005),"")</f>
        <v/>
      </c>
      <c r="E76" s="44" t="str">
        <f>IF(SUMIF('Detailed Budget'!$M$5:$M$1005,$C76,'Detailed Budget'!$AC$5:$AC$1005)&gt;0,SUMIF('Detailed Budget'!$M$5:$M$1005,$C76,'Detailed Budget'!$AC$5:$AC$1005),"")</f>
        <v/>
      </c>
      <c r="F76" s="44" t="str">
        <f>IF(SUMIF('Detailed Budget'!$M$5:$M$1005,$C76,'Detailed Budget'!$AE$5:$AE$1005)&gt;0,SUMIF('Detailed Budget'!$M$5:$M$1005,$C76,'Detailed Budget'!$AE$5:$AE$1005),"")</f>
        <v/>
      </c>
      <c r="G76" s="44" t="str">
        <f>IF(SUMIF('Detailed Budget'!$M$5:$M$1005,$C76,'Detailed Budget'!$AG$5:$AG$1005)&gt;0,SUMIF('Detailed Budget'!$M$5:$M$1005,$C76,'Detailed Budget'!$AG$5:$AG$1005),"")</f>
        <v/>
      </c>
      <c r="H76" s="45" t="str">
        <f>IF(SUMIF('Detailed Budget'!$M$5:$M$1005,$C76,'Detailed Budget'!$AI$5:$AI$1005)&gt;0,SUMIF('Detailed Budget'!$M$5:$M$1005,$C76,'Detailed Budget'!$AI$5:$AI$1005),"")</f>
        <v/>
      </c>
      <c r="I76" s="44" t="str">
        <f>IF(SUMIF('Detailed Budget'!$M$5:$M$1005,$C76,'Detailed Budget'!$AN$5:$AN$1005)&gt;0,SUMIF('Detailed Budget'!$M$5:$M$1005,$C76,'Detailed Budget'!$AN$5:$AN$1005),"")</f>
        <v/>
      </c>
      <c r="J76" s="44" t="str">
        <f>IF(SUMIF('Detailed Budget'!$M$5:$M$1005,$C76,'Detailed Budget'!$AP$5:$AP$1005)&gt;0,SUMIF('Detailed Budget'!$M$5:$M$1005,$C76,'Detailed Budget'!$AP$5:$AP$1005),"")</f>
        <v/>
      </c>
      <c r="K76" s="44" t="str">
        <f>IF(SUMIF('Detailed Budget'!$M$5:$M$1005,$C76,'Detailed Budget'!$AR$5:$AR$1005)&gt;0,SUMIF('Detailed Budget'!$M$5:$M$1005,$C76,'Detailed Budget'!$AR$5:$AR$1005),"")</f>
        <v/>
      </c>
      <c r="L76" s="44" t="str">
        <f>IF(SUMIF('Detailed Budget'!$M$5:$M$1005,$C76,'Detailed Budget'!$AT$5:$AT$1005)&gt;0,SUMIF('Detailed Budget'!$M$5:$M$1005,$C76,'Detailed Budget'!$AT$5:$AT$1005),"")</f>
        <v/>
      </c>
      <c r="M76" s="45" t="str">
        <f>IF(SUMIF('Detailed Budget'!$M$5:$M$1005,$C76,'Detailed Budget'!$AV$5:$AV$1005)&gt;0,SUMIF('Detailed Budget'!$M$5:$M$1005,$C76,'Detailed Budget'!$AV$5:$AV$1005),"")</f>
        <v/>
      </c>
      <c r="N76" s="44" t="str">
        <f>IF(SUMIF('Detailed Budget'!$M$5:$M$1005,$C76,'Detailed Budget'!$BA$5:$BA$1005)&gt;0,SUMIF('Detailed Budget'!$M$5:$M$1005,$C76,'Detailed Budget'!$BA$5:$BA$1005),"")</f>
        <v/>
      </c>
      <c r="O76" s="44" t="str">
        <f>IF(SUMIF('Detailed Budget'!$M$5:$M$1005,$C76,'Detailed Budget'!$BC$5:$BC$1005)&gt;0,SUMIF('Detailed Budget'!$M$5:$M$1005,$C76,'Detailed Budget'!$BC$5:$BC$1005),"")</f>
        <v/>
      </c>
      <c r="P76" s="44" t="str">
        <f>IF(SUMIF('Detailed Budget'!$M$5:$M$1005,$C76,'Detailed Budget'!$BE$5:$BE$1005)&gt;0,SUMIF('Detailed Budget'!$M$5:$M$1005,$C76,'Detailed Budget'!$BE$5:$BE$1005),"")</f>
        <v/>
      </c>
      <c r="Q76" s="44" t="str">
        <f>IF(SUMIF('Detailed Budget'!$M$5:$M$1005,$C76,'Detailed Budget'!$BG$5:$BG$1005)&gt;0,SUMIF('Detailed Budget'!$M$5:$M$1005,$C76,'Detailed Budget'!$BG$5:$BG$1005),"")</f>
        <v/>
      </c>
      <c r="R76" s="45" t="str">
        <f>IF(SUMIF('Detailed Budget'!$M$5:$M$1005,$C76,'Detailed Budget'!$BI$5:$BI$1005)&gt;0,SUMIF('Detailed Budget'!$M$5:$M$1005,$C76,'Detailed Budget'!$BI$5:$BI$1005),"")</f>
        <v/>
      </c>
      <c r="S76" s="44" t="str">
        <f>IF(SUMIF('Detailed Budget'!$M$5:$M$1005,$C76,'Detailed Budget'!$BN$5:$BN$1005)&gt;0,SUMIF('Detailed Budget'!$M$5:$M$1005,$C76,'Detailed Budget'!$BN$5:$BN$1005),"")</f>
        <v/>
      </c>
      <c r="T76" s="44" t="str">
        <f>IF(SUMIF('Detailed Budget'!$M$5:$M$1005,$C76,'Detailed Budget'!$BP$5:$BP$1005)&gt;0,SUMIF('Detailed Budget'!$M$5:$M$1005,$C76,'Detailed Budget'!$BP$5:$BP$1005),"")</f>
        <v/>
      </c>
      <c r="U76" s="44" t="str">
        <f>IF(SUMIF('Detailed Budget'!$M$5:$M$1005,$C76,'Detailed Budget'!$BR$5:$BR$1005)&gt;0,SUMIF('Detailed Budget'!$M$5:$M$1005,$C76,'Detailed Budget'!$BR$5:$BR$1005),"")</f>
        <v/>
      </c>
      <c r="V76" s="44" t="str">
        <f>IF(SUMIF('Detailed Budget'!$M$5:$M$1005,$C76,'Detailed Budget'!$BT$5:$BT$1005)&gt;0,SUMIF('Detailed Budget'!$M$5:$M$1005,$C76,'Detailed Budget'!$BT$5:$BT$1005),"")</f>
        <v/>
      </c>
      <c r="W76" s="45" t="str">
        <f>IF(SUMIF('Detailed Budget'!$M$5:$M$1005,$C76,'Detailed Budget'!$BV$5:$BV$1005)&gt;0,SUMIF('Detailed Budget'!$M$5:$M$1005,$C76,'Detailed Budget'!$BV$5:$BV$1005),"")</f>
        <v/>
      </c>
      <c r="X76" s="44" t="str">
        <f t="shared" si="7"/>
        <v/>
      </c>
      <c r="Y76" s="122" t="str">
        <f t="shared" si="8"/>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row>
    <row r="77" spans="2:49" s="35" customFormat="1" x14ac:dyDescent="0.2">
      <c r="B77" s="39" t="str">
        <f t="array" ref="B77">IFERROR(INDEX(RecipientList,MATCH(0,COUNTIF(RecipientList,"&lt;"&amp;RecipientList)-SUM(COUNTIF(RecipientList,B$54:B76)),0)),"")</f>
        <v/>
      </c>
      <c r="C77" s="44" t="str">
        <f t="shared" si="6"/>
        <v/>
      </c>
      <c r="D77" s="44" t="str">
        <f>IF(SUMIF('Detailed Budget'!$M$5:$M$1005,$C77,'Detailed Budget'!$AA$5:$AA$1005)&gt;0,SUMIF('Detailed Budget'!$M$5:$M$1005,$C77,'Detailed Budget'!$AA$5:$AA$1005),"")</f>
        <v/>
      </c>
      <c r="E77" s="44" t="str">
        <f>IF(SUMIF('Detailed Budget'!$M$5:$M$1005,$C77,'Detailed Budget'!$AC$5:$AC$1005)&gt;0,SUMIF('Detailed Budget'!$M$5:$M$1005,$C77,'Detailed Budget'!$AC$5:$AC$1005),"")</f>
        <v/>
      </c>
      <c r="F77" s="44" t="str">
        <f>IF(SUMIF('Detailed Budget'!$M$5:$M$1005,$C77,'Detailed Budget'!$AE$5:$AE$1005)&gt;0,SUMIF('Detailed Budget'!$M$5:$M$1005,$C77,'Detailed Budget'!$AE$5:$AE$1005),"")</f>
        <v/>
      </c>
      <c r="G77" s="44" t="str">
        <f>IF(SUMIF('Detailed Budget'!$M$5:$M$1005,$C77,'Detailed Budget'!$AG$5:$AG$1005)&gt;0,SUMIF('Detailed Budget'!$M$5:$M$1005,$C77,'Detailed Budget'!$AG$5:$AG$1005),"")</f>
        <v/>
      </c>
      <c r="H77" s="45" t="str">
        <f>IF(SUMIF('Detailed Budget'!$M$5:$M$1005,$C77,'Detailed Budget'!$AI$5:$AI$1005)&gt;0,SUMIF('Detailed Budget'!$M$5:$M$1005,$C77,'Detailed Budget'!$AI$5:$AI$1005),"")</f>
        <v/>
      </c>
      <c r="I77" s="44" t="str">
        <f>IF(SUMIF('Detailed Budget'!$M$5:$M$1005,$C77,'Detailed Budget'!$AN$5:$AN$1005)&gt;0,SUMIF('Detailed Budget'!$M$5:$M$1005,$C77,'Detailed Budget'!$AN$5:$AN$1005),"")</f>
        <v/>
      </c>
      <c r="J77" s="44" t="str">
        <f>IF(SUMIF('Detailed Budget'!$M$5:$M$1005,$C77,'Detailed Budget'!$AP$5:$AP$1005)&gt;0,SUMIF('Detailed Budget'!$M$5:$M$1005,$C77,'Detailed Budget'!$AP$5:$AP$1005),"")</f>
        <v/>
      </c>
      <c r="K77" s="44" t="str">
        <f>IF(SUMIF('Detailed Budget'!$M$5:$M$1005,$C77,'Detailed Budget'!$AR$5:$AR$1005)&gt;0,SUMIF('Detailed Budget'!$M$5:$M$1005,$C77,'Detailed Budget'!$AR$5:$AR$1005),"")</f>
        <v/>
      </c>
      <c r="L77" s="44" t="str">
        <f>IF(SUMIF('Detailed Budget'!$M$5:$M$1005,$C77,'Detailed Budget'!$AT$5:$AT$1005)&gt;0,SUMIF('Detailed Budget'!$M$5:$M$1005,$C77,'Detailed Budget'!$AT$5:$AT$1005),"")</f>
        <v/>
      </c>
      <c r="M77" s="45" t="str">
        <f>IF(SUMIF('Detailed Budget'!$M$5:$M$1005,$C77,'Detailed Budget'!$AV$5:$AV$1005)&gt;0,SUMIF('Detailed Budget'!$M$5:$M$1005,$C77,'Detailed Budget'!$AV$5:$AV$1005),"")</f>
        <v/>
      </c>
      <c r="N77" s="44" t="str">
        <f>IF(SUMIF('Detailed Budget'!$M$5:$M$1005,$C77,'Detailed Budget'!$BA$5:$BA$1005)&gt;0,SUMIF('Detailed Budget'!$M$5:$M$1005,$C77,'Detailed Budget'!$BA$5:$BA$1005),"")</f>
        <v/>
      </c>
      <c r="O77" s="44" t="str">
        <f>IF(SUMIF('Detailed Budget'!$M$5:$M$1005,$C77,'Detailed Budget'!$BC$5:$BC$1005)&gt;0,SUMIF('Detailed Budget'!$M$5:$M$1005,$C77,'Detailed Budget'!$BC$5:$BC$1005),"")</f>
        <v/>
      </c>
      <c r="P77" s="44" t="str">
        <f>IF(SUMIF('Detailed Budget'!$M$5:$M$1005,$C77,'Detailed Budget'!$BE$5:$BE$1005)&gt;0,SUMIF('Detailed Budget'!$M$5:$M$1005,$C77,'Detailed Budget'!$BE$5:$BE$1005),"")</f>
        <v/>
      </c>
      <c r="Q77" s="44" t="str">
        <f>IF(SUMIF('Detailed Budget'!$M$5:$M$1005,$C77,'Detailed Budget'!$BG$5:$BG$1005)&gt;0,SUMIF('Detailed Budget'!$M$5:$M$1005,$C77,'Detailed Budget'!$BG$5:$BG$1005),"")</f>
        <v/>
      </c>
      <c r="R77" s="45" t="str">
        <f>IF(SUMIF('Detailed Budget'!$M$5:$M$1005,$C77,'Detailed Budget'!$BI$5:$BI$1005)&gt;0,SUMIF('Detailed Budget'!$M$5:$M$1005,$C77,'Detailed Budget'!$BI$5:$BI$1005),"")</f>
        <v/>
      </c>
      <c r="S77" s="44" t="str">
        <f>IF(SUMIF('Detailed Budget'!$M$5:$M$1005,$C77,'Detailed Budget'!$BN$5:$BN$1005)&gt;0,SUMIF('Detailed Budget'!$M$5:$M$1005,$C77,'Detailed Budget'!$BN$5:$BN$1005),"")</f>
        <v/>
      </c>
      <c r="T77" s="44" t="str">
        <f>IF(SUMIF('Detailed Budget'!$M$5:$M$1005,$C77,'Detailed Budget'!$BP$5:$BP$1005)&gt;0,SUMIF('Detailed Budget'!$M$5:$M$1005,$C77,'Detailed Budget'!$BP$5:$BP$1005),"")</f>
        <v/>
      </c>
      <c r="U77" s="44" t="str">
        <f>IF(SUMIF('Detailed Budget'!$M$5:$M$1005,$C77,'Detailed Budget'!$BR$5:$BR$1005)&gt;0,SUMIF('Detailed Budget'!$M$5:$M$1005,$C77,'Detailed Budget'!$BR$5:$BR$1005),"")</f>
        <v/>
      </c>
      <c r="V77" s="44" t="str">
        <f>IF(SUMIF('Detailed Budget'!$M$5:$M$1005,$C77,'Detailed Budget'!$BT$5:$BT$1005)&gt;0,SUMIF('Detailed Budget'!$M$5:$M$1005,$C77,'Detailed Budget'!$BT$5:$BT$1005),"")</f>
        <v/>
      </c>
      <c r="W77" s="45" t="str">
        <f>IF(SUMIF('Detailed Budget'!$M$5:$M$1005,$C77,'Detailed Budget'!$BV$5:$BV$1005)&gt;0,SUMIF('Detailed Budget'!$M$5:$M$1005,$C77,'Detailed Budget'!$BV$5:$BV$1005),"")</f>
        <v/>
      </c>
      <c r="X77" s="44" t="str">
        <f t="shared" si="7"/>
        <v/>
      </c>
      <c r="Y77" s="122" t="str">
        <f t="shared" si="8"/>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row>
    <row r="78" spans="2:49" s="35" customFormat="1" x14ac:dyDescent="0.2">
      <c r="B78" s="39" t="str">
        <f t="array" ref="B78">IFERROR(INDEX(RecipientList,MATCH(0,COUNTIF(RecipientList,"&lt;"&amp;RecipientList)-SUM(COUNTIF(RecipientList,B$54:B77)),0)),"")</f>
        <v/>
      </c>
      <c r="C78" s="44" t="str">
        <f t="shared" si="6"/>
        <v/>
      </c>
      <c r="D78" s="44" t="str">
        <f>IF(SUMIF('Detailed Budget'!$M$5:$M$1005,$C78,'Detailed Budget'!$AA$5:$AA$1005)&gt;0,SUMIF('Detailed Budget'!$M$5:$M$1005,$C78,'Detailed Budget'!$AA$5:$AA$1005),"")</f>
        <v/>
      </c>
      <c r="E78" s="44" t="str">
        <f>IF(SUMIF('Detailed Budget'!$M$5:$M$1005,$C78,'Detailed Budget'!$AC$5:$AC$1005)&gt;0,SUMIF('Detailed Budget'!$M$5:$M$1005,$C78,'Detailed Budget'!$AC$5:$AC$1005),"")</f>
        <v/>
      </c>
      <c r="F78" s="44" t="str">
        <f>IF(SUMIF('Detailed Budget'!$M$5:$M$1005,$C78,'Detailed Budget'!$AE$5:$AE$1005)&gt;0,SUMIF('Detailed Budget'!$M$5:$M$1005,$C78,'Detailed Budget'!$AE$5:$AE$1005),"")</f>
        <v/>
      </c>
      <c r="G78" s="44" t="str">
        <f>IF(SUMIF('Detailed Budget'!$M$5:$M$1005,$C78,'Detailed Budget'!$AG$5:$AG$1005)&gt;0,SUMIF('Detailed Budget'!$M$5:$M$1005,$C78,'Detailed Budget'!$AG$5:$AG$1005),"")</f>
        <v/>
      </c>
      <c r="H78" s="45" t="str">
        <f>IF(SUMIF('Detailed Budget'!$M$5:$M$1005,$C78,'Detailed Budget'!$AI$5:$AI$1005)&gt;0,SUMIF('Detailed Budget'!$M$5:$M$1005,$C78,'Detailed Budget'!$AI$5:$AI$1005),"")</f>
        <v/>
      </c>
      <c r="I78" s="44" t="str">
        <f>IF(SUMIF('Detailed Budget'!$M$5:$M$1005,$C78,'Detailed Budget'!$AN$5:$AN$1005)&gt;0,SUMIF('Detailed Budget'!$M$5:$M$1005,$C78,'Detailed Budget'!$AN$5:$AN$1005),"")</f>
        <v/>
      </c>
      <c r="J78" s="44" t="str">
        <f>IF(SUMIF('Detailed Budget'!$M$5:$M$1005,$C78,'Detailed Budget'!$AP$5:$AP$1005)&gt;0,SUMIF('Detailed Budget'!$M$5:$M$1005,$C78,'Detailed Budget'!$AP$5:$AP$1005),"")</f>
        <v/>
      </c>
      <c r="K78" s="44" t="str">
        <f>IF(SUMIF('Detailed Budget'!$M$5:$M$1005,$C78,'Detailed Budget'!$AR$5:$AR$1005)&gt;0,SUMIF('Detailed Budget'!$M$5:$M$1005,$C78,'Detailed Budget'!$AR$5:$AR$1005),"")</f>
        <v/>
      </c>
      <c r="L78" s="44" t="str">
        <f>IF(SUMIF('Detailed Budget'!$M$5:$M$1005,$C78,'Detailed Budget'!$AT$5:$AT$1005)&gt;0,SUMIF('Detailed Budget'!$M$5:$M$1005,$C78,'Detailed Budget'!$AT$5:$AT$1005),"")</f>
        <v/>
      </c>
      <c r="M78" s="45" t="str">
        <f>IF(SUMIF('Detailed Budget'!$M$5:$M$1005,$C78,'Detailed Budget'!$AV$5:$AV$1005)&gt;0,SUMIF('Detailed Budget'!$M$5:$M$1005,$C78,'Detailed Budget'!$AV$5:$AV$1005),"")</f>
        <v/>
      </c>
      <c r="N78" s="44" t="str">
        <f>IF(SUMIF('Detailed Budget'!$M$5:$M$1005,$C78,'Detailed Budget'!$BA$5:$BA$1005)&gt;0,SUMIF('Detailed Budget'!$M$5:$M$1005,$C78,'Detailed Budget'!$BA$5:$BA$1005),"")</f>
        <v/>
      </c>
      <c r="O78" s="44" t="str">
        <f>IF(SUMIF('Detailed Budget'!$M$5:$M$1005,$C78,'Detailed Budget'!$BC$5:$BC$1005)&gt;0,SUMIF('Detailed Budget'!$M$5:$M$1005,$C78,'Detailed Budget'!$BC$5:$BC$1005),"")</f>
        <v/>
      </c>
      <c r="P78" s="44" t="str">
        <f>IF(SUMIF('Detailed Budget'!$M$5:$M$1005,$C78,'Detailed Budget'!$BE$5:$BE$1005)&gt;0,SUMIF('Detailed Budget'!$M$5:$M$1005,$C78,'Detailed Budget'!$BE$5:$BE$1005),"")</f>
        <v/>
      </c>
      <c r="Q78" s="44" t="str">
        <f>IF(SUMIF('Detailed Budget'!$M$5:$M$1005,$C78,'Detailed Budget'!$BG$5:$BG$1005)&gt;0,SUMIF('Detailed Budget'!$M$5:$M$1005,$C78,'Detailed Budget'!$BG$5:$BG$1005),"")</f>
        <v/>
      </c>
      <c r="R78" s="45" t="str">
        <f>IF(SUMIF('Detailed Budget'!$M$5:$M$1005,$C78,'Detailed Budget'!$BI$5:$BI$1005)&gt;0,SUMIF('Detailed Budget'!$M$5:$M$1005,$C78,'Detailed Budget'!$BI$5:$BI$1005),"")</f>
        <v/>
      </c>
      <c r="S78" s="44" t="str">
        <f>IF(SUMIF('Detailed Budget'!$M$5:$M$1005,$C78,'Detailed Budget'!$BN$5:$BN$1005)&gt;0,SUMIF('Detailed Budget'!$M$5:$M$1005,$C78,'Detailed Budget'!$BN$5:$BN$1005),"")</f>
        <v/>
      </c>
      <c r="T78" s="44" t="str">
        <f>IF(SUMIF('Detailed Budget'!$M$5:$M$1005,$C78,'Detailed Budget'!$BP$5:$BP$1005)&gt;0,SUMIF('Detailed Budget'!$M$5:$M$1005,$C78,'Detailed Budget'!$BP$5:$BP$1005),"")</f>
        <v/>
      </c>
      <c r="U78" s="44" t="str">
        <f>IF(SUMIF('Detailed Budget'!$M$5:$M$1005,$C78,'Detailed Budget'!$BR$5:$BR$1005)&gt;0,SUMIF('Detailed Budget'!$M$5:$M$1005,$C78,'Detailed Budget'!$BR$5:$BR$1005),"")</f>
        <v/>
      </c>
      <c r="V78" s="44" t="str">
        <f>IF(SUMIF('Detailed Budget'!$M$5:$M$1005,$C78,'Detailed Budget'!$BT$5:$BT$1005)&gt;0,SUMIF('Detailed Budget'!$M$5:$M$1005,$C78,'Detailed Budget'!$BT$5:$BT$1005),"")</f>
        <v/>
      </c>
      <c r="W78" s="45" t="str">
        <f>IF(SUMIF('Detailed Budget'!$M$5:$M$1005,$C78,'Detailed Budget'!$BV$5:$BV$1005)&gt;0,SUMIF('Detailed Budget'!$M$5:$M$1005,$C78,'Detailed Budget'!$BV$5:$BV$1005),"")</f>
        <v/>
      </c>
      <c r="X78" s="44" t="str">
        <f t="shared" si="7"/>
        <v/>
      </c>
      <c r="Y78" s="122" t="str">
        <f t="shared" si="8"/>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row>
    <row r="79" spans="2:49" s="35" customFormat="1" x14ac:dyDescent="0.2">
      <c r="B79" s="39" t="str">
        <f t="array" ref="B79">IFERROR(INDEX(RecipientList,MATCH(0,COUNTIF(RecipientList,"&lt;"&amp;RecipientList)-SUM(COUNTIF(RecipientList,B$54:B78)),0)),"")</f>
        <v/>
      </c>
      <c r="C79" s="44" t="str">
        <f t="shared" si="6"/>
        <v/>
      </c>
      <c r="D79" s="44" t="str">
        <f>IF(SUMIF('Detailed Budget'!$M$5:$M$1005,$C79,'Detailed Budget'!$AA$5:$AA$1005)&gt;0,SUMIF('Detailed Budget'!$M$5:$M$1005,$C79,'Detailed Budget'!$AA$5:$AA$1005),"")</f>
        <v/>
      </c>
      <c r="E79" s="44" t="str">
        <f>IF(SUMIF('Detailed Budget'!$M$5:$M$1005,$C79,'Detailed Budget'!$AC$5:$AC$1005)&gt;0,SUMIF('Detailed Budget'!$M$5:$M$1005,$C79,'Detailed Budget'!$AC$5:$AC$1005),"")</f>
        <v/>
      </c>
      <c r="F79" s="44" t="str">
        <f>IF(SUMIF('Detailed Budget'!$M$5:$M$1005,$C79,'Detailed Budget'!$AE$5:$AE$1005)&gt;0,SUMIF('Detailed Budget'!$M$5:$M$1005,$C79,'Detailed Budget'!$AE$5:$AE$1005),"")</f>
        <v/>
      </c>
      <c r="G79" s="44" t="str">
        <f>IF(SUMIF('Detailed Budget'!$M$5:$M$1005,$C79,'Detailed Budget'!$AG$5:$AG$1005)&gt;0,SUMIF('Detailed Budget'!$M$5:$M$1005,$C79,'Detailed Budget'!$AG$5:$AG$1005),"")</f>
        <v/>
      </c>
      <c r="H79" s="45" t="str">
        <f>IF(SUMIF('Detailed Budget'!$M$5:$M$1005,$C79,'Detailed Budget'!$AI$5:$AI$1005)&gt;0,SUMIF('Detailed Budget'!$M$5:$M$1005,$C79,'Detailed Budget'!$AI$5:$AI$1005),"")</f>
        <v/>
      </c>
      <c r="I79" s="44" t="str">
        <f>IF(SUMIF('Detailed Budget'!$M$5:$M$1005,$C79,'Detailed Budget'!$AN$5:$AN$1005)&gt;0,SUMIF('Detailed Budget'!$M$5:$M$1005,$C79,'Detailed Budget'!$AN$5:$AN$1005),"")</f>
        <v/>
      </c>
      <c r="J79" s="44" t="str">
        <f>IF(SUMIF('Detailed Budget'!$M$5:$M$1005,$C79,'Detailed Budget'!$AP$5:$AP$1005)&gt;0,SUMIF('Detailed Budget'!$M$5:$M$1005,$C79,'Detailed Budget'!$AP$5:$AP$1005),"")</f>
        <v/>
      </c>
      <c r="K79" s="44" t="str">
        <f>IF(SUMIF('Detailed Budget'!$M$5:$M$1005,$C79,'Detailed Budget'!$AR$5:$AR$1005)&gt;0,SUMIF('Detailed Budget'!$M$5:$M$1005,$C79,'Detailed Budget'!$AR$5:$AR$1005),"")</f>
        <v/>
      </c>
      <c r="L79" s="44" t="str">
        <f>IF(SUMIF('Detailed Budget'!$M$5:$M$1005,$C79,'Detailed Budget'!$AT$5:$AT$1005)&gt;0,SUMIF('Detailed Budget'!$M$5:$M$1005,$C79,'Detailed Budget'!$AT$5:$AT$1005),"")</f>
        <v/>
      </c>
      <c r="M79" s="45" t="str">
        <f>IF(SUMIF('Detailed Budget'!$M$5:$M$1005,$C79,'Detailed Budget'!$AV$5:$AV$1005)&gt;0,SUMIF('Detailed Budget'!$M$5:$M$1005,$C79,'Detailed Budget'!$AV$5:$AV$1005),"")</f>
        <v/>
      </c>
      <c r="N79" s="44" t="str">
        <f>IF(SUMIF('Detailed Budget'!$M$5:$M$1005,$C79,'Detailed Budget'!$BA$5:$BA$1005)&gt;0,SUMIF('Detailed Budget'!$M$5:$M$1005,$C79,'Detailed Budget'!$BA$5:$BA$1005),"")</f>
        <v/>
      </c>
      <c r="O79" s="44" t="str">
        <f>IF(SUMIF('Detailed Budget'!$M$5:$M$1005,$C79,'Detailed Budget'!$BC$5:$BC$1005)&gt;0,SUMIF('Detailed Budget'!$M$5:$M$1005,$C79,'Detailed Budget'!$BC$5:$BC$1005),"")</f>
        <v/>
      </c>
      <c r="P79" s="44" t="str">
        <f>IF(SUMIF('Detailed Budget'!$M$5:$M$1005,$C79,'Detailed Budget'!$BE$5:$BE$1005)&gt;0,SUMIF('Detailed Budget'!$M$5:$M$1005,$C79,'Detailed Budget'!$BE$5:$BE$1005),"")</f>
        <v/>
      </c>
      <c r="Q79" s="44" t="str">
        <f>IF(SUMIF('Detailed Budget'!$M$5:$M$1005,$C79,'Detailed Budget'!$BG$5:$BG$1005)&gt;0,SUMIF('Detailed Budget'!$M$5:$M$1005,$C79,'Detailed Budget'!$BG$5:$BG$1005),"")</f>
        <v/>
      </c>
      <c r="R79" s="45" t="str">
        <f>IF(SUMIF('Detailed Budget'!$M$5:$M$1005,$C79,'Detailed Budget'!$BI$5:$BI$1005)&gt;0,SUMIF('Detailed Budget'!$M$5:$M$1005,$C79,'Detailed Budget'!$BI$5:$BI$1005),"")</f>
        <v/>
      </c>
      <c r="S79" s="44" t="str">
        <f>IF(SUMIF('Detailed Budget'!$M$5:$M$1005,$C79,'Detailed Budget'!$BN$5:$BN$1005)&gt;0,SUMIF('Detailed Budget'!$M$5:$M$1005,$C79,'Detailed Budget'!$BN$5:$BN$1005),"")</f>
        <v/>
      </c>
      <c r="T79" s="44" t="str">
        <f>IF(SUMIF('Detailed Budget'!$M$5:$M$1005,$C79,'Detailed Budget'!$BP$5:$BP$1005)&gt;0,SUMIF('Detailed Budget'!$M$5:$M$1005,$C79,'Detailed Budget'!$BP$5:$BP$1005),"")</f>
        <v/>
      </c>
      <c r="U79" s="44" t="str">
        <f>IF(SUMIF('Detailed Budget'!$M$5:$M$1005,$C79,'Detailed Budget'!$BR$5:$BR$1005)&gt;0,SUMIF('Detailed Budget'!$M$5:$M$1005,$C79,'Detailed Budget'!$BR$5:$BR$1005),"")</f>
        <v/>
      </c>
      <c r="V79" s="44" t="str">
        <f>IF(SUMIF('Detailed Budget'!$M$5:$M$1005,$C79,'Detailed Budget'!$BT$5:$BT$1005)&gt;0,SUMIF('Detailed Budget'!$M$5:$M$1005,$C79,'Detailed Budget'!$BT$5:$BT$1005),"")</f>
        <v/>
      </c>
      <c r="W79" s="45" t="str">
        <f>IF(SUMIF('Detailed Budget'!$M$5:$M$1005,$C79,'Detailed Budget'!$BV$5:$BV$1005)&gt;0,SUMIF('Detailed Budget'!$M$5:$M$1005,$C79,'Detailed Budget'!$BV$5:$BV$1005),"")</f>
        <v/>
      </c>
      <c r="X79" s="44" t="str">
        <f t="shared" si="7"/>
        <v/>
      </c>
      <c r="Y79" s="122" t="str">
        <f t="shared" si="8"/>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row>
    <row r="80" spans="2:49" s="35" customFormat="1" x14ac:dyDescent="0.2">
      <c r="B80" s="39" t="str">
        <f t="array" ref="B80">IFERROR(INDEX(RecipientList,MATCH(0,COUNTIF(RecipientList,"&lt;"&amp;RecipientList)-SUM(COUNTIF(RecipientList,B$54:B79)),0)),"")</f>
        <v/>
      </c>
      <c r="C80" s="44" t="str">
        <f t="shared" si="6"/>
        <v/>
      </c>
      <c r="D80" s="44" t="str">
        <f>IF(SUMIF('Detailed Budget'!$M$5:$M$1005,$C80,'Detailed Budget'!$AA$5:$AA$1005)&gt;0,SUMIF('Detailed Budget'!$M$5:$M$1005,$C80,'Detailed Budget'!$AA$5:$AA$1005),"")</f>
        <v/>
      </c>
      <c r="E80" s="44" t="str">
        <f>IF(SUMIF('Detailed Budget'!$M$5:$M$1005,$C80,'Detailed Budget'!$AC$5:$AC$1005)&gt;0,SUMIF('Detailed Budget'!$M$5:$M$1005,$C80,'Detailed Budget'!$AC$5:$AC$1005),"")</f>
        <v/>
      </c>
      <c r="F80" s="44" t="str">
        <f>IF(SUMIF('Detailed Budget'!$M$5:$M$1005,$C80,'Detailed Budget'!$AE$5:$AE$1005)&gt;0,SUMIF('Detailed Budget'!$M$5:$M$1005,$C80,'Detailed Budget'!$AE$5:$AE$1005),"")</f>
        <v/>
      </c>
      <c r="G80" s="44" t="str">
        <f>IF(SUMIF('Detailed Budget'!$M$5:$M$1005,$C80,'Detailed Budget'!$AG$5:$AG$1005)&gt;0,SUMIF('Detailed Budget'!$M$5:$M$1005,$C80,'Detailed Budget'!$AG$5:$AG$1005),"")</f>
        <v/>
      </c>
      <c r="H80" s="45" t="str">
        <f>IF(SUMIF('Detailed Budget'!$M$5:$M$1005,$C80,'Detailed Budget'!$AI$5:$AI$1005)&gt;0,SUMIF('Detailed Budget'!$M$5:$M$1005,$C80,'Detailed Budget'!$AI$5:$AI$1005),"")</f>
        <v/>
      </c>
      <c r="I80" s="44" t="str">
        <f>IF(SUMIF('Detailed Budget'!$M$5:$M$1005,$C80,'Detailed Budget'!$AN$5:$AN$1005)&gt;0,SUMIF('Detailed Budget'!$M$5:$M$1005,$C80,'Detailed Budget'!$AN$5:$AN$1005),"")</f>
        <v/>
      </c>
      <c r="J80" s="44" t="str">
        <f>IF(SUMIF('Detailed Budget'!$M$5:$M$1005,$C80,'Detailed Budget'!$AP$5:$AP$1005)&gt;0,SUMIF('Detailed Budget'!$M$5:$M$1005,$C80,'Detailed Budget'!$AP$5:$AP$1005),"")</f>
        <v/>
      </c>
      <c r="K80" s="44" t="str">
        <f>IF(SUMIF('Detailed Budget'!$M$5:$M$1005,$C80,'Detailed Budget'!$AR$5:$AR$1005)&gt;0,SUMIF('Detailed Budget'!$M$5:$M$1005,$C80,'Detailed Budget'!$AR$5:$AR$1005),"")</f>
        <v/>
      </c>
      <c r="L80" s="44" t="str">
        <f>IF(SUMIF('Detailed Budget'!$M$5:$M$1005,$C80,'Detailed Budget'!$AT$5:$AT$1005)&gt;0,SUMIF('Detailed Budget'!$M$5:$M$1005,$C80,'Detailed Budget'!$AT$5:$AT$1005),"")</f>
        <v/>
      </c>
      <c r="M80" s="45" t="str">
        <f>IF(SUMIF('Detailed Budget'!$M$5:$M$1005,$C80,'Detailed Budget'!$AV$5:$AV$1005)&gt;0,SUMIF('Detailed Budget'!$M$5:$M$1005,$C80,'Detailed Budget'!$AV$5:$AV$1005),"")</f>
        <v/>
      </c>
      <c r="N80" s="44" t="str">
        <f>IF(SUMIF('Detailed Budget'!$M$5:$M$1005,$C80,'Detailed Budget'!$BA$5:$BA$1005)&gt;0,SUMIF('Detailed Budget'!$M$5:$M$1005,$C80,'Detailed Budget'!$BA$5:$BA$1005),"")</f>
        <v/>
      </c>
      <c r="O80" s="44" t="str">
        <f>IF(SUMIF('Detailed Budget'!$M$5:$M$1005,$C80,'Detailed Budget'!$BC$5:$BC$1005)&gt;0,SUMIF('Detailed Budget'!$M$5:$M$1005,$C80,'Detailed Budget'!$BC$5:$BC$1005),"")</f>
        <v/>
      </c>
      <c r="P80" s="44" t="str">
        <f>IF(SUMIF('Detailed Budget'!$M$5:$M$1005,$C80,'Detailed Budget'!$BE$5:$BE$1005)&gt;0,SUMIF('Detailed Budget'!$M$5:$M$1005,$C80,'Detailed Budget'!$BE$5:$BE$1005),"")</f>
        <v/>
      </c>
      <c r="Q80" s="44" t="str">
        <f>IF(SUMIF('Detailed Budget'!$M$5:$M$1005,$C80,'Detailed Budget'!$BG$5:$BG$1005)&gt;0,SUMIF('Detailed Budget'!$M$5:$M$1005,$C80,'Detailed Budget'!$BG$5:$BG$1005),"")</f>
        <v/>
      </c>
      <c r="R80" s="45" t="str">
        <f>IF(SUMIF('Detailed Budget'!$M$5:$M$1005,$C80,'Detailed Budget'!$BI$5:$BI$1005)&gt;0,SUMIF('Detailed Budget'!$M$5:$M$1005,$C80,'Detailed Budget'!$BI$5:$BI$1005),"")</f>
        <v/>
      </c>
      <c r="S80" s="44" t="str">
        <f>IF(SUMIF('Detailed Budget'!$M$5:$M$1005,$C80,'Detailed Budget'!$BN$5:$BN$1005)&gt;0,SUMIF('Detailed Budget'!$M$5:$M$1005,$C80,'Detailed Budget'!$BN$5:$BN$1005),"")</f>
        <v/>
      </c>
      <c r="T80" s="44" t="str">
        <f>IF(SUMIF('Detailed Budget'!$M$5:$M$1005,$C80,'Detailed Budget'!$BP$5:$BP$1005)&gt;0,SUMIF('Detailed Budget'!$M$5:$M$1005,$C80,'Detailed Budget'!$BP$5:$BP$1005),"")</f>
        <v/>
      </c>
      <c r="U80" s="44" t="str">
        <f>IF(SUMIF('Detailed Budget'!$M$5:$M$1005,$C80,'Detailed Budget'!$BR$5:$BR$1005)&gt;0,SUMIF('Detailed Budget'!$M$5:$M$1005,$C80,'Detailed Budget'!$BR$5:$BR$1005),"")</f>
        <v/>
      </c>
      <c r="V80" s="44" t="str">
        <f>IF(SUMIF('Detailed Budget'!$M$5:$M$1005,$C80,'Detailed Budget'!$BT$5:$BT$1005)&gt;0,SUMIF('Detailed Budget'!$M$5:$M$1005,$C80,'Detailed Budget'!$BT$5:$BT$1005),"")</f>
        <v/>
      </c>
      <c r="W80" s="45" t="str">
        <f>IF(SUMIF('Detailed Budget'!$M$5:$M$1005,$C80,'Detailed Budget'!$BV$5:$BV$1005)&gt;0,SUMIF('Detailed Budget'!$M$5:$M$1005,$C80,'Detailed Budget'!$BV$5:$BV$1005),"")</f>
        <v/>
      </c>
      <c r="X80" s="44" t="str">
        <f t="shared" si="7"/>
        <v/>
      </c>
      <c r="Y80" s="122" t="str">
        <f t="shared" si="8"/>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row>
    <row r="81" spans="2:49" s="35" customFormat="1" x14ac:dyDescent="0.2">
      <c r="B81" s="39" t="str">
        <f t="array" ref="B81">IFERROR(INDEX(RecipientList,MATCH(0,COUNTIF(RecipientList,"&lt;"&amp;RecipientList)-SUM(COUNTIF(RecipientList,B$54:B80)),0)),"")</f>
        <v/>
      </c>
      <c r="C81" s="44" t="str">
        <f t="shared" si="6"/>
        <v/>
      </c>
      <c r="D81" s="44" t="str">
        <f>IF(SUMIF('Detailed Budget'!$M$5:$M$1005,$C81,'Detailed Budget'!$AA$5:$AA$1005)&gt;0,SUMIF('Detailed Budget'!$M$5:$M$1005,$C81,'Detailed Budget'!$AA$5:$AA$1005),"")</f>
        <v/>
      </c>
      <c r="E81" s="44" t="str">
        <f>IF(SUMIF('Detailed Budget'!$M$5:$M$1005,$C81,'Detailed Budget'!$AC$5:$AC$1005)&gt;0,SUMIF('Detailed Budget'!$M$5:$M$1005,$C81,'Detailed Budget'!$AC$5:$AC$1005),"")</f>
        <v/>
      </c>
      <c r="F81" s="44" t="str">
        <f>IF(SUMIF('Detailed Budget'!$M$5:$M$1005,$C81,'Detailed Budget'!$AE$5:$AE$1005)&gt;0,SUMIF('Detailed Budget'!$M$5:$M$1005,$C81,'Detailed Budget'!$AE$5:$AE$1005),"")</f>
        <v/>
      </c>
      <c r="G81" s="44" t="str">
        <f>IF(SUMIF('Detailed Budget'!$M$5:$M$1005,$C81,'Detailed Budget'!$AG$5:$AG$1005)&gt;0,SUMIF('Detailed Budget'!$M$5:$M$1005,$C81,'Detailed Budget'!$AG$5:$AG$1005),"")</f>
        <v/>
      </c>
      <c r="H81" s="45" t="str">
        <f>IF(SUMIF('Detailed Budget'!$M$5:$M$1005,$C81,'Detailed Budget'!$AI$5:$AI$1005)&gt;0,SUMIF('Detailed Budget'!$M$5:$M$1005,$C81,'Detailed Budget'!$AI$5:$AI$1005),"")</f>
        <v/>
      </c>
      <c r="I81" s="44" t="str">
        <f>IF(SUMIF('Detailed Budget'!$M$5:$M$1005,$C81,'Detailed Budget'!$AN$5:$AN$1005)&gt;0,SUMIF('Detailed Budget'!$M$5:$M$1005,$C81,'Detailed Budget'!$AN$5:$AN$1005),"")</f>
        <v/>
      </c>
      <c r="J81" s="44" t="str">
        <f>IF(SUMIF('Detailed Budget'!$M$5:$M$1005,$C81,'Detailed Budget'!$AP$5:$AP$1005)&gt;0,SUMIF('Detailed Budget'!$M$5:$M$1005,$C81,'Detailed Budget'!$AP$5:$AP$1005),"")</f>
        <v/>
      </c>
      <c r="K81" s="44" t="str">
        <f>IF(SUMIF('Detailed Budget'!$M$5:$M$1005,$C81,'Detailed Budget'!$AR$5:$AR$1005)&gt;0,SUMIF('Detailed Budget'!$M$5:$M$1005,$C81,'Detailed Budget'!$AR$5:$AR$1005),"")</f>
        <v/>
      </c>
      <c r="L81" s="44" t="str">
        <f>IF(SUMIF('Detailed Budget'!$M$5:$M$1005,$C81,'Detailed Budget'!$AT$5:$AT$1005)&gt;0,SUMIF('Detailed Budget'!$M$5:$M$1005,$C81,'Detailed Budget'!$AT$5:$AT$1005),"")</f>
        <v/>
      </c>
      <c r="M81" s="45" t="str">
        <f>IF(SUMIF('Detailed Budget'!$M$5:$M$1005,$C81,'Detailed Budget'!$AV$5:$AV$1005)&gt;0,SUMIF('Detailed Budget'!$M$5:$M$1005,$C81,'Detailed Budget'!$AV$5:$AV$1005),"")</f>
        <v/>
      </c>
      <c r="N81" s="44" t="str">
        <f>IF(SUMIF('Detailed Budget'!$M$5:$M$1005,$C81,'Detailed Budget'!$BA$5:$BA$1005)&gt;0,SUMIF('Detailed Budget'!$M$5:$M$1005,$C81,'Detailed Budget'!$BA$5:$BA$1005),"")</f>
        <v/>
      </c>
      <c r="O81" s="44" t="str">
        <f>IF(SUMIF('Detailed Budget'!$M$5:$M$1005,$C81,'Detailed Budget'!$BC$5:$BC$1005)&gt;0,SUMIF('Detailed Budget'!$M$5:$M$1005,$C81,'Detailed Budget'!$BC$5:$BC$1005),"")</f>
        <v/>
      </c>
      <c r="P81" s="44" t="str">
        <f>IF(SUMIF('Detailed Budget'!$M$5:$M$1005,$C81,'Detailed Budget'!$BE$5:$BE$1005)&gt;0,SUMIF('Detailed Budget'!$M$5:$M$1005,$C81,'Detailed Budget'!$BE$5:$BE$1005),"")</f>
        <v/>
      </c>
      <c r="Q81" s="44" t="str">
        <f>IF(SUMIF('Detailed Budget'!$M$5:$M$1005,$C81,'Detailed Budget'!$BG$5:$BG$1005)&gt;0,SUMIF('Detailed Budget'!$M$5:$M$1005,$C81,'Detailed Budget'!$BG$5:$BG$1005),"")</f>
        <v/>
      </c>
      <c r="R81" s="45" t="str">
        <f>IF(SUMIF('Detailed Budget'!$M$5:$M$1005,$C81,'Detailed Budget'!$BI$5:$BI$1005)&gt;0,SUMIF('Detailed Budget'!$M$5:$M$1005,$C81,'Detailed Budget'!$BI$5:$BI$1005),"")</f>
        <v/>
      </c>
      <c r="S81" s="44" t="str">
        <f>IF(SUMIF('Detailed Budget'!$M$5:$M$1005,$C81,'Detailed Budget'!$BN$5:$BN$1005)&gt;0,SUMIF('Detailed Budget'!$M$5:$M$1005,$C81,'Detailed Budget'!$BN$5:$BN$1005),"")</f>
        <v/>
      </c>
      <c r="T81" s="44" t="str">
        <f>IF(SUMIF('Detailed Budget'!$M$5:$M$1005,$C81,'Detailed Budget'!$BP$5:$BP$1005)&gt;0,SUMIF('Detailed Budget'!$M$5:$M$1005,$C81,'Detailed Budget'!$BP$5:$BP$1005),"")</f>
        <v/>
      </c>
      <c r="U81" s="44" t="str">
        <f>IF(SUMIF('Detailed Budget'!$M$5:$M$1005,$C81,'Detailed Budget'!$BR$5:$BR$1005)&gt;0,SUMIF('Detailed Budget'!$M$5:$M$1005,$C81,'Detailed Budget'!$BR$5:$BR$1005),"")</f>
        <v/>
      </c>
      <c r="V81" s="44" t="str">
        <f>IF(SUMIF('Detailed Budget'!$M$5:$M$1005,$C81,'Detailed Budget'!$BT$5:$BT$1005)&gt;0,SUMIF('Detailed Budget'!$M$5:$M$1005,$C81,'Detailed Budget'!$BT$5:$BT$1005),"")</f>
        <v/>
      </c>
      <c r="W81" s="45" t="str">
        <f>IF(SUMIF('Detailed Budget'!$M$5:$M$1005,$C81,'Detailed Budget'!$BV$5:$BV$1005)&gt;0,SUMIF('Detailed Budget'!$M$5:$M$1005,$C81,'Detailed Budget'!$BV$5:$BV$1005),"")</f>
        <v/>
      </c>
      <c r="X81" s="44" t="str">
        <f t="shared" si="7"/>
        <v/>
      </c>
      <c r="Y81" s="122" t="str">
        <f t="shared" si="8"/>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row>
    <row r="82" spans="2:49" s="35" customFormat="1" x14ac:dyDescent="0.2">
      <c r="B82" s="39" t="str">
        <f t="array" ref="B82">IFERROR(INDEX(RecipientList,MATCH(0,COUNTIF(RecipientList,"&lt;"&amp;RecipientList)-SUM(COUNTIF(RecipientList,B$54:B81)),0)),"")</f>
        <v/>
      </c>
      <c r="C82" s="44" t="str">
        <f t="shared" si="6"/>
        <v/>
      </c>
      <c r="D82" s="44" t="str">
        <f>IF(SUMIF('Detailed Budget'!$M$5:$M$1005,$C82,'Detailed Budget'!$AA$5:$AA$1005)&gt;0,SUMIF('Detailed Budget'!$M$5:$M$1005,$C82,'Detailed Budget'!$AA$5:$AA$1005),"")</f>
        <v/>
      </c>
      <c r="E82" s="44" t="str">
        <f>IF(SUMIF('Detailed Budget'!$M$5:$M$1005,$C82,'Detailed Budget'!$AC$5:$AC$1005)&gt;0,SUMIF('Detailed Budget'!$M$5:$M$1005,$C82,'Detailed Budget'!$AC$5:$AC$1005),"")</f>
        <v/>
      </c>
      <c r="F82" s="44" t="str">
        <f>IF(SUMIF('Detailed Budget'!$M$5:$M$1005,$C82,'Detailed Budget'!$AE$5:$AE$1005)&gt;0,SUMIF('Detailed Budget'!$M$5:$M$1005,$C82,'Detailed Budget'!$AE$5:$AE$1005),"")</f>
        <v/>
      </c>
      <c r="G82" s="44" t="str">
        <f>IF(SUMIF('Detailed Budget'!$M$5:$M$1005,$C82,'Detailed Budget'!$AG$5:$AG$1005)&gt;0,SUMIF('Detailed Budget'!$M$5:$M$1005,$C82,'Detailed Budget'!$AG$5:$AG$1005),"")</f>
        <v/>
      </c>
      <c r="H82" s="45" t="str">
        <f>IF(SUMIF('Detailed Budget'!$M$5:$M$1005,$C82,'Detailed Budget'!$AI$5:$AI$1005)&gt;0,SUMIF('Detailed Budget'!$M$5:$M$1005,$C82,'Detailed Budget'!$AI$5:$AI$1005),"")</f>
        <v/>
      </c>
      <c r="I82" s="44" t="str">
        <f>IF(SUMIF('Detailed Budget'!$M$5:$M$1005,$C82,'Detailed Budget'!$AN$5:$AN$1005)&gt;0,SUMIF('Detailed Budget'!$M$5:$M$1005,$C82,'Detailed Budget'!$AN$5:$AN$1005),"")</f>
        <v/>
      </c>
      <c r="J82" s="44" t="str">
        <f>IF(SUMIF('Detailed Budget'!$M$5:$M$1005,$C82,'Detailed Budget'!$AP$5:$AP$1005)&gt;0,SUMIF('Detailed Budget'!$M$5:$M$1005,$C82,'Detailed Budget'!$AP$5:$AP$1005),"")</f>
        <v/>
      </c>
      <c r="K82" s="44" t="str">
        <f>IF(SUMIF('Detailed Budget'!$M$5:$M$1005,$C82,'Detailed Budget'!$AR$5:$AR$1005)&gt;0,SUMIF('Detailed Budget'!$M$5:$M$1005,$C82,'Detailed Budget'!$AR$5:$AR$1005),"")</f>
        <v/>
      </c>
      <c r="L82" s="44" t="str">
        <f>IF(SUMIF('Detailed Budget'!$M$5:$M$1005,$C82,'Detailed Budget'!$AT$5:$AT$1005)&gt;0,SUMIF('Detailed Budget'!$M$5:$M$1005,$C82,'Detailed Budget'!$AT$5:$AT$1005),"")</f>
        <v/>
      </c>
      <c r="M82" s="45" t="str">
        <f>IF(SUMIF('Detailed Budget'!$M$5:$M$1005,$C82,'Detailed Budget'!$AV$5:$AV$1005)&gt;0,SUMIF('Detailed Budget'!$M$5:$M$1005,$C82,'Detailed Budget'!$AV$5:$AV$1005),"")</f>
        <v/>
      </c>
      <c r="N82" s="44" t="str">
        <f>IF(SUMIF('Detailed Budget'!$M$5:$M$1005,$C82,'Detailed Budget'!$BA$5:$BA$1005)&gt;0,SUMIF('Detailed Budget'!$M$5:$M$1005,$C82,'Detailed Budget'!$BA$5:$BA$1005),"")</f>
        <v/>
      </c>
      <c r="O82" s="44" t="str">
        <f>IF(SUMIF('Detailed Budget'!$M$5:$M$1005,$C82,'Detailed Budget'!$BC$5:$BC$1005)&gt;0,SUMIF('Detailed Budget'!$M$5:$M$1005,$C82,'Detailed Budget'!$BC$5:$BC$1005),"")</f>
        <v/>
      </c>
      <c r="P82" s="44" t="str">
        <f>IF(SUMIF('Detailed Budget'!$M$5:$M$1005,$C82,'Detailed Budget'!$BE$5:$BE$1005)&gt;0,SUMIF('Detailed Budget'!$M$5:$M$1005,$C82,'Detailed Budget'!$BE$5:$BE$1005),"")</f>
        <v/>
      </c>
      <c r="Q82" s="44" t="str">
        <f>IF(SUMIF('Detailed Budget'!$M$5:$M$1005,$C82,'Detailed Budget'!$BG$5:$BG$1005)&gt;0,SUMIF('Detailed Budget'!$M$5:$M$1005,$C82,'Detailed Budget'!$BG$5:$BG$1005),"")</f>
        <v/>
      </c>
      <c r="R82" s="45" t="str">
        <f>IF(SUMIF('Detailed Budget'!$M$5:$M$1005,$C82,'Detailed Budget'!$BI$5:$BI$1005)&gt;0,SUMIF('Detailed Budget'!$M$5:$M$1005,$C82,'Detailed Budget'!$BI$5:$BI$1005),"")</f>
        <v/>
      </c>
      <c r="S82" s="44" t="str">
        <f>IF(SUMIF('Detailed Budget'!$M$5:$M$1005,$C82,'Detailed Budget'!$BN$5:$BN$1005)&gt;0,SUMIF('Detailed Budget'!$M$5:$M$1005,$C82,'Detailed Budget'!$BN$5:$BN$1005),"")</f>
        <v/>
      </c>
      <c r="T82" s="44" t="str">
        <f>IF(SUMIF('Detailed Budget'!$M$5:$M$1005,$C82,'Detailed Budget'!$BP$5:$BP$1005)&gt;0,SUMIF('Detailed Budget'!$M$5:$M$1005,$C82,'Detailed Budget'!$BP$5:$BP$1005),"")</f>
        <v/>
      </c>
      <c r="U82" s="44" t="str">
        <f>IF(SUMIF('Detailed Budget'!$M$5:$M$1005,$C82,'Detailed Budget'!$BR$5:$BR$1005)&gt;0,SUMIF('Detailed Budget'!$M$5:$M$1005,$C82,'Detailed Budget'!$BR$5:$BR$1005),"")</f>
        <v/>
      </c>
      <c r="V82" s="44" t="str">
        <f>IF(SUMIF('Detailed Budget'!$M$5:$M$1005,$C82,'Detailed Budget'!$BT$5:$BT$1005)&gt;0,SUMIF('Detailed Budget'!$M$5:$M$1005,$C82,'Detailed Budget'!$BT$5:$BT$1005),"")</f>
        <v/>
      </c>
      <c r="W82" s="45" t="str">
        <f>IF(SUMIF('Detailed Budget'!$M$5:$M$1005,$C82,'Detailed Budget'!$BV$5:$BV$1005)&gt;0,SUMIF('Detailed Budget'!$M$5:$M$1005,$C82,'Detailed Budget'!$BV$5:$BV$1005),"")</f>
        <v/>
      </c>
      <c r="X82" s="44" t="str">
        <f t="shared" si="7"/>
        <v/>
      </c>
      <c r="Y82" s="122" t="str">
        <f t="shared" si="8"/>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row>
    <row r="83" spans="2:49" s="35" customFormat="1" x14ac:dyDescent="0.2">
      <c r="B83" s="39" t="str">
        <f t="array" ref="B83">IFERROR(INDEX(RecipientList,MATCH(0,COUNTIF(RecipientList,"&lt;"&amp;RecipientList)-SUM(COUNTIF(RecipientList,B$54:B82)),0)),"")</f>
        <v/>
      </c>
      <c r="C83" s="44" t="str">
        <f t="shared" si="6"/>
        <v/>
      </c>
      <c r="D83" s="44" t="str">
        <f>IF(SUMIF('Detailed Budget'!$M$5:$M$1005,$C83,'Detailed Budget'!$AA$5:$AA$1005)&gt;0,SUMIF('Detailed Budget'!$M$5:$M$1005,$C83,'Detailed Budget'!$AA$5:$AA$1005),"")</f>
        <v/>
      </c>
      <c r="E83" s="44" t="str">
        <f>IF(SUMIF('Detailed Budget'!$M$5:$M$1005,$C83,'Detailed Budget'!$AC$5:$AC$1005)&gt;0,SUMIF('Detailed Budget'!$M$5:$M$1005,$C83,'Detailed Budget'!$AC$5:$AC$1005),"")</f>
        <v/>
      </c>
      <c r="F83" s="44" t="str">
        <f>IF(SUMIF('Detailed Budget'!$M$5:$M$1005,$C83,'Detailed Budget'!$AE$5:$AE$1005)&gt;0,SUMIF('Detailed Budget'!$M$5:$M$1005,$C83,'Detailed Budget'!$AE$5:$AE$1005),"")</f>
        <v/>
      </c>
      <c r="G83" s="44" t="str">
        <f>IF(SUMIF('Detailed Budget'!$M$5:$M$1005,$C83,'Detailed Budget'!$AG$5:$AG$1005)&gt;0,SUMIF('Detailed Budget'!$M$5:$M$1005,$C83,'Detailed Budget'!$AG$5:$AG$1005),"")</f>
        <v/>
      </c>
      <c r="H83" s="45" t="str">
        <f>IF(SUMIF('Detailed Budget'!$M$5:$M$1005,$C83,'Detailed Budget'!$AI$5:$AI$1005)&gt;0,SUMIF('Detailed Budget'!$M$5:$M$1005,$C83,'Detailed Budget'!$AI$5:$AI$1005),"")</f>
        <v/>
      </c>
      <c r="I83" s="44" t="str">
        <f>IF(SUMIF('Detailed Budget'!$M$5:$M$1005,$C83,'Detailed Budget'!$AN$5:$AN$1005)&gt;0,SUMIF('Detailed Budget'!$M$5:$M$1005,$C83,'Detailed Budget'!$AN$5:$AN$1005),"")</f>
        <v/>
      </c>
      <c r="J83" s="44" t="str">
        <f>IF(SUMIF('Detailed Budget'!$M$5:$M$1005,$C83,'Detailed Budget'!$AP$5:$AP$1005)&gt;0,SUMIF('Detailed Budget'!$M$5:$M$1005,$C83,'Detailed Budget'!$AP$5:$AP$1005),"")</f>
        <v/>
      </c>
      <c r="K83" s="44" t="str">
        <f>IF(SUMIF('Detailed Budget'!$M$5:$M$1005,$C83,'Detailed Budget'!$AR$5:$AR$1005)&gt;0,SUMIF('Detailed Budget'!$M$5:$M$1005,$C83,'Detailed Budget'!$AR$5:$AR$1005),"")</f>
        <v/>
      </c>
      <c r="L83" s="44" t="str">
        <f>IF(SUMIF('Detailed Budget'!$M$5:$M$1005,$C83,'Detailed Budget'!$AT$5:$AT$1005)&gt;0,SUMIF('Detailed Budget'!$M$5:$M$1005,$C83,'Detailed Budget'!$AT$5:$AT$1005),"")</f>
        <v/>
      </c>
      <c r="M83" s="45" t="str">
        <f>IF(SUMIF('Detailed Budget'!$M$5:$M$1005,$C83,'Detailed Budget'!$AV$5:$AV$1005)&gt;0,SUMIF('Detailed Budget'!$M$5:$M$1005,$C83,'Detailed Budget'!$AV$5:$AV$1005),"")</f>
        <v/>
      </c>
      <c r="N83" s="44" t="str">
        <f>IF(SUMIF('Detailed Budget'!$M$5:$M$1005,$C83,'Detailed Budget'!$BA$5:$BA$1005)&gt;0,SUMIF('Detailed Budget'!$M$5:$M$1005,$C83,'Detailed Budget'!$BA$5:$BA$1005),"")</f>
        <v/>
      </c>
      <c r="O83" s="44" t="str">
        <f>IF(SUMIF('Detailed Budget'!$M$5:$M$1005,$C83,'Detailed Budget'!$BC$5:$BC$1005)&gt;0,SUMIF('Detailed Budget'!$M$5:$M$1005,$C83,'Detailed Budget'!$BC$5:$BC$1005),"")</f>
        <v/>
      </c>
      <c r="P83" s="44" t="str">
        <f>IF(SUMIF('Detailed Budget'!$M$5:$M$1005,$C83,'Detailed Budget'!$BE$5:$BE$1005)&gt;0,SUMIF('Detailed Budget'!$M$5:$M$1005,$C83,'Detailed Budget'!$BE$5:$BE$1005),"")</f>
        <v/>
      </c>
      <c r="Q83" s="44" t="str">
        <f>IF(SUMIF('Detailed Budget'!$M$5:$M$1005,$C83,'Detailed Budget'!$BG$5:$BG$1005)&gt;0,SUMIF('Detailed Budget'!$M$5:$M$1005,$C83,'Detailed Budget'!$BG$5:$BG$1005),"")</f>
        <v/>
      </c>
      <c r="R83" s="45" t="str">
        <f>IF(SUMIF('Detailed Budget'!$M$5:$M$1005,$C83,'Detailed Budget'!$BI$5:$BI$1005)&gt;0,SUMIF('Detailed Budget'!$M$5:$M$1005,$C83,'Detailed Budget'!$BI$5:$BI$1005),"")</f>
        <v/>
      </c>
      <c r="S83" s="44" t="str">
        <f>IF(SUMIF('Detailed Budget'!$M$5:$M$1005,$C83,'Detailed Budget'!$BN$5:$BN$1005)&gt;0,SUMIF('Detailed Budget'!$M$5:$M$1005,$C83,'Detailed Budget'!$BN$5:$BN$1005),"")</f>
        <v/>
      </c>
      <c r="T83" s="44" t="str">
        <f>IF(SUMIF('Detailed Budget'!$M$5:$M$1005,$C83,'Detailed Budget'!$BP$5:$BP$1005)&gt;0,SUMIF('Detailed Budget'!$M$5:$M$1005,$C83,'Detailed Budget'!$BP$5:$BP$1005),"")</f>
        <v/>
      </c>
      <c r="U83" s="44" t="str">
        <f>IF(SUMIF('Detailed Budget'!$M$5:$M$1005,$C83,'Detailed Budget'!$BR$5:$BR$1005)&gt;0,SUMIF('Detailed Budget'!$M$5:$M$1005,$C83,'Detailed Budget'!$BR$5:$BR$1005),"")</f>
        <v/>
      </c>
      <c r="V83" s="44" t="str">
        <f>IF(SUMIF('Detailed Budget'!$M$5:$M$1005,$C83,'Detailed Budget'!$BT$5:$BT$1005)&gt;0,SUMIF('Detailed Budget'!$M$5:$M$1005,$C83,'Detailed Budget'!$BT$5:$BT$1005),"")</f>
        <v/>
      </c>
      <c r="W83" s="45" t="str">
        <f>IF(SUMIF('Detailed Budget'!$M$5:$M$1005,$C83,'Detailed Budget'!$BV$5:$BV$1005)&gt;0,SUMIF('Detailed Budget'!$M$5:$M$1005,$C83,'Detailed Budget'!$BV$5:$BV$1005),"")</f>
        <v/>
      </c>
      <c r="X83" s="44" t="str">
        <f t="shared" si="7"/>
        <v/>
      </c>
      <c r="Y83" s="122" t="str">
        <f t="shared" si="8"/>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row>
    <row r="84" spans="2:49" s="35" customFormat="1" x14ac:dyDescent="0.2">
      <c r="B84" s="39" t="str">
        <f t="array" ref="B84">IFERROR(INDEX(RecipientList,MATCH(0,COUNTIF(RecipientList,"&lt;"&amp;RecipientList)-SUM(COUNTIF(RecipientList,B$54:B83)),0)),"")</f>
        <v/>
      </c>
      <c r="C84" s="44" t="str">
        <f t="shared" si="6"/>
        <v/>
      </c>
      <c r="D84" s="44" t="str">
        <f>IF(SUMIF('Detailed Budget'!$M$5:$M$1005,$C84,'Detailed Budget'!$AA$5:$AA$1005)&gt;0,SUMIF('Detailed Budget'!$M$5:$M$1005,$C84,'Detailed Budget'!$AA$5:$AA$1005),"")</f>
        <v/>
      </c>
      <c r="E84" s="44" t="str">
        <f>IF(SUMIF('Detailed Budget'!$M$5:$M$1005,$C84,'Detailed Budget'!$AC$5:$AC$1005)&gt;0,SUMIF('Detailed Budget'!$M$5:$M$1005,$C84,'Detailed Budget'!$AC$5:$AC$1005),"")</f>
        <v/>
      </c>
      <c r="F84" s="44" t="str">
        <f>IF(SUMIF('Detailed Budget'!$M$5:$M$1005,$C84,'Detailed Budget'!$AE$5:$AE$1005)&gt;0,SUMIF('Detailed Budget'!$M$5:$M$1005,$C84,'Detailed Budget'!$AE$5:$AE$1005),"")</f>
        <v/>
      </c>
      <c r="G84" s="44" t="str">
        <f>IF(SUMIF('Detailed Budget'!$M$5:$M$1005,$C84,'Detailed Budget'!$AG$5:$AG$1005)&gt;0,SUMIF('Detailed Budget'!$M$5:$M$1005,$C84,'Detailed Budget'!$AG$5:$AG$1005),"")</f>
        <v/>
      </c>
      <c r="H84" s="45" t="str">
        <f>IF(SUMIF('Detailed Budget'!$M$5:$M$1005,$C84,'Detailed Budget'!$AI$5:$AI$1005)&gt;0,SUMIF('Detailed Budget'!$M$5:$M$1005,$C84,'Detailed Budget'!$AI$5:$AI$1005),"")</f>
        <v/>
      </c>
      <c r="I84" s="44" t="str">
        <f>IF(SUMIF('Detailed Budget'!$M$5:$M$1005,$C84,'Detailed Budget'!$AN$5:$AN$1005)&gt;0,SUMIF('Detailed Budget'!$M$5:$M$1005,$C84,'Detailed Budget'!$AN$5:$AN$1005),"")</f>
        <v/>
      </c>
      <c r="J84" s="44" t="str">
        <f>IF(SUMIF('Detailed Budget'!$M$5:$M$1005,$C84,'Detailed Budget'!$AP$5:$AP$1005)&gt;0,SUMIF('Detailed Budget'!$M$5:$M$1005,$C84,'Detailed Budget'!$AP$5:$AP$1005),"")</f>
        <v/>
      </c>
      <c r="K84" s="44" t="str">
        <f>IF(SUMIF('Detailed Budget'!$M$5:$M$1005,$C84,'Detailed Budget'!$AR$5:$AR$1005)&gt;0,SUMIF('Detailed Budget'!$M$5:$M$1005,$C84,'Detailed Budget'!$AR$5:$AR$1005),"")</f>
        <v/>
      </c>
      <c r="L84" s="44" t="str">
        <f>IF(SUMIF('Detailed Budget'!$M$5:$M$1005,$C84,'Detailed Budget'!$AT$5:$AT$1005)&gt;0,SUMIF('Detailed Budget'!$M$5:$M$1005,$C84,'Detailed Budget'!$AT$5:$AT$1005),"")</f>
        <v/>
      </c>
      <c r="M84" s="45" t="str">
        <f>IF(SUMIF('Detailed Budget'!$M$5:$M$1005,$C84,'Detailed Budget'!$AV$5:$AV$1005)&gt;0,SUMIF('Detailed Budget'!$M$5:$M$1005,$C84,'Detailed Budget'!$AV$5:$AV$1005),"")</f>
        <v/>
      </c>
      <c r="N84" s="44" t="str">
        <f>IF(SUMIF('Detailed Budget'!$M$5:$M$1005,$C84,'Detailed Budget'!$BA$5:$BA$1005)&gt;0,SUMIF('Detailed Budget'!$M$5:$M$1005,$C84,'Detailed Budget'!$BA$5:$BA$1005),"")</f>
        <v/>
      </c>
      <c r="O84" s="44" t="str">
        <f>IF(SUMIF('Detailed Budget'!$M$5:$M$1005,$C84,'Detailed Budget'!$BC$5:$BC$1005)&gt;0,SUMIF('Detailed Budget'!$M$5:$M$1005,$C84,'Detailed Budget'!$BC$5:$BC$1005),"")</f>
        <v/>
      </c>
      <c r="P84" s="44" t="str">
        <f>IF(SUMIF('Detailed Budget'!$M$5:$M$1005,$C84,'Detailed Budget'!$BE$5:$BE$1005)&gt;0,SUMIF('Detailed Budget'!$M$5:$M$1005,$C84,'Detailed Budget'!$BE$5:$BE$1005),"")</f>
        <v/>
      </c>
      <c r="Q84" s="44" t="str">
        <f>IF(SUMIF('Detailed Budget'!$M$5:$M$1005,$C84,'Detailed Budget'!$BG$5:$BG$1005)&gt;0,SUMIF('Detailed Budget'!$M$5:$M$1005,$C84,'Detailed Budget'!$BG$5:$BG$1005),"")</f>
        <v/>
      </c>
      <c r="R84" s="45" t="str">
        <f>IF(SUMIF('Detailed Budget'!$M$5:$M$1005,$C84,'Detailed Budget'!$BI$5:$BI$1005)&gt;0,SUMIF('Detailed Budget'!$M$5:$M$1005,$C84,'Detailed Budget'!$BI$5:$BI$1005),"")</f>
        <v/>
      </c>
      <c r="S84" s="44" t="str">
        <f>IF(SUMIF('Detailed Budget'!$M$5:$M$1005,$C84,'Detailed Budget'!$BN$5:$BN$1005)&gt;0,SUMIF('Detailed Budget'!$M$5:$M$1005,$C84,'Detailed Budget'!$BN$5:$BN$1005),"")</f>
        <v/>
      </c>
      <c r="T84" s="44" t="str">
        <f>IF(SUMIF('Detailed Budget'!$M$5:$M$1005,$C84,'Detailed Budget'!$BP$5:$BP$1005)&gt;0,SUMIF('Detailed Budget'!$M$5:$M$1005,$C84,'Detailed Budget'!$BP$5:$BP$1005),"")</f>
        <v/>
      </c>
      <c r="U84" s="44" t="str">
        <f>IF(SUMIF('Detailed Budget'!$M$5:$M$1005,$C84,'Detailed Budget'!$BR$5:$BR$1005)&gt;0,SUMIF('Detailed Budget'!$M$5:$M$1005,$C84,'Detailed Budget'!$BR$5:$BR$1005),"")</f>
        <v/>
      </c>
      <c r="V84" s="44" t="str">
        <f>IF(SUMIF('Detailed Budget'!$M$5:$M$1005,$C84,'Detailed Budget'!$BT$5:$BT$1005)&gt;0,SUMIF('Detailed Budget'!$M$5:$M$1005,$C84,'Detailed Budget'!$BT$5:$BT$1005),"")</f>
        <v/>
      </c>
      <c r="W84" s="45" t="str">
        <f>IF(SUMIF('Detailed Budget'!$M$5:$M$1005,$C84,'Detailed Budget'!$BV$5:$BV$1005)&gt;0,SUMIF('Detailed Budget'!$M$5:$M$1005,$C84,'Detailed Budget'!$BV$5:$BV$1005),"")</f>
        <v/>
      </c>
      <c r="X84" s="44" t="str">
        <f t="shared" si="7"/>
        <v/>
      </c>
      <c r="Y84" s="122" t="str">
        <f t="shared" si="8"/>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row>
    <row r="85" spans="2:49" s="35" customFormat="1" x14ac:dyDescent="0.2">
      <c r="B85" s="39" t="str">
        <f t="array" ref="B85">IFERROR(INDEX(RecipientList,MATCH(0,COUNTIF(RecipientList,"&lt;"&amp;RecipientList)-SUM(COUNTIF(RecipientList,B$54:B84)),0)),"")</f>
        <v/>
      </c>
      <c r="C85" s="44" t="str">
        <f t="shared" si="6"/>
        <v/>
      </c>
      <c r="D85" s="44" t="str">
        <f>IF(SUMIF('Detailed Budget'!$M$5:$M$1005,$C85,'Detailed Budget'!$AA$5:$AA$1005)&gt;0,SUMIF('Detailed Budget'!$M$5:$M$1005,$C85,'Detailed Budget'!$AA$5:$AA$1005),"")</f>
        <v/>
      </c>
      <c r="E85" s="44" t="str">
        <f>IF(SUMIF('Detailed Budget'!$M$5:$M$1005,$C85,'Detailed Budget'!$AC$5:$AC$1005)&gt;0,SUMIF('Detailed Budget'!$M$5:$M$1005,$C85,'Detailed Budget'!$AC$5:$AC$1005),"")</f>
        <v/>
      </c>
      <c r="F85" s="44" t="str">
        <f>IF(SUMIF('Detailed Budget'!$M$5:$M$1005,$C85,'Detailed Budget'!$AE$5:$AE$1005)&gt;0,SUMIF('Detailed Budget'!$M$5:$M$1005,$C85,'Detailed Budget'!$AE$5:$AE$1005),"")</f>
        <v/>
      </c>
      <c r="G85" s="44" t="str">
        <f>IF(SUMIF('Detailed Budget'!$M$5:$M$1005,$C85,'Detailed Budget'!$AG$5:$AG$1005)&gt;0,SUMIF('Detailed Budget'!$M$5:$M$1005,$C85,'Detailed Budget'!$AG$5:$AG$1005),"")</f>
        <v/>
      </c>
      <c r="H85" s="45" t="str">
        <f>IF(SUMIF('Detailed Budget'!$M$5:$M$1005,$C85,'Detailed Budget'!$AI$5:$AI$1005)&gt;0,SUMIF('Detailed Budget'!$M$5:$M$1005,$C85,'Detailed Budget'!$AI$5:$AI$1005),"")</f>
        <v/>
      </c>
      <c r="I85" s="44" t="str">
        <f>IF(SUMIF('Detailed Budget'!$M$5:$M$1005,$C85,'Detailed Budget'!$AN$5:$AN$1005)&gt;0,SUMIF('Detailed Budget'!$M$5:$M$1005,$C85,'Detailed Budget'!$AN$5:$AN$1005),"")</f>
        <v/>
      </c>
      <c r="J85" s="44" t="str">
        <f>IF(SUMIF('Detailed Budget'!$M$5:$M$1005,$C85,'Detailed Budget'!$AP$5:$AP$1005)&gt;0,SUMIF('Detailed Budget'!$M$5:$M$1005,$C85,'Detailed Budget'!$AP$5:$AP$1005),"")</f>
        <v/>
      </c>
      <c r="K85" s="44" t="str">
        <f>IF(SUMIF('Detailed Budget'!$M$5:$M$1005,$C85,'Detailed Budget'!$AR$5:$AR$1005)&gt;0,SUMIF('Detailed Budget'!$M$5:$M$1005,$C85,'Detailed Budget'!$AR$5:$AR$1005),"")</f>
        <v/>
      </c>
      <c r="L85" s="44" t="str">
        <f>IF(SUMIF('Detailed Budget'!$M$5:$M$1005,$C85,'Detailed Budget'!$AT$5:$AT$1005)&gt;0,SUMIF('Detailed Budget'!$M$5:$M$1005,$C85,'Detailed Budget'!$AT$5:$AT$1005),"")</f>
        <v/>
      </c>
      <c r="M85" s="45" t="str">
        <f>IF(SUMIF('Detailed Budget'!$M$5:$M$1005,$C85,'Detailed Budget'!$AV$5:$AV$1005)&gt;0,SUMIF('Detailed Budget'!$M$5:$M$1005,$C85,'Detailed Budget'!$AV$5:$AV$1005),"")</f>
        <v/>
      </c>
      <c r="N85" s="44" t="str">
        <f>IF(SUMIF('Detailed Budget'!$M$5:$M$1005,$C85,'Detailed Budget'!$BA$5:$BA$1005)&gt;0,SUMIF('Detailed Budget'!$M$5:$M$1005,$C85,'Detailed Budget'!$BA$5:$BA$1005),"")</f>
        <v/>
      </c>
      <c r="O85" s="44" t="str">
        <f>IF(SUMIF('Detailed Budget'!$M$5:$M$1005,$C85,'Detailed Budget'!$BC$5:$BC$1005)&gt;0,SUMIF('Detailed Budget'!$M$5:$M$1005,$C85,'Detailed Budget'!$BC$5:$BC$1005),"")</f>
        <v/>
      </c>
      <c r="P85" s="44" t="str">
        <f>IF(SUMIF('Detailed Budget'!$M$5:$M$1005,$C85,'Detailed Budget'!$BE$5:$BE$1005)&gt;0,SUMIF('Detailed Budget'!$M$5:$M$1005,$C85,'Detailed Budget'!$BE$5:$BE$1005),"")</f>
        <v/>
      </c>
      <c r="Q85" s="44" t="str">
        <f>IF(SUMIF('Detailed Budget'!$M$5:$M$1005,$C85,'Detailed Budget'!$BG$5:$BG$1005)&gt;0,SUMIF('Detailed Budget'!$M$5:$M$1005,$C85,'Detailed Budget'!$BG$5:$BG$1005),"")</f>
        <v/>
      </c>
      <c r="R85" s="45" t="str">
        <f>IF(SUMIF('Detailed Budget'!$M$5:$M$1005,$C85,'Detailed Budget'!$BI$5:$BI$1005)&gt;0,SUMIF('Detailed Budget'!$M$5:$M$1005,$C85,'Detailed Budget'!$BI$5:$BI$1005),"")</f>
        <v/>
      </c>
      <c r="S85" s="44" t="str">
        <f>IF(SUMIF('Detailed Budget'!$M$5:$M$1005,$C85,'Detailed Budget'!$BN$5:$BN$1005)&gt;0,SUMIF('Detailed Budget'!$M$5:$M$1005,$C85,'Detailed Budget'!$BN$5:$BN$1005),"")</f>
        <v/>
      </c>
      <c r="T85" s="44" t="str">
        <f>IF(SUMIF('Detailed Budget'!$M$5:$M$1005,$C85,'Detailed Budget'!$BP$5:$BP$1005)&gt;0,SUMIF('Detailed Budget'!$M$5:$M$1005,$C85,'Detailed Budget'!$BP$5:$BP$1005),"")</f>
        <v/>
      </c>
      <c r="U85" s="44" t="str">
        <f>IF(SUMIF('Detailed Budget'!$M$5:$M$1005,$C85,'Detailed Budget'!$BR$5:$BR$1005)&gt;0,SUMIF('Detailed Budget'!$M$5:$M$1005,$C85,'Detailed Budget'!$BR$5:$BR$1005),"")</f>
        <v/>
      </c>
      <c r="V85" s="44" t="str">
        <f>IF(SUMIF('Detailed Budget'!$M$5:$M$1005,$C85,'Detailed Budget'!$BT$5:$BT$1005)&gt;0,SUMIF('Detailed Budget'!$M$5:$M$1005,$C85,'Detailed Budget'!$BT$5:$BT$1005),"")</f>
        <v/>
      </c>
      <c r="W85" s="45" t="str">
        <f>IF(SUMIF('Detailed Budget'!$M$5:$M$1005,$C85,'Detailed Budget'!$BV$5:$BV$1005)&gt;0,SUMIF('Detailed Budget'!$M$5:$M$1005,$C85,'Detailed Budget'!$BV$5:$BV$1005),"")</f>
        <v/>
      </c>
      <c r="X85" s="44" t="str">
        <f t="shared" si="7"/>
        <v/>
      </c>
      <c r="Y85" s="122" t="str">
        <f t="shared" si="8"/>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row>
    <row r="86" spans="2:49" s="35" customFormat="1" x14ac:dyDescent="0.2">
      <c r="B86" s="39" t="str">
        <f t="array" ref="B86">IFERROR(INDEX(RecipientList,MATCH(0,COUNTIF(RecipientList,"&lt;"&amp;RecipientList)-SUM(COUNTIF(RecipientList,B$54:B85)),0)),"")</f>
        <v/>
      </c>
      <c r="C86" s="44" t="str">
        <f t="shared" si="6"/>
        <v/>
      </c>
      <c r="D86" s="44" t="str">
        <f>IF(SUMIF('Detailed Budget'!$M$5:$M$1005,$C86,'Detailed Budget'!$AA$5:$AA$1005)&gt;0,SUMIF('Detailed Budget'!$M$5:$M$1005,$C86,'Detailed Budget'!$AA$5:$AA$1005),"")</f>
        <v/>
      </c>
      <c r="E86" s="44" t="str">
        <f>IF(SUMIF('Detailed Budget'!$M$5:$M$1005,$C86,'Detailed Budget'!$AC$5:$AC$1005)&gt;0,SUMIF('Detailed Budget'!$M$5:$M$1005,$C86,'Detailed Budget'!$AC$5:$AC$1005),"")</f>
        <v/>
      </c>
      <c r="F86" s="44" t="str">
        <f>IF(SUMIF('Detailed Budget'!$M$5:$M$1005,$C86,'Detailed Budget'!$AE$5:$AE$1005)&gt;0,SUMIF('Detailed Budget'!$M$5:$M$1005,$C86,'Detailed Budget'!$AE$5:$AE$1005),"")</f>
        <v/>
      </c>
      <c r="G86" s="44" t="str">
        <f>IF(SUMIF('Detailed Budget'!$M$5:$M$1005,$C86,'Detailed Budget'!$AG$5:$AG$1005)&gt;0,SUMIF('Detailed Budget'!$M$5:$M$1005,$C86,'Detailed Budget'!$AG$5:$AG$1005),"")</f>
        <v/>
      </c>
      <c r="H86" s="45" t="str">
        <f>IF(SUMIF('Detailed Budget'!$M$5:$M$1005,$C86,'Detailed Budget'!$AI$5:$AI$1005)&gt;0,SUMIF('Detailed Budget'!$M$5:$M$1005,$C86,'Detailed Budget'!$AI$5:$AI$1005),"")</f>
        <v/>
      </c>
      <c r="I86" s="44" t="str">
        <f>IF(SUMIF('Detailed Budget'!$M$5:$M$1005,$C86,'Detailed Budget'!$AN$5:$AN$1005)&gt;0,SUMIF('Detailed Budget'!$M$5:$M$1005,$C86,'Detailed Budget'!$AN$5:$AN$1005),"")</f>
        <v/>
      </c>
      <c r="J86" s="44" t="str">
        <f>IF(SUMIF('Detailed Budget'!$M$5:$M$1005,$C86,'Detailed Budget'!$AP$5:$AP$1005)&gt;0,SUMIF('Detailed Budget'!$M$5:$M$1005,$C86,'Detailed Budget'!$AP$5:$AP$1005),"")</f>
        <v/>
      </c>
      <c r="K86" s="44" t="str">
        <f>IF(SUMIF('Detailed Budget'!$M$5:$M$1005,$C86,'Detailed Budget'!$AR$5:$AR$1005)&gt;0,SUMIF('Detailed Budget'!$M$5:$M$1005,$C86,'Detailed Budget'!$AR$5:$AR$1005),"")</f>
        <v/>
      </c>
      <c r="L86" s="44" t="str">
        <f>IF(SUMIF('Detailed Budget'!$M$5:$M$1005,$C86,'Detailed Budget'!$AT$5:$AT$1005)&gt;0,SUMIF('Detailed Budget'!$M$5:$M$1005,$C86,'Detailed Budget'!$AT$5:$AT$1005),"")</f>
        <v/>
      </c>
      <c r="M86" s="45" t="str">
        <f>IF(SUMIF('Detailed Budget'!$M$5:$M$1005,$C86,'Detailed Budget'!$AV$5:$AV$1005)&gt;0,SUMIF('Detailed Budget'!$M$5:$M$1005,$C86,'Detailed Budget'!$AV$5:$AV$1005),"")</f>
        <v/>
      </c>
      <c r="N86" s="44" t="str">
        <f>IF(SUMIF('Detailed Budget'!$M$5:$M$1005,$C86,'Detailed Budget'!$BA$5:$BA$1005)&gt;0,SUMIF('Detailed Budget'!$M$5:$M$1005,$C86,'Detailed Budget'!$BA$5:$BA$1005),"")</f>
        <v/>
      </c>
      <c r="O86" s="44" t="str">
        <f>IF(SUMIF('Detailed Budget'!$M$5:$M$1005,$C86,'Detailed Budget'!$BC$5:$BC$1005)&gt;0,SUMIF('Detailed Budget'!$M$5:$M$1005,$C86,'Detailed Budget'!$BC$5:$BC$1005),"")</f>
        <v/>
      </c>
      <c r="P86" s="44" t="str">
        <f>IF(SUMIF('Detailed Budget'!$M$5:$M$1005,$C86,'Detailed Budget'!$BE$5:$BE$1005)&gt;0,SUMIF('Detailed Budget'!$M$5:$M$1005,$C86,'Detailed Budget'!$BE$5:$BE$1005),"")</f>
        <v/>
      </c>
      <c r="Q86" s="44" t="str">
        <f>IF(SUMIF('Detailed Budget'!$M$5:$M$1005,$C86,'Detailed Budget'!$BG$5:$BG$1005)&gt;0,SUMIF('Detailed Budget'!$M$5:$M$1005,$C86,'Detailed Budget'!$BG$5:$BG$1005),"")</f>
        <v/>
      </c>
      <c r="R86" s="45" t="str">
        <f>IF(SUMIF('Detailed Budget'!$M$5:$M$1005,$C86,'Detailed Budget'!$BI$5:$BI$1005)&gt;0,SUMIF('Detailed Budget'!$M$5:$M$1005,$C86,'Detailed Budget'!$BI$5:$BI$1005),"")</f>
        <v/>
      </c>
      <c r="S86" s="44" t="str">
        <f>IF(SUMIF('Detailed Budget'!$M$5:$M$1005,$C86,'Detailed Budget'!$BN$5:$BN$1005)&gt;0,SUMIF('Detailed Budget'!$M$5:$M$1005,$C86,'Detailed Budget'!$BN$5:$BN$1005),"")</f>
        <v/>
      </c>
      <c r="T86" s="44" t="str">
        <f>IF(SUMIF('Detailed Budget'!$M$5:$M$1005,$C86,'Detailed Budget'!$BP$5:$BP$1005)&gt;0,SUMIF('Detailed Budget'!$M$5:$M$1005,$C86,'Detailed Budget'!$BP$5:$BP$1005),"")</f>
        <v/>
      </c>
      <c r="U86" s="44" t="str">
        <f>IF(SUMIF('Detailed Budget'!$M$5:$M$1005,$C86,'Detailed Budget'!$BR$5:$BR$1005)&gt;0,SUMIF('Detailed Budget'!$M$5:$M$1005,$C86,'Detailed Budget'!$BR$5:$BR$1005),"")</f>
        <v/>
      </c>
      <c r="V86" s="44" t="str">
        <f>IF(SUMIF('Detailed Budget'!$M$5:$M$1005,$C86,'Detailed Budget'!$BT$5:$BT$1005)&gt;0,SUMIF('Detailed Budget'!$M$5:$M$1005,$C86,'Detailed Budget'!$BT$5:$BT$1005),"")</f>
        <v/>
      </c>
      <c r="W86" s="45" t="str">
        <f>IF(SUMIF('Detailed Budget'!$M$5:$M$1005,$C86,'Detailed Budget'!$BV$5:$BV$1005)&gt;0,SUMIF('Detailed Budget'!$M$5:$M$1005,$C86,'Detailed Budget'!$BV$5:$BV$1005),"")</f>
        <v/>
      </c>
      <c r="X86" s="44" t="str">
        <f t="shared" si="7"/>
        <v/>
      </c>
      <c r="Y86" s="122" t="str">
        <f t="shared" si="8"/>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row>
    <row r="87" spans="2:49" s="35" customFormat="1" x14ac:dyDescent="0.2">
      <c r="B87" s="39" t="str">
        <f t="array" ref="B87">IFERROR(INDEX(RecipientList,MATCH(0,COUNTIF(RecipientList,"&lt;"&amp;RecipientList)-SUM(COUNTIF(RecipientList,B$54:B86)),0)),"")</f>
        <v/>
      </c>
      <c r="C87" s="44" t="str">
        <f t="shared" si="6"/>
        <v/>
      </c>
      <c r="D87" s="44" t="str">
        <f>IF(SUMIF('Detailed Budget'!$M$5:$M$1005,$C87,'Detailed Budget'!$AA$5:$AA$1005)&gt;0,SUMIF('Detailed Budget'!$M$5:$M$1005,$C87,'Detailed Budget'!$AA$5:$AA$1005),"")</f>
        <v/>
      </c>
      <c r="E87" s="44" t="str">
        <f>IF(SUMIF('Detailed Budget'!$M$5:$M$1005,$C87,'Detailed Budget'!$AC$5:$AC$1005)&gt;0,SUMIF('Detailed Budget'!$M$5:$M$1005,$C87,'Detailed Budget'!$AC$5:$AC$1005),"")</f>
        <v/>
      </c>
      <c r="F87" s="44" t="str">
        <f>IF(SUMIF('Detailed Budget'!$M$5:$M$1005,$C87,'Detailed Budget'!$AE$5:$AE$1005)&gt;0,SUMIF('Detailed Budget'!$M$5:$M$1005,$C87,'Detailed Budget'!$AE$5:$AE$1005),"")</f>
        <v/>
      </c>
      <c r="G87" s="44" t="str">
        <f>IF(SUMIF('Detailed Budget'!$M$5:$M$1005,$C87,'Detailed Budget'!$AG$5:$AG$1005)&gt;0,SUMIF('Detailed Budget'!$M$5:$M$1005,$C87,'Detailed Budget'!$AG$5:$AG$1005),"")</f>
        <v/>
      </c>
      <c r="H87" s="45" t="str">
        <f>IF(SUMIF('Detailed Budget'!$M$5:$M$1005,$C87,'Detailed Budget'!$AI$5:$AI$1005)&gt;0,SUMIF('Detailed Budget'!$M$5:$M$1005,$C87,'Detailed Budget'!$AI$5:$AI$1005),"")</f>
        <v/>
      </c>
      <c r="I87" s="44" t="str">
        <f>IF(SUMIF('Detailed Budget'!$M$5:$M$1005,$C87,'Detailed Budget'!$AN$5:$AN$1005)&gt;0,SUMIF('Detailed Budget'!$M$5:$M$1005,$C87,'Detailed Budget'!$AN$5:$AN$1005),"")</f>
        <v/>
      </c>
      <c r="J87" s="44" t="str">
        <f>IF(SUMIF('Detailed Budget'!$M$5:$M$1005,$C87,'Detailed Budget'!$AP$5:$AP$1005)&gt;0,SUMIF('Detailed Budget'!$M$5:$M$1005,$C87,'Detailed Budget'!$AP$5:$AP$1005),"")</f>
        <v/>
      </c>
      <c r="K87" s="44" t="str">
        <f>IF(SUMIF('Detailed Budget'!$M$5:$M$1005,$C87,'Detailed Budget'!$AR$5:$AR$1005)&gt;0,SUMIF('Detailed Budget'!$M$5:$M$1005,$C87,'Detailed Budget'!$AR$5:$AR$1005),"")</f>
        <v/>
      </c>
      <c r="L87" s="44" t="str">
        <f>IF(SUMIF('Detailed Budget'!$M$5:$M$1005,$C87,'Detailed Budget'!$AT$5:$AT$1005)&gt;0,SUMIF('Detailed Budget'!$M$5:$M$1005,$C87,'Detailed Budget'!$AT$5:$AT$1005),"")</f>
        <v/>
      </c>
      <c r="M87" s="45" t="str">
        <f>IF(SUMIF('Detailed Budget'!$M$5:$M$1005,$C87,'Detailed Budget'!$AV$5:$AV$1005)&gt;0,SUMIF('Detailed Budget'!$M$5:$M$1005,$C87,'Detailed Budget'!$AV$5:$AV$1005),"")</f>
        <v/>
      </c>
      <c r="N87" s="44" t="str">
        <f>IF(SUMIF('Detailed Budget'!$M$5:$M$1005,$C87,'Detailed Budget'!$BA$5:$BA$1005)&gt;0,SUMIF('Detailed Budget'!$M$5:$M$1005,$C87,'Detailed Budget'!$BA$5:$BA$1005),"")</f>
        <v/>
      </c>
      <c r="O87" s="44" t="str">
        <f>IF(SUMIF('Detailed Budget'!$M$5:$M$1005,$C87,'Detailed Budget'!$BC$5:$BC$1005)&gt;0,SUMIF('Detailed Budget'!$M$5:$M$1005,$C87,'Detailed Budget'!$BC$5:$BC$1005),"")</f>
        <v/>
      </c>
      <c r="P87" s="44" t="str">
        <f>IF(SUMIF('Detailed Budget'!$M$5:$M$1005,$C87,'Detailed Budget'!$BE$5:$BE$1005)&gt;0,SUMIF('Detailed Budget'!$M$5:$M$1005,$C87,'Detailed Budget'!$BE$5:$BE$1005),"")</f>
        <v/>
      </c>
      <c r="Q87" s="44" t="str">
        <f>IF(SUMIF('Detailed Budget'!$M$5:$M$1005,$C87,'Detailed Budget'!$BG$5:$BG$1005)&gt;0,SUMIF('Detailed Budget'!$M$5:$M$1005,$C87,'Detailed Budget'!$BG$5:$BG$1005),"")</f>
        <v/>
      </c>
      <c r="R87" s="45" t="str">
        <f>IF(SUMIF('Detailed Budget'!$M$5:$M$1005,$C87,'Detailed Budget'!$BI$5:$BI$1005)&gt;0,SUMIF('Detailed Budget'!$M$5:$M$1005,$C87,'Detailed Budget'!$BI$5:$BI$1005),"")</f>
        <v/>
      </c>
      <c r="S87" s="44" t="str">
        <f>IF(SUMIF('Detailed Budget'!$M$5:$M$1005,$C87,'Detailed Budget'!$BN$5:$BN$1005)&gt;0,SUMIF('Detailed Budget'!$M$5:$M$1005,$C87,'Detailed Budget'!$BN$5:$BN$1005),"")</f>
        <v/>
      </c>
      <c r="T87" s="44" t="str">
        <f>IF(SUMIF('Detailed Budget'!$M$5:$M$1005,$C87,'Detailed Budget'!$BP$5:$BP$1005)&gt;0,SUMIF('Detailed Budget'!$M$5:$M$1005,$C87,'Detailed Budget'!$BP$5:$BP$1005),"")</f>
        <v/>
      </c>
      <c r="U87" s="44" t="str">
        <f>IF(SUMIF('Detailed Budget'!$M$5:$M$1005,$C87,'Detailed Budget'!$BR$5:$BR$1005)&gt;0,SUMIF('Detailed Budget'!$M$5:$M$1005,$C87,'Detailed Budget'!$BR$5:$BR$1005),"")</f>
        <v/>
      </c>
      <c r="V87" s="44" t="str">
        <f>IF(SUMIF('Detailed Budget'!$M$5:$M$1005,$C87,'Detailed Budget'!$BT$5:$BT$1005)&gt;0,SUMIF('Detailed Budget'!$M$5:$M$1005,$C87,'Detailed Budget'!$BT$5:$BT$1005),"")</f>
        <v/>
      </c>
      <c r="W87" s="45" t="str">
        <f>IF(SUMIF('Detailed Budget'!$M$5:$M$1005,$C87,'Detailed Budget'!$BV$5:$BV$1005)&gt;0,SUMIF('Detailed Budget'!$M$5:$M$1005,$C87,'Detailed Budget'!$BV$5:$BV$1005),"")</f>
        <v/>
      </c>
      <c r="X87" s="44" t="str">
        <f t="shared" si="7"/>
        <v/>
      </c>
      <c r="Y87" s="122" t="str">
        <f t="shared" si="8"/>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row>
    <row r="88" spans="2:49" s="35" customFormat="1" x14ac:dyDescent="0.2">
      <c r="B88" s="39" t="str">
        <f t="array" ref="B88">IFERROR(INDEX(RecipientList,MATCH(0,COUNTIF(RecipientList,"&lt;"&amp;RecipientList)-SUM(COUNTIF(RecipientList,B$54:B87)),0)),"")</f>
        <v/>
      </c>
      <c r="C88" s="44" t="str">
        <f t="shared" si="6"/>
        <v/>
      </c>
      <c r="D88" s="44" t="str">
        <f>IF(SUMIF('Detailed Budget'!$M$5:$M$1005,$C88,'Detailed Budget'!$AA$5:$AA$1005)&gt;0,SUMIF('Detailed Budget'!$M$5:$M$1005,$C88,'Detailed Budget'!$AA$5:$AA$1005),"")</f>
        <v/>
      </c>
      <c r="E88" s="44" t="str">
        <f>IF(SUMIF('Detailed Budget'!$M$5:$M$1005,$C88,'Detailed Budget'!$AC$5:$AC$1005)&gt;0,SUMIF('Detailed Budget'!$M$5:$M$1005,$C88,'Detailed Budget'!$AC$5:$AC$1005),"")</f>
        <v/>
      </c>
      <c r="F88" s="44" t="str">
        <f>IF(SUMIF('Detailed Budget'!$M$5:$M$1005,$C88,'Detailed Budget'!$AE$5:$AE$1005)&gt;0,SUMIF('Detailed Budget'!$M$5:$M$1005,$C88,'Detailed Budget'!$AE$5:$AE$1005),"")</f>
        <v/>
      </c>
      <c r="G88" s="44" t="str">
        <f>IF(SUMIF('Detailed Budget'!$M$5:$M$1005,$C88,'Detailed Budget'!$AG$5:$AG$1005)&gt;0,SUMIF('Detailed Budget'!$M$5:$M$1005,$C88,'Detailed Budget'!$AG$5:$AG$1005),"")</f>
        <v/>
      </c>
      <c r="H88" s="45" t="str">
        <f>IF(SUMIF('Detailed Budget'!$M$5:$M$1005,$C88,'Detailed Budget'!$AI$5:$AI$1005)&gt;0,SUMIF('Detailed Budget'!$M$5:$M$1005,$C88,'Detailed Budget'!$AI$5:$AI$1005),"")</f>
        <v/>
      </c>
      <c r="I88" s="44" t="str">
        <f>IF(SUMIF('Detailed Budget'!$M$5:$M$1005,$C88,'Detailed Budget'!$AN$5:$AN$1005)&gt;0,SUMIF('Detailed Budget'!$M$5:$M$1005,$C88,'Detailed Budget'!$AN$5:$AN$1005),"")</f>
        <v/>
      </c>
      <c r="J88" s="44" t="str">
        <f>IF(SUMIF('Detailed Budget'!$M$5:$M$1005,$C88,'Detailed Budget'!$AP$5:$AP$1005)&gt;0,SUMIF('Detailed Budget'!$M$5:$M$1005,$C88,'Detailed Budget'!$AP$5:$AP$1005),"")</f>
        <v/>
      </c>
      <c r="K88" s="44" t="str">
        <f>IF(SUMIF('Detailed Budget'!$M$5:$M$1005,$C88,'Detailed Budget'!$AR$5:$AR$1005)&gt;0,SUMIF('Detailed Budget'!$M$5:$M$1005,$C88,'Detailed Budget'!$AR$5:$AR$1005),"")</f>
        <v/>
      </c>
      <c r="L88" s="44" t="str">
        <f>IF(SUMIF('Detailed Budget'!$M$5:$M$1005,$C88,'Detailed Budget'!$AT$5:$AT$1005)&gt;0,SUMIF('Detailed Budget'!$M$5:$M$1005,$C88,'Detailed Budget'!$AT$5:$AT$1005),"")</f>
        <v/>
      </c>
      <c r="M88" s="45" t="str">
        <f>IF(SUMIF('Detailed Budget'!$M$5:$M$1005,$C88,'Detailed Budget'!$AV$5:$AV$1005)&gt;0,SUMIF('Detailed Budget'!$M$5:$M$1005,$C88,'Detailed Budget'!$AV$5:$AV$1005),"")</f>
        <v/>
      </c>
      <c r="N88" s="44" t="str">
        <f>IF(SUMIF('Detailed Budget'!$M$5:$M$1005,$C88,'Detailed Budget'!$BA$5:$BA$1005)&gt;0,SUMIF('Detailed Budget'!$M$5:$M$1005,$C88,'Detailed Budget'!$BA$5:$BA$1005),"")</f>
        <v/>
      </c>
      <c r="O88" s="44" t="str">
        <f>IF(SUMIF('Detailed Budget'!$M$5:$M$1005,$C88,'Detailed Budget'!$BC$5:$BC$1005)&gt;0,SUMIF('Detailed Budget'!$M$5:$M$1005,$C88,'Detailed Budget'!$BC$5:$BC$1005),"")</f>
        <v/>
      </c>
      <c r="P88" s="44" t="str">
        <f>IF(SUMIF('Detailed Budget'!$M$5:$M$1005,$C88,'Detailed Budget'!$BE$5:$BE$1005)&gt;0,SUMIF('Detailed Budget'!$M$5:$M$1005,$C88,'Detailed Budget'!$BE$5:$BE$1005),"")</f>
        <v/>
      </c>
      <c r="Q88" s="44" t="str">
        <f>IF(SUMIF('Detailed Budget'!$M$5:$M$1005,$C88,'Detailed Budget'!$BG$5:$BG$1005)&gt;0,SUMIF('Detailed Budget'!$M$5:$M$1005,$C88,'Detailed Budget'!$BG$5:$BG$1005),"")</f>
        <v/>
      </c>
      <c r="R88" s="45" t="str">
        <f>IF(SUMIF('Detailed Budget'!$M$5:$M$1005,$C88,'Detailed Budget'!$BI$5:$BI$1005)&gt;0,SUMIF('Detailed Budget'!$M$5:$M$1005,$C88,'Detailed Budget'!$BI$5:$BI$1005),"")</f>
        <v/>
      </c>
      <c r="S88" s="44" t="str">
        <f>IF(SUMIF('Detailed Budget'!$M$5:$M$1005,$C88,'Detailed Budget'!$BN$5:$BN$1005)&gt;0,SUMIF('Detailed Budget'!$M$5:$M$1005,$C88,'Detailed Budget'!$BN$5:$BN$1005),"")</f>
        <v/>
      </c>
      <c r="T88" s="44" t="str">
        <f>IF(SUMIF('Detailed Budget'!$M$5:$M$1005,$C88,'Detailed Budget'!$BP$5:$BP$1005)&gt;0,SUMIF('Detailed Budget'!$M$5:$M$1005,$C88,'Detailed Budget'!$BP$5:$BP$1005),"")</f>
        <v/>
      </c>
      <c r="U88" s="44" t="str">
        <f>IF(SUMIF('Detailed Budget'!$M$5:$M$1005,$C88,'Detailed Budget'!$BR$5:$BR$1005)&gt;0,SUMIF('Detailed Budget'!$M$5:$M$1005,$C88,'Detailed Budget'!$BR$5:$BR$1005),"")</f>
        <v/>
      </c>
      <c r="V88" s="44" t="str">
        <f>IF(SUMIF('Detailed Budget'!$M$5:$M$1005,$C88,'Detailed Budget'!$BT$5:$BT$1005)&gt;0,SUMIF('Detailed Budget'!$M$5:$M$1005,$C88,'Detailed Budget'!$BT$5:$BT$1005),"")</f>
        <v/>
      </c>
      <c r="W88" s="45" t="str">
        <f>IF(SUMIF('Detailed Budget'!$M$5:$M$1005,$C88,'Detailed Budget'!$BV$5:$BV$1005)&gt;0,SUMIF('Detailed Budget'!$M$5:$M$1005,$C88,'Detailed Budget'!$BV$5:$BV$1005),"")</f>
        <v/>
      </c>
      <c r="X88" s="44" t="str">
        <f t="shared" si="7"/>
        <v/>
      </c>
      <c r="Y88" s="122" t="str">
        <f t="shared" si="8"/>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row>
    <row r="89" spans="2:49" s="35" customFormat="1" x14ac:dyDescent="0.2">
      <c r="B89" s="39" t="str">
        <f t="array" ref="B89">IFERROR(INDEX(RecipientList,MATCH(0,COUNTIF(RecipientList,"&lt;"&amp;RecipientList)-SUM(COUNTIF(RecipientList,B$54:B88)),0)),"")</f>
        <v/>
      </c>
      <c r="C89" s="44" t="str">
        <f t="shared" si="6"/>
        <v/>
      </c>
      <c r="D89" s="44" t="str">
        <f>IF(SUMIF('Detailed Budget'!$M$5:$M$1005,$C89,'Detailed Budget'!$AA$5:$AA$1005)&gt;0,SUMIF('Detailed Budget'!$M$5:$M$1005,$C89,'Detailed Budget'!$AA$5:$AA$1005),"")</f>
        <v/>
      </c>
      <c r="E89" s="44" t="str">
        <f>IF(SUMIF('Detailed Budget'!$M$5:$M$1005,$C89,'Detailed Budget'!$AC$5:$AC$1005)&gt;0,SUMIF('Detailed Budget'!$M$5:$M$1005,$C89,'Detailed Budget'!$AC$5:$AC$1005),"")</f>
        <v/>
      </c>
      <c r="F89" s="44" t="str">
        <f>IF(SUMIF('Detailed Budget'!$M$5:$M$1005,$C89,'Detailed Budget'!$AE$5:$AE$1005)&gt;0,SUMIF('Detailed Budget'!$M$5:$M$1005,$C89,'Detailed Budget'!$AE$5:$AE$1005),"")</f>
        <v/>
      </c>
      <c r="G89" s="44" t="str">
        <f>IF(SUMIF('Detailed Budget'!$M$5:$M$1005,$C89,'Detailed Budget'!$AG$5:$AG$1005)&gt;0,SUMIF('Detailed Budget'!$M$5:$M$1005,$C89,'Detailed Budget'!$AG$5:$AG$1005),"")</f>
        <v/>
      </c>
      <c r="H89" s="45" t="str">
        <f>IF(SUMIF('Detailed Budget'!$M$5:$M$1005,$C89,'Detailed Budget'!$AI$5:$AI$1005)&gt;0,SUMIF('Detailed Budget'!$M$5:$M$1005,$C89,'Detailed Budget'!$AI$5:$AI$1005),"")</f>
        <v/>
      </c>
      <c r="I89" s="44" t="str">
        <f>IF(SUMIF('Detailed Budget'!$M$5:$M$1005,$C89,'Detailed Budget'!$AN$5:$AN$1005)&gt;0,SUMIF('Detailed Budget'!$M$5:$M$1005,$C89,'Detailed Budget'!$AN$5:$AN$1005),"")</f>
        <v/>
      </c>
      <c r="J89" s="44" t="str">
        <f>IF(SUMIF('Detailed Budget'!$M$5:$M$1005,$C89,'Detailed Budget'!$AP$5:$AP$1005)&gt;0,SUMIF('Detailed Budget'!$M$5:$M$1005,$C89,'Detailed Budget'!$AP$5:$AP$1005),"")</f>
        <v/>
      </c>
      <c r="K89" s="44" t="str">
        <f>IF(SUMIF('Detailed Budget'!$M$5:$M$1005,$C89,'Detailed Budget'!$AR$5:$AR$1005)&gt;0,SUMIF('Detailed Budget'!$M$5:$M$1005,$C89,'Detailed Budget'!$AR$5:$AR$1005),"")</f>
        <v/>
      </c>
      <c r="L89" s="44" t="str">
        <f>IF(SUMIF('Detailed Budget'!$M$5:$M$1005,$C89,'Detailed Budget'!$AT$5:$AT$1005)&gt;0,SUMIF('Detailed Budget'!$M$5:$M$1005,$C89,'Detailed Budget'!$AT$5:$AT$1005),"")</f>
        <v/>
      </c>
      <c r="M89" s="45" t="str">
        <f>IF(SUMIF('Detailed Budget'!$M$5:$M$1005,$C89,'Detailed Budget'!$AV$5:$AV$1005)&gt;0,SUMIF('Detailed Budget'!$M$5:$M$1005,$C89,'Detailed Budget'!$AV$5:$AV$1005),"")</f>
        <v/>
      </c>
      <c r="N89" s="44" t="str">
        <f>IF(SUMIF('Detailed Budget'!$M$5:$M$1005,$C89,'Detailed Budget'!$BA$5:$BA$1005)&gt;0,SUMIF('Detailed Budget'!$M$5:$M$1005,$C89,'Detailed Budget'!$BA$5:$BA$1005),"")</f>
        <v/>
      </c>
      <c r="O89" s="44" t="str">
        <f>IF(SUMIF('Detailed Budget'!$M$5:$M$1005,$C89,'Detailed Budget'!$BC$5:$BC$1005)&gt;0,SUMIF('Detailed Budget'!$M$5:$M$1005,$C89,'Detailed Budget'!$BC$5:$BC$1005),"")</f>
        <v/>
      </c>
      <c r="P89" s="44" t="str">
        <f>IF(SUMIF('Detailed Budget'!$M$5:$M$1005,$C89,'Detailed Budget'!$BE$5:$BE$1005)&gt;0,SUMIF('Detailed Budget'!$M$5:$M$1005,$C89,'Detailed Budget'!$BE$5:$BE$1005),"")</f>
        <v/>
      </c>
      <c r="Q89" s="44" t="str">
        <f>IF(SUMIF('Detailed Budget'!$M$5:$M$1005,$C89,'Detailed Budget'!$BG$5:$BG$1005)&gt;0,SUMIF('Detailed Budget'!$M$5:$M$1005,$C89,'Detailed Budget'!$BG$5:$BG$1005),"")</f>
        <v/>
      </c>
      <c r="R89" s="45" t="str">
        <f>IF(SUMIF('Detailed Budget'!$M$5:$M$1005,$C89,'Detailed Budget'!$BI$5:$BI$1005)&gt;0,SUMIF('Detailed Budget'!$M$5:$M$1005,$C89,'Detailed Budget'!$BI$5:$BI$1005),"")</f>
        <v/>
      </c>
      <c r="S89" s="44" t="str">
        <f>IF(SUMIF('Detailed Budget'!$M$5:$M$1005,$C89,'Detailed Budget'!$BN$5:$BN$1005)&gt;0,SUMIF('Detailed Budget'!$M$5:$M$1005,$C89,'Detailed Budget'!$BN$5:$BN$1005),"")</f>
        <v/>
      </c>
      <c r="T89" s="44" t="str">
        <f>IF(SUMIF('Detailed Budget'!$M$5:$M$1005,$C89,'Detailed Budget'!$BP$5:$BP$1005)&gt;0,SUMIF('Detailed Budget'!$M$5:$M$1005,$C89,'Detailed Budget'!$BP$5:$BP$1005),"")</f>
        <v/>
      </c>
      <c r="U89" s="44" t="str">
        <f>IF(SUMIF('Detailed Budget'!$M$5:$M$1005,$C89,'Detailed Budget'!$BR$5:$BR$1005)&gt;0,SUMIF('Detailed Budget'!$M$5:$M$1005,$C89,'Detailed Budget'!$BR$5:$BR$1005),"")</f>
        <v/>
      </c>
      <c r="V89" s="44" t="str">
        <f>IF(SUMIF('Detailed Budget'!$M$5:$M$1005,$C89,'Detailed Budget'!$BT$5:$BT$1005)&gt;0,SUMIF('Detailed Budget'!$M$5:$M$1005,$C89,'Detailed Budget'!$BT$5:$BT$1005),"")</f>
        <v/>
      </c>
      <c r="W89" s="45" t="str">
        <f>IF(SUMIF('Detailed Budget'!$M$5:$M$1005,$C89,'Detailed Budget'!$BV$5:$BV$1005)&gt;0,SUMIF('Detailed Budget'!$M$5:$M$1005,$C89,'Detailed Budget'!$BV$5:$BV$1005),"")</f>
        <v/>
      </c>
      <c r="X89" s="44" t="str">
        <f t="shared" si="7"/>
        <v/>
      </c>
      <c r="Y89" s="122" t="str">
        <f t="shared" si="8"/>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row>
    <row r="90" spans="2:49" s="35" customFormat="1" x14ac:dyDescent="0.2">
      <c r="B90" s="39" t="str">
        <f t="array" ref="B90">IFERROR(INDEX(RecipientList,MATCH(0,COUNTIF(RecipientList,"&lt;"&amp;RecipientList)-SUM(COUNTIF(RecipientList,B$54:B89)),0)),"")</f>
        <v/>
      </c>
      <c r="C90" s="44" t="str">
        <f t="shared" si="6"/>
        <v/>
      </c>
      <c r="D90" s="44" t="str">
        <f>IF(SUMIF('Detailed Budget'!$M$5:$M$1005,$C90,'Detailed Budget'!$AA$5:$AA$1005)&gt;0,SUMIF('Detailed Budget'!$M$5:$M$1005,$C90,'Detailed Budget'!$AA$5:$AA$1005),"")</f>
        <v/>
      </c>
      <c r="E90" s="44" t="str">
        <f>IF(SUMIF('Detailed Budget'!$M$5:$M$1005,$C90,'Detailed Budget'!$AC$5:$AC$1005)&gt;0,SUMIF('Detailed Budget'!$M$5:$M$1005,$C90,'Detailed Budget'!$AC$5:$AC$1005),"")</f>
        <v/>
      </c>
      <c r="F90" s="44" t="str">
        <f>IF(SUMIF('Detailed Budget'!$M$5:$M$1005,$C90,'Detailed Budget'!$AE$5:$AE$1005)&gt;0,SUMIF('Detailed Budget'!$M$5:$M$1005,$C90,'Detailed Budget'!$AE$5:$AE$1005),"")</f>
        <v/>
      </c>
      <c r="G90" s="44" t="str">
        <f>IF(SUMIF('Detailed Budget'!$M$5:$M$1005,$C90,'Detailed Budget'!$AG$5:$AG$1005)&gt;0,SUMIF('Detailed Budget'!$M$5:$M$1005,$C90,'Detailed Budget'!$AG$5:$AG$1005),"")</f>
        <v/>
      </c>
      <c r="H90" s="45" t="str">
        <f>IF(SUMIF('Detailed Budget'!$M$5:$M$1005,$C90,'Detailed Budget'!$AI$5:$AI$1005)&gt;0,SUMIF('Detailed Budget'!$M$5:$M$1005,$C90,'Detailed Budget'!$AI$5:$AI$1005),"")</f>
        <v/>
      </c>
      <c r="I90" s="44" t="str">
        <f>IF(SUMIF('Detailed Budget'!$M$5:$M$1005,$C90,'Detailed Budget'!$AN$5:$AN$1005)&gt;0,SUMIF('Detailed Budget'!$M$5:$M$1005,$C90,'Detailed Budget'!$AN$5:$AN$1005),"")</f>
        <v/>
      </c>
      <c r="J90" s="44" t="str">
        <f>IF(SUMIF('Detailed Budget'!$M$5:$M$1005,$C90,'Detailed Budget'!$AP$5:$AP$1005)&gt;0,SUMIF('Detailed Budget'!$M$5:$M$1005,$C90,'Detailed Budget'!$AP$5:$AP$1005),"")</f>
        <v/>
      </c>
      <c r="K90" s="44" t="str">
        <f>IF(SUMIF('Detailed Budget'!$M$5:$M$1005,$C90,'Detailed Budget'!$AR$5:$AR$1005)&gt;0,SUMIF('Detailed Budget'!$M$5:$M$1005,$C90,'Detailed Budget'!$AR$5:$AR$1005),"")</f>
        <v/>
      </c>
      <c r="L90" s="44" t="str">
        <f>IF(SUMIF('Detailed Budget'!$M$5:$M$1005,$C90,'Detailed Budget'!$AT$5:$AT$1005)&gt;0,SUMIF('Detailed Budget'!$M$5:$M$1005,$C90,'Detailed Budget'!$AT$5:$AT$1005),"")</f>
        <v/>
      </c>
      <c r="M90" s="45" t="str">
        <f>IF(SUMIF('Detailed Budget'!$M$5:$M$1005,$C90,'Detailed Budget'!$AV$5:$AV$1005)&gt;0,SUMIF('Detailed Budget'!$M$5:$M$1005,$C90,'Detailed Budget'!$AV$5:$AV$1005),"")</f>
        <v/>
      </c>
      <c r="N90" s="44" t="str">
        <f>IF(SUMIF('Detailed Budget'!$M$5:$M$1005,$C90,'Detailed Budget'!$BA$5:$BA$1005)&gt;0,SUMIF('Detailed Budget'!$M$5:$M$1005,$C90,'Detailed Budget'!$BA$5:$BA$1005),"")</f>
        <v/>
      </c>
      <c r="O90" s="44" t="str">
        <f>IF(SUMIF('Detailed Budget'!$M$5:$M$1005,$C90,'Detailed Budget'!$BC$5:$BC$1005)&gt;0,SUMIF('Detailed Budget'!$M$5:$M$1005,$C90,'Detailed Budget'!$BC$5:$BC$1005),"")</f>
        <v/>
      </c>
      <c r="P90" s="44" t="str">
        <f>IF(SUMIF('Detailed Budget'!$M$5:$M$1005,$C90,'Detailed Budget'!$BE$5:$BE$1005)&gt;0,SUMIF('Detailed Budget'!$M$5:$M$1005,$C90,'Detailed Budget'!$BE$5:$BE$1005),"")</f>
        <v/>
      </c>
      <c r="Q90" s="44" t="str">
        <f>IF(SUMIF('Detailed Budget'!$M$5:$M$1005,$C90,'Detailed Budget'!$BG$5:$BG$1005)&gt;0,SUMIF('Detailed Budget'!$M$5:$M$1005,$C90,'Detailed Budget'!$BG$5:$BG$1005),"")</f>
        <v/>
      </c>
      <c r="R90" s="45" t="str">
        <f>IF(SUMIF('Detailed Budget'!$M$5:$M$1005,$C90,'Detailed Budget'!$BI$5:$BI$1005)&gt;0,SUMIF('Detailed Budget'!$M$5:$M$1005,$C90,'Detailed Budget'!$BI$5:$BI$1005),"")</f>
        <v/>
      </c>
      <c r="S90" s="44" t="str">
        <f>IF(SUMIF('Detailed Budget'!$M$5:$M$1005,$C90,'Detailed Budget'!$BN$5:$BN$1005)&gt;0,SUMIF('Detailed Budget'!$M$5:$M$1005,$C90,'Detailed Budget'!$BN$5:$BN$1005),"")</f>
        <v/>
      </c>
      <c r="T90" s="44" t="str">
        <f>IF(SUMIF('Detailed Budget'!$M$5:$M$1005,$C90,'Detailed Budget'!$BP$5:$BP$1005)&gt;0,SUMIF('Detailed Budget'!$M$5:$M$1005,$C90,'Detailed Budget'!$BP$5:$BP$1005),"")</f>
        <v/>
      </c>
      <c r="U90" s="44" t="str">
        <f>IF(SUMIF('Detailed Budget'!$M$5:$M$1005,$C90,'Detailed Budget'!$BR$5:$BR$1005)&gt;0,SUMIF('Detailed Budget'!$M$5:$M$1005,$C90,'Detailed Budget'!$BR$5:$BR$1005),"")</f>
        <v/>
      </c>
      <c r="V90" s="44" t="str">
        <f>IF(SUMIF('Detailed Budget'!$M$5:$M$1005,$C90,'Detailed Budget'!$BT$5:$BT$1005)&gt;0,SUMIF('Detailed Budget'!$M$5:$M$1005,$C90,'Detailed Budget'!$BT$5:$BT$1005),"")</f>
        <v/>
      </c>
      <c r="W90" s="45" t="str">
        <f>IF(SUMIF('Detailed Budget'!$M$5:$M$1005,$C90,'Detailed Budget'!$BV$5:$BV$1005)&gt;0,SUMIF('Detailed Budget'!$M$5:$M$1005,$C90,'Detailed Budget'!$BV$5:$BV$1005),"")</f>
        <v/>
      </c>
      <c r="X90" s="44" t="str">
        <f t="shared" si="7"/>
        <v/>
      </c>
      <c r="Y90" s="122" t="str">
        <f t="shared" si="8"/>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row>
    <row r="91" spans="2:49" s="35" customFormat="1" x14ac:dyDescent="0.2">
      <c r="B91" s="39" t="str">
        <f t="array" ref="B91">IFERROR(INDEX(RecipientList,MATCH(0,COUNTIF(RecipientList,"&lt;"&amp;RecipientList)-SUM(COUNTIF(RecipientList,B$54:B90)),0)),"")</f>
        <v/>
      </c>
      <c r="C91" s="44" t="str">
        <f t="shared" si="6"/>
        <v/>
      </c>
      <c r="D91" s="44" t="str">
        <f>IF(SUMIF('Detailed Budget'!$M$5:$M$1005,$C91,'Detailed Budget'!$AA$5:$AA$1005)&gt;0,SUMIF('Detailed Budget'!$M$5:$M$1005,$C91,'Detailed Budget'!$AA$5:$AA$1005),"")</f>
        <v/>
      </c>
      <c r="E91" s="44" t="str">
        <f>IF(SUMIF('Detailed Budget'!$M$5:$M$1005,$C91,'Detailed Budget'!$AC$5:$AC$1005)&gt;0,SUMIF('Detailed Budget'!$M$5:$M$1005,$C91,'Detailed Budget'!$AC$5:$AC$1005),"")</f>
        <v/>
      </c>
      <c r="F91" s="44" t="str">
        <f>IF(SUMIF('Detailed Budget'!$M$5:$M$1005,$C91,'Detailed Budget'!$AE$5:$AE$1005)&gt;0,SUMIF('Detailed Budget'!$M$5:$M$1005,$C91,'Detailed Budget'!$AE$5:$AE$1005),"")</f>
        <v/>
      </c>
      <c r="G91" s="44" t="str">
        <f>IF(SUMIF('Detailed Budget'!$M$5:$M$1005,$C91,'Detailed Budget'!$AG$5:$AG$1005)&gt;0,SUMIF('Detailed Budget'!$M$5:$M$1005,$C91,'Detailed Budget'!$AG$5:$AG$1005),"")</f>
        <v/>
      </c>
      <c r="H91" s="45" t="str">
        <f>IF(SUMIF('Detailed Budget'!$M$5:$M$1005,$C91,'Detailed Budget'!$AI$5:$AI$1005)&gt;0,SUMIF('Detailed Budget'!$M$5:$M$1005,$C91,'Detailed Budget'!$AI$5:$AI$1005),"")</f>
        <v/>
      </c>
      <c r="I91" s="44" t="str">
        <f>IF(SUMIF('Detailed Budget'!$M$5:$M$1005,$C91,'Detailed Budget'!$AN$5:$AN$1005)&gt;0,SUMIF('Detailed Budget'!$M$5:$M$1005,$C91,'Detailed Budget'!$AN$5:$AN$1005),"")</f>
        <v/>
      </c>
      <c r="J91" s="44" t="str">
        <f>IF(SUMIF('Detailed Budget'!$M$5:$M$1005,$C91,'Detailed Budget'!$AP$5:$AP$1005)&gt;0,SUMIF('Detailed Budget'!$M$5:$M$1005,$C91,'Detailed Budget'!$AP$5:$AP$1005),"")</f>
        <v/>
      </c>
      <c r="K91" s="44" t="str">
        <f>IF(SUMIF('Detailed Budget'!$M$5:$M$1005,$C91,'Detailed Budget'!$AR$5:$AR$1005)&gt;0,SUMIF('Detailed Budget'!$M$5:$M$1005,$C91,'Detailed Budget'!$AR$5:$AR$1005),"")</f>
        <v/>
      </c>
      <c r="L91" s="44" t="str">
        <f>IF(SUMIF('Detailed Budget'!$M$5:$M$1005,$C91,'Detailed Budget'!$AT$5:$AT$1005)&gt;0,SUMIF('Detailed Budget'!$M$5:$M$1005,$C91,'Detailed Budget'!$AT$5:$AT$1005),"")</f>
        <v/>
      </c>
      <c r="M91" s="45" t="str">
        <f>IF(SUMIF('Detailed Budget'!$M$5:$M$1005,$C91,'Detailed Budget'!$AV$5:$AV$1005)&gt;0,SUMIF('Detailed Budget'!$M$5:$M$1005,$C91,'Detailed Budget'!$AV$5:$AV$1005),"")</f>
        <v/>
      </c>
      <c r="N91" s="44" t="str">
        <f>IF(SUMIF('Detailed Budget'!$M$5:$M$1005,$C91,'Detailed Budget'!$BA$5:$BA$1005)&gt;0,SUMIF('Detailed Budget'!$M$5:$M$1005,$C91,'Detailed Budget'!$BA$5:$BA$1005),"")</f>
        <v/>
      </c>
      <c r="O91" s="44" t="str">
        <f>IF(SUMIF('Detailed Budget'!$M$5:$M$1005,$C91,'Detailed Budget'!$BC$5:$BC$1005)&gt;0,SUMIF('Detailed Budget'!$M$5:$M$1005,$C91,'Detailed Budget'!$BC$5:$BC$1005),"")</f>
        <v/>
      </c>
      <c r="P91" s="44" t="str">
        <f>IF(SUMIF('Detailed Budget'!$M$5:$M$1005,$C91,'Detailed Budget'!$BE$5:$BE$1005)&gt;0,SUMIF('Detailed Budget'!$M$5:$M$1005,$C91,'Detailed Budget'!$BE$5:$BE$1005),"")</f>
        <v/>
      </c>
      <c r="Q91" s="44" t="str">
        <f>IF(SUMIF('Detailed Budget'!$M$5:$M$1005,$C91,'Detailed Budget'!$BG$5:$BG$1005)&gt;0,SUMIF('Detailed Budget'!$M$5:$M$1005,$C91,'Detailed Budget'!$BG$5:$BG$1005),"")</f>
        <v/>
      </c>
      <c r="R91" s="45" t="str">
        <f>IF(SUMIF('Detailed Budget'!$M$5:$M$1005,$C91,'Detailed Budget'!$BI$5:$BI$1005)&gt;0,SUMIF('Detailed Budget'!$M$5:$M$1005,$C91,'Detailed Budget'!$BI$5:$BI$1005),"")</f>
        <v/>
      </c>
      <c r="S91" s="44" t="str">
        <f>IF(SUMIF('Detailed Budget'!$M$5:$M$1005,$C91,'Detailed Budget'!$BN$5:$BN$1005)&gt;0,SUMIF('Detailed Budget'!$M$5:$M$1005,$C91,'Detailed Budget'!$BN$5:$BN$1005),"")</f>
        <v/>
      </c>
      <c r="T91" s="44" t="str">
        <f>IF(SUMIF('Detailed Budget'!$M$5:$M$1005,$C91,'Detailed Budget'!$BP$5:$BP$1005)&gt;0,SUMIF('Detailed Budget'!$M$5:$M$1005,$C91,'Detailed Budget'!$BP$5:$BP$1005),"")</f>
        <v/>
      </c>
      <c r="U91" s="44" t="str">
        <f>IF(SUMIF('Detailed Budget'!$M$5:$M$1005,$C91,'Detailed Budget'!$BR$5:$BR$1005)&gt;0,SUMIF('Detailed Budget'!$M$5:$M$1005,$C91,'Detailed Budget'!$BR$5:$BR$1005),"")</f>
        <v/>
      </c>
      <c r="V91" s="44" t="str">
        <f>IF(SUMIF('Detailed Budget'!$M$5:$M$1005,$C91,'Detailed Budget'!$BT$5:$BT$1005)&gt;0,SUMIF('Detailed Budget'!$M$5:$M$1005,$C91,'Detailed Budget'!$BT$5:$BT$1005),"")</f>
        <v/>
      </c>
      <c r="W91" s="45" t="str">
        <f>IF(SUMIF('Detailed Budget'!$M$5:$M$1005,$C91,'Detailed Budget'!$BV$5:$BV$1005)&gt;0,SUMIF('Detailed Budget'!$M$5:$M$1005,$C91,'Detailed Budget'!$BV$5:$BV$1005),"")</f>
        <v/>
      </c>
      <c r="X91" s="44" t="str">
        <f t="shared" si="7"/>
        <v/>
      </c>
      <c r="Y91" s="122" t="str">
        <f t="shared" si="8"/>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row>
    <row r="92" spans="2:49" s="35" customFormat="1" x14ac:dyDescent="0.2">
      <c r="B92" s="39" t="str">
        <f t="array" ref="B92">IFERROR(INDEX(RecipientList,MATCH(0,COUNTIF(RecipientList,"&lt;"&amp;RecipientList)-SUM(COUNTIF(RecipientList,B$54:B91)),0)),"")</f>
        <v/>
      </c>
      <c r="C92" s="44" t="str">
        <f t="shared" si="6"/>
        <v/>
      </c>
      <c r="D92" s="44" t="str">
        <f>IF(SUMIF('Detailed Budget'!$M$5:$M$1005,$C92,'Detailed Budget'!$AA$5:$AA$1005)&gt;0,SUMIF('Detailed Budget'!$M$5:$M$1005,$C92,'Detailed Budget'!$AA$5:$AA$1005),"")</f>
        <v/>
      </c>
      <c r="E92" s="44" t="str">
        <f>IF(SUMIF('Detailed Budget'!$M$5:$M$1005,$C92,'Detailed Budget'!$AC$5:$AC$1005)&gt;0,SUMIF('Detailed Budget'!$M$5:$M$1005,$C92,'Detailed Budget'!$AC$5:$AC$1005),"")</f>
        <v/>
      </c>
      <c r="F92" s="44" t="str">
        <f>IF(SUMIF('Detailed Budget'!$M$5:$M$1005,$C92,'Detailed Budget'!$AE$5:$AE$1005)&gt;0,SUMIF('Detailed Budget'!$M$5:$M$1005,$C92,'Detailed Budget'!$AE$5:$AE$1005),"")</f>
        <v/>
      </c>
      <c r="G92" s="44" t="str">
        <f>IF(SUMIF('Detailed Budget'!$M$5:$M$1005,$C92,'Detailed Budget'!$AG$5:$AG$1005)&gt;0,SUMIF('Detailed Budget'!$M$5:$M$1005,$C92,'Detailed Budget'!$AG$5:$AG$1005),"")</f>
        <v/>
      </c>
      <c r="H92" s="45" t="str">
        <f>IF(SUMIF('Detailed Budget'!$M$5:$M$1005,$C92,'Detailed Budget'!$AI$5:$AI$1005)&gt;0,SUMIF('Detailed Budget'!$M$5:$M$1005,$C92,'Detailed Budget'!$AI$5:$AI$1005),"")</f>
        <v/>
      </c>
      <c r="I92" s="44" t="str">
        <f>IF(SUMIF('Detailed Budget'!$M$5:$M$1005,$C92,'Detailed Budget'!$AN$5:$AN$1005)&gt;0,SUMIF('Detailed Budget'!$M$5:$M$1005,$C92,'Detailed Budget'!$AN$5:$AN$1005),"")</f>
        <v/>
      </c>
      <c r="J92" s="44" t="str">
        <f>IF(SUMIF('Detailed Budget'!$M$5:$M$1005,$C92,'Detailed Budget'!$AP$5:$AP$1005)&gt;0,SUMIF('Detailed Budget'!$M$5:$M$1005,$C92,'Detailed Budget'!$AP$5:$AP$1005),"")</f>
        <v/>
      </c>
      <c r="K92" s="44" t="str">
        <f>IF(SUMIF('Detailed Budget'!$M$5:$M$1005,$C92,'Detailed Budget'!$AR$5:$AR$1005)&gt;0,SUMIF('Detailed Budget'!$M$5:$M$1005,$C92,'Detailed Budget'!$AR$5:$AR$1005),"")</f>
        <v/>
      </c>
      <c r="L92" s="44" t="str">
        <f>IF(SUMIF('Detailed Budget'!$M$5:$M$1005,$C92,'Detailed Budget'!$AT$5:$AT$1005)&gt;0,SUMIF('Detailed Budget'!$M$5:$M$1005,$C92,'Detailed Budget'!$AT$5:$AT$1005),"")</f>
        <v/>
      </c>
      <c r="M92" s="45" t="str">
        <f>IF(SUMIF('Detailed Budget'!$M$5:$M$1005,$C92,'Detailed Budget'!$AV$5:$AV$1005)&gt;0,SUMIF('Detailed Budget'!$M$5:$M$1005,$C92,'Detailed Budget'!$AV$5:$AV$1005),"")</f>
        <v/>
      </c>
      <c r="N92" s="44" t="str">
        <f>IF(SUMIF('Detailed Budget'!$M$5:$M$1005,$C92,'Detailed Budget'!$BA$5:$BA$1005)&gt;0,SUMIF('Detailed Budget'!$M$5:$M$1005,$C92,'Detailed Budget'!$BA$5:$BA$1005),"")</f>
        <v/>
      </c>
      <c r="O92" s="44" t="str">
        <f>IF(SUMIF('Detailed Budget'!$M$5:$M$1005,$C92,'Detailed Budget'!$BC$5:$BC$1005)&gt;0,SUMIF('Detailed Budget'!$M$5:$M$1005,$C92,'Detailed Budget'!$BC$5:$BC$1005),"")</f>
        <v/>
      </c>
      <c r="P92" s="44" t="str">
        <f>IF(SUMIF('Detailed Budget'!$M$5:$M$1005,$C92,'Detailed Budget'!$BE$5:$BE$1005)&gt;0,SUMIF('Detailed Budget'!$M$5:$M$1005,$C92,'Detailed Budget'!$BE$5:$BE$1005),"")</f>
        <v/>
      </c>
      <c r="Q92" s="44" t="str">
        <f>IF(SUMIF('Detailed Budget'!$M$5:$M$1005,$C92,'Detailed Budget'!$BG$5:$BG$1005)&gt;0,SUMIF('Detailed Budget'!$M$5:$M$1005,$C92,'Detailed Budget'!$BG$5:$BG$1005),"")</f>
        <v/>
      </c>
      <c r="R92" s="45" t="str">
        <f>IF(SUMIF('Detailed Budget'!$M$5:$M$1005,$C92,'Detailed Budget'!$BI$5:$BI$1005)&gt;0,SUMIF('Detailed Budget'!$M$5:$M$1005,$C92,'Detailed Budget'!$BI$5:$BI$1005),"")</f>
        <v/>
      </c>
      <c r="S92" s="44" t="str">
        <f>IF(SUMIF('Detailed Budget'!$M$5:$M$1005,$C92,'Detailed Budget'!$BN$5:$BN$1005)&gt;0,SUMIF('Detailed Budget'!$M$5:$M$1005,$C92,'Detailed Budget'!$BN$5:$BN$1005),"")</f>
        <v/>
      </c>
      <c r="T92" s="44" t="str">
        <f>IF(SUMIF('Detailed Budget'!$M$5:$M$1005,$C92,'Detailed Budget'!$BP$5:$BP$1005)&gt;0,SUMIF('Detailed Budget'!$M$5:$M$1005,$C92,'Detailed Budget'!$BP$5:$BP$1005),"")</f>
        <v/>
      </c>
      <c r="U92" s="44" t="str">
        <f>IF(SUMIF('Detailed Budget'!$M$5:$M$1005,$C92,'Detailed Budget'!$BR$5:$BR$1005)&gt;0,SUMIF('Detailed Budget'!$M$5:$M$1005,$C92,'Detailed Budget'!$BR$5:$BR$1005),"")</f>
        <v/>
      </c>
      <c r="V92" s="44" t="str">
        <f>IF(SUMIF('Detailed Budget'!$M$5:$M$1005,$C92,'Detailed Budget'!$BT$5:$BT$1005)&gt;0,SUMIF('Detailed Budget'!$M$5:$M$1005,$C92,'Detailed Budget'!$BT$5:$BT$1005),"")</f>
        <v/>
      </c>
      <c r="W92" s="45" t="str">
        <f>IF(SUMIF('Detailed Budget'!$M$5:$M$1005,$C92,'Detailed Budget'!$BV$5:$BV$1005)&gt;0,SUMIF('Detailed Budget'!$M$5:$M$1005,$C92,'Detailed Budget'!$BV$5:$BV$1005),"")</f>
        <v/>
      </c>
      <c r="X92" s="44" t="str">
        <f t="shared" si="7"/>
        <v/>
      </c>
      <c r="Y92" s="122" t="str">
        <f t="shared" si="8"/>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row>
    <row r="93" spans="2:49" s="35" customFormat="1" x14ac:dyDescent="0.2">
      <c r="B93" s="39" t="str">
        <f t="array" ref="B93">IFERROR(INDEX(RecipientList,MATCH(0,COUNTIF(RecipientList,"&lt;"&amp;RecipientList)-SUM(COUNTIF(RecipientList,B$54:B92)),0)),"")</f>
        <v/>
      </c>
      <c r="C93" s="44" t="str">
        <f t="shared" si="6"/>
        <v/>
      </c>
      <c r="D93" s="44" t="str">
        <f>IF(SUMIF('Detailed Budget'!$M$5:$M$1005,$C93,'Detailed Budget'!$AA$5:$AA$1005)&gt;0,SUMIF('Detailed Budget'!$M$5:$M$1005,$C93,'Detailed Budget'!$AA$5:$AA$1005),"")</f>
        <v/>
      </c>
      <c r="E93" s="44" t="str">
        <f>IF(SUMIF('Detailed Budget'!$M$5:$M$1005,$C93,'Detailed Budget'!$AC$5:$AC$1005)&gt;0,SUMIF('Detailed Budget'!$M$5:$M$1005,$C93,'Detailed Budget'!$AC$5:$AC$1005),"")</f>
        <v/>
      </c>
      <c r="F93" s="44" t="str">
        <f>IF(SUMIF('Detailed Budget'!$M$5:$M$1005,$C93,'Detailed Budget'!$AE$5:$AE$1005)&gt;0,SUMIF('Detailed Budget'!$M$5:$M$1005,$C93,'Detailed Budget'!$AE$5:$AE$1005),"")</f>
        <v/>
      </c>
      <c r="G93" s="44" t="str">
        <f>IF(SUMIF('Detailed Budget'!$M$5:$M$1005,$C93,'Detailed Budget'!$AG$5:$AG$1005)&gt;0,SUMIF('Detailed Budget'!$M$5:$M$1005,$C93,'Detailed Budget'!$AG$5:$AG$1005),"")</f>
        <v/>
      </c>
      <c r="H93" s="45" t="str">
        <f>IF(SUMIF('Detailed Budget'!$M$5:$M$1005,$C93,'Detailed Budget'!$AI$5:$AI$1005)&gt;0,SUMIF('Detailed Budget'!$M$5:$M$1005,$C93,'Detailed Budget'!$AI$5:$AI$1005),"")</f>
        <v/>
      </c>
      <c r="I93" s="44" t="str">
        <f>IF(SUMIF('Detailed Budget'!$M$5:$M$1005,$C93,'Detailed Budget'!$AN$5:$AN$1005)&gt;0,SUMIF('Detailed Budget'!$M$5:$M$1005,$C93,'Detailed Budget'!$AN$5:$AN$1005),"")</f>
        <v/>
      </c>
      <c r="J93" s="44" t="str">
        <f>IF(SUMIF('Detailed Budget'!$M$5:$M$1005,$C93,'Detailed Budget'!$AP$5:$AP$1005)&gt;0,SUMIF('Detailed Budget'!$M$5:$M$1005,$C93,'Detailed Budget'!$AP$5:$AP$1005),"")</f>
        <v/>
      </c>
      <c r="K93" s="44" t="str">
        <f>IF(SUMIF('Detailed Budget'!$M$5:$M$1005,$C93,'Detailed Budget'!$AR$5:$AR$1005)&gt;0,SUMIF('Detailed Budget'!$M$5:$M$1005,$C93,'Detailed Budget'!$AR$5:$AR$1005),"")</f>
        <v/>
      </c>
      <c r="L93" s="44" t="str">
        <f>IF(SUMIF('Detailed Budget'!$M$5:$M$1005,$C93,'Detailed Budget'!$AT$5:$AT$1005)&gt;0,SUMIF('Detailed Budget'!$M$5:$M$1005,$C93,'Detailed Budget'!$AT$5:$AT$1005),"")</f>
        <v/>
      </c>
      <c r="M93" s="45" t="str">
        <f>IF(SUMIF('Detailed Budget'!$M$5:$M$1005,$C93,'Detailed Budget'!$AV$5:$AV$1005)&gt;0,SUMIF('Detailed Budget'!$M$5:$M$1005,$C93,'Detailed Budget'!$AV$5:$AV$1005),"")</f>
        <v/>
      </c>
      <c r="N93" s="44" t="str">
        <f>IF(SUMIF('Detailed Budget'!$M$5:$M$1005,$C93,'Detailed Budget'!$BA$5:$BA$1005)&gt;0,SUMIF('Detailed Budget'!$M$5:$M$1005,$C93,'Detailed Budget'!$BA$5:$BA$1005),"")</f>
        <v/>
      </c>
      <c r="O93" s="44" t="str">
        <f>IF(SUMIF('Detailed Budget'!$M$5:$M$1005,$C93,'Detailed Budget'!$BC$5:$BC$1005)&gt;0,SUMIF('Detailed Budget'!$M$5:$M$1005,$C93,'Detailed Budget'!$BC$5:$BC$1005),"")</f>
        <v/>
      </c>
      <c r="P93" s="44" t="str">
        <f>IF(SUMIF('Detailed Budget'!$M$5:$M$1005,$C93,'Detailed Budget'!$BE$5:$BE$1005)&gt;0,SUMIF('Detailed Budget'!$M$5:$M$1005,$C93,'Detailed Budget'!$BE$5:$BE$1005),"")</f>
        <v/>
      </c>
      <c r="Q93" s="44" t="str">
        <f>IF(SUMIF('Detailed Budget'!$M$5:$M$1005,$C93,'Detailed Budget'!$BG$5:$BG$1005)&gt;0,SUMIF('Detailed Budget'!$M$5:$M$1005,$C93,'Detailed Budget'!$BG$5:$BG$1005),"")</f>
        <v/>
      </c>
      <c r="R93" s="45" t="str">
        <f>IF(SUMIF('Detailed Budget'!$M$5:$M$1005,$C93,'Detailed Budget'!$BI$5:$BI$1005)&gt;0,SUMIF('Detailed Budget'!$M$5:$M$1005,$C93,'Detailed Budget'!$BI$5:$BI$1005),"")</f>
        <v/>
      </c>
      <c r="S93" s="44" t="str">
        <f>IF(SUMIF('Detailed Budget'!$M$5:$M$1005,$C93,'Detailed Budget'!$BN$5:$BN$1005)&gt;0,SUMIF('Detailed Budget'!$M$5:$M$1005,$C93,'Detailed Budget'!$BN$5:$BN$1005),"")</f>
        <v/>
      </c>
      <c r="T93" s="44" t="str">
        <f>IF(SUMIF('Detailed Budget'!$M$5:$M$1005,$C93,'Detailed Budget'!$BP$5:$BP$1005)&gt;0,SUMIF('Detailed Budget'!$M$5:$M$1005,$C93,'Detailed Budget'!$BP$5:$BP$1005),"")</f>
        <v/>
      </c>
      <c r="U93" s="44" t="str">
        <f>IF(SUMIF('Detailed Budget'!$M$5:$M$1005,$C93,'Detailed Budget'!$BR$5:$BR$1005)&gt;0,SUMIF('Detailed Budget'!$M$5:$M$1005,$C93,'Detailed Budget'!$BR$5:$BR$1005),"")</f>
        <v/>
      </c>
      <c r="V93" s="44" t="str">
        <f>IF(SUMIF('Detailed Budget'!$M$5:$M$1005,$C93,'Detailed Budget'!$BT$5:$BT$1005)&gt;0,SUMIF('Detailed Budget'!$M$5:$M$1005,$C93,'Detailed Budget'!$BT$5:$BT$1005),"")</f>
        <v/>
      </c>
      <c r="W93" s="45" t="str">
        <f>IF(SUMIF('Detailed Budget'!$M$5:$M$1005,$C93,'Detailed Budget'!$BV$5:$BV$1005)&gt;0,SUMIF('Detailed Budget'!$M$5:$M$1005,$C93,'Detailed Budget'!$BV$5:$BV$1005),"")</f>
        <v/>
      </c>
      <c r="X93" s="44" t="str">
        <f t="shared" si="7"/>
        <v/>
      </c>
      <c r="Y93" s="122" t="str">
        <f t="shared" si="8"/>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row>
    <row r="94" spans="2:49" s="35" customFormat="1" x14ac:dyDescent="0.2">
      <c r="B94" s="39" t="str">
        <f t="array" ref="B94">IFERROR(INDEX(RecipientList,MATCH(0,COUNTIF(RecipientList,"&lt;"&amp;RecipientList)-SUM(COUNTIF(RecipientList,B$54:B93)),0)),"")</f>
        <v/>
      </c>
      <c r="C94" s="44" t="str">
        <f t="shared" si="6"/>
        <v/>
      </c>
      <c r="D94" s="44" t="str">
        <f>IF(SUMIF('Detailed Budget'!$M$5:$M$1005,$C94,'Detailed Budget'!$AA$5:$AA$1005)&gt;0,SUMIF('Detailed Budget'!$M$5:$M$1005,$C94,'Detailed Budget'!$AA$5:$AA$1005),"")</f>
        <v/>
      </c>
      <c r="E94" s="44" t="str">
        <f>IF(SUMIF('Detailed Budget'!$M$5:$M$1005,$C94,'Detailed Budget'!$AC$5:$AC$1005)&gt;0,SUMIF('Detailed Budget'!$M$5:$M$1005,$C94,'Detailed Budget'!$AC$5:$AC$1005),"")</f>
        <v/>
      </c>
      <c r="F94" s="44" t="str">
        <f>IF(SUMIF('Detailed Budget'!$M$5:$M$1005,$C94,'Detailed Budget'!$AE$5:$AE$1005)&gt;0,SUMIF('Detailed Budget'!$M$5:$M$1005,$C94,'Detailed Budget'!$AE$5:$AE$1005),"")</f>
        <v/>
      </c>
      <c r="G94" s="44" t="str">
        <f>IF(SUMIF('Detailed Budget'!$M$5:$M$1005,$C94,'Detailed Budget'!$AG$5:$AG$1005)&gt;0,SUMIF('Detailed Budget'!$M$5:$M$1005,$C94,'Detailed Budget'!$AG$5:$AG$1005),"")</f>
        <v/>
      </c>
      <c r="H94" s="45" t="str">
        <f>IF(SUMIF('Detailed Budget'!$M$5:$M$1005,$C94,'Detailed Budget'!$AI$5:$AI$1005)&gt;0,SUMIF('Detailed Budget'!$M$5:$M$1005,$C94,'Detailed Budget'!$AI$5:$AI$1005),"")</f>
        <v/>
      </c>
      <c r="I94" s="44" t="str">
        <f>IF(SUMIF('Detailed Budget'!$M$5:$M$1005,$C94,'Detailed Budget'!$AN$5:$AN$1005)&gt;0,SUMIF('Detailed Budget'!$M$5:$M$1005,$C94,'Detailed Budget'!$AN$5:$AN$1005),"")</f>
        <v/>
      </c>
      <c r="J94" s="44" t="str">
        <f>IF(SUMIF('Detailed Budget'!$M$5:$M$1005,$C94,'Detailed Budget'!$AP$5:$AP$1005)&gt;0,SUMIF('Detailed Budget'!$M$5:$M$1005,$C94,'Detailed Budget'!$AP$5:$AP$1005),"")</f>
        <v/>
      </c>
      <c r="K94" s="44" t="str">
        <f>IF(SUMIF('Detailed Budget'!$M$5:$M$1005,$C94,'Detailed Budget'!$AR$5:$AR$1005)&gt;0,SUMIF('Detailed Budget'!$M$5:$M$1005,$C94,'Detailed Budget'!$AR$5:$AR$1005),"")</f>
        <v/>
      </c>
      <c r="L94" s="44" t="str">
        <f>IF(SUMIF('Detailed Budget'!$M$5:$M$1005,$C94,'Detailed Budget'!$AT$5:$AT$1005)&gt;0,SUMIF('Detailed Budget'!$M$5:$M$1005,$C94,'Detailed Budget'!$AT$5:$AT$1005),"")</f>
        <v/>
      </c>
      <c r="M94" s="45" t="str">
        <f>IF(SUMIF('Detailed Budget'!$M$5:$M$1005,$C94,'Detailed Budget'!$AV$5:$AV$1005)&gt;0,SUMIF('Detailed Budget'!$M$5:$M$1005,$C94,'Detailed Budget'!$AV$5:$AV$1005),"")</f>
        <v/>
      </c>
      <c r="N94" s="44" t="str">
        <f>IF(SUMIF('Detailed Budget'!$M$5:$M$1005,$C94,'Detailed Budget'!$BA$5:$BA$1005)&gt;0,SUMIF('Detailed Budget'!$M$5:$M$1005,$C94,'Detailed Budget'!$BA$5:$BA$1005),"")</f>
        <v/>
      </c>
      <c r="O94" s="44" t="str">
        <f>IF(SUMIF('Detailed Budget'!$M$5:$M$1005,$C94,'Detailed Budget'!$BC$5:$BC$1005)&gt;0,SUMIF('Detailed Budget'!$M$5:$M$1005,$C94,'Detailed Budget'!$BC$5:$BC$1005),"")</f>
        <v/>
      </c>
      <c r="P94" s="44" t="str">
        <f>IF(SUMIF('Detailed Budget'!$M$5:$M$1005,$C94,'Detailed Budget'!$BE$5:$BE$1005)&gt;0,SUMIF('Detailed Budget'!$M$5:$M$1005,$C94,'Detailed Budget'!$BE$5:$BE$1005),"")</f>
        <v/>
      </c>
      <c r="Q94" s="44" t="str">
        <f>IF(SUMIF('Detailed Budget'!$M$5:$M$1005,$C94,'Detailed Budget'!$BG$5:$BG$1005)&gt;0,SUMIF('Detailed Budget'!$M$5:$M$1005,$C94,'Detailed Budget'!$BG$5:$BG$1005),"")</f>
        <v/>
      </c>
      <c r="R94" s="45" t="str">
        <f>IF(SUMIF('Detailed Budget'!$M$5:$M$1005,$C94,'Detailed Budget'!$BI$5:$BI$1005)&gt;0,SUMIF('Detailed Budget'!$M$5:$M$1005,$C94,'Detailed Budget'!$BI$5:$BI$1005),"")</f>
        <v/>
      </c>
      <c r="S94" s="44" t="str">
        <f>IF(SUMIF('Detailed Budget'!$M$5:$M$1005,$C94,'Detailed Budget'!$BN$5:$BN$1005)&gt;0,SUMIF('Detailed Budget'!$M$5:$M$1005,$C94,'Detailed Budget'!$BN$5:$BN$1005),"")</f>
        <v/>
      </c>
      <c r="T94" s="44" t="str">
        <f>IF(SUMIF('Detailed Budget'!$M$5:$M$1005,$C94,'Detailed Budget'!$BP$5:$BP$1005)&gt;0,SUMIF('Detailed Budget'!$M$5:$M$1005,$C94,'Detailed Budget'!$BP$5:$BP$1005),"")</f>
        <v/>
      </c>
      <c r="U94" s="44" t="str">
        <f>IF(SUMIF('Detailed Budget'!$M$5:$M$1005,$C94,'Detailed Budget'!$BR$5:$BR$1005)&gt;0,SUMIF('Detailed Budget'!$M$5:$M$1005,$C94,'Detailed Budget'!$BR$5:$BR$1005),"")</f>
        <v/>
      </c>
      <c r="V94" s="44" t="str">
        <f>IF(SUMIF('Detailed Budget'!$M$5:$M$1005,$C94,'Detailed Budget'!$BT$5:$BT$1005)&gt;0,SUMIF('Detailed Budget'!$M$5:$M$1005,$C94,'Detailed Budget'!$BT$5:$BT$1005),"")</f>
        <v/>
      </c>
      <c r="W94" s="45" t="str">
        <f>IF(SUMIF('Detailed Budget'!$M$5:$M$1005,$C94,'Detailed Budget'!$BV$5:$BV$1005)&gt;0,SUMIF('Detailed Budget'!$M$5:$M$1005,$C94,'Detailed Budget'!$BV$5:$BV$1005),"")</f>
        <v/>
      </c>
      <c r="X94" s="44" t="str">
        <f t="shared" si="7"/>
        <v/>
      </c>
      <c r="Y94" s="122" t="str">
        <f t="shared" si="8"/>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row>
    <row r="95" spans="2:49" s="35" customFormat="1" x14ac:dyDescent="0.2">
      <c r="C95" s="46" t="str">
        <f ca="1">Translations!A$174</f>
        <v>Total</v>
      </c>
      <c r="D95" s="47">
        <f t="shared" ref="D95:W95" si="9">IF(SUM(D55:D94)&gt;0,SUM(D55:D94),"")</f>
        <v>1451516.5496134602</v>
      </c>
      <c r="E95" s="47">
        <f t="shared" si="9"/>
        <v>294720.31315088738</v>
      </c>
      <c r="F95" s="47">
        <f t="shared" si="9"/>
        <v>217075.38567376207</v>
      </c>
      <c r="G95" s="47">
        <f t="shared" si="9"/>
        <v>283621.58501355274</v>
      </c>
      <c r="H95" s="48">
        <f t="shared" si="9"/>
        <v>2246933.8334516622</v>
      </c>
      <c r="I95" s="47">
        <f t="shared" si="9"/>
        <v>1460333.3750126862</v>
      </c>
      <c r="J95" s="47">
        <f t="shared" si="9"/>
        <v>276858.99165088742</v>
      </c>
      <c r="K95" s="47">
        <f t="shared" si="9"/>
        <v>208593.54817376207</v>
      </c>
      <c r="L95" s="47">
        <f t="shared" si="9"/>
        <v>284139.74751355272</v>
      </c>
      <c r="M95" s="48">
        <f t="shared" si="9"/>
        <v>2229925.6623508884</v>
      </c>
      <c r="N95" s="47">
        <f t="shared" si="9"/>
        <v>1486191.8176191491</v>
      </c>
      <c r="O95" s="47">
        <f t="shared" si="9"/>
        <v>500118.16648696346</v>
      </c>
      <c r="P95" s="47">
        <f t="shared" si="9"/>
        <v>218121.76317376204</v>
      </c>
      <c r="Q95" s="47">
        <f t="shared" si="9"/>
        <v>250358.46326418841</v>
      </c>
      <c r="R95" s="48">
        <f t="shared" si="9"/>
        <v>2454790.2105440632</v>
      </c>
      <c r="S95" s="47" t="str">
        <f t="shared" si="9"/>
        <v/>
      </c>
      <c r="T95" s="47" t="str">
        <f t="shared" si="9"/>
        <v/>
      </c>
      <c r="U95" s="47" t="str">
        <f t="shared" si="9"/>
        <v/>
      </c>
      <c r="V95" s="47" t="str">
        <f t="shared" si="9"/>
        <v/>
      </c>
      <c r="W95" s="48" t="str">
        <f t="shared" si="9"/>
        <v/>
      </c>
      <c r="X95" s="47">
        <f>IF(SUM(H95,M95,R95,W95)&gt;0,SUM(H95,M95,R95,W95),"")</f>
        <v>6931649.7063466143</v>
      </c>
      <c r="Y95" s="122">
        <f t="shared" si="8"/>
        <v>1</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row>
    <row r="96" spans="2:49" s="35" customFormat="1" x14ac:dyDescent="0.2">
      <c r="D96" s="36"/>
      <c r="E96" s="36"/>
      <c r="F96" s="36"/>
      <c r="G96" s="36"/>
      <c r="H96" s="36"/>
      <c r="I96" s="36"/>
      <c r="J96" s="36"/>
      <c r="K96" s="36"/>
      <c r="L96" s="36"/>
      <c r="M96" s="36"/>
      <c r="N96" s="36"/>
      <c r="O96" s="36"/>
      <c r="P96" s="36"/>
      <c r="Q96" s="36"/>
      <c r="R96" s="36"/>
      <c r="S96" s="36"/>
      <c r="T96" s="36"/>
      <c r="U96" s="36"/>
      <c r="V96" s="36"/>
      <c r="W96" s="36"/>
      <c r="X96" s="36"/>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row>
    <row r="97" spans="4:49" s="35" customFormat="1" x14ac:dyDescent="0.2">
      <c r="D97" s="36"/>
      <c r="E97" s="36"/>
      <c r="F97" s="36"/>
      <c r="G97" s="36"/>
      <c r="H97" s="36"/>
      <c r="I97" s="36"/>
      <c r="J97" s="36"/>
      <c r="K97" s="36"/>
      <c r="L97" s="36"/>
      <c r="M97" s="36"/>
      <c r="N97" s="36"/>
      <c r="O97" s="36"/>
      <c r="P97" s="36"/>
      <c r="Q97" s="36"/>
      <c r="R97" s="36"/>
      <c r="S97" s="36"/>
      <c r="T97" s="36"/>
      <c r="U97" s="36"/>
      <c r="V97" s="36"/>
      <c r="W97" s="36"/>
      <c r="X97" s="36"/>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row>
    <row r="98" spans="4:49" s="35" customFormat="1" x14ac:dyDescent="0.2">
      <c r="D98" s="36"/>
      <c r="E98" s="36"/>
      <c r="F98" s="36"/>
      <c r="G98" s="36"/>
      <c r="H98" s="36"/>
      <c r="I98" s="36"/>
      <c r="J98" s="36"/>
      <c r="K98" s="36"/>
      <c r="L98" s="36"/>
      <c r="M98" s="36"/>
      <c r="N98" s="36"/>
      <c r="O98" s="36"/>
      <c r="P98" s="36"/>
      <c r="Q98" s="36"/>
      <c r="R98" s="36"/>
      <c r="S98" s="36"/>
      <c r="T98" s="36"/>
      <c r="U98" s="36"/>
      <c r="V98" s="36"/>
      <c r="W98" s="36"/>
      <c r="X98" s="36"/>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row>
    <row r="99" spans="4:49" s="35" customFormat="1" x14ac:dyDescent="0.2">
      <c r="D99" s="36"/>
      <c r="E99" s="36"/>
      <c r="F99" s="36"/>
      <c r="G99" s="36"/>
      <c r="H99" s="36"/>
      <c r="I99" s="36"/>
      <c r="J99" s="36"/>
      <c r="K99" s="36"/>
      <c r="L99" s="36"/>
      <c r="M99" s="36"/>
      <c r="N99" s="36"/>
      <c r="O99" s="36"/>
      <c r="P99" s="36"/>
      <c r="Q99" s="36"/>
      <c r="R99" s="36"/>
      <c r="S99" s="36"/>
      <c r="T99" s="36"/>
      <c r="U99" s="36"/>
      <c r="V99" s="36"/>
      <c r="W99" s="36"/>
      <c r="X99" s="36"/>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row>
    <row r="100" spans="4:49" s="35" customFormat="1" x14ac:dyDescent="0.2">
      <c r="D100" s="36"/>
      <c r="E100" s="36"/>
      <c r="F100" s="36"/>
      <c r="G100" s="36"/>
      <c r="H100" s="36"/>
      <c r="I100" s="36"/>
      <c r="J100" s="36"/>
      <c r="K100" s="36"/>
      <c r="L100" s="36"/>
      <c r="M100" s="36"/>
      <c r="N100" s="36"/>
      <c r="O100" s="36"/>
      <c r="P100" s="36"/>
      <c r="Q100" s="36"/>
      <c r="R100" s="36"/>
      <c r="S100" s="36"/>
      <c r="T100" s="36"/>
      <c r="U100" s="36"/>
      <c r="V100" s="36"/>
      <c r="W100" s="36"/>
      <c r="X100" s="36"/>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row>
    <row r="101" spans="4:49" s="35" customFormat="1" x14ac:dyDescent="0.2">
      <c r="D101" s="36"/>
      <c r="E101" s="36"/>
      <c r="F101" s="36"/>
      <c r="G101" s="36"/>
      <c r="H101" s="36"/>
      <c r="I101" s="36"/>
      <c r="J101" s="36"/>
      <c r="K101" s="36"/>
      <c r="L101" s="36"/>
      <c r="M101" s="36"/>
      <c r="N101" s="36"/>
      <c r="O101" s="36"/>
      <c r="P101" s="36"/>
      <c r="Q101" s="36"/>
      <c r="R101" s="36"/>
      <c r="S101" s="36"/>
      <c r="T101" s="36"/>
      <c r="U101" s="36"/>
      <c r="V101" s="36"/>
      <c r="W101" s="36"/>
      <c r="X101" s="36"/>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row>
    <row r="102" spans="4:49" s="35" customFormat="1" x14ac:dyDescent="0.2">
      <c r="D102" s="36"/>
      <c r="E102" s="36"/>
      <c r="F102" s="36"/>
      <c r="G102" s="36"/>
      <c r="H102" s="36"/>
      <c r="I102" s="36"/>
      <c r="J102" s="36"/>
      <c r="K102" s="36"/>
      <c r="L102" s="36"/>
      <c r="M102" s="36"/>
      <c r="N102" s="36"/>
      <c r="O102" s="36"/>
      <c r="P102" s="36"/>
      <c r="Q102" s="36"/>
      <c r="R102" s="36"/>
      <c r="S102" s="36"/>
      <c r="T102" s="36"/>
      <c r="U102" s="36"/>
      <c r="V102" s="36"/>
      <c r="W102" s="36"/>
      <c r="X102" s="36"/>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row>
    <row r="103" spans="4:49" s="35" customFormat="1" x14ac:dyDescent="0.2">
      <c r="D103" s="36"/>
      <c r="E103" s="36"/>
      <c r="F103" s="36"/>
      <c r="G103" s="36"/>
      <c r="H103" s="36"/>
      <c r="I103" s="36"/>
      <c r="J103" s="36"/>
      <c r="K103" s="36"/>
      <c r="L103" s="36"/>
      <c r="M103" s="36"/>
      <c r="N103" s="36"/>
      <c r="O103" s="36"/>
      <c r="P103" s="36"/>
      <c r="Q103" s="36"/>
      <c r="R103" s="36"/>
      <c r="S103" s="36"/>
      <c r="T103" s="36"/>
      <c r="U103" s="36"/>
      <c r="V103" s="36"/>
      <c r="W103" s="36"/>
      <c r="X103" s="36"/>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row>
    <row r="104" spans="4:49" s="35" customFormat="1" x14ac:dyDescent="0.2">
      <c r="D104" s="36"/>
      <c r="E104" s="36"/>
      <c r="F104" s="36"/>
      <c r="G104" s="36"/>
      <c r="H104" s="36"/>
      <c r="I104" s="36"/>
      <c r="J104" s="36"/>
      <c r="K104" s="36"/>
      <c r="L104" s="36"/>
      <c r="M104" s="36"/>
      <c r="N104" s="36"/>
      <c r="O104" s="36"/>
      <c r="P104" s="36"/>
      <c r="Q104" s="36"/>
      <c r="R104" s="36"/>
      <c r="S104" s="36"/>
      <c r="T104" s="36"/>
      <c r="U104" s="36"/>
      <c r="V104" s="36"/>
      <c r="W104" s="36"/>
      <c r="X104" s="36"/>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row>
    <row r="105" spans="4:49" s="35" customFormat="1" x14ac:dyDescent="0.2">
      <c r="D105" s="36"/>
      <c r="E105" s="36"/>
      <c r="F105" s="36"/>
      <c r="G105" s="36"/>
      <c r="H105" s="36"/>
      <c r="I105" s="36"/>
      <c r="J105" s="36"/>
      <c r="K105" s="36"/>
      <c r="L105" s="36"/>
      <c r="M105" s="36"/>
      <c r="N105" s="36"/>
      <c r="O105" s="36"/>
      <c r="P105" s="36"/>
      <c r="Q105" s="36"/>
      <c r="R105" s="36"/>
      <c r="S105" s="36"/>
      <c r="T105" s="36"/>
      <c r="U105" s="36"/>
      <c r="V105" s="36"/>
      <c r="W105" s="36"/>
      <c r="X105" s="36"/>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row>
    <row r="106" spans="4:49" s="35" customFormat="1" x14ac:dyDescent="0.2">
      <c r="D106" s="36"/>
      <c r="E106" s="36"/>
      <c r="F106" s="36"/>
      <c r="G106" s="36"/>
      <c r="H106" s="36"/>
      <c r="I106" s="36"/>
      <c r="J106" s="36"/>
      <c r="K106" s="36"/>
      <c r="L106" s="36"/>
      <c r="M106" s="36"/>
      <c r="N106" s="36"/>
      <c r="O106" s="36"/>
      <c r="P106" s="36"/>
      <c r="Q106" s="36"/>
      <c r="R106" s="36"/>
      <c r="S106" s="36"/>
      <c r="T106" s="36"/>
      <c r="U106" s="36"/>
      <c r="V106" s="36"/>
      <c r="W106" s="36"/>
      <c r="X106" s="36"/>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row>
    <row r="107" spans="4:49" s="35" customFormat="1" x14ac:dyDescent="0.2">
      <c r="D107" s="36"/>
      <c r="E107" s="36"/>
      <c r="F107" s="36"/>
      <c r="G107" s="36"/>
      <c r="H107" s="36"/>
      <c r="I107" s="36"/>
      <c r="J107" s="36"/>
      <c r="K107" s="36"/>
      <c r="L107" s="36"/>
      <c r="M107" s="36"/>
      <c r="N107" s="36"/>
      <c r="O107" s="36"/>
      <c r="P107" s="36"/>
      <c r="Q107" s="36"/>
      <c r="R107" s="36"/>
      <c r="S107" s="36"/>
      <c r="T107" s="36"/>
      <c r="U107" s="36"/>
      <c r="V107" s="36"/>
      <c r="W107" s="36"/>
      <c r="X107" s="36"/>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row>
    <row r="108" spans="4:49" s="35" customFormat="1" x14ac:dyDescent="0.2">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row>
    <row r="109" spans="4:49" s="35" customFormat="1" x14ac:dyDescent="0.2">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row>
    <row r="110" spans="4:49" s="35" customFormat="1" x14ac:dyDescent="0.2">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row>
    <row r="111" spans="4:49" s="35" customFormat="1" x14ac:dyDescent="0.2">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row>
    <row r="112" spans="4:49" s="35" customFormat="1" x14ac:dyDescent="0.2">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row>
    <row r="113" spans="4:49" s="35" customFormat="1" x14ac:dyDescent="0.2">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row>
    <row r="114" spans="4:49" s="35" customFormat="1" x14ac:dyDescent="0.2">
      <c r="D114" s="36"/>
      <c r="E114" s="36"/>
      <c r="F114" s="36"/>
      <c r="G114" s="36"/>
      <c r="H114" s="36"/>
      <c r="I114" s="36"/>
      <c r="J114" s="36"/>
      <c r="K114" s="36"/>
      <c r="L114" s="36"/>
      <c r="M114" s="36"/>
      <c r="N114" s="36"/>
      <c r="O114" s="36"/>
      <c r="P114" s="36"/>
      <c r="Q114" s="36"/>
      <c r="R114" s="36"/>
      <c r="S114" s="36"/>
      <c r="T114" s="36"/>
      <c r="U114" s="36"/>
      <c r="V114" s="36"/>
      <c r="W114" s="36"/>
      <c r="X114" s="36"/>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row>
  </sheetData>
  <sheetProtection password="FB8C" sheet="1" objects="1" scenarios="1" formatColumns="0" formatRows="0" sort="0" autoFilter="0"/>
  <autoFilter ref="C54:X54"/>
  <pageMargins left="0.70866141732283472" right="0.70866141732283472" top="0.74803149606299213" bottom="0.74803149606299213" header="0.31496062992125984" footer="0.31496062992125984"/>
  <pageSetup paperSize="9" scale="5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pageSetUpPr fitToPage="1"/>
  </sheetPr>
  <dimension ref="A1:AW124"/>
  <sheetViews>
    <sheetView topLeftCell="C10" zoomScale="80" zoomScaleNormal="80" workbookViewId="0">
      <pane xSplit="1" ySplit="4" topLeftCell="D21" activePane="bottomRight" state="frozen"/>
      <selection activeCell="C10" sqref="C10"/>
      <selection pane="topRight" activeCell="D10" sqref="D10"/>
      <selection pane="bottomLeft" activeCell="C14" sqref="C14"/>
      <selection pane="bottomRight" activeCell="D14" sqref="D14"/>
    </sheetView>
  </sheetViews>
  <sheetFormatPr defaultColWidth="10.25" defaultRowHeight="12.75" x14ac:dyDescent="0.2"/>
  <cols>
    <col min="1" max="1" width="13.25" style="32" hidden="1" customWidth="1"/>
    <col min="2" max="2" width="17.25" style="32" hidden="1" customWidth="1"/>
    <col min="3" max="3" width="29" style="32" customWidth="1"/>
    <col min="4" max="4" width="10.5" style="34" customWidth="1"/>
    <col min="5" max="18" width="10.25" style="34"/>
    <col min="19" max="23" width="0" style="34" hidden="1" customWidth="1"/>
    <col min="24" max="24" width="10.25" style="34"/>
    <col min="25" max="16384" width="10.25" style="32"/>
  </cols>
  <sheetData>
    <row r="1" spans="1:49" s="35" customFormat="1" ht="15.75" x14ac:dyDescent="0.2">
      <c r="C1" s="367" t="str">
        <f>Setup!A11</f>
        <v>Component Name</v>
      </c>
      <c r="D1" s="930" t="str">
        <f>'Data Sheet'!$A$280 &amp; IF('Data Sheet'!A281 &lt;&gt; "", "," &amp; 'Data Sheet'!A281 &amp; IF('Data Sheet'!A282 &lt;&gt; "", "," &amp; 'Data Sheet'!A282 &amp; IF('Data Sheet'!A283 &lt;&gt; "", "," &amp; 'Data Sheet'!A283,""),""),"")</f>
        <v>HIV/AIDS</v>
      </c>
      <c r="E1" s="930"/>
      <c r="F1" s="931"/>
      <c r="G1" s="131" t="s">
        <v>1866</v>
      </c>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row>
    <row r="2" spans="1:49" s="35" customFormat="1" ht="15.75" x14ac:dyDescent="0.2">
      <c r="C2" s="368" t="str">
        <f ca="1">Setup!A4</f>
        <v>Country / Applicant:</v>
      </c>
      <c r="D2" s="932" t="str">
        <f>Setup!C4</f>
        <v>Lao (Peoples Democratic Republic)</v>
      </c>
      <c r="E2" s="932"/>
      <c r="F2" s="933"/>
      <c r="G2" s="130" t="str">
        <f>IF(X43="","",IF(X43=SUM('Detailed Budget'!BY5:BY1005),"","ERROR: Summary by Module not matching Total of Detailed Budget"))</f>
        <v>ERROR: Summary by Module not matching Total of Detailed Budget</v>
      </c>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row>
    <row r="3" spans="1:49" s="35" customFormat="1" ht="27" customHeight="1" x14ac:dyDescent="0.2">
      <c r="C3" s="368" t="s">
        <v>1745</v>
      </c>
      <c r="D3" s="932" t="str">
        <f>IFERROR(INDEX(Setup!$K$44:$K$71,MATCH("PR",Setup!$D$44:$D$71,0)),"")</f>
        <v>Ministry of Health of the Lao People's Democratic Republic</v>
      </c>
      <c r="E3" s="932"/>
      <c r="F3" s="933"/>
      <c r="G3" s="130" t="str">
        <f>IF(X61="","",IF(X61=SUM('Detailed Budget'!BY5:BY1005),"","ERROR: Summary by Cost Grouping not matching Total of Detailed Budget"))</f>
        <v>ERROR: Summary by Cost Grouping not matching Total of Detailed Budget</v>
      </c>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ht="15.75" x14ac:dyDescent="0.2">
      <c r="C4" s="369" t="str">
        <f>Setup!A5</f>
        <v>Application/Grant Name</v>
      </c>
      <c r="D4" s="932" t="str">
        <f>Setup!C5</f>
        <v>LAO-H-GFMOH</v>
      </c>
      <c r="E4" s="932"/>
      <c r="F4" s="933"/>
      <c r="G4" s="130" t="str">
        <f>IF(X105="","",IF(X105=SUM('Detailed Budget'!BY5:BY1005),"","ERROR: Summary by Implementer not matching Total of Detailed Budget"))</f>
        <v>ERROR: Summary by Implementer not matching Total of Detailed Budget</v>
      </c>
    </row>
    <row r="5" spans="1:49" ht="15.75" x14ac:dyDescent="0.2">
      <c r="C5" s="369" t="str">
        <f>Setup!A6</f>
        <v>IP Start Date</v>
      </c>
      <c r="D5" s="934">
        <f>Setup!C6</f>
        <v>43101</v>
      </c>
      <c r="E5" s="934"/>
      <c r="F5" s="935"/>
      <c r="G5" s="130" t="str">
        <f>IF('Summary by Intervention'!X107=SUM('Detailed Budget'!BY5:BY1005),"","ERROR: Summary by Intervention not matching Total of Detailed Budget")</f>
        <v>ERROR: Summary by Intervention not matching Total of Detailed Budget</v>
      </c>
    </row>
    <row r="6" spans="1:49" ht="15.75" x14ac:dyDescent="0.2">
      <c r="C6" s="369" t="str">
        <f>Setup!A7</f>
        <v>IP End Date</v>
      </c>
      <c r="D6" s="934">
        <f>Setup!C7</f>
        <v>44196</v>
      </c>
      <c r="E6" s="934"/>
      <c r="F6" s="935"/>
      <c r="G6" s="130" t="str">
        <f>IF('Summary by Cost Input'!X107=SUM('Detailed Budget'!BY5:BY1005),"","ERROR: Summary by Cost Input not matching Total of Detailed Budget")</f>
        <v>ERROR: Summary by Cost Input not matching Total of Detailed Budget</v>
      </c>
    </row>
    <row r="7" spans="1:49" s="35" customFormat="1" ht="16.5" thickBot="1" x14ac:dyDescent="0.25">
      <c r="C7" s="370" t="s">
        <v>1746</v>
      </c>
      <c r="D7" s="928" t="str">
        <f>Setup!C30</f>
        <v>USD</v>
      </c>
      <c r="E7" s="928"/>
      <c r="F7" s="929"/>
      <c r="G7" s="130" t="str">
        <f>IF(X43="","",IF(SUM(D43:G43)+SUM(I43:L43)+SUM(N43:Q43)+SUM(S43:V43)=X43,"","ERROR: Sum by quarter not matching Sum by year"))</f>
        <v/>
      </c>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row>
    <row r="8" spans="1:49" s="35" customFormat="1" x14ac:dyDescent="0.2">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row>
    <row r="9" spans="1:49" s="35" customFormat="1" x14ac:dyDescent="0.2">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row>
    <row r="10" spans="1:49" s="37" customFormat="1" ht="18" x14ac:dyDescent="0.25">
      <c r="C10" s="37" t="str">
        <f ca="1">Translations!A143</f>
        <v>Budget Summary (in grant currency)</v>
      </c>
      <c r="D10" s="38"/>
      <c r="E10" s="38"/>
      <c r="F10" s="38"/>
      <c r="G10" s="38"/>
      <c r="H10" s="38"/>
      <c r="I10" s="38"/>
      <c r="J10" s="38"/>
      <c r="K10" s="38"/>
      <c r="L10" s="38"/>
      <c r="M10" s="38"/>
      <c r="N10" s="38"/>
      <c r="O10" s="38"/>
      <c r="P10" s="38"/>
      <c r="Q10" s="38"/>
      <c r="R10" s="38"/>
      <c r="S10" s="38"/>
      <c r="T10" s="38"/>
      <c r="U10" s="38"/>
      <c r="V10" s="38"/>
      <c r="W10" s="38"/>
      <c r="X10" s="38"/>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row>
    <row r="11" spans="1:49" s="35" customFormat="1" ht="13.5" thickBot="1" x14ac:dyDescent="0.25">
      <c r="E11" s="36"/>
      <c r="F11" s="36"/>
      <c r="G11" s="36"/>
      <c r="H11" s="36"/>
      <c r="I11" s="36"/>
      <c r="J11" s="36"/>
      <c r="K11" s="36"/>
      <c r="L11" s="36"/>
      <c r="M11" s="36"/>
      <c r="N11" s="36"/>
      <c r="O11" s="36"/>
      <c r="P11" s="36"/>
      <c r="Q11" s="36"/>
      <c r="R11" s="36"/>
      <c r="S11" s="36"/>
      <c r="T11" s="36"/>
      <c r="U11" s="36"/>
      <c r="V11" s="36"/>
      <c r="W11" s="36"/>
      <c r="X11" s="36"/>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row>
    <row r="12" spans="1:49" s="35" customFormat="1" x14ac:dyDescent="0.2">
      <c r="D12" s="198">
        <f>Setup!C20</f>
        <v>43101</v>
      </c>
      <c r="E12" s="199">
        <f>Setup!C22</f>
        <v>43191</v>
      </c>
      <c r="F12" s="199">
        <f>Setup!C24</f>
        <v>43282</v>
      </c>
      <c r="G12" s="202">
        <f>Setup!C26</f>
        <v>43374</v>
      </c>
      <c r="H12" s="204"/>
      <c r="I12" s="198">
        <f>Setup!E20</f>
        <v>43466</v>
      </c>
      <c r="J12" s="199">
        <f>Setup!E22</f>
        <v>43556</v>
      </c>
      <c r="K12" s="199">
        <f>Setup!E24</f>
        <v>43647</v>
      </c>
      <c r="L12" s="202">
        <f>Setup!E26</f>
        <v>43739</v>
      </c>
      <c r="M12" s="204"/>
      <c r="N12" s="198">
        <f>Setup!G20</f>
        <v>43831</v>
      </c>
      <c r="O12" s="199">
        <f>Setup!G22</f>
        <v>43922</v>
      </c>
      <c r="P12" s="199">
        <f>Setup!G24</f>
        <v>44013</v>
      </c>
      <c r="Q12" s="202">
        <f>Setup!G26</f>
        <v>44105</v>
      </c>
      <c r="R12" s="204"/>
      <c r="S12" s="198" t="str">
        <f>Setup!I20</f>
        <v/>
      </c>
      <c r="T12" s="199" t="str">
        <f>Setup!I22</f>
        <v/>
      </c>
      <c r="U12" s="199" t="str">
        <f>Setup!I24</f>
        <v/>
      </c>
      <c r="V12" s="202" t="str">
        <f>Setup!I26</f>
        <v/>
      </c>
      <c r="W12" s="197"/>
      <c r="X12" s="197"/>
      <c r="Y12" s="197"/>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row>
    <row r="13" spans="1:49" s="35" customFormat="1" ht="13.5" thickBot="1" x14ac:dyDescent="0.25">
      <c r="D13" s="200">
        <f>Setup!C21</f>
        <v>43190</v>
      </c>
      <c r="E13" s="201">
        <f>Setup!C23</f>
        <v>43281</v>
      </c>
      <c r="F13" s="201">
        <f>Setup!C25</f>
        <v>43373</v>
      </c>
      <c r="G13" s="203">
        <f>Setup!C27</f>
        <v>43465</v>
      </c>
      <c r="H13" s="204"/>
      <c r="I13" s="200">
        <f>Setup!E21</f>
        <v>43555</v>
      </c>
      <c r="J13" s="201">
        <f>Setup!E23</f>
        <v>43646</v>
      </c>
      <c r="K13" s="201">
        <f>Setup!E25</f>
        <v>43738</v>
      </c>
      <c r="L13" s="203">
        <f>Setup!E27</f>
        <v>43830</v>
      </c>
      <c r="M13" s="204"/>
      <c r="N13" s="200">
        <f>Setup!G21</f>
        <v>43921</v>
      </c>
      <c r="O13" s="201">
        <f>Setup!G23</f>
        <v>44012</v>
      </c>
      <c r="P13" s="201">
        <f>Setup!G25</f>
        <v>44104</v>
      </c>
      <c r="Q13" s="203">
        <f>Setup!G27</f>
        <v>44196</v>
      </c>
      <c r="R13" s="204"/>
      <c r="S13" s="200" t="str">
        <f>Setup!I21</f>
        <v/>
      </c>
      <c r="T13" s="201" t="str">
        <f>Setup!I23</f>
        <v/>
      </c>
      <c r="U13" s="201" t="str">
        <f>Setup!I25</f>
        <v/>
      </c>
      <c r="V13" s="203" t="str">
        <f>Setup!I27</f>
        <v/>
      </c>
      <c r="W13" s="197"/>
      <c r="X13" s="197"/>
      <c r="Y13" s="197"/>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row>
    <row r="14" spans="1:49" s="35" customFormat="1" x14ac:dyDescent="0.2">
      <c r="D14" s="197"/>
      <c r="E14" s="197"/>
      <c r="F14" s="197"/>
      <c r="G14" s="197"/>
      <c r="H14" s="197"/>
      <c r="I14" s="197"/>
      <c r="J14" s="197"/>
      <c r="K14" s="197"/>
      <c r="L14" s="197"/>
      <c r="M14" s="197"/>
      <c r="N14" s="197"/>
      <c r="O14" s="197"/>
      <c r="P14" s="197"/>
      <c r="Q14" s="197"/>
      <c r="R14" s="197"/>
      <c r="S14" s="197"/>
      <c r="T14" s="197"/>
      <c r="U14" s="197"/>
      <c r="V14" s="197"/>
      <c r="W14" s="197"/>
      <c r="X14" s="197"/>
      <c r="Y14" s="197"/>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row>
    <row r="15" spans="1:49" s="39" customFormat="1" ht="24.75" customHeight="1" x14ac:dyDescent="0.2">
      <c r="B15" s="39" t="str">
        <f>""</f>
        <v/>
      </c>
      <c r="C15" s="40" t="str">
        <f ca="1">Translations!A144</f>
        <v>By Module</v>
      </c>
      <c r="D15" s="41" t="s">
        <v>1168</v>
      </c>
      <c r="E15" s="41" t="s">
        <v>1169</v>
      </c>
      <c r="F15" s="41" t="s">
        <v>1170</v>
      </c>
      <c r="G15" s="41" t="s">
        <v>1171</v>
      </c>
      <c r="H15" s="41" t="str">
        <f ca="1">Translations!A160</f>
        <v>Year 1</v>
      </c>
      <c r="I15" s="41" t="s">
        <v>1223</v>
      </c>
      <c r="J15" s="41" t="s">
        <v>1224</v>
      </c>
      <c r="K15" s="41" t="s">
        <v>1225</v>
      </c>
      <c r="L15" s="41" t="s">
        <v>1226</v>
      </c>
      <c r="M15" s="41" t="str">
        <f ca="1">Translations!A161</f>
        <v>Year 2</v>
      </c>
      <c r="N15" s="41" t="s">
        <v>1227</v>
      </c>
      <c r="O15" s="41" t="s">
        <v>1228</v>
      </c>
      <c r="P15" s="41" t="s">
        <v>1229</v>
      </c>
      <c r="Q15" s="41" t="s">
        <v>1230</v>
      </c>
      <c r="R15" s="41" t="str">
        <f ca="1">Translations!A162</f>
        <v>Year 3</v>
      </c>
      <c r="S15" s="41" t="s">
        <v>1231</v>
      </c>
      <c r="T15" s="41" t="s">
        <v>1232</v>
      </c>
      <c r="U15" s="41" t="s">
        <v>1233</v>
      </c>
      <c r="V15" s="41" t="s">
        <v>1234</v>
      </c>
      <c r="W15" s="41" t="str">
        <f ca="1">Translations!A163</f>
        <v>Year 4</v>
      </c>
      <c r="X15" s="41" t="str">
        <f ca="1">Translations!A174</f>
        <v>Total</v>
      </c>
      <c r="Y15" s="41" t="s">
        <v>1864</v>
      </c>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row>
    <row r="16" spans="1:49" s="35" customFormat="1" ht="25.5" x14ac:dyDescent="0.2">
      <c r="A16" s="42"/>
      <c r="B16" s="39" t="str">
        <f t="array" ref="B16">IFERROR(INDEX(ModuleIdList,MATCH(0,COUNTIF(ModuleIdList,"&lt;"&amp;ModuleIdList)-SUM(COUNTIF(ModuleIdList,B$15:B15)),0)),"")</f>
        <v>a1O36000001EGFCEA4</v>
      </c>
      <c r="C16" s="43" t="str">
        <f>IFERROR(INDEX('Data Sheet'!$A$2:$A$26,MATCH(B16,'Data Sheet'!$D$2:$D$26,0)),"")</f>
        <v>Comprehensive prevention programs for sex workers and their clients</v>
      </c>
      <c r="D16" s="44">
        <f>IF(SUMIF('Detailed Budget'!$D$5:$D$1005,$B16,'Detailed Budget'!$AA$5:$AA$1005)&gt;0,SUMIF('Detailed Budget'!$D$5:$D$1005,$B16,'Detailed Budget'!$AA$5:$AA$1005),"")</f>
        <v>45967.129355579738</v>
      </c>
      <c r="E16" s="44">
        <f>IF(SUMIF('Detailed Budget'!$D$5:$D$1005,$B16,'Detailed Budget'!$AC$5:$AC$1005)&gt;0,SUMIF('Detailed Budget'!$D$5:$D$1005,$B16,'Detailed Budget'!$AC$5:$AC$1005),"")</f>
        <v>53991.364231644846</v>
      </c>
      <c r="F16" s="44">
        <f>IF(SUMIF('Detailed Budget'!$D$5:$D$1005,$B16,'Detailed Budget'!$AE$5:$AE$1005)&gt;0,SUMIF('Detailed Budget'!$D$5:$D$1005,$B16,'Detailed Budget'!$AE$5:$AE$1005),"")</f>
        <v>50764.558432282793</v>
      </c>
      <c r="G16" s="44">
        <f>IF(SUMIF('Detailed Budget'!$D$5:$D$1005,$B16,'Detailed Budget'!$AG$5:$AG$1005)&gt;0,SUMIF('Detailed Budget'!$D$5:$D$1005,$B16,'Detailed Budget'!$AG$5:$AG$1005),"")</f>
        <v>54343.379409757072</v>
      </c>
      <c r="H16" s="45">
        <f>IF(SUMIF('Detailed Budget'!$D$5:$D$1005,$B16,'Detailed Budget'!$AI$5:$AI$1005)&gt;0,SUMIF('Detailed Budget'!$D$5:$D$1005,$B16,'Detailed Budget'!$AI$5:$AI$1005),"")</f>
        <v>205066.43142926446</v>
      </c>
      <c r="I16" s="44">
        <f>IF(SUMIF('Detailed Budget'!$D$5:$D$1005,$B16,'Detailed Budget'!$AN$5:$AN$1005)&gt;0,SUMIF('Detailed Budget'!$D$5:$D$1005,$B16,'Detailed Budget'!$AN$5:$AN$1005),"")</f>
        <v>42917.553420197793</v>
      </c>
      <c r="J16" s="44">
        <f>IF(SUMIF('Detailed Budget'!$D$5:$D$1005,$B16,'Detailed Budget'!$AP$5:$AP$1005)&gt;0,SUMIF('Detailed Budget'!$D$5:$D$1005,$B16,'Detailed Budget'!$AP$5:$AP$1005),"")</f>
        <v>53991.364231644846</v>
      </c>
      <c r="K16" s="44">
        <f>IF(SUMIF('Detailed Budget'!$D$5:$D$1005,$B16,'Detailed Budget'!$AR$5:$AR$1005)&gt;0,SUMIF('Detailed Budget'!$D$5:$D$1005,$B16,'Detailed Budget'!$AR$5:$AR$1005),"")</f>
        <v>50764.558432282793</v>
      </c>
      <c r="L16" s="44">
        <f>IF(SUMIF('Detailed Budget'!$D$5:$D$1005,$B16,'Detailed Budget'!$AT$5:$AT$1005)&gt;0,SUMIF('Detailed Budget'!$D$5:$D$1005,$B16,'Detailed Budget'!$AT$5:$AT$1005),"")</f>
        <v>54343.379409757072</v>
      </c>
      <c r="M16" s="45">
        <f>IF(SUMIF('Detailed Budget'!$D$5:$D$1005,$B16,'Detailed Budget'!$AV$5:$AV$1005)&gt;0,SUMIF('Detailed Budget'!$D$5:$D$1005,$B16,'Detailed Budget'!$AV$5:$AV$1005),"")</f>
        <v>202016.85549388253</v>
      </c>
      <c r="N16" s="44">
        <f>IF(SUMIF('Detailed Budget'!$D$5:$D$1005,$B16,'Detailed Budget'!$BA$5:$BA$1005)&gt;0,SUMIF('Detailed Budget'!$D$5:$D$1005,$B16,'Detailed Budget'!$BA$5:$BA$1005),"")</f>
        <v>42917.553420197793</v>
      </c>
      <c r="O16" s="44">
        <f>IF(SUMIF('Detailed Budget'!$D$5:$D$1005,$B16,'Detailed Budget'!$BC$5:$BC$1005)&gt;0,SUMIF('Detailed Budget'!$D$5:$D$1005,$B16,'Detailed Budget'!$BC$5:$BC$1005),"")</f>
        <v>213450.27759054583</v>
      </c>
      <c r="P16" s="44">
        <f>IF(SUMIF('Detailed Budget'!$D$5:$D$1005,$B16,'Detailed Budget'!$BE$5:$BE$1005)&gt;0,SUMIF('Detailed Budget'!$D$5:$D$1005,$B16,'Detailed Budget'!$BE$5:$BE$1005),"")</f>
        <v>50764.558432282793</v>
      </c>
      <c r="Q16" s="44">
        <f>IF(SUMIF('Detailed Budget'!$D$5:$D$1005,$B16,'Detailed Budget'!$BG$5:$BG$1005)&gt;0,SUMIF('Detailed Budget'!$D$5:$D$1005,$B16,'Detailed Budget'!$BG$5:$BG$1005),"")</f>
        <v>54343.379409757072</v>
      </c>
      <c r="R16" s="45">
        <f>IF(SUMIF('Detailed Budget'!$D$5:$D$1005,$B16,'Detailed Budget'!$BI$5:$BI$1005)&gt;0,SUMIF('Detailed Budget'!$D$5:$D$1005,$B16,'Detailed Budget'!$BI$5:$BI$1005),"")</f>
        <v>361475.76885278348</v>
      </c>
      <c r="S16" s="44" t="str">
        <f>IF(SUMIF('Detailed Budget'!$D$5:$D$1005,$B16,'Detailed Budget'!$BN$5:$BN$1005)&gt;0,SUMIF('Detailed Budget'!$D$5:$D$1005,$B16,'Detailed Budget'!$BN$5:$BN$1005),"")</f>
        <v/>
      </c>
      <c r="T16" s="44" t="str">
        <f>IF(SUMIF('Detailed Budget'!$D$5:$D$1005,$B16,'Detailed Budget'!$BP$5:$BP$1005)&gt;0,SUMIF('Detailed Budget'!$D$5:$D$1005,$B16,'Detailed Budget'!$BP$5:$BP$1005),"")</f>
        <v/>
      </c>
      <c r="U16" s="44" t="str">
        <f>IF(SUMIF('Detailed Budget'!$D$5:$D$1005,$B16,'Detailed Budget'!$BR$5:$BR$1005)&gt;0,SUMIF('Detailed Budget'!$D$5:$D$1005,$B16,'Detailed Budget'!$BR$5:$BR$1005),"")</f>
        <v/>
      </c>
      <c r="V16" s="44" t="str">
        <f>IF(SUMIF('Detailed Budget'!$D$5:$D$1005,$B16,'Detailed Budget'!$BT$5:$BT$1005)&gt;0,SUMIF('Detailed Budget'!$D$5:$D$1005,$B16,'Detailed Budget'!$BT$5:$BT$1005),"")</f>
        <v/>
      </c>
      <c r="W16" s="45" t="str">
        <f>IF(SUMIF('Detailed Budget'!$D$5:$D$1005,$B16,'Detailed Budget'!$BV$5:$BV$1005)&gt;0,SUMIF('Detailed Budget'!$D$5:$D$1005,$B16,'Detailed Budget'!$BV$5:$BV$1005),"")</f>
        <v/>
      </c>
      <c r="X16" s="44">
        <f>IF(SUM(H16,M16,R16,W16)&gt;0,SUM(H16,M16,R16,W16),"")</f>
        <v>768559.05577593041</v>
      </c>
      <c r="Y16" s="122">
        <f t="shared" ref="Y16:Y32" si="0">IFERROR($X16/$X$43,"")</f>
        <v>0.11087678811470207</v>
      </c>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row>
    <row r="17" spans="1:49" s="35" customFormat="1" x14ac:dyDescent="0.2">
      <c r="A17" s="42"/>
      <c r="B17" s="39" t="str">
        <f t="array" ref="B17">IFERROR(INDEX(ModuleIdList,MATCH(0,COUNTIF(ModuleIdList,"&lt;"&amp;ModuleIdList)-SUM(COUNTIF(ModuleIdList,B$15:B16)),0)),"")</f>
        <v>a1O36000001EGFHEA4</v>
      </c>
      <c r="C17" s="43" t="str">
        <f>IFERROR(INDEX('Data Sheet'!$A$2:$A$26,MATCH(B17,'Data Sheet'!$D$2:$D$26,0)),"")</f>
        <v>Treatment, care and support</v>
      </c>
      <c r="D17" s="44">
        <f>IF(SUMIF('Detailed Budget'!$D$5:$D$1005,$B17,'Detailed Budget'!$AA$5:$AA$1005)&gt;0,SUMIF('Detailed Budget'!$D$5:$D$1005,$B17,'Detailed Budget'!$AA$5:$AA$1005),"")</f>
        <v>963680.58106975746</v>
      </c>
      <c r="E17" s="44">
        <f>IF(SUMIF('Detailed Budget'!$D$5:$D$1005,$B17,'Detailed Budget'!$AC$5:$AC$1005)&gt;0,SUMIF('Detailed Budget'!$D$5:$D$1005,$B17,'Detailed Budget'!$AC$5:$AC$1005),"")</f>
        <v>97857.231469757287</v>
      </c>
      <c r="F17" s="44">
        <f>IF(SUMIF('Detailed Budget'!$D$5:$D$1005,$B17,'Detailed Budget'!$AE$5:$AE$1005)&gt;0,SUMIF('Detailed Budget'!$D$5:$D$1005,$B17,'Detailed Budget'!$AE$5:$AE$1005),"")</f>
        <v>21921.555469757288</v>
      </c>
      <c r="G17" s="44">
        <f>IF(SUMIF('Detailed Budget'!$D$5:$D$1005,$B17,'Detailed Budget'!$AG$5:$AG$1005)&gt;0,SUMIF('Detailed Budget'!$D$5:$D$1005,$B17,'Detailed Budget'!$AG$5:$AG$1005),"")</f>
        <v>36921.555469757288</v>
      </c>
      <c r="H17" s="45">
        <f>IF(SUMIF('Detailed Budget'!$D$5:$D$1005,$B17,'Detailed Budget'!$AI$5:$AI$1005)&gt;0,SUMIF('Detailed Budget'!$D$5:$D$1005,$B17,'Detailed Budget'!$AI$5:$AI$1005),"")</f>
        <v>1120380.9234790294</v>
      </c>
      <c r="I17" s="44">
        <f>IF(SUMIF('Detailed Budget'!$D$5:$D$1005,$B17,'Detailed Budget'!$AN$5:$AN$1005)&gt;0,SUMIF('Detailed Budget'!$D$5:$D$1005,$B17,'Detailed Budget'!$AN$5:$AN$1005),"")</f>
        <v>939115.8322697574</v>
      </c>
      <c r="J17" s="44">
        <f>IF(SUMIF('Detailed Budget'!$D$5:$D$1005,$B17,'Detailed Budget'!$AP$5:$AP$1005)&gt;0,SUMIF('Detailed Budget'!$D$5:$D$1005,$B17,'Detailed Budget'!$AP$5:$AP$1005),"")</f>
        <v>81777.747469757291</v>
      </c>
      <c r="K17" s="44">
        <f>IF(SUMIF('Detailed Budget'!$D$5:$D$1005,$B17,'Detailed Budget'!$AR$5:$AR$1005)&gt;0,SUMIF('Detailed Budget'!$D$5:$D$1005,$B17,'Detailed Budget'!$AR$5:$AR$1005),"")</f>
        <v>21921.555469757288</v>
      </c>
      <c r="L17" s="44">
        <f>IF(SUMIF('Detailed Budget'!$D$5:$D$1005,$B17,'Detailed Budget'!$AT$5:$AT$1005)&gt;0,SUMIF('Detailed Budget'!$D$5:$D$1005,$B17,'Detailed Budget'!$AT$5:$AT$1005),"")</f>
        <v>36921.555469757288</v>
      </c>
      <c r="M17" s="45">
        <f>IF(SUMIF('Detailed Budget'!$D$5:$D$1005,$B17,'Detailed Budget'!$AV$5:$AV$1005)&gt;0,SUMIF('Detailed Budget'!$D$5:$D$1005,$B17,'Detailed Budget'!$AV$5:$AV$1005),"")</f>
        <v>1079736.6906790293</v>
      </c>
      <c r="N17" s="44">
        <f>IF(SUMIF('Detailed Budget'!$D$5:$D$1005,$B17,'Detailed Budget'!$BA$5:$BA$1005)&gt;0,SUMIF('Detailed Budget'!$D$5:$D$1005,$B17,'Detailed Budget'!$BA$5:$BA$1005),"")</f>
        <v>930530.22103975748</v>
      </c>
      <c r="O17" s="44">
        <f>IF(SUMIF('Detailed Budget'!$D$5:$D$1005,$B17,'Detailed Budget'!$BC$5:$BC$1005)&gt;0,SUMIF('Detailed Budget'!$D$5:$D$1005,$B17,'Detailed Budget'!$BC$5:$BC$1005),"")</f>
        <v>21921.555469757288</v>
      </c>
      <c r="P17" s="44">
        <f>IF(SUMIF('Detailed Budget'!$D$5:$D$1005,$B17,'Detailed Budget'!$BE$5:$BE$1005)&gt;0,SUMIF('Detailed Budget'!$D$5:$D$1005,$B17,'Detailed Budget'!$BE$5:$BE$1005),"")</f>
        <v>21921.555469757288</v>
      </c>
      <c r="Q17" s="44">
        <f>IF(SUMIF('Detailed Budget'!$D$5:$D$1005,$B17,'Detailed Budget'!$BG$5:$BG$1005)&gt;0,SUMIF('Detailed Budget'!$D$5:$D$1005,$B17,'Detailed Budget'!$BG$5:$BG$1005),"")</f>
        <v>21921.555469757288</v>
      </c>
      <c r="R17" s="45">
        <f>IF(SUMIF('Detailed Budget'!$D$5:$D$1005,$B17,'Detailed Budget'!$BI$5:$BI$1005)&gt;0,SUMIF('Detailed Budget'!$D$5:$D$1005,$B17,'Detailed Budget'!$BI$5:$BI$1005),"")</f>
        <v>996294.88744902913</v>
      </c>
      <c r="S17" s="44" t="str">
        <f>IF(SUMIF('Detailed Budget'!$D$5:$D$1005,$B17,'Detailed Budget'!$BN$5:$BN$1005)&gt;0,SUMIF('Detailed Budget'!$D$5:$D$1005,$B17,'Detailed Budget'!$BN$5:$BN$1005),"")</f>
        <v/>
      </c>
      <c r="T17" s="44" t="str">
        <f>IF(SUMIF('Detailed Budget'!$D$5:$D$1005,$B17,'Detailed Budget'!$BP$5:$BP$1005)&gt;0,SUMIF('Detailed Budget'!$D$5:$D$1005,$B17,'Detailed Budget'!$BP$5:$BP$1005),"")</f>
        <v/>
      </c>
      <c r="U17" s="44" t="str">
        <f>IF(SUMIF('Detailed Budget'!$D$5:$D$1005,$B17,'Detailed Budget'!$BR$5:$BR$1005)&gt;0,SUMIF('Detailed Budget'!$D$5:$D$1005,$B17,'Detailed Budget'!$BR$5:$BR$1005),"")</f>
        <v/>
      </c>
      <c r="V17" s="44" t="str">
        <f>IF(SUMIF('Detailed Budget'!$D$5:$D$1005,$B17,'Detailed Budget'!$BT$5:$BT$1005)&gt;0,SUMIF('Detailed Budget'!$D$5:$D$1005,$B17,'Detailed Budget'!$BT$5:$BT$1005),"")</f>
        <v/>
      </c>
      <c r="W17" s="45" t="str">
        <f>IF(SUMIF('Detailed Budget'!$D$5:$D$1005,$B17,'Detailed Budget'!$BV$5:$BV$1005)&gt;0,SUMIF('Detailed Budget'!$D$5:$D$1005,$B17,'Detailed Budget'!$BV$5:$BV$1005),"")</f>
        <v/>
      </c>
      <c r="X17" s="44">
        <f t="shared" ref="X17:X43" si="1">IF(SUM(H17,M17,R17,W17)&gt;0,SUM(H17,M17,R17,W17),"")</f>
        <v>3196412.5016070874</v>
      </c>
      <c r="Y17" s="122">
        <f t="shared" si="0"/>
        <v>0.46113301119074929</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row>
    <row r="18" spans="1:49" s="35" customFormat="1" x14ac:dyDescent="0.2">
      <c r="A18" s="42"/>
      <c r="B18" s="39" t="str">
        <f t="array" ref="B18">IFERROR(INDEX(ModuleIdList,MATCH(0,COUNTIF(ModuleIdList,"&lt;"&amp;ModuleIdList)-SUM(COUNTIF(ModuleIdList,B$15:B17)),0)),"")</f>
        <v>a1O36000001EGFJEA4</v>
      </c>
      <c r="C18" s="43" t="str">
        <f>IFERROR(INDEX('Data Sheet'!$A$2:$A$26,MATCH(B18,'Data Sheet'!$D$2:$D$26,0)),"")</f>
        <v>TB/HIV</v>
      </c>
      <c r="D18" s="44" t="str">
        <f>IF(SUMIF('Detailed Budget'!$D$5:$D$1005,$B18,'Detailed Budget'!$AA$5:$AA$1005)&gt;0,SUMIF('Detailed Budget'!$D$5:$D$1005,$B18,'Detailed Budget'!$AA$5:$AA$1005),"")</f>
        <v/>
      </c>
      <c r="E18" s="44" t="str">
        <f>IF(SUMIF('Detailed Budget'!$D$5:$D$1005,$B18,'Detailed Budget'!$AC$5:$AC$1005)&gt;0,SUMIF('Detailed Budget'!$D$5:$D$1005,$B18,'Detailed Budget'!$AC$5:$AC$1005),"")</f>
        <v/>
      </c>
      <c r="F18" s="44" t="str">
        <f>IF(SUMIF('Detailed Budget'!$D$5:$D$1005,$B18,'Detailed Budget'!$AE$5:$AE$1005)&gt;0,SUMIF('Detailed Budget'!$D$5:$D$1005,$B18,'Detailed Budget'!$AE$5:$AE$1005),"")</f>
        <v/>
      </c>
      <c r="G18" s="44">
        <f>IF(SUMIF('Detailed Budget'!$D$5:$D$1005,$B18,'Detailed Budget'!$AG$5:$AG$1005)&gt;0,SUMIF('Detailed Budget'!$D$5:$D$1005,$B18,'Detailed Budget'!$AG$5:$AG$1005),"")</f>
        <v>2131.6474674573578</v>
      </c>
      <c r="H18" s="45">
        <f>IF(SUMIF('Detailed Budget'!$D$5:$D$1005,$B18,'Detailed Budget'!$AI$5:$AI$1005)&gt;0,SUMIF('Detailed Budget'!$D$5:$D$1005,$B18,'Detailed Budget'!$AI$5:$AI$1005),"")</f>
        <v>2131.6474674573578</v>
      </c>
      <c r="I18" s="44" t="str">
        <f>IF(SUMIF('Detailed Budget'!$D$5:$D$1005,$B18,'Detailed Budget'!$AN$5:$AN$1005)&gt;0,SUMIF('Detailed Budget'!$D$5:$D$1005,$B18,'Detailed Budget'!$AN$5:$AN$1005),"")</f>
        <v/>
      </c>
      <c r="J18" s="44" t="str">
        <f>IF(SUMIF('Detailed Budget'!$D$5:$D$1005,$B18,'Detailed Budget'!$AP$5:$AP$1005)&gt;0,SUMIF('Detailed Budget'!$D$5:$D$1005,$B18,'Detailed Budget'!$AP$5:$AP$1005),"")</f>
        <v/>
      </c>
      <c r="K18" s="44" t="str">
        <f>IF(SUMIF('Detailed Budget'!$D$5:$D$1005,$B18,'Detailed Budget'!$AR$5:$AR$1005)&gt;0,SUMIF('Detailed Budget'!$D$5:$D$1005,$B18,'Detailed Budget'!$AR$5:$AR$1005),"")</f>
        <v/>
      </c>
      <c r="L18" s="44">
        <f>IF(SUMIF('Detailed Budget'!$D$5:$D$1005,$B18,'Detailed Budget'!$AT$5:$AT$1005)&gt;0,SUMIF('Detailed Budget'!$D$5:$D$1005,$B18,'Detailed Budget'!$AT$5:$AT$1005),"")</f>
        <v>2131.6474674573578</v>
      </c>
      <c r="M18" s="45">
        <f>IF(SUMIF('Detailed Budget'!$D$5:$D$1005,$B18,'Detailed Budget'!$AV$5:$AV$1005)&gt;0,SUMIF('Detailed Budget'!$D$5:$D$1005,$B18,'Detailed Budget'!$AV$5:$AV$1005),"")</f>
        <v>2131.6474674573578</v>
      </c>
      <c r="N18" s="44" t="str">
        <f>IF(SUMIF('Detailed Budget'!$D$5:$D$1005,$B18,'Detailed Budget'!$BA$5:$BA$1005)&gt;0,SUMIF('Detailed Budget'!$D$5:$D$1005,$B18,'Detailed Budget'!$BA$5:$BA$1005),"")</f>
        <v/>
      </c>
      <c r="O18" s="44" t="str">
        <f>IF(SUMIF('Detailed Budget'!$D$5:$D$1005,$B18,'Detailed Budget'!$BC$5:$BC$1005)&gt;0,SUMIF('Detailed Budget'!$D$5:$D$1005,$B18,'Detailed Budget'!$BC$5:$BC$1005),"")</f>
        <v/>
      </c>
      <c r="P18" s="44" t="str">
        <f>IF(SUMIF('Detailed Budget'!$D$5:$D$1005,$B18,'Detailed Budget'!$BE$5:$BE$1005)&gt;0,SUMIF('Detailed Budget'!$D$5:$D$1005,$B18,'Detailed Budget'!$BE$5:$BE$1005),"")</f>
        <v/>
      </c>
      <c r="Q18" s="44">
        <f>IF(SUMIF('Detailed Budget'!$D$5:$D$1005,$B18,'Detailed Budget'!$BG$5:$BG$1005)&gt;0,SUMIF('Detailed Budget'!$D$5:$D$1005,$B18,'Detailed Budget'!$BG$5:$BG$1005),"")</f>
        <v>2131.6474674573578</v>
      </c>
      <c r="R18" s="45">
        <f>IF(SUMIF('Detailed Budget'!$D$5:$D$1005,$B18,'Detailed Budget'!$BI$5:$BI$1005)&gt;0,SUMIF('Detailed Budget'!$D$5:$D$1005,$B18,'Detailed Budget'!$BI$5:$BI$1005),"")</f>
        <v>2131.6474674573578</v>
      </c>
      <c r="S18" s="44" t="str">
        <f>IF(SUMIF('Detailed Budget'!$D$5:$D$1005,$B18,'Detailed Budget'!$BN$5:$BN$1005)&gt;0,SUMIF('Detailed Budget'!$D$5:$D$1005,$B18,'Detailed Budget'!$BN$5:$BN$1005),"")</f>
        <v/>
      </c>
      <c r="T18" s="44" t="str">
        <f>IF(SUMIF('Detailed Budget'!$D$5:$D$1005,$B18,'Detailed Budget'!$BP$5:$BP$1005)&gt;0,SUMIF('Detailed Budget'!$D$5:$D$1005,$B18,'Detailed Budget'!$BP$5:$BP$1005),"")</f>
        <v/>
      </c>
      <c r="U18" s="44" t="str">
        <f>IF(SUMIF('Detailed Budget'!$D$5:$D$1005,$B18,'Detailed Budget'!$BR$5:$BR$1005)&gt;0,SUMIF('Detailed Budget'!$D$5:$D$1005,$B18,'Detailed Budget'!$BR$5:$BR$1005),"")</f>
        <v/>
      </c>
      <c r="V18" s="44" t="str">
        <f>IF(SUMIF('Detailed Budget'!$D$5:$D$1005,$B18,'Detailed Budget'!$BT$5:$BT$1005)&gt;0,SUMIF('Detailed Budget'!$D$5:$D$1005,$B18,'Detailed Budget'!$BT$5:$BT$1005),"")</f>
        <v/>
      </c>
      <c r="W18" s="45" t="str">
        <f>IF(SUMIF('Detailed Budget'!$D$5:$D$1005,$B18,'Detailed Budget'!$BV$5:$BV$1005)&gt;0,SUMIF('Detailed Budget'!$D$5:$D$1005,$B18,'Detailed Budget'!$BV$5:$BV$1005),"")</f>
        <v/>
      </c>
      <c r="X18" s="44">
        <f t="shared" si="1"/>
        <v>6394.942402372073</v>
      </c>
      <c r="Y18" s="122">
        <f t="shared" si="0"/>
        <v>9.2257149066792389E-4</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s="35" customFormat="1" x14ac:dyDescent="0.2">
      <c r="A19" s="42"/>
      <c r="B19" s="39" t="str">
        <f t="array" ref="B19">IFERROR(INDEX(ModuleIdList,MATCH(0,COUNTIF(ModuleIdList,"&lt;"&amp;ModuleIdList)-SUM(COUNTIF(ModuleIdList,B$15:B18)),0)),"")</f>
        <v>a1O36000001EGFXEA4</v>
      </c>
      <c r="C19" s="43" t="str">
        <f>IFERROR(INDEX('Data Sheet'!$A$2:$A$26,MATCH(B19,'Data Sheet'!$D$2:$D$26,0)),"")</f>
        <v>Program management</v>
      </c>
      <c r="D19" s="44">
        <f>IF(SUMIF('Detailed Budget'!$D$5:$D$1005,$B19,'Detailed Budget'!$AA$5:$AA$1005)&gt;0,SUMIF('Detailed Budget'!$D$5:$D$1005,$B19,'Detailed Budget'!$AA$5:$AA$1005),"")</f>
        <v>117842.9041002288</v>
      </c>
      <c r="E19" s="44">
        <f>IF(SUMIF('Detailed Budget'!$D$5:$D$1005,$B19,'Detailed Budget'!$AC$5:$AC$1005)&gt;0,SUMIF('Detailed Budget'!$D$5:$D$1005,$B19,'Detailed Budget'!$AC$5:$AC$1005),"")</f>
        <v>123980.84736159125</v>
      </c>
      <c r="F19" s="44">
        <f>IF(SUMIF('Detailed Budget'!$D$5:$D$1005,$B19,'Detailed Budget'!$AE$5:$AE$1005)&gt;0,SUMIF('Detailed Budget'!$D$5:$D$1005,$B19,'Detailed Budget'!$AE$5:$AE$1005),"")</f>
        <v>125498.40168382795</v>
      </c>
      <c r="G19" s="44">
        <f>IF(SUMIF('Detailed Budget'!$D$5:$D$1005,$B19,'Detailed Budget'!$AG$5:$AG$1005)&gt;0,SUMIF('Detailed Budget'!$D$5:$D$1005,$B19,'Detailed Budget'!$AG$5:$AG$1005),"")</f>
        <v>171334.13257868696</v>
      </c>
      <c r="H19" s="45">
        <f>IF(SUMIF('Detailed Budget'!$D$5:$D$1005,$B19,'Detailed Budget'!$AI$5:$AI$1005)&gt;0,SUMIF('Detailed Budget'!$D$5:$D$1005,$B19,'Detailed Budget'!$AI$5:$AI$1005),"")</f>
        <v>538656.285724335</v>
      </c>
      <c r="I19" s="44">
        <f>IF(SUMIF('Detailed Budget'!$D$5:$D$1005,$B19,'Detailed Budget'!$AN$5:$AN$1005)&gt;0,SUMIF('Detailed Budget'!$D$5:$D$1005,$B19,'Detailed Budget'!$AN$5:$AN$1005),"")</f>
        <v>120661.06660022879</v>
      </c>
      <c r="J19" s="44">
        <f>IF(SUMIF('Detailed Budget'!$D$5:$D$1005,$B19,'Detailed Budget'!$AP$5:$AP$1005)&gt;0,SUMIF('Detailed Budget'!$D$5:$D$1005,$B19,'Detailed Budget'!$AP$5:$AP$1005),"")</f>
        <v>122199.00986159124</v>
      </c>
      <c r="K19" s="44">
        <f>IF(SUMIF('Detailed Budget'!$D$5:$D$1005,$B19,'Detailed Budget'!$AR$5:$AR$1005)&gt;0,SUMIF('Detailed Budget'!$D$5:$D$1005,$B19,'Detailed Budget'!$AR$5:$AR$1005),"")</f>
        <v>117016.56418382794</v>
      </c>
      <c r="L19" s="44">
        <f>IF(SUMIF('Detailed Budget'!$D$5:$D$1005,$B19,'Detailed Budget'!$AT$5:$AT$1005)&gt;0,SUMIF('Detailed Budget'!$D$5:$D$1005,$B19,'Detailed Budget'!$AT$5:$AT$1005),"")</f>
        <v>171852.29507868699</v>
      </c>
      <c r="M19" s="45">
        <f>IF(SUMIF('Detailed Budget'!$D$5:$D$1005,$B19,'Detailed Budget'!$AV$5:$AV$1005)&gt;0,SUMIF('Detailed Budget'!$D$5:$D$1005,$B19,'Detailed Budget'!$AV$5:$AV$1005),"")</f>
        <v>531728.93572433491</v>
      </c>
      <c r="N19" s="44">
        <f>IF(SUMIF('Detailed Budget'!$D$5:$D$1005,$B19,'Detailed Budget'!$BA$5:$BA$1005)&gt;0,SUMIF('Detailed Budget'!$D$5:$D$1005,$B19,'Detailed Budget'!$BA$5:$BA$1005),"")</f>
        <v>121189.2816002288</v>
      </c>
      <c r="O19" s="44">
        <f>IF(SUMIF('Detailed Budget'!$D$5:$D$1005,$B19,'Detailed Budget'!$BC$5:$BC$1005)&gt;0,SUMIF('Detailed Budget'!$D$5:$D$1005,$B19,'Detailed Budget'!$BC$5:$BC$1005),"")</f>
        <v>122727.22486159125</v>
      </c>
      <c r="P19" s="44">
        <f>IF(SUMIF('Detailed Budget'!$D$5:$D$1005,$B19,'Detailed Budget'!$BE$5:$BE$1005)&gt;0,SUMIF('Detailed Budget'!$D$5:$D$1005,$B19,'Detailed Budget'!$BE$5:$BE$1005),"")</f>
        <v>126544.77918382795</v>
      </c>
      <c r="Q19" s="44">
        <f>IF(SUMIF('Detailed Budget'!$D$5:$D$1005,$B19,'Detailed Budget'!$BG$5:$BG$1005)&gt;0,SUMIF('Detailed Budget'!$D$5:$D$1005,$B19,'Detailed Budget'!$BG$5:$BG$1005),"")</f>
        <v>153071.01082932265</v>
      </c>
      <c r="R19" s="45">
        <f>IF(SUMIF('Detailed Budget'!$D$5:$D$1005,$B19,'Detailed Budget'!$BI$5:$BI$1005)&gt;0,SUMIF('Detailed Budget'!$D$5:$D$1005,$B19,'Detailed Budget'!$BI$5:$BI$1005),"")</f>
        <v>523532.29647497059</v>
      </c>
      <c r="S19" s="44" t="str">
        <f>IF(SUMIF('Detailed Budget'!$D$5:$D$1005,$B19,'Detailed Budget'!$BN$5:$BN$1005)&gt;0,SUMIF('Detailed Budget'!$D$5:$D$1005,$B19,'Detailed Budget'!$BN$5:$BN$1005),"")</f>
        <v/>
      </c>
      <c r="T19" s="44" t="str">
        <f>IF(SUMIF('Detailed Budget'!$D$5:$D$1005,$B19,'Detailed Budget'!$BP$5:$BP$1005)&gt;0,SUMIF('Detailed Budget'!$D$5:$D$1005,$B19,'Detailed Budget'!$BP$5:$BP$1005),"")</f>
        <v/>
      </c>
      <c r="U19" s="44" t="str">
        <f>IF(SUMIF('Detailed Budget'!$D$5:$D$1005,$B19,'Detailed Budget'!$BR$5:$BR$1005)&gt;0,SUMIF('Detailed Budget'!$D$5:$D$1005,$B19,'Detailed Budget'!$BR$5:$BR$1005),"")</f>
        <v/>
      </c>
      <c r="V19" s="44" t="str">
        <f>IF(SUMIF('Detailed Budget'!$D$5:$D$1005,$B19,'Detailed Budget'!$BT$5:$BT$1005)&gt;0,SUMIF('Detailed Budget'!$D$5:$D$1005,$B19,'Detailed Budget'!$BT$5:$BT$1005),"")</f>
        <v/>
      </c>
      <c r="W19" s="45" t="str">
        <f>IF(SUMIF('Detailed Budget'!$D$5:$D$1005,$B19,'Detailed Budget'!$BV$5:$BV$1005)&gt;0,SUMIF('Detailed Budget'!$D$5:$D$1005,$B19,'Detailed Budget'!$BV$5:$BV$1005),"")</f>
        <v/>
      </c>
      <c r="X19" s="44">
        <f t="shared" si="1"/>
        <v>1593917.5179236406</v>
      </c>
      <c r="Y19" s="122">
        <f t="shared" si="0"/>
        <v>0.2299477881094093</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row>
    <row r="20" spans="1:49" s="35" customFormat="1" x14ac:dyDescent="0.2">
      <c r="A20" s="42"/>
      <c r="B20" s="39" t="str">
        <f t="array" ref="B20">IFERROR(INDEX(ModuleIdList,MATCH(0,COUNTIF(ModuleIdList,"&lt;"&amp;ModuleIdList)-SUM(COUNTIF(ModuleIdList,B$15:B19)),0)),"")</f>
        <v>a1O36000001qZ7uEAE</v>
      </c>
      <c r="C20" s="43" t="str">
        <f>IFERROR(INDEX('Data Sheet'!$A$2:$A$26,MATCH(B20,'Data Sheet'!$D$2:$D$26,0)),"")</f>
        <v>HIV Testing Services</v>
      </c>
      <c r="D20" s="44">
        <f>IF(SUMIF('Detailed Budget'!$D$5:$D$1005,$B20,'Detailed Budget'!$AA$5:$AA$1005)&gt;0,SUMIF('Detailed Budget'!$D$5:$D$1005,$B20,'Detailed Budget'!$AA$5:$AA$1005),"")</f>
        <v>305135.065</v>
      </c>
      <c r="E20" s="44" t="str">
        <f>IF(SUMIF('Detailed Budget'!$D$5:$D$1005,$B20,'Detailed Budget'!$AC$5:$AC$1005)&gt;0,SUMIF('Detailed Budget'!$D$5:$D$1005,$B20,'Detailed Budget'!$AC$5:$AC$1005),"")</f>
        <v/>
      </c>
      <c r="F20" s="44" t="str">
        <f>IF(SUMIF('Detailed Budget'!$D$5:$D$1005,$B20,'Detailed Budget'!$AE$5:$AE$1005)&gt;0,SUMIF('Detailed Budget'!$D$5:$D$1005,$B20,'Detailed Budget'!$AE$5:$AE$1005),"")</f>
        <v/>
      </c>
      <c r="G20" s="44" t="str">
        <f>IF(SUMIF('Detailed Budget'!$D$5:$D$1005,$B20,'Detailed Budget'!$AG$5:$AG$1005)&gt;0,SUMIF('Detailed Budget'!$D$5:$D$1005,$B20,'Detailed Budget'!$AG$5:$AG$1005),"")</f>
        <v/>
      </c>
      <c r="H20" s="45">
        <f>IF(SUMIF('Detailed Budget'!$D$5:$D$1005,$B20,'Detailed Budget'!$AI$5:$AI$1005)&gt;0,SUMIF('Detailed Budget'!$D$5:$D$1005,$B20,'Detailed Budget'!$AI$5:$AI$1005),"")</f>
        <v>305135.065</v>
      </c>
      <c r="I20" s="44">
        <f>IF(SUMIF('Detailed Budget'!$D$5:$D$1005,$B20,'Detailed Budget'!$AN$5:$AN$1005)&gt;0,SUMIF('Detailed Budget'!$D$5:$D$1005,$B20,'Detailed Budget'!$AN$5:$AN$1005),"")</f>
        <v>338748.05263460823</v>
      </c>
      <c r="J20" s="44" t="str">
        <f>IF(SUMIF('Detailed Budget'!$D$5:$D$1005,$B20,'Detailed Budget'!$AP$5:$AP$1005)&gt;0,SUMIF('Detailed Budget'!$D$5:$D$1005,$B20,'Detailed Budget'!$AP$5:$AP$1005),"")</f>
        <v/>
      </c>
      <c r="K20" s="44" t="str">
        <f>IF(SUMIF('Detailed Budget'!$D$5:$D$1005,$B20,'Detailed Budget'!$AR$5:$AR$1005)&gt;0,SUMIF('Detailed Budget'!$D$5:$D$1005,$B20,'Detailed Budget'!$AR$5:$AR$1005),"")</f>
        <v/>
      </c>
      <c r="L20" s="44" t="str">
        <f>IF(SUMIF('Detailed Budget'!$D$5:$D$1005,$B20,'Detailed Budget'!$AT$5:$AT$1005)&gt;0,SUMIF('Detailed Budget'!$D$5:$D$1005,$B20,'Detailed Budget'!$AT$5:$AT$1005),"")</f>
        <v/>
      </c>
      <c r="M20" s="45">
        <f>IF(SUMIF('Detailed Budget'!$D$5:$D$1005,$B20,'Detailed Budget'!$AV$5:$AV$1005)&gt;0,SUMIF('Detailed Budget'!$D$5:$D$1005,$B20,'Detailed Budget'!$AV$5:$AV$1005),"")</f>
        <v>338748.05263460823</v>
      </c>
      <c r="N20" s="44">
        <f>IF(SUMIF('Detailed Budget'!$D$5:$D$1005,$B20,'Detailed Budget'!$BA$5:$BA$1005)&gt;0,SUMIF('Detailed Budget'!$D$5:$D$1005,$B20,'Detailed Budget'!$BA$5:$BA$1005),"")</f>
        <v>372663.89147107105</v>
      </c>
      <c r="O20" s="44" t="str">
        <f>IF(SUMIF('Detailed Budget'!$D$5:$D$1005,$B20,'Detailed Budget'!$BC$5:$BC$1005)&gt;0,SUMIF('Detailed Budget'!$D$5:$D$1005,$B20,'Detailed Budget'!$BC$5:$BC$1005),"")</f>
        <v/>
      </c>
      <c r="P20" s="44" t="str">
        <f>IF(SUMIF('Detailed Budget'!$D$5:$D$1005,$B20,'Detailed Budget'!$BE$5:$BE$1005)&gt;0,SUMIF('Detailed Budget'!$D$5:$D$1005,$B20,'Detailed Budget'!$BE$5:$BE$1005),"")</f>
        <v/>
      </c>
      <c r="Q20" s="44" t="str">
        <f>IF(SUMIF('Detailed Budget'!$D$5:$D$1005,$B20,'Detailed Budget'!$BG$5:$BG$1005)&gt;0,SUMIF('Detailed Budget'!$D$5:$D$1005,$B20,'Detailed Budget'!$BG$5:$BG$1005),"")</f>
        <v/>
      </c>
      <c r="R20" s="45">
        <f>IF(SUMIF('Detailed Budget'!$D$5:$D$1005,$B20,'Detailed Budget'!$BI$5:$BI$1005)&gt;0,SUMIF('Detailed Budget'!$D$5:$D$1005,$B20,'Detailed Budget'!$BI$5:$BI$1005),"")</f>
        <v>372663.89147107105</v>
      </c>
      <c r="S20" s="44" t="str">
        <f>IF(SUMIF('Detailed Budget'!$D$5:$D$1005,$B20,'Detailed Budget'!$BN$5:$BN$1005)&gt;0,SUMIF('Detailed Budget'!$D$5:$D$1005,$B20,'Detailed Budget'!$BN$5:$BN$1005),"")</f>
        <v/>
      </c>
      <c r="T20" s="44" t="str">
        <f>IF(SUMIF('Detailed Budget'!$D$5:$D$1005,$B20,'Detailed Budget'!$BP$5:$BP$1005)&gt;0,SUMIF('Detailed Budget'!$D$5:$D$1005,$B20,'Detailed Budget'!$BP$5:$BP$1005),"")</f>
        <v/>
      </c>
      <c r="U20" s="44" t="str">
        <f>IF(SUMIF('Detailed Budget'!$D$5:$D$1005,$B20,'Detailed Budget'!$BR$5:$BR$1005)&gt;0,SUMIF('Detailed Budget'!$D$5:$D$1005,$B20,'Detailed Budget'!$BR$5:$BR$1005),"")</f>
        <v/>
      </c>
      <c r="V20" s="44" t="str">
        <f>IF(SUMIF('Detailed Budget'!$D$5:$D$1005,$B20,'Detailed Budget'!$BT$5:$BT$1005)&gt;0,SUMIF('Detailed Budget'!$D$5:$D$1005,$B20,'Detailed Budget'!$BT$5:$BT$1005),"")</f>
        <v/>
      </c>
      <c r="W20" s="45" t="str">
        <f>IF(SUMIF('Detailed Budget'!$D$5:$D$1005,$B20,'Detailed Budget'!$BV$5:$BV$1005)&gt;0,SUMIF('Detailed Budget'!$D$5:$D$1005,$B20,'Detailed Budget'!$BV$5:$BV$1005),"")</f>
        <v/>
      </c>
      <c r="X20" s="44">
        <f t="shared" si="1"/>
        <v>1016547.0091056792</v>
      </c>
      <c r="Y20" s="122">
        <f t="shared" si="0"/>
        <v>0.1466529689425779</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row>
    <row r="21" spans="1:49" s="35" customFormat="1" ht="25.5" x14ac:dyDescent="0.2">
      <c r="A21" s="42"/>
      <c r="B21" s="39" t="str">
        <f t="array" ref="B21">IFERROR(INDEX(ModuleIdList,MATCH(0,COUNTIF(ModuleIdList,"&lt;"&amp;ModuleIdList)-SUM(COUNTIF(ModuleIdList,B$15:B20)),0)),"")</f>
        <v>a1O36000001qZ7vEAE</v>
      </c>
      <c r="C21" s="43" t="str">
        <f>IFERROR(INDEX('Data Sheet'!$A$2:$A$26,MATCH(B21,'Data Sheet'!$D$2:$D$26,0)),"")</f>
        <v>Comprehensive prevention programs for MSM</v>
      </c>
      <c r="D21" s="44">
        <f>IF(SUMIF('Detailed Budget'!$D$5:$D$1005,$B21,'Detailed Budget'!$AA$5:$AA$1005)&gt;0,SUMIF('Detailed Budget'!$D$5:$D$1005,$B21,'Detailed Budget'!$AA$5:$AA$1005),"")</f>
        <v>18890.870087894036</v>
      </c>
      <c r="E21" s="44">
        <f>IF(SUMIF('Detailed Budget'!$D$5:$D$1005,$B21,'Detailed Budget'!$AC$5:$AC$1005)&gt;0,SUMIF('Detailed Budget'!$D$5:$D$1005,$B21,'Detailed Budget'!$AC$5:$AC$1005),"")</f>
        <v>18890.870087894036</v>
      </c>
      <c r="F21" s="44">
        <f>IF(SUMIF('Detailed Budget'!$D$5:$D$1005,$B21,'Detailed Budget'!$AE$5:$AE$1005)&gt;0,SUMIF('Detailed Budget'!$D$5:$D$1005,$B21,'Detailed Budget'!$AE$5:$AE$1005),"")</f>
        <v>18890.870087894036</v>
      </c>
      <c r="G21" s="44">
        <f>IF(SUMIF('Detailed Budget'!$D$5:$D$1005,$B21,'Detailed Budget'!$AG$5:$AG$1005)&gt;0,SUMIF('Detailed Budget'!$D$5:$D$1005,$B21,'Detailed Budget'!$AG$5:$AG$1005),"")</f>
        <v>18890.870087894036</v>
      </c>
      <c r="H21" s="45">
        <f>IF(SUMIF('Detailed Budget'!$D$5:$D$1005,$B21,'Detailed Budget'!$AI$5:$AI$1005)&gt;0,SUMIF('Detailed Budget'!$D$5:$D$1005,$B21,'Detailed Budget'!$AI$5:$AI$1005),"")</f>
        <v>75563.480351576145</v>
      </c>
      <c r="I21" s="44">
        <f>IF(SUMIF('Detailed Budget'!$D$5:$D$1005,$B21,'Detailed Budget'!$AN$5:$AN$1005)&gt;0,SUMIF('Detailed Budget'!$D$5:$D$1005,$B21,'Detailed Budget'!$AN$5:$AN$1005),"")</f>
        <v>18890.870087894036</v>
      </c>
      <c r="J21" s="44">
        <f>IF(SUMIF('Detailed Budget'!$D$5:$D$1005,$B21,'Detailed Budget'!$AP$5:$AP$1005)&gt;0,SUMIF('Detailed Budget'!$D$5:$D$1005,$B21,'Detailed Budget'!$AP$5:$AP$1005),"")</f>
        <v>18890.870087894036</v>
      </c>
      <c r="K21" s="44">
        <f>IF(SUMIF('Detailed Budget'!$D$5:$D$1005,$B21,'Detailed Budget'!$AR$5:$AR$1005)&gt;0,SUMIF('Detailed Budget'!$D$5:$D$1005,$B21,'Detailed Budget'!$AR$5:$AR$1005),"")</f>
        <v>18890.870087894036</v>
      </c>
      <c r="L21" s="44">
        <f>IF(SUMIF('Detailed Budget'!$D$5:$D$1005,$B21,'Detailed Budget'!$AT$5:$AT$1005)&gt;0,SUMIF('Detailed Budget'!$D$5:$D$1005,$B21,'Detailed Budget'!$AT$5:$AT$1005),"")</f>
        <v>18890.870087894036</v>
      </c>
      <c r="M21" s="45">
        <f>IF(SUMIF('Detailed Budget'!$D$5:$D$1005,$B21,'Detailed Budget'!$AV$5:$AV$1005)&gt;0,SUMIF('Detailed Budget'!$D$5:$D$1005,$B21,'Detailed Budget'!$AV$5:$AV$1005),"")</f>
        <v>75563.480351576145</v>
      </c>
      <c r="N21" s="44">
        <f>IF(SUMIF('Detailed Budget'!$D$5:$D$1005,$B21,'Detailed Budget'!$BA$5:$BA$1005)&gt;0,SUMIF('Detailed Budget'!$D$5:$D$1005,$B21,'Detailed Budget'!$BA$5:$BA$1005),"")</f>
        <v>18890.870087894036</v>
      </c>
      <c r="O21" s="44">
        <f>IF(SUMIF('Detailed Budget'!$D$5:$D$1005,$B21,'Detailed Budget'!$BC$5:$BC$1005)&gt;0,SUMIF('Detailed Budget'!$D$5:$D$1005,$B21,'Detailed Budget'!$BC$5:$BC$1005),"")</f>
        <v>142019.10856506915</v>
      </c>
      <c r="P21" s="44">
        <f>IF(SUMIF('Detailed Budget'!$D$5:$D$1005,$B21,'Detailed Budget'!$BE$5:$BE$1005)&gt;0,SUMIF('Detailed Budget'!$D$5:$D$1005,$B21,'Detailed Budget'!$BE$5:$BE$1005),"")</f>
        <v>18890.870087894036</v>
      </c>
      <c r="Q21" s="44">
        <f>IF(SUMIF('Detailed Budget'!$D$5:$D$1005,$B21,'Detailed Budget'!$BG$5:$BG$1005)&gt;0,SUMIF('Detailed Budget'!$D$5:$D$1005,$B21,'Detailed Budget'!$BG$5:$BG$1005),"")</f>
        <v>18890.870087894036</v>
      </c>
      <c r="R21" s="45">
        <f>IF(SUMIF('Detailed Budget'!$D$5:$D$1005,$B21,'Detailed Budget'!$BI$5:$BI$1005)&gt;0,SUMIF('Detailed Budget'!$D$5:$D$1005,$B21,'Detailed Budget'!$BI$5:$BI$1005),"")</f>
        <v>198691.71882875127</v>
      </c>
      <c r="S21" s="44" t="str">
        <f>IF(SUMIF('Detailed Budget'!$D$5:$D$1005,$B21,'Detailed Budget'!$BN$5:$BN$1005)&gt;0,SUMIF('Detailed Budget'!$D$5:$D$1005,$B21,'Detailed Budget'!$BN$5:$BN$1005),"")</f>
        <v/>
      </c>
      <c r="T21" s="44" t="str">
        <f>IF(SUMIF('Detailed Budget'!$D$5:$D$1005,$B21,'Detailed Budget'!$BP$5:$BP$1005)&gt;0,SUMIF('Detailed Budget'!$D$5:$D$1005,$B21,'Detailed Budget'!$BP$5:$BP$1005),"")</f>
        <v/>
      </c>
      <c r="U21" s="44" t="str">
        <f>IF(SUMIF('Detailed Budget'!$D$5:$D$1005,$B21,'Detailed Budget'!$BR$5:$BR$1005)&gt;0,SUMIF('Detailed Budget'!$D$5:$D$1005,$B21,'Detailed Budget'!$BR$5:$BR$1005),"")</f>
        <v/>
      </c>
      <c r="V21" s="44" t="str">
        <f>IF(SUMIF('Detailed Budget'!$D$5:$D$1005,$B21,'Detailed Budget'!$BT$5:$BT$1005)&gt;0,SUMIF('Detailed Budget'!$D$5:$D$1005,$B21,'Detailed Budget'!$BT$5:$BT$1005),"")</f>
        <v/>
      </c>
      <c r="W21" s="45" t="str">
        <f>IF(SUMIF('Detailed Budget'!$D$5:$D$1005,$B21,'Detailed Budget'!$BV$5:$BV$1005)&gt;0,SUMIF('Detailed Budget'!$D$5:$D$1005,$B21,'Detailed Budget'!$BV$5:$BV$1005),"")</f>
        <v/>
      </c>
      <c r="X21" s="44">
        <f t="shared" si="1"/>
        <v>349818.67953190359</v>
      </c>
      <c r="Y21" s="122">
        <f t="shared" si="0"/>
        <v>5.0466872151893341E-2</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row>
    <row r="22" spans="1:49" s="35" customFormat="1" hidden="1" x14ac:dyDescent="0.2">
      <c r="A22" s="42"/>
      <c r="B22" s="39" t="str">
        <f t="array" ref="B22">IFERROR(INDEX(ModuleIdList,MATCH(0,COUNTIF(ModuleIdList,"&lt;"&amp;ModuleIdList)-SUM(COUNTIF(ModuleIdList,B$15:B21)),0)),"")</f>
        <v/>
      </c>
      <c r="C22" s="43" t="str">
        <f>IFERROR(INDEX('Data Sheet'!$A$2:$A$26,MATCH(B22,'Data Sheet'!$D$2:$D$26,0)),"")</f>
        <v/>
      </c>
      <c r="D22" s="44" t="str">
        <f>IF(SUMIF('Detailed Budget'!$D$5:$D$1005,$B22,'Detailed Budget'!$AA$5:$AA$1005)&gt;0,SUMIF('Detailed Budget'!$D$5:$D$1005,$B22,'Detailed Budget'!$AA$5:$AA$1005),"")</f>
        <v/>
      </c>
      <c r="E22" s="44" t="str">
        <f>IF(SUMIF('Detailed Budget'!$D$5:$D$1005,$B22,'Detailed Budget'!$AC$5:$AC$1005)&gt;0,SUMIF('Detailed Budget'!$D$5:$D$1005,$B22,'Detailed Budget'!$AC$5:$AC$1005),"")</f>
        <v/>
      </c>
      <c r="F22" s="44" t="str">
        <f>IF(SUMIF('Detailed Budget'!$D$5:$D$1005,$B22,'Detailed Budget'!$AE$5:$AE$1005)&gt;0,SUMIF('Detailed Budget'!$D$5:$D$1005,$B22,'Detailed Budget'!$AE$5:$AE$1005),"")</f>
        <v/>
      </c>
      <c r="G22" s="44" t="str">
        <f>IF(SUMIF('Detailed Budget'!$D$5:$D$1005,$B22,'Detailed Budget'!$AG$5:$AG$1005)&gt;0,SUMIF('Detailed Budget'!$D$5:$D$1005,$B22,'Detailed Budget'!$AG$5:$AG$1005),"")</f>
        <v/>
      </c>
      <c r="H22" s="45" t="str">
        <f>IF(SUMIF('Detailed Budget'!$D$5:$D$1005,$B22,'Detailed Budget'!$AI$5:$AI$1005)&gt;0,SUMIF('Detailed Budget'!$D$5:$D$1005,$B22,'Detailed Budget'!$AI$5:$AI$1005),"")</f>
        <v/>
      </c>
      <c r="I22" s="44" t="str">
        <f>IF(SUMIF('Detailed Budget'!$D$5:$D$1005,$B22,'Detailed Budget'!$AN$5:$AN$1005)&gt;0,SUMIF('Detailed Budget'!$D$5:$D$1005,$B22,'Detailed Budget'!$AN$5:$AN$1005),"")</f>
        <v/>
      </c>
      <c r="J22" s="44" t="str">
        <f>IF(SUMIF('Detailed Budget'!$D$5:$D$1005,$B22,'Detailed Budget'!$AP$5:$AP$1005)&gt;0,SUMIF('Detailed Budget'!$D$5:$D$1005,$B22,'Detailed Budget'!$AP$5:$AP$1005),"")</f>
        <v/>
      </c>
      <c r="K22" s="44" t="str">
        <f>IF(SUMIF('Detailed Budget'!$D$5:$D$1005,$B22,'Detailed Budget'!$AR$5:$AR$1005)&gt;0,SUMIF('Detailed Budget'!$D$5:$D$1005,$B22,'Detailed Budget'!$AR$5:$AR$1005),"")</f>
        <v/>
      </c>
      <c r="L22" s="44" t="str">
        <f>IF(SUMIF('Detailed Budget'!$D$5:$D$1005,$B22,'Detailed Budget'!$AT$5:$AT$1005)&gt;0,SUMIF('Detailed Budget'!$D$5:$D$1005,$B22,'Detailed Budget'!$AT$5:$AT$1005),"")</f>
        <v/>
      </c>
      <c r="M22" s="45" t="str">
        <f>IF(SUMIF('Detailed Budget'!$D$5:$D$1005,$B22,'Detailed Budget'!$AV$5:$AV$1005)&gt;0,SUMIF('Detailed Budget'!$D$5:$D$1005,$B22,'Detailed Budget'!$AV$5:$AV$1005),"")</f>
        <v/>
      </c>
      <c r="N22" s="44" t="str">
        <f>IF(SUMIF('Detailed Budget'!$D$5:$D$1005,$B22,'Detailed Budget'!$BA$5:$BA$1005)&gt;0,SUMIF('Detailed Budget'!$D$5:$D$1005,$B22,'Detailed Budget'!$BA$5:$BA$1005),"")</f>
        <v/>
      </c>
      <c r="O22" s="44" t="str">
        <f>IF(SUMIF('Detailed Budget'!$D$5:$D$1005,$B22,'Detailed Budget'!$BC$5:$BC$1005)&gt;0,SUMIF('Detailed Budget'!$D$5:$D$1005,$B22,'Detailed Budget'!$BC$5:$BC$1005),"")</f>
        <v/>
      </c>
      <c r="P22" s="44" t="str">
        <f>IF(SUMIF('Detailed Budget'!$D$5:$D$1005,$B22,'Detailed Budget'!$BE$5:$BE$1005)&gt;0,SUMIF('Detailed Budget'!$D$5:$D$1005,$B22,'Detailed Budget'!$BE$5:$BE$1005),"")</f>
        <v/>
      </c>
      <c r="Q22" s="44" t="str">
        <f>IF(SUMIF('Detailed Budget'!$D$5:$D$1005,$B22,'Detailed Budget'!$BG$5:$BG$1005)&gt;0,SUMIF('Detailed Budget'!$D$5:$D$1005,$B22,'Detailed Budget'!$BG$5:$BG$1005),"")</f>
        <v/>
      </c>
      <c r="R22" s="45" t="str">
        <f>IF(SUMIF('Detailed Budget'!$D$5:$D$1005,$B22,'Detailed Budget'!$BI$5:$BI$1005)&gt;0,SUMIF('Detailed Budget'!$D$5:$D$1005,$B22,'Detailed Budget'!$BI$5:$BI$1005),"")</f>
        <v/>
      </c>
      <c r="S22" s="44" t="str">
        <f>IF(SUMIF('Detailed Budget'!$D$5:$D$1005,$B22,'Detailed Budget'!$BN$5:$BN$1005)&gt;0,SUMIF('Detailed Budget'!$D$5:$D$1005,$B22,'Detailed Budget'!$BN$5:$BN$1005),"")</f>
        <v/>
      </c>
      <c r="T22" s="44" t="str">
        <f>IF(SUMIF('Detailed Budget'!$D$5:$D$1005,$B22,'Detailed Budget'!$BP$5:$BP$1005)&gt;0,SUMIF('Detailed Budget'!$D$5:$D$1005,$B22,'Detailed Budget'!$BP$5:$BP$1005),"")</f>
        <v/>
      </c>
      <c r="U22" s="44" t="str">
        <f>IF(SUMIF('Detailed Budget'!$D$5:$D$1005,$B22,'Detailed Budget'!$BR$5:$BR$1005)&gt;0,SUMIF('Detailed Budget'!$D$5:$D$1005,$B22,'Detailed Budget'!$BR$5:$BR$1005),"")</f>
        <v/>
      </c>
      <c r="V22" s="44" t="str">
        <f>IF(SUMIF('Detailed Budget'!$D$5:$D$1005,$B22,'Detailed Budget'!$BT$5:$BT$1005)&gt;0,SUMIF('Detailed Budget'!$D$5:$D$1005,$B22,'Detailed Budget'!$BT$5:$BT$1005),"")</f>
        <v/>
      </c>
      <c r="W22" s="45" t="str">
        <f>IF(SUMIF('Detailed Budget'!$D$5:$D$1005,$B22,'Detailed Budget'!$BV$5:$BV$1005)&gt;0,SUMIF('Detailed Budget'!$D$5:$D$1005,$B22,'Detailed Budget'!$BV$5:$BV$1005),"")</f>
        <v/>
      </c>
      <c r="X22" s="44" t="str">
        <f t="shared" si="1"/>
        <v/>
      </c>
      <c r="Y22" s="122" t="str">
        <f t="shared" si="0"/>
        <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row>
    <row r="23" spans="1:49" s="35" customFormat="1" hidden="1" x14ac:dyDescent="0.2">
      <c r="A23" s="42"/>
      <c r="B23" s="39" t="str">
        <f t="array" ref="B23">IFERROR(INDEX(ModuleIdList,MATCH(0,COUNTIF(ModuleIdList,"&lt;"&amp;ModuleIdList)-SUM(COUNTIF(ModuleIdList,B$15:B22)),0)),"")</f>
        <v/>
      </c>
      <c r="C23" s="43" t="str">
        <f>IFERROR(INDEX('Data Sheet'!$A$2:$A$26,MATCH(B23,'Data Sheet'!$D$2:$D$26,0)),"")</f>
        <v/>
      </c>
      <c r="D23" s="44" t="str">
        <f>IF(SUMIF('Detailed Budget'!$D$5:$D$1005,$B23,'Detailed Budget'!$AA$5:$AA$1005)&gt;0,SUMIF('Detailed Budget'!$D$5:$D$1005,$B23,'Detailed Budget'!$AA$5:$AA$1005),"")</f>
        <v/>
      </c>
      <c r="E23" s="44" t="str">
        <f>IF(SUMIF('Detailed Budget'!$D$5:$D$1005,$B23,'Detailed Budget'!$AC$5:$AC$1005)&gt;0,SUMIF('Detailed Budget'!$D$5:$D$1005,$B23,'Detailed Budget'!$AC$5:$AC$1005),"")</f>
        <v/>
      </c>
      <c r="F23" s="44" t="str">
        <f>IF(SUMIF('Detailed Budget'!$D$5:$D$1005,$B23,'Detailed Budget'!$AE$5:$AE$1005)&gt;0,SUMIF('Detailed Budget'!$D$5:$D$1005,$B23,'Detailed Budget'!$AE$5:$AE$1005),"")</f>
        <v/>
      </c>
      <c r="G23" s="44" t="str">
        <f>IF(SUMIF('Detailed Budget'!$D$5:$D$1005,$B23,'Detailed Budget'!$AG$5:$AG$1005)&gt;0,SUMIF('Detailed Budget'!$D$5:$D$1005,$B23,'Detailed Budget'!$AG$5:$AG$1005),"")</f>
        <v/>
      </c>
      <c r="H23" s="45" t="str">
        <f>IF(SUMIF('Detailed Budget'!$D$5:$D$1005,$B23,'Detailed Budget'!$AI$5:$AI$1005)&gt;0,SUMIF('Detailed Budget'!$D$5:$D$1005,$B23,'Detailed Budget'!$AI$5:$AI$1005),"")</f>
        <v/>
      </c>
      <c r="I23" s="44" t="str">
        <f>IF(SUMIF('Detailed Budget'!$D$5:$D$1005,$B23,'Detailed Budget'!$AN$5:$AN$1005)&gt;0,SUMIF('Detailed Budget'!$D$5:$D$1005,$B23,'Detailed Budget'!$AN$5:$AN$1005),"")</f>
        <v/>
      </c>
      <c r="J23" s="44" t="str">
        <f>IF(SUMIF('Detailed Budget'!$D$5:$D$1005,$B23,'Detailed Budget'!$AP$5:$AP$1005)&gt;0,SUMIF('Detailed Budget'!$D$5:$D$1005,$B23,'Detailed Budget'!$AP$5:$AP$1005),"")</f>
        <v/>
      </c>
      <c r="K23" s="44" t="str">
        <f>IF(SUMIF('Detailed Budget'!$D$5:$D$1005,$B23,'Detailed Budget'!$AR$5:$AR$1005)&gt;0,SUMIF('Detailed Budget'!$D$5:$D$1005,$B23,'Detailed Budget'!$AR$5:$AR$1005),"")</f>
        <v/>
      </c>
      <c r="L23" s="44" t="str">
        <f>IF(SUMIF('Detailed Budget'!$D$5:$D$1005,$B23,'Detailed Budget'!$AT$5:$AT$1005)&gt;0,SUMIF('Detailed Budget'!$D$5:$D$1005,$B23,'Detailed Budget'!$AT$5:$AT$1005),"")</f>
        <v/>
      </c>
      <c r="M23" s="45" t="str">
        <f>IF(SUMIF('Detailed Budget'!$D$5:$D$1005,$B23,'Detailed Budget'!$AV$5:$AV$1005)&gt;0,SUMIF('Detailed Budget'!$D$5:$D$1005,$B23,'Detailed Budget'!$AV$5:$AV$1005),"")</f>
        <v/>
      </c>
      <c r="N23" s="44" t="str">
        <f>IF(SUMIF('Detailed Budget'!$D$5:$D$1005,$B23,'Detailed Budget'!$BA$5:$BA$1005)&gt;0,SUMIF('Detailed Budget'!$D$5:$D$1005,$B23,'Detailed Budget'!$BA$5:$BA$1005),"")</f>
        <v/>
      </c>
      <c r="O23" s="44" t="str">
        <f>IF(SUMIF('Detailed Budget'!$D$5:$D$1005,$B23,'Detailed Budget'!$BC$5:$BC$1005)&gt;0,SUMIF('Detailed Budget'!$D$5:$D$1005,$B23,'Detailed Budget'!$BC$5:$BC$1005),"")</f>
        <v/>
      </c>
      <c r="P23" s="44" t="str">
        <f>IF(SUMIF('Detailed Budget'!$D$5:$D$1005,$B23,'Detailed Budget'!$BE$5:$BE$1005)&gt;0,SUMIF('Detailed Budget'!$D$5:$D$1005,$B23,'Detailed Budget'!$BE$5:$BE$1005),"")</f>
        <v/>
      </c>
      <c r="Q23" s="44" t="str">
        <f>IF(SUMIF('Detailed Budget'!$D$5:$D$1005,$B23,'Detailed Budget'!$BG$5:$BG$1005)&gt;0,SUMIF('Detailed Budget'!$D$5:$D$1005,$B23,'Detailed Budget'!$BG$5:$BG$1005),"")</f>
        <v/>
      </c>
      <c r="R23" s="45" t="str">
        <f>IF(SUMIF('Detailed Budget'!$D$5:$D$1005,$B23,'Detailed Budget'!$BI$5:$BI$1005)&gt;0,SUMIF('Detailed Budget'!$D$5:$D$1005,$B23,'Detailed Budget'!$BI$5:$BI$1005),"")</f>
        <v/>
      </c>
      <c r="S23" s="44" t="str">
        <f>IF(SUMIF('Detailed Budget'!$D$5:$D$1005,$B23,'Detailed Budget'!$BN$5:$BN$1005)&gt;0,SUMIF('Detailed Budget'!$D$5:$D$1005,$B23,'Detailed Budget'!$BN$5:$BN$1005),"")</f>
        <v/>
      </c>
      <c r="T23" s="44" t="str">
        <f>IF(SUMIF('Detailed Budget'!$D$5:$D$1005,$B23,'Detailed Budget'!$BP$5:$BP$1005)&gt;0,SUMIF('Detailed Budget'!$D$5:$D$1005,$B23,'Detailed Budget'!$BP$5:$BP$1005),"")</f>
        <v/>
      </c>
      <c r="U23" s="44" t="str">
        <f>IF(SUMIF('Detailed Budget'!$D$5:$D$1005,$B23,'Detailed Budget'!$BR$5:$BR$1005)&gt;0,SUMIF('Detailed Budget'!$D$5:$D$1005,$B23,'Detailed Budget'!$BR$5:$BR$1005),"")</f>
        <v/>
      </c>
      <c r="V23" s="44" t="str">
        <f>IF(SUMIF('Detailed Budget'!$D$5:$D$1005,$B23,'Detailed Budget'!$BT$5:$BT$1005)&gt;0,SUMIF('Detailed Budget'!$D$5:$D$1005,$B23,'Detailed Budget'!$BT$5:$BT$1005),"")</f>
        <v/>
      </c>
      <c r="W23" s="45" t="str">
        <f>IF(SUMIF('Detailed Budget'!$D$5:$D$1005,$B23,'Detailed Budget'!$BV$5:$BV$1005)&gt;0,SUMIF('Detailed Budget'!$D$5:$D$1005,$B23,'Detailed Budget'!$BV$5:$BV$1005),"")</f>
        <v/>
      </c>
      <c r="X23" s="44" t="str">
        <f t="shared" si="1"/>
        <v/>
      </c>
      <c r="Y23" s="122" t="str">
        <f t="shared" si="0"/>
        <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row>
    <row r="24" spans="1:49" s="35" customFormat="1" hidden="1" x14ac:dyDescent="0.2">
      <c r="A24" s="42"/>
      <c r="B24" s="39" t="str">
        <f t="array" ref="B24">IFERROR(INDEX(ModuleIdList,MATCH(0,COUNTIF(ModuleIdList,"&lt;"&amp;ModuleIdList)-SUM(COUNTIF(ModuleIdList,B$15:B23)),0)),"")</f>
        <v/>
      </c>
      <c r="C24" s="43" t="str">
        <f>IFERROR(INDEX('Data Sheet'!$A$2:$A$26,MATCH(B24,'Data Sheet'!$D$2:$D$26,0)),"")</f>
        <v/>
      </c>
      <c r="D24" s="44" t="str">
        <f>IF(SUMIF('Detailed Budget'!$D$5:$D$1005,$B24,'Detailed Budget'!$AA$5:$AA$1005)&gt;0,SUMIF('Detailed Budget'!$D$5:$D$1005,$B24,'Detailed Budget'!$AA$5:$AA$1005),"")</f>
        <v/>
      </c>
      <c r="E24" s="44" t="str">
        <f>IF(SUMIF('Detailed Budget'!$D$5:$D$1005,$B24,'Detailed Budget'!$AC$5:$AC$1005)&gt;0,SUMIF('Detailed Budget'!$D$5:$D$1005,$B24,'Detailed Budget'!$AC$5:$AC$1005),"")</f>
        <v/>
      </c>
      <c r="F24" s="44" t="str">
        <f>IF(SUMIF('Detailed Budget'!$D$5:$D$1005,$B24,'Detailed Budget'!$AE$5:$AE$1005)&gt;0,SUMIF('Detailed Budget'!$D$5:$D$1005,$B24,'Detailed Budget'!$AE$5:$AE$1005),"")</f>
        <v/>
      </c>
      <c r="G24" s="44" t="str">
        <f>IF(SUMIF('Detailed Budget'!$D$5:$D$1005,$B24,'Detailed Budget'!$AG$5:$AG$1005)&gt;0,SUMIF('Detailed Budget'!$D$5:$D$1005,$B24,'Detailed Budget'!$AG$5:$AG$1005),"")</f>
        <v/>
      </c>
      <c r="H24" s="45" t="str">
        <f>IF(SUMIF('Detailed Budget'!$D$5:$D$1005,$B24,'Detailed Budget'!$AI$5:$AI$1005)&gt;0,SUMIF('Detailed Budget'!$D$5:$D$1005,$B24,'Detailed Budget'!$AI$5:$AI$1005),"")</f>
        <v/>
      </c>
      <c r="I24" s="44" t="str">
        <f>IF(SUMIF('Detailed Budget'!$D$5:$D$1005,$B24,'Detailed Budget'!$AN$5:$AN$1005)&gt;0,SUMIF('Detailed Budget'!$D$5:$D$1005,$B24,'Detailed Budget'!$AN$5:$AN$1005),"")</f>
        <v/>
      </c>
      <c r="J24" s="44" t="str">
        <f>IF(SUMIF('Detailed Budget'!$D$5:$D$1005,$B24,'Detailed Budget'!$AP$5:$AP$1005)&gt;0,SUMIF('Detailed Budget'!$D$5:$D$1005,$B24,'Detailed Budget'!$AP$5:$AP$1005),"")</f>
        <v/>
      </c>
      <c r="K24" s="44" t="str">
        <f>IF(SUMIF('Detailed Budget'!$D$5:$D$1005,$B24,'Detailed Budget'!$AR$5:$AR$1005)&gt;0,SUMIF('Detailed Budget'!$D$5:$D$1005,$B24,'Detailed Budget'!$AR$5:$AR$1005),"")</f>
        <v/>
      </c>
      <c r="L24" s="44" t="str">
        <f>IF(SUMIF('Detailed Budget'!$D$5:$D$1005,$B24,'Detailed Budget'!$AT$5:$AT$1005)&gt;0,SUMIF('Detailed Budget'!$D$5:$D$1005,$B24,'Detailed Budget'!$AT$5:$AT$1005),"")</f>
        <v/>
      </c>
      <c r="M24" s="45" t="str">
        <f>IF(SUMIF('Detailed Budget'!$D$5:$D$1005,$B24,'Detailed Budget'!$AV$5:$AV$1005)&gt;0,SUMIF('Detailed Budget'!$D$5:$D$1005,$B24,'Detailed Budget'!$AV$5:$AV$1005),"")</f>
        <v/>
      </c>
      <c r="N24" s="44" t="str">
        <f>IF(SUMIF('Detailed Budget'!$D$5:$D$1005,$B24,'Detailed Budget'!$BA$5:$BA$1005)&gt;0,SUMIF('Detailed Budget'!$D$5:$D$1005,$B24,'Detailed Budget'!$BA$5:$BA$1005),"")</f>
        <v/>
      </c>
      <c r="O24" s="44" t="str">
        <f>IF(SUMIF('Detailed Budget'!$D$5:$D$1005,$B24,'Detailed Budget'!$BC$5:$BC$1005)&gt;0,SUMIF('Detailed Budget'!$D$5:$D$1005,$B24,'Detailed Budget'!$BC$5:$BC$1005),"")</f>
        <v/>
      </c>
      <c r="P24" s="44" t="str">
        <f>IF(SUMIF('Detailed Budget'!$D$5:$D$1005,$B24,'Detailed Budget'!$BE$5:$BE$1005)&gt;0,SUMIF('Detailed Budget'!$D$5:$D$1005,$B24,'Detailed Budget'!$BE$5:$BE$1005),"")</f>
        <v/>
      </c>
      <c r="Q24" s="44" t="str">
        <f>IF(SUMIF('Detailed Budget'!$D$5:$D$1005,$B24,'Detailed Budget'!$BG$5:$BG$1005)&gt;0,SUMIF('Detailed Budget'!$D$5:$D$1005,$B24,'Detailed Budget'!$BG$5:$BG$1005),"")</f>
        <v/>
      </c>
      <c r="R24" s="45" t="str">
        <f>IF(SUMIF('Detailed Budget'!$D$5:$D$1005,$B24,'Detailed Budget'!$BI$5:$BI$1005)&gt;0,SUMIF('Detailed Budget'!$D$5:$D$1005,$B24,'Detailed Budget'!$BI$5:$BI$1005),"")</f>
        <v/>
      </c>
      <c r="S24" s="44" t="str">
        <f>IF(SUMIF('Detailed Budget'!$D$5:$D$1005,$B24,'Detailed Budget'!$BN$5:$BN$1005)&gt;0,SUMIF('Detailed Budget'!$D$5:$D$1005,$B24,'Detailed Budget'!$BN$5:$BN$1005),"")</f>
        <v/>
      </c>
      <c r="T24" s="44" t="str">
        <f>IF(SUMIF('Detailed Budget'!$D$5:$D$1005,$B24,'Detailed Budget'!$BP$5:$BP$1005)&gt;0,SUMIF('Detailed Budget'!$D$5:$D$1005,$B24,'Detailed Budget'!$BP$5:$BP$1005),"")</f>
        <v/>
      </c>
      <c r="U24" s="44" t="str">
        <f>IF(SUMIF('Detailed Budget'!$D$5:$D$1005,$B24,'Detailed Budget'!$BR$5:$BR$1005)&gt;0,SUMIF('Detailed Budget'!$D$5:$D$1005,$B24,'Detailed Budget'!$BR$5:$BR$1005),"")</f>
        <v/>
      </c>
      <c r="V24" s="44" t="str">
        <f>IF(SUMIF('Detailed Budget'!$D$5:$D$1005,$B24,'Detailed Budget'!$BT$5:$BT$1005)&gt;0,SUMIF('Detailed Budget'!$D$5:$D$1005,$B24,'Detailed Budget'!$BT$5:$BT$1005),"")</f>
        <v/>
      </c>
      <c r="W24" s="45" t="str">
        <f>IF(SUMIF('Detailed Budget'!$D$5:$D$1005,$B24,'Detailed Budget'!$BV$5:$BV$1005)&gt;0,SUMIF('Detailed Budget'!$D$5:$D$1005,$B24,'Detailed Budget'!$BV$5:$BV$1005),"")</f>
        <v/>
      </c>
      <c r="X24" s="44" t="str">
        <f t="shared" si="1"/>
        <v/>
      </c>
      <c r="Y24" s="122" t="str">
        <f t="shared" si="0"/>
        <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row>
    <row r="25" spans="1:49" s="35" customFormat="1" hidden="1" x14ac:dyDescent="0.2">
      <c r="A25" s="42"/>
      <c r="B25" s="39" t="str">
        <f t="array" ref="B25">IFERROR(INDEX(ModuleIdList,MATCH(0,COUNTIF(ModuleIdList,"&lt;"&amp;ModuleIdList)-SUM(COUNTIF(ModuleIdList,B$15:B24)),0)),"")</f>
        <v/>
      </c>
      <c r="C25" s="43" t="str">
        <f>IFERROR(INDEX('Data Sheet'!$A$2:$A$26,MATCH(B25,'Data Sheet'!$D$2:$D$26,0)),"")</f>
        <v/>
      </c>
      <c r="D25" s="44" t="str">
        <f>IF(SUMIF('Detailed Budget'!$D$5:$D$1005,$B25,'Detailed Budget'!$AA$5:$AA$1005)&gt;0,SUMIF('Detailed Budget'!$D$5:$D$1005,$B25,'Detailed Budget'!$AA$5:$AA$1005),"")</f>
        <v/>
      </c>
      <c r="E25" s="44" t="str">
        <f>IF(SUMIF('Detailed Budget'!$D$5:$D$1005,$B25,'Detailed Budget'!$AC$5:$AC$1005)&gt;0,SUMIF('Detailed Budget'!$D$5:$D$1005,$B25,'Detailed Budget'!$AC$5:$AC$1005),"")</f>
        <v/>
      </c>
      <c r="F25" s="44" t="str">
        <f>IF(SUMIF('Detailed Budget'!$D$5:$D$1005,$B25,'Detailed Budget'!$AE$5:$AE$1005)&gt;0,SUMIF('Detailed Budget'!$D$5:$D$1005,$B25,'Detailed Budget'!$AE$5:$AE$1005),"")</f>
        <v/>
      </c>
      <c r="G25" s="44" t="str">
        <f>IF(SUMIF('Detailed Budget'!$D$5:$D$1005,$B25,'Detailed Budget'!$AG$5:$AG$1005)&gt;0,SUMIF('Detailed Budget'!$D$5:$D$1005,$B25,'Detailed Budget'!$AG$5:$AG$1005),"")</f>
        <v/>
      </c>
      <c r="H25" s="45" t="str">
        <f>IF(SUMIF('Detailed Budget'!$D$5:$D$1005,$B25,'Detailed Budget'!$AI$5:$AI$1005)&gt;0,SUMIF('Detailed Budget'!$D$5:$D$1005,$B25,'Detailed Budget'!$AI$5:$AI$1005),"")</f>
        <v/>
      </c>
      <c r="I25" s="44" t="str">
        <f>IF(SUMIF('Detailed Budget'!$D$5:$D$1005,$B25,'Detailed Budget'!$AN$5:$AN$1005)&gt;0,SUMIF('Detailed Budget'!$D$5:$D$1005,$B25,'Detailed Budget'!$AN$5:$AN$1005),"")</f>
        <v/>
      </c>
      <c r="J25" s="44" t="str">
        <f>IF(SUMIF('Detailed Budget'!$D$5:$D$1005,$B25,'Detailed Budget'!$AP$5:$AP$1005)&gt;0,SUMIF('Detailed Budget'!$D$5:$D$1005,$B25,'Detailed Budget'!$AP$5:$AP$1005),"")</f>
        <v/>
      </c>
      <c r="K25" s="44" t="str">
        <f>IF(SUMIF('Detailed Budget'!$D$5:$D$1005,$B25,'Detailed Budget'!$AR$5:$AR$1005)&gt;0,SUMIF('Detailed Budget'!$D$5:$D$1005,$B25,'Detailed Budget'!$AR$5:$AR$1005),"")</f>
        <v/>
      </c>
      <c r="L25" s="44" t="str">
        <f>IF(SUMIF('Detailed Budget'!$D$5:$D$1005,$B25,'Detailed Budget'!$AT$5:$AT$1005)&gt;0,SUMIF('Detailed Budget'!$D$5:$D$1005,$B25,'Detailed Budget'!$AT$5:$AT$1005),"")</f>
        <v/>
      </c>
      <c r="M25" s="45" t="str">
        <f>IF(SUMIF('Detailed Budget'!$D$5:$D$1005,$B25,'Detailed Budget'!$AV$5:$AV$1005)&gt;0,SUMIF('Detailed Budget'!$D$5:$D$1005,$B25,'Detailed Budget'!$AV$5:$AV$1005),"")</f>
        <v/>
      </c>
      <c r="N25" s="44" t="str">
        <f>IF(SUMIF('Detailed Budget'!$D$5:$D$1005,$B25,'Detailed Budget'!$BA$5:$BA$1005)&gt;0,SUMIF('Detailed Budget'!$D$5:$D$1005,$B25,'Detailed Budget'!$BA$5:$BA$1005),"")</f>
        <v/>
      </c>
      <c r="O25" s="44" t="str">
        <f>IF(SUMIF('Detailed Budget'!$D$5:$D$1005,$B25,'Detailed Budget'!$BC$5:$BC$1005)&gt;0,SUMIF('Detailed Budget'!$D$5:$D$1005,$B25,'Detailed Budget'!$BC$5:$BC$1005),"")</f>
        <v/>
      </c>
      <c r="P25" s="44" t="str">
        <f>IF(SUMIF('Detailed Budget'!$D$5:$D$1005,$B25,'Detailed Budget'!$BE$5:$BE$1005)&gt;0,SUMIF('Detailed Budget'!$D$5:$D$1005,$B25,'Detailed Budget'!$BE$5:$BE$1005),"")</f>
        <v/>
      </c>
      <c r="Q25" s="44" t="str">
        <f>IF(SUMIF('Detailed Budget'!$D$5:$D$1005,$B25,'Detailed Budget'!$BG$5:$BG$1005)&gt;0,SUMIF('Detailed Budget'!$D$5:$D$1005,$B25,'Detailed Budget'!$BG$5:$BG$1005),"")</f>
        <v/>
      </c>
      <c r="R25" s="45" t="str">
        <f>IF(SUMIF('Detailed Budget'!$D$5:$D$1005,$B25,'Detailed Budget'!$BI$5:$BI$1005)&gt;0,SUMIF('Detailed Budget'!$D$5:$D$1005,$B25,'Detailed Budget'!$BI$5:$BI$1005),"")</f>
        <v/>
      </c>
      <c r="S25" s="44" t="str">
        <f>IF(SUMIF('Detailed Budget'!$D$5:$D$1005,$B25,'Detailed Budget'!$BN$5:$BN$1005)&gt;0,SUMIF('Detailed Budget'!$D$5:$D$1005,$B25,'Detailed Budget'!$BN$5:$BN$1005),"")</f>
        <v/>
      </c>
      <c r="T25" s="44" t="str">
        <f>IF(SUMIF('Detailed Budget'!$D$5:$D$1005,$B25,'Detailed Budget'!$BP$5:$BP$1005)&gt;0,SUMIF('Detailed Budget'!$D$5:$D$1005,$B25,'Detailed Budget'!$BP$5:$BP$1005),"")</f>
        <v/>
      </c>
      <c r="U25" s="44" t="str">
        <f>IF(SUMIF('Detailed Budget'!$D$5:$D$1005,$B25,'Detailed Budget'!$BR$5:$BR$1005)&gt;0,SUMIF('Detailed Budget'!$D$5:$D$1005,$B25,'Detailed Budget'!$BR$5:$BR$1005),"")</f>
        <v/>
      </c>
      <c r="V25" s="44" t="str">
        <f>IF(SUMIF('Detailed Budget'!$D$5:$D$1005,$B25,'Detailed Budget'!$BT$5:$BT$1005)&gt;0,SUMIF('Detailed Budget'!$D$5:$D$1005,$B25,'Detailed Budget'!$BT$5:$BT$1005),"")</f>
        <v/>
      </c>
      <c r="W25" s="45" t="str">
        <f>IF(SUMIF('Detailed Budget'!$D$5:$D$1005,$B25,'Detailed Budget'!$BV$5:$BV$1005)&gt;0,SUMIF('Detailed Budget'!$D$5:$D$1005,$B25,'Detailed Budget'!$BV$5:$BV$1005),"")</f>
        <v/>
      </c>
      <c r="X25" s="44" t="str">
        <f t="shared" si="1"/>
        <v/>
      </c>
      <c r="Y25" s="122" t="str">
        <f t="shared" si="0"/>
        <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row>
    <row r="26" spans="1:49" s="35" customFormat="1" hidden="1" x14ac:dyDescent="0.2">
      <c r="A26" s="42"/>
      <c r="B26" s="39" t="str">
        <f t="array" ref="B26">IFERROR(INDEX(ModuleIdList,MATCH(0,COUNTIF(ModuleIdList,"&lt;"&amp;ModuleIdList)-SUM(COUNTIF(ModuleIdList,B$15:B25)),0)),"")</f>
        <v/>
      </c>
      <c r="C26" s="43" t="str">
        <f>IFERROR(INDEX('Data Sheet'!$A$2:$A$26,MATCH(B26,'Data Sheet'!$D$2:$D$26,0)),"")</f>
        <v/>
      </c>
      <c r="D26" s="44" t="str">
        <f>IF(SUMIF('Detailed Budget'!$D$5:$D$1005,$B26,'Detailed Budget'!$AA$5:$AA$1005)&gt;0,SUMIF('Detailed Budget'!$D$5:$D$1005,$B26,'Detailed Budget'!$AA$5:$AA$1005),"")</f>
        <v/>
      </c>
      <c r="E26" s="44" t="str">
        <f>IF(SUMIF('Detailed Budget'!$D$5:$D$1005,$B26,'Detailed Budget'!$AC$5:$AC$1005)&gt;0,SUMIF('Detailed Budget'!$D$5:$D$1005,$B26,'Detailed Budget'!$AC$5:$AC$1005),"")</f>
        <v/>
      </c>
      <c r="F26" s="44" t="str">
        <f>IF(SUMIF('Detailed Budget'!$D$5:$D$1005,$B26,'Detailed Budget'!$AE$5:$AE$1005)&gt;0,SUMIF('Detailed Budget'!$D$5:$D$1005,$B26,'Detailed Budget'!$AE$5:$AE$1005),"")</f>
        <v/>
      </c>
      <c r="G26" s="44" t="str">
        <f>IF(SUMIF('Detailed Budget'!$D$5:$D$1005,$B26,'Detailed Budget'!$AG$5:$AG$1005)&gt;0,SUMIF('Detailed Budget'!$D$5:$D$1005,$B26,'Detailed Budget'!$AG$5:$AG$1005),"")</f>
        <v/>
      </c>
      <c r="H26" s="45" t="str">
        <f>IF(SUMIF('Detailed Budget'!$D$5:$D$1005,$B26,'Detailed Budget'!$AI$5:$AI$1005)&gt;0,SUMIF('Detailed Budget'!$D$5:$D$1005,$B26,'Detailed Budget'!$AI$5:$AI$1005),"")</f>
        <v/>
      </c>
      <c r="I26" s="44" t="str">
        <f>IF(SUMIF('Detailed Budget'!$D$5:$D$1005,$B26,'Detailed Budget'!$AN$5:$AN$1005)&gt;0,SUMIF('Detailed Budget'!$D$5:$D$1005,$B26,'Detailed Budget'!$AN$5:$AN$1005),"")</f>
        <v/>
      </c>
      <c r="J26" s="44" t="str">
        <f>IF(SUMIF('Detailed Budget'!$D$5:$D$1005,$B26,'Detailed Budget'!$AP$5:$AP$1005)&gt;0,SUMIF('Detailed Budget'!$D$5:$D$1005,$B26,'Detailed Budget'!$AP$5:$AP$1005),"")</f>
        <v/>
      </c>
      <c r="K26" s="44" t="str">
        <f>IF(SUMIF('Detailed Budget'!$D$5:$D$1005,$B26,'Detailed Budget'!$AR$5:$AR$1005)&gt;0,SUMIF('Detailed Budget'!$D$5:$D$1005,$B26,'Detailed Budget'!$AR$5:$AR$1005),"")</f>
        <v/>
      </c>
      <c r="L26" s="44" t="str">
        <f>IF(SUMIF('Detailed Budget'!$D$5:$D$1005,$B26,'Detailed Budget'!$AT$5:$AT$1005)&gt;0,SUMIF('Detailed Budget'!$D$5:$D$1005,$B26,'Detailed Budget'!$AT$5:$AT$1005),"")</f>
        <v/>
      </c>
      <c r="M26" s="45" t="str">
        <f>IF(SUMIF('Detailed Budget'!$D$5:$D$1005,$B26,'Detailed Budget'!$AV$5:$AV$1005)&gt;0,SUMIF('Detailed Budget'!$D$5:$D$1005,$B26,'Detailed Budget'!$AV$5:$AV$1005),"")</f>
        <v/>
      </c>
      <c r="N26" s="44" t="str">
        <f>IF(SUMIF('Detailed Budget'!$D$5:$D$1005,$B26,'Detailed Budget'!$BA$5:$BA$1005)&gt;0,SUMIF('Detailed Budget'!$D$5:$D$1005,$B26,'Detailed Budget'!$BA$5:$BA$1005),"")</f>
        <v/>
      </c>
      <c r="O26" s="44" t="str">
        <f>IF(SUMIF('Detailed Budget'!$D$5:$D$1005,$B26,'Detailed Budget'!$BC$5:$BC$1005)&gt;0,SUMIF('Detailed Budget'!$D$5:$D$1005,$B26,'Detailed Budget'!$BC$5:$BC$1005),"")</f>
        <v/>
      </c>
      <c r="P26" s="44" t="str">
        <f>IF(SUMIF('Detailed Budget'!$D$5:$D$1005,$B26,'Detailed Budget'!$BE$5:$BE$1005)&gt;0,SUMIF('Detailed Budget'!$D$5:$D$1005,$B26,'Detailed Budget'!$BE$5:$BE$1005),"")</f>
        <v/>
      </c>
      <c r="Q26" s="44" t="str">
        <f>IF(SUMIF('Detailed Budget'!$D$5:$D$1005,$B26,'Detailed Budget'!$BG$5:$BG$1005)&gt;0,SUMIF('Detailed Budget'!$D$5:$D$1005,$B26,'Detailed Budget'!$BG$5:$BG$1005),"")</f>
        <v/>
      </c>
      <c r="R26" s="45" t="str">
        <f>IF(SUMIF('Detailed Budget'!$D$5:$D$1005,$B26,'Detailed Budget'!$BI$5:$BI$1005)&gt;0,SUMIF('Detailed Budget'!$D$5:$D$1005,$B26,'Detailed Budget'!$BI$5:$BI$1005),"")</f>
        <v/>
      </c>
      <c r="S26" s="44" t="str">
        <f>IF(SUMIF('Detailed Budget'!$D$5:$D$1005,$B26,'Detailed Budget'!$BN$5:$BN$1005)&gt;0,SUMIF('Detailed Budget'!$D$5:$D$1005,$B26,'Detailed Budget'!$BN$5:$BN$1005),"")</f>
        <v/>
      </c>
      <c r="T26" s="44" t="str">
        <f>IF(SUMIF('Detailed Budget'!$D$5:$D$1005,$B26,'Detailed Budget'!$BP$5:$BP$1005)&gt;0,SUMIF('Detailed Budget'!$D$5:$D$1005,$B26,'Detailed Budget'!$BP$5:$BP$1005),"")</f>
        <v/>
      </c>
      <c r="U26" s="44" t="str">
        <f>IF(SUMIF('Detailed Budget'!$D$5:$D$1005,$B26,'Detailed Budget'!$BR$5:$BR$1005)&gt;0,SUMIF('Detailed Budget'!$D$5:$D$1005,$B26,'Detailed Budget'!$BR$5:$BR$1005),"")</f>
        <v/>
      </c>
      <c r="V26" s="44" t="str">
        <f>IF(SUMIF('Detailed Budget'!$D$5:$D$1005,$B26,'Detailed Budget'!$BT$5:$BT$1005)&gt;0,SUMIF('Detailed Budget'!$D$5:$D$1005,$B26,'Detailed Budget'!$BT$5:$BT$1005),"")</f>
        <v/>
      </c>
      <c r="W26" s="45" t="str">
        <f>IF(SUMIF('Detailed Budget'!$D$5:$D$1005,$B26,'Detailed Budget'!$BV$5:$BV$1005)&gt;0,SUMIF('Detailed Budget'!$D$5:$D$1005,$B26,'Detailed Budget'!$BV$5:$BV$1005),"")</f>
        <v/>
      </c>
      <c r="X26" s="44" t="str">
        <f t="shared" si="1"/>
        <v/>
      </c>
      <c r="Y26" s="122" t="str">
        <f t="shared" si="0"/>
        <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row>
    <row r="27" spans="1:49" s="35" customFormat="1" hidden="1" x14ac:dyDescent="0.2">
      <c r="A27" s="42"/>
      <c r="B27" s="39" t="str">
        <f t="array" ref="B27">IFERROR(INDEX(ModuleIdList,MATCH(0,COUNTIF(ModuleIdList,"&lt;"&amp;ModuleIdList)-SUM(COUNTIF(ModuleIdList,B$15:B26)),0)),"")</f>
        <v/>
      </c>
      <c r="C27" s="43" t="str">
        <f>IFERROR(INDEX('Data Sheet'!$A$2:$A$26,MATCH(B27,'Data Sheet'!$D$2:$D$26,0)),"")</f>
        <v/>
      </c>
      <c r="D27" s="44" t="str">
        <f>IF(SUMIF('Detailed Budget'!$D$5:$D$1005,$B27,'Detailed Budget'!$AA$5:$AA$1005)&gt;0,SUMIF('Detailed Budget'!$D$5:$D$1005,$B27,'Detailed Budget'!$AA$5:$AA$1005),"")</f>
        <v/>
      </c>
      <c r="E27" s="44" t="str">
        <f>IF(SUMIF('Detailed Budget'!$D$5:$D$1005,$B27,'Detailed Budget'!$AC$5:$AC$1005)&gt;0,SUMIF('Detailed Budget'!$D$5:$D$1005,$B27,'Detailed Budget'!$AC$5:$AC$1005),"")</f>
        <v/>
      </c>
      <c r="F27" s="44" t="str">
        <f>IF(SUMIF('Detailed Budget'!$D$5:$D$1005,$B27,'Detailed Budget'!$AE$5:$AE$1005)&gt;0,SUMIF('Detailed Budget'!$D$5:$D$1005,$B27,'Detailed Budget'!$AE$5:$AE$1005),"")</f>
        <v/>
      </c>
      <c r="G27" s="44" t="str">
        <f>IF(SUMIF('Detailed Budget'!$D$5:$D$1005,$B27,'Detailed Budget'!$AG$5:$AG$1005)&gt;0,SUMIF('Detailed Budget'!$D$5:$D$1005,$B27,'Detailed Budget'!$AG$5:$AG$1005),"")</f>
        <v/>
      </c>
      <c r="H27" s="45" t="str">
        <f>IF(SUMIF('Detailed Budget'!$D$5:$D$1005,$B27,'Detailed Budget'!$AI$5:$AI$1005)&gt;0,SUMIF('Detailed Budget'!$D$5:$D$1005,$B27,'Detailed Budget'!$AI$5:$AI$1005),"")</f>
        <v/>
      </c>
      <c r="I27" s="44" t="str">
        <f>IF(SUMIF('Detailed Budget'!$D$5:$D$1005,$B27,'Detailed Budget'!$AN$5:$AN$1005)&gt;0,SUMIF('Detailed Budget'!$D$5:$D$1005,$B27,'Detailed Budget'!$AN$5:$AN$1005),"")</f>
        <v/>
      </c>
      <c r="J27" s="44" t="str">
        <f>IF(SUMIF('Detailed Budget'!$D$5:$D$1005,$B27,'Detailed Budget'!$AP$5:$AP$1005)&gt;0,SUMIF('Detailed Budget'!$D$5:$D$1005,$B27,'Detailed Budget'!$AP$5:$AP$1005),"")</f>
        <v/>
      </c>
      <c r="K27" s="44" t="str">
        <f>IF(SUMIF('Detailed Budget'!$D$5:$D$1005,$B27,'Detailed Budget'!$AR$5:$AR$1005)&gt;0,SUMIF('Detailed Budget'!$D$5:$D$1005,$B27,'Detailed Budget'!$AR$5:$AR$1005),"")</f>
        <v/>
      </c>
      <c r="L27" s="44" t="str">
        <f>IF(SUMIF('Detailed Budget'!$D$5:$D$1005,$B27,'Detailed Budget'!$AT$5:$AT$1005)&gt;0,SUMIF('Detailed Budget'!$D$5:$D$1005,$B27,'Detailed Budget'!$AT$5:$AT$1005),"")</f>
        <v/>
      </c>
      <c r="M27" s="45" t="str">
        <f>IF(SUMIF('Detailed Budget'!$D$5:$D$1005,$B27,'Detailed Budget'!$AV$5:$AV$1005)&gt;0,SUMIF('Detailed Budget'!$D$5:$D$1005,$B27,'Detailed Budget'!$AV$5:$AV$1005),"")</f>
        <v/>
      </c>
      <c r="N27" s="44" t="str">
        <f>IF(SUMIF('Detailed Budget'!$D$5:$D$1005,$B27,'Detailed Budget'!$BA$5:$BA$1005)&gt;0,SUMIF('Detailed Budget'!$D$5:$D$1005,$B27,'Detailed Budget'!$BA$5:$BA$1005),"")</f>
        <v/>
      </c>
      <c r="O27" s="44" t="str">
        <f>IF(SUMIF('Detailed Budget'!$D$5:$D$1005,$B27,'Detailed Budget'!$BC$5:$BC$1005)&gt;0,SUMIF('Detailed Budget'!$D$5:$D$1005,$B27,'Detailed Budget'!$BC$5:$BC$1005),"")</f>
        <v/>
      </c>
      <c r="P27" s="44" t="str">
        <f>IF(SUMIF('Detailed Budget'!$D$5:$D$1005,$B27,'Detailed Budget'!$BE$5:$BE$1005)&gt;0,SUMIF('Detailed Budget'!$D$5:$D$1005,$B27,'Detailed Budget'!$BE$5:$BE$1005),"")</f>
        <v/>
      </c>
      <c r="Q27" s="44" t="str">
        <f>IF(SUMIF('Detailed Budget'!$D$5:$D$1005,$B27,'Detailed Budget'!$BG$5:$BG$1005)&gt;0,SUMIF('Detailed Budget'!$D$5:$D$1005,$B27,'Detailed Budget'!$BG$5:$BG$1005),"")</f>
        <v/>
      </c>
      <c r="R27" s="45" t="str">
        <f>IF(SUMIF('Detailed Budget'!$D$5:$D$1005,$B27,'Detailed Budget'!$BI$5:$BI$1005)&gt;0,SUMIF('Detailed Budget'!$D$5:$D$1005,$B27,'Detailed Budget'!$BI$5:$BI$1005),"")</f>
        <v/>
      </c>
      <c r="S27" s="44" t="str">
        <f>IF(SUMIF('Detailed Budget'!$D$5:$D$1005,$B27,'Detailed Budget'!$BN$5:$BN$1005)&gt;0,SUMIF('Detailed Budget'!$D$5:$D$1005,$B27,'Detailed Budget'!$BN$5:$BN$1005),"")</f>
        <v/>
      </c>
      <c r="T27" s="44" t="str">
        <f>IF(SUMIF('Detailed Budget'!$D$5:$D$1005,$B27,'Detailed Budget'!$BP$5:$BP$1005)&gt;0,SUMIF('Detailed Budget'!$D$5:$D$1005,$B27,'Detailed Budget'!$BP$5:$BP$1005),"")</f>
        <v/>
      </c>
      <c r="U27" s="44" t="str">
        <f>IF(SUMIF('Detailed Budget'!$D$5:$D$1005,$B27,'Detailed Budget'!$BR$5:$BR$1005)&gt;0,SUMIF('Detailed Budget'!$D$5:$D$1005,$B27,'Detailed Budget'!$BR$5:$BR$1005),"")</f>
        <v/>
      </c>
      <c r="V27" s="44" t="str">
        <f>IF(SUMIF('Detailed Budget'!$D$5:$D$1005,$B27,'Detailed Budget'!$BT$5:$BT$1005)&gt;0,SUMIF('Detailed Budget'!$D$5:$D$1005,$B27,'Detailed Budget'!$BT$5:$BT$1005),"")</f>
        <v/>
      </c>
      <c r="W27" s="45" t="str">
        <f>IF(SUMIF('Detailed Budget'!$D$5:$D$1005,$B27,'Detailed Budget'!$BV$5:$BV$1005)&gt;0,SUMIF('Detailed Budget'!$D$5:$D$1005,$B27,'Detailed Budget'!$BV$5:$BV$1005),"")</f>
        <v/>
      </c>
      <c r="X27" s="44" t="str">
        <f t="shared" si="1"/>
        <v/>
      </c>
      <c r="Y27" s="122" t="str">
        <f t="shared" si="0"/>
        <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row>
    <row r="28" spans="1:49" s="35" customFormat="1" hidden="1" x14ac:dyDescent="0.2">
      <c r="A28" s="42"/>
      <c r="B28" s="39" t="str">
        <f t="array" ref="B28">IFERROR(INDEX(ModuleIdList,MATCH(0,COUNTIF(ModuleIdList,"&lt;"&amp;ModuleIdList)-SUM(COUNTIF(ModuleIdList,B$15:B27)),0)),"")</f>
        <v/>
      </c>
      <c r="C28" s="43" t="str">
        <f>IFERROR(INDEX('Data Sheet'!$A$2:$A$26,MATCH(B28,'Data Sheet'!$D$2:$D$26,0)),"")</f>
        <v/>
      </c>
      <c r="D28" s="44" t="str">
        <f>IF(SUMIF('Detailed Budget'!$D$5:$D$1005,$B28,'Detailed Budget'!$AA$5:$AA$1005)&gt;0,SUMIF('Detailed Budget'!$D$5:$D$1005,$B28,'Detailed Budget'!$AA$5:$AA$1005),"")</f>
        <v/>
      </c>
      <c r="E28" s="44" t="str">
        <f>IF(SUMIF('Detailed Budget'!$D$5:$D$1005,$B28,'Detailed Budget'!$AC$5:$AC$1005)&gt;0,SUMIF('Detailed Budget'!$D$5:$D$1005,$B28,'Detailed Budget'!$AC$5:$AC$1005),"")</f>
        <v/>
      </c>
      <c r="F28" s="44" t="str">
        <f>IF(SUMIF('Detailed Budget'!$D$5:$D$1005,$B28,'Detailed Budget'!$AE$5:$AE$1005)&gt;0,SUMIF('Detailed Budget'!$D$5:$D$1005,$B28,'Detailed Budget'!$AE$5:$AE$1005),"")</f>
        <v/>
      </c>
      <c r="G28" s="44" t="str">
        <f>IF(SUMIF('Detailed Budget'!$D$5:$D$1005,$B28,'Detailed Budget'!$AG$5:$AG$1005)&gt;0,SUMIF('Detailed Budget'!$D$5:$D$1005,$B28,'Detailed Budget'!$AG$5:$AG$1005),"")</f>
        <v/>
      </c>
      <c r="H28" s="45" t="str">
        <f>IF(SUMIF('Detailed Budget'!$D$5:$D$1005,$B28,'Detailed Budget'!$AI$5:$AI$1005)&gt;0,SUMIF('Detailed Budget'!$D$5:$D$1005,$B28,'Detailed Budget'!$AI$5:$AI$1005),"")</f>
        <v/>
      </c>
      <c r="I28" s="44" t="str">
        <f>IF(SUMIF('Detailed Budget'!$D$5:$D$1005,$B28,'Detailed Budget'!$AN$5:$AN$1005)&gt;0,SUMIF('Detailed Budget'!$D$5:$D$1005,$B28,'Detailed Budget'!$AN$5:$AN$1005),"")</f>
        <v/>
      </c>
      <c r="J28" s="44" t="str">
        <f>IF(SUMIF('Detailed Budget'!$D$5:$D$1005,$B28,'Detailed Budget'!$AP$5:$AP$1005)&gt;0,SUMIF('Detailed Budget'!$D$5:$D$1005,$B28,'Detailed Budget'!$AP$5:$AP$1005),"")</f>
        <v/>
      </c>
      <c r="K28" s="44" t="str">
        <f>IF(SUMIF('Detailed Budget'!$D$5:$D$1005,$B28,'Detailed Budget'!$AR$5:$AR$1005)&gt;0,SUMIF('Detailed Budget'!$D$5:$D$1005,$B28,'Detailed Budget'!$AR$5:$AR$1005),"")</f>
        <v/>
      </c>
      <c r="L28" s="44" t="str">
        <f>IF(SUMIF('Detailed Budget'!$D$5:$D$1005,$B28,'Detailed Budget'!$AT$5:$AT$1005)&gt;0,SUMIF('Detailed Budget'!$D$5:$D$1005,$B28,'Detailed Budget'!$AT$5:$AT$1005),"")</f>
        <v/>
      </c>
      <c r="M28" s="45" t="str">
        <f>IF(SUMIF('Detailed Budget'!$D$5:$D$1005,$B28,'Detailed Budget'!$AV$5:$AV$1005)&gt;0,SUMIF('Detailed Budget'!$D$5:$D$1005,$B28,'Detailed Budget'!$AV$5:$AV$1005),"")</f>
        <v/>
      </c>
      <c r="N28" s="44" t="str">
        <f>IF(SUMIF('Detailed Budget'!$D$5:$D$1005,$B28,'Detailed Budget'!$BA$5:$BA$1005)&gt;0,SUMIF('Detailed Budget'!$D$5:$D$1005,$B28,'Detailed Budget'!$BA$5:$BA$1005),"")</f>
        <v/>
      </c>
      <c r="O28" s="44" t="str">
        <f>IF(SUMIF('Detailed Budget'!$D$5:$D$1005,$B28,'Detailed Budget'!$BC$5:$BC$1005)&gt;0,SUMIF('Detailed Budget'!$D$5:$D$1005,$B28,'Detailed Budget'!$BC$5:$BC$1005),"")</f>
        <v/>
      </c>
      <c r="P28" s="44" t="str">
        <f>IF(SUMIF('Detailed Budget'!$D$5:$D$1005,$B28,'Detailed Budget'!$BE$5:$BE$1005)&gt;0,SUMIF('Detailed Budget'!$D$5:$D$1005,$B28,'Detailed Budget'!$BE$5:$BE$1005),"")</f>
        <v/>
      </c>
      <c r="Q28" s="44" t="str">
        <f>IF(SUMIF('Detailed Budget'!$D$5:$D$1005,$B28,'Detailed Budget'!$BG$5:$BG$1005)&gt;0,SUMIF('Detailed Budget'!$D$5:$D$1005,$B28,'Detailed Budget'!$BG$5:$BG$1005),"")</f>
        <v/>
      </c>
      <c r="R28" s="45" t="str">
        <f>IF(SUMIF('Detailed Budget'!$D$5:$D$1005,$B28,'Detailed Budget'!$BI$5:$BI$1005)&gt;0,SUMIF('Detailed Budget'!$D$5:$D$1005,$B28,'Detailed Budget'!$BI$5:$BI$1005),"")</f>
        <v/>
      </c>
      <c r="S28" s="44" t="str">
        <f>IF(SUMIF('Detailed Budget'!$D$5:$D$1005,$B28,'Detailed Budget'!$BN$5:$BN$1005)&gt;0,SUMIF('Detailed Budget'!$D$5:$D$1005,$B28,'Detailed Budget'!$BN$5:$BN$1005),"")</f>
        <v/>
      </c>
      <c r="T28" s="44" t="str">
        <f>IF(SUMIF('Detailed Budget'!$D$5:$D$1005,$B28,'Detailed Budget'!$BP$5:$BP$1005)&gt;0,SUMIF('Detailed Budget'!$D$5:$D$1005,$B28,'Detailed Budget'!$BP$5:$BP$1005),"")</f>
        <v/>
      </c>
      <c r="U28" s="44" t="str">
        <f>IF(SUMIF('Detailed Budget'!$D$5:$D$1005,$B28,'Detailed Budget'!$BR$5:$BR$1005)&gt;0,SUMIF('Detailed Budget'!$D$5:$D$1005,$B28,'Detailed Budget'!$BR$5:$BR$1005),"")</f>
        <v/>
      </c>
      <c r="V28" s="44" t="str">
        <f>IF(SUMIF('Detailed Budget'!$D$5:$D$1005,$B28,'Detailed Budget'!$BT$5:$BT$1005)&gt;0,SUMIF('Detailed Budget'!$D$5:$D$1005,$B28,'Detailed Budget'!$BT$5:$BT$1005),"")</f>
        <v/>
      </c>
      <c r="W28" s="45" t="str">
        <f>IF(SUMIF('Detailed Budget'!$D$5:$D$1005,$B28,'Detailed Budget'!$BV$5:$BV$1005)&gt;0,SUMIF('Detailed Budget'!$D$5:$D$1005,$B28,'Detailed Budget'!$BV$5:$BV$1005),"")</f>
        <v/>
      </c>
      <c r="X28" s="44" t="str">
        <f t="shared" si="1"/>
        <v/>
      </c>
      <c r="Y28" s="122" t="str">
        <f t="shared" si="0"/>
        <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row>
    <row r="29" spans="1:49" s="35" customFormat="1" hidden="1" x14ac:dyDescent="0.2">
      <c r="A29" s="42"/>
      <c r="B29" s="39" t="str">
        <f t="array" ref="B29">IFERROR(INDEX(ModuleIdList,MATCH(0,COUNTIF(ModuleIdList,"&lt;"&amp;ModuleIdList)-SUM(COUNTIF(ModuleIdList,B$15:B28)),0)),"")</f>
        <v/>
      </c>
      <c r="C29" s="43" t="str">
        <f>IFERROR(INDEX('Data Sheet'!$A$2:$A$26,MATCH(B29,'Data Sheet'!$D$2:$D$26,0)),"")</f>
        <v/>
      </c>
      <c r="D29" s="44" t="str">
        <f>IF(SUMIF('Detailed Budget'!$D$5:$D$1005,$B29,'Detailed Budget'!$AA$5:$AA$1005)&gt;0,SUMIF('Detailed Budget'!$D$5:$D$1005,$B29,'Detailed Budget'!$AA$5:$AA$1005),"")</f>
        <v/>
      </c>
      <c r="E29" s="44" t="str">
        <f>IF(SUMIF('Detailed Budget'!$D$5:$D$1005,$B29,'Detailed Budget'!$AC$5:$AC$1005)&gt;0,SUMIF('Detailed Budget'!$D$5:$D$1005,$B29,'Detailed Budget'!$AC$5:$AC$1005),"")</f>
        <v/>
      </c>
      <c r="F29" s="44" t="str">
        <f>IF(SUMIF('Detailed Budget'!$D$5:$D$1005,$B29,'Detailed Budget'!$AE$5:$AE$1005)&gt;0,SUMIF('Detailed Budget'!$D$5:$D$1005,$B29,'Detailed Budget'!$AE$5:$AE$1005),"")</f>
        <v/>
      </c>
      <c r="G29" s="44" t="str">
        <f>IF(SUMIF('Detailed Budget'!$D$5:$D$1005,$B29,'Detailed Budget'!$AG$5:$AG$1005)&gt;0,SUMIF('Detailed Budget'!$D$5:$D$1005,$B29,'Detailed Budget'!$AG$5:$AG$1005),"")</f>
        <v/>
      </c>
      <c r="H29" s="45" t="str">
        <f>IF(SUMIF('Detailed Budget'!$D$5:$D$1005,$B29,'Detailed Budget'!$AI$5:$AI$1005)&gt;0,SUMIF('Detailed Budget'!$D$5:$D$1005,$B29,'Detailed Budget'!$AI$5:$AI$1005),"")</f>
        <v/>
      </c>
      <c r="I29" s="44" t="str">
        <f>IF(SUMIF('Detailed Budget'!$D$5:$D$1005,$B29,'Detailed Budget'!$AN$5:$AN$1005)&gt;0,SUMIF('Detailed Budget'!$D$5:$D$1005,$B29,'Detailed Budget'!$AN$5:$AN$1005),"")</f>
        <v/>
      </c>
      <c r="J29" s="44" t="str">
        <f>IF(SUMIF('Detailed Budget'!$D$5:$D$1005,$B29,'Detailed Budget'!$AP$5:$AP$1005)&gt;0,SUMIF('Detailed Budget'!$D$5:$D$1005,$B29,'Detailed Budget'!$AP$5:$AP$1005),"")</f>
        <v/>
      </c>
      <c r="K29" s="44" t="str">
        <f>IF(SUMIF('Detailed Budget'!$D$5:$D$1005,$B29,'Detailed Budget'!$AR$5:$AR$1005)&gt;0,SUMIF('Detailed Budget'!$D$5:$D$1005,$B29,'Detailed Budget'!$AR$5:$AR$1005),"")</f>
        <v/>
      </c>
      <c r="L29" s="44" t="str">
        <f>IF(SUMIF('Detailed Budget'!$D$5:$D$1005,$B29,'Detailed Budget'!$AT$5:$AT$1005)&gt;0,SUMIF('Detailed Budget'!$D$5:$D$1005,$B29,'Detailed Budget'!$AT$5:$AT$1005),"")</f>
        <v/>
      </c>
      <c r="M29" s="45" t="str">
        <f>IF(SUMIF('Detailed Budget'!$D$5:$D$1005,$B29,'Detailed Budget'!$AV$5:$AV$1005)&gt;0,SUMIF('Detailed Budget'!$D$5:$D$1005,$B29,'Detailed Budget'!$AV$5:$AV$1005),"")</f>
        <v/>
      </c>
      <c r="N29" s="44" t="str">
        <f>IF(SUMIF('Detailed Budget'!$D$5:$D$1005,$B29,'Detailed Budget'!$BA$5:$BA$1005)&gt;0,SUMIF('Detailed Budget'!$D$5:$D$1005,$B29,'Detailed Budget'!$BA$5:$BA$1005),"")</f>
        <v/>
      </c>
      <c r="O29" s="44" t="str">
        <f>IF(SUMIF('Detailed Budget'!$D$5:$D$1005,$B29,'Detailed Budget'!$BC$5:$BC$1005)&gt;0,SUMIF('Detailed Budget'!$D$5:$D$1005,$B29,'Detailed Budget'!$BC$5:$BC$1005),"")</f>
        <v/>
      </c>
      <c r="P29" s="44" t="str">
        <f>IF(SUMIF('Detailed Budget'!$D$5:$D$1005,$B29,'Detailed Budget'!$BE$5:$BE$1005)&gt;0,SUMIF('Detailed Budget'!$D$5:$D$1005,$B29,'Detailed Budget'!$BE$5:$BE$1005),"")</f>
        <v/>
      </c>
      <c r="Q29" s="44" t="str">
        <f>IF(SUMIF('Detailed Budget'!$D$5:$D$1005,$B29,'Detailed Budget'!$BG$5:$BG$1005)&gt;0,SUMIF('Detailed Budget'!$D$5:$D$1005,$B29,'Detailed Budget'!$BG$5:$BG$1005),"")</f>
        <v/>
      </c>
      <c r="R29" s="45" t="str">
        <f>IF(SUMIF('Detailed Budget'!$D$5:$D$1005,$B29,'Detailed Budget'!$BI$5:$BI$1005)&gt;0,SUMIF('Detailed Budget'!$D$5:$D$1005,$B29,'Detailed Budget'!$BI$5:$BI$1005),"")</f>
        <v/>
      </c>
      <c r="S29" s="44" t="str">
        <f>IF(SUMIF('Detailed Budget'!$D$5:$D$1005,$B29,'Detailed Budget'!$BN$5:$BN$1005)&gt;0,SUMIF('Detailed Budget'!$D$5:$D$1005,$B29,'Detailed Budget'!$BN$5:$BN$1005),"")</f>
        <v/>
      </c>
      <c r="T29" s="44" t="str">
        <f>IF(SUMIF('Detailed Budget'!$D$5:$D$1005,$B29,'Detailed Budget'!$BP$5:$BP$1005)&gt;0,SUMIF('Detailed Budget'!$D$5:$D$1005,$B29,'Detailed Budget'!$BP$5:$BP$1005),"")</f>
        <v/>
      </c>
      <c r="U29" s="44" t="str">
        <f>IF(SUMIF('Detailed Budget'!$D$5:$D$1005,$B29,'Detailed Budget'!$BR$5:$BR$1005)&gt;0,SUMIF('Detailed Budget'!$D$5:$D$1005,$B29,'Detailed Budget'!$BR$5:$BR$1005),"")</f>
        <v/>
      </c>
      <c r="V29" s="44" t="str">
        <f>IF(SUMIF('Detailed Budget'!$D$5:$D$1005,$B29,'Detailed Budget'!$BT$5:$BT$1005)&gt;0,SUMIF('Detailed Budget'!$D$5:$D$1005,$B29,'Detailed Budget'!$BT$5:$BT$1005),"")</f>
        <v/>
      </c>
      <c r="W29" s="45" t="str">
        <f>IF(SUMIF('Detailed Budget'!$D$5:$D$1005,$B29,'Detailed Budget'!$BV$5:$BV$1005)&gt;0,SUMIF('Detailed Budget'!$D$5:$D$1005,$B29,'Detailed Budget'!$BV$5:$BV$1005),"")</f>
        <v/>
      </c>
      <c r="X29" s="44" t="str">
        <f t="shared" si="1"/>
        <v/>
      </c>
      <c r="Y29" s="122" t="str">
        <f t="shared" si="0"/>
        <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row r="30" spans="1:49" s="35" customFormat="1" hidden="1" x14ac:dyDescent="0.2">
      <c r="A30" s="42"/>
      <c r="B30" s="39" t="str">
        <f t="array" ref="B30">IFERROR(INDEX(ModuleIdList,MATCH(0,COUNTIF(ModuleIdList,"&lt;"&amp;ModuleIdList)-SUM(COUNTIF(ModuleIdList,B$15:B29)),0)),"")</f>
        <v/>
      </c>
      <c r="C30" s="43" t="str">
        <f>IFERROR(INDEX('Data Sheet'!$A$2:$A$26,MATCH(B30,'Data Sheet'!$D$2:$D$26,0)),"")</f>
        <v/>
      </c>
      <c r="D30" s="44" t="str">
        <f>IF(SUMIF('Detailed Budget'!$D$5:$D$1005,$B30,'Detailed Budget'!$AA$5:$AA$1005)&gt;0,SUMIF('Detailed Budget'!$D$5:$D$1005,$B30,'Detailed Budget'!$AA$5:$AA$1005),"")</f>
        <v/>
      </c>
      <c r="E30" s="44" t="str">
        <f>IF(SUMIF('Detailed Budget'!$D$5:$D$1005,$B30,'Detailed Budget'!$AC$5:$AC$1005)&gt;0,SUMIF('Detailed Budget'!$D$5:$D$1005,$B30,'Detailed Budget'!$AC$5:$AC$1005),"")</f>
        <v/>
      </c>
      <c r="F30" s="44" t="str">
        <f>IF(SUMIF('Detailed Budget'!$D$5:$D$1005,$B30,'Detailed Budget'!$AE$5:$AE$1005)&gt;0,SUMIF('Detailed Budget'!$D$5:$D$1005,$B30,'Detailed Budget'!$AE$5:$AE$1005),"")</f>
        <v/>
      </c>
      <c r="G30" s="44" t="str">
        <f>IF(SUMIF('Detailed Budget'!$D$5:$D$1005,$B30,'Detailed Budget'!$AG$5:$AG$1005)&gt;0,SUMIF('Detailed Budget'!$D$5:$D$1005,$B30,'Detailed Budget'!$AG$5:$AG$1005),"")</f>
        <v/>
      </c>
      <c r="H30" s="45" t="str">
        <f>IF(SUMIF('Detailed Budget'!$D$5:$D$1005,$B30,'Detailed Budget'!$AI$5:$AI$1005)&gt;0,SUMIF('Detailed Budget'!$D$5:$D$1005,$B30,'Detailed Budget'!$AI$5:$AI$1005),"")</f>
        <v/>
      </c>
      <c r="I30" s="44" t="str">
        <f>IF(SUMIF('Detailed Budget'!$D$5:$D$1005,$B30,'Detailed Budget'!$AN$5:$AN$1005)&gt;0,SUMIF('Detailed Budget'!$D$5:$D$1005,$B30,'Detailed Budget'!$AN$5:$AN$1005),"")</f>
        <v/>
      </c>
      <c r="J30" s="44" t="str">
        <f>IF(SUMIF('Detailed Budget'!$D$5:$D$1005,$B30,'Detailed Budget'!$AP$5:$AP$1005)&gt;0,SUMIF('Detailed Budget'!$D$5:$D$1005,$B30,'Detailed Budget'!$AP$5:$AP$1005),"")</f>
        <v/>
      </c>
      <c r="K30" s="44" t="str">
        <f>IF(SUMIF('Detailed Budget'!$D$5:$D$1005,$B30,'Detailed Budget'!$AR$5:$AR$1005)&gt;0,SUMIF('Detailed Budget'!$D$5:$D$1005,$B30,'Detailed Budget'!$AR$5:$AR$1005),"")</f>
        <v/>
      </c>
      <c r="L30" s="44" t="str">
        <f>IF(SUMIF('Detailed Budget'!$D$5:$D$1005,$B30,'Detailed Budget'!$AT$5:$AT$1005)&gt;0,SUMIF('Detailed Budget'!$D$5:$D$1005,$B30,'Detailed Budget'!$AT$5:$AT$1005),"")</f>
        <v/>
      </c>
      <c r="M30" s="45" t="str">
        <f>IF(SUMIF('Detailed Budget'!$D$5:$D$1005,$B30,'Detailed Budget'!$AV$5:$AV$1005)&gt;0,SUMIF('Detailed Budget'!$D$5:$D$1005,$B30,'Detailed Budget'!$AV$5:$AV$1005),"")</f>
        <v/>
      </c>
      <c r="N30" s="44" t="str">
        <f>IF(SUMIF('Detailed Budget'!$D$5:$D$1005,$B30,'Detailed Budget'!$BA$5:$BA$1005)&gt;0,SUMIF('Detailed Budget'!$D$5:$D$1005,$B30,'Detailed Budget'!$BA$5:$BA$1005),"")</f>
        <v/>
      </c>
      <c r="O30" s="44" t="str">
        <f>IF(SUMIF('Detailed Budget'!$D$5:$D$1005,$B30,'Detailed Budget'!$BC$5:$BC$1005)&gt;0,SUMIF('Detailed Budget'!$D$5:$D$1005,$B30,'Detailed Budget'!$BC$5:$BC$1005),"")</f>
        <v/>
      </c>
      <c r="P30" s="44" t="str">
        <f>IF(SUMIF('Detailed Budget'!$D$5:$D$1005,$B30,'Detailed Budget'!$BE$5:$BE$1005)&gt;0,SUMIF('Detailed Budget'!$D$5:$D$1005,$B30,'Detailed Budget'!$BE$5:$BE$1005),"")</f>
        <v/>
      </c>
      <c r="Q30" s="44" t="str">
        <f>IF(SUMIF('Detailed Budget'!$D$5:$D$1005,$B30,'Detailed Budget'!$BG$5:$BG$1005)&gt;0,SUMIF('Detailed Budget'!$D$5:$D$1005,$B30,'Detailed Budget'!$BG$5:$BG$1005),"")</f>
        <v/>
      </c>
      <c r="R30" s="45" t="str">
        <f>IF(SUMIF('Detailed Budget'!$D$5:$D$1005,$B30,'Detailed Budget'!$BI$5:$BI$1005)&gt;0,SUMIF('Detailed Budget'!$D$5:$D$1005,$B30,'Detailed Budget'!$BI$5:$BI$1005),"")</f>
        <v/>
      </c>
      <c r="S30" s="44" t="str">
        <f>IF(SUMIF('Detailed Budget'!$D$5:$D$1005,$B30,'Detailed Budget'!$BN$5:$BN$1005)&gt;0,SUMIF('Detailed Budget'!$D$5:$D$1005,$B30,'Detailed Budget'!$BN$5:$BN$1005),"")</f>
        <v/>
      </c>
      <c r="T30" s="44" t="str">
        <f>IF(SUMIF('Detailed Budget'!$D$5:$D$1005,$B30,'Detailed Budget'!$BP$5:$BP$1005)&gt;0,SUMIF('Detailed Budget'!$D$5:$D$1005,$B30,'Detailed Budget'!$BP$5:$BP$1005),"")</f>
        <v/>
      </c>
      <c r="U30" s="44" t="str">
        <f>IF(SUMIF('Detailed Budget'!$D$5:$D$1005,$B30,'Detailed Budget'!$BR$5:$BR$1005)&gt;0,SUMIF('Detailed Budget'!$D$5:$D$1005,$B30,'Detailed Budget'!$BR$5:$BR$1005),"")</f>
        <v/>
      </c>
      <c r="V30" s="44" t="str">
        <f>IF(SUMIF('Detailed Budget'!$D$5:$D$1005,$B30,'Detailed Budget'!$BT$5:$BT$1005)&gt;0,SUMIF('Detailed Budget'!$D$5:$D$1005,$B30,'Detailed Budget'!$BT$5:$BT$1005),"")</f>
        <v/>
      </c>
      <c r="W30" s="45" t="str">
        <f>IF(SUMIF('Detailed Budget'!$D$5:$D$1005,$B30,'Detailed Budget'!$BV$5:$BV$1005)&gt;0,SUMIF('Detailed Budget'!$D$5:$D$1005,$B30,'Detailed Budget'!$BV$5:$BV$1005),"")</f>
        <v/>
      </c>
      <c r="X30" s="44" t="str">
        <f t="shared" si="1"/>
        <v/>
      </c>
      <c r="Y30" s="122" t="str">
        <f t="shared" si="0"/>
        <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row>
    <row r="31" spans="1:49" s="35" customFormat="1" hidden="1" x14ac:dyDescent="0.2">
      <c r="A31" s="42"/>
      <c r="B31" s="39" t="str">
        <f t="array" ref="B31">IFERROR(INDEX(ModuleIdList,MATCH(0,COUNTIF(ModuleIdList,"&lt;"&amp;ModuleIdList)-SUM(COUNTIF(ModuleIdList,B$15:B30)),0)),"")</f>
        <v/>
      </c>
      <c r="C31" s="43" t="str">
        <f>IFERROR(INDEX('Data Sheet'!$A$2:$A$26,MATCH(B31,'Data Sheet'!$D$2:$D$26,0)),"")</f>
        <v/>
      </c>
      <c r="D31" s="44" t="str">
        <f>IF(SUMIF('Detailed Budget'!$D$5:$D$1005,$B31,'Detailed Budget'!$AA$5:$AA$1005)&gt;0,SUMIF('Detailed Budget'!$D$5:$D$1005,$B31,'Detailed Budget'!$AA$5:$AA$1005),"")</f>
        <v/>
      </c>
      <c r="E31" s="44" t="str">
        <f>IF(SUMIF('Detailed Budget'!$D$5:$D$1005,$B31,'Detailed Budget'!$AC$5:$AC$1005)&gt;0,SUMIF('Detailed Budget'!$D$5:$D$1005,$B31,'Detailed Budget'!$AC$5:$AC$1005),"")</f>
        <v/>
      </c>
      <c r="F31" s="44" t="str">
        <f>IF(SUMIF('Detailed Budget'!$D$5:$D$1005,$B31,'Detailed Budget'!$AE$5:$AE$1005)&gt;0,SUMIF('Detailed Budget'!$D$5:$D$1005,$B31,'Detailed Budget'!$AE$5:$AE$1005),"")</f>
        <v/>
      </c>
      <c r="G31" s="44" t="str">
        <f>IF(SUMIF('Detailed Budget'!$D$5:$D$1005,$B31,'Detailed Budget'!$AG$5:$AG$1005)&gt;0,SUMIF('Detailed Budget'!$D$5:$D$1005,$B31,'Detailed Budget'!$AG$5:$AG$1005),"")</f>
        <v/>
      </c>
      <c r="H31" s="45" t="str">
        <f>IF(SUMIF('Detailed Budget'!$D$5:$D$1005,$B31,'Detailed Budget'!$AI$5:$AI$1005)&gt;0,SUMIF('Detailed Budget'!$D$5:$D$1005,$B31,'Detailed Budget'!$AI$5:$AI$1005),"")</f>
        <v/>
      </c>
      <c r="I31" s="44" t="str">
        <f>IF(SUMIF('Detailed Budget'!$D$5:$D$1005,$B31,'Detailed Budget'!$AN$5:$AN$1005)&gt;0,SUMIF('Detailed Budget'!$D$5:$D$1005,$B31,'Detailed Budget'!$AN$5:$AN$1005),"")</f>
        <v/>
      </c>
      <c r="J31" s="44" t="str">
        <f>IF(SUMIF('Detailed Budget'!$D$5:$D$1005,$B31,'Detailed Budget'!$AP$5:$AP$1005)&gt;0,SUMIF('Detailed Budget'!$D$5:$D$1005,$B31,'Detailed Budget'!$AP$5:$AP$1005),"")</f>
        <v/>
      </c>
      <c r="K31" s="44" t="str">
        <f>IF(SUMIF('Detailed Budget'!$D$5:$D$1005,$B31,'Detailed Budget'!$AR$5:$AR$1005)&gt;0,SUMIF('Detailed Budget'!$D$5:$D$1005,$B31,'Detailed Budget'!$AR$5:$AR$1005),"")</f>
        <v/>
      </c>
      <c r="L31" s="44" t="str">
        <f>IF(SUMIF('Detailed Budget'!$D$5:$D$1005,$B31,'Detailed Budget'!$AT$5:$AT$1005)&gt;0,SUMIF('Detailed Budget'!$D$5:$D$1005,$B31,'Detailed Budget'!$AT$5:$AT$1005),"")</f>
        <v/>
      </c>
      <c r="M31" s="45" t="str">
        <f>IF(SUMIF('Detailed Budget'!$D$5:$D$1005,$B31,'Detailed Budget'!$AV$5:$AV$1005)&gt;0,SUMIF('Detailed Budget'!$D$5:$D$1005,$B31,'Detailed Budget'!$AV$5:$AV$1005),"")</f>
        <v/>
      </c>
      <c r="N31" s="44" t="str">
        <f>IF(SUMIF('Detailed Budget'!$D$5:$D$1005,$B31,'Detailed Budget'!$BA$5:$BA$1005)&gt;0,SUMIF('Detailed Budget'!$D$5:$D$1005,$B31,'Detailed Budget'!$BA$5:$BA$1005),"")</f>
        <v/>
      </c>
      <c r="O31" s="44" t="str">
        <f>IF(SUMIF('Detailed Budget'!$D$5:$D$1005,$B31,'Detailed Budget'!$BC$5:$BC$1005)&gt;0,SUMIF('Detailed Budget'!$D$5:$D$1005,$B31,'Detailed Budget'!$BC$5:$BC$1005),"")</f>
        <v/>
      </c>
      <c r="P31" s="44" t="str">
        <f>IF(SUMIF('Detailed Budget'!$D$5:$D$1005,$B31,'Detailed Budget'!$BE$5:$BE$1005)&gt;0,SUMIF('Detailed Budget'!$D$5:$D$1005,$B31,'Detailed Budget'!$BE$5:$BE$1005),"")</f>
        <v/>
      </c>
      <c r="Q31" s="44" t="str">
        <f>IF(SUMIF('Detailed Budget'!$D$5:$D$1005,$B31,'Detailed Budget'!$BG$5:$BG$1005)&gt;0,SUMIF('Detailed Budget'!$D$5:$D$1005,$B31,'Detailed Budget'!$BG$5:$BG$1005),"")</f>
        <v/>
      </c>
      <c r="R31" s="45" t="str">
        <f>IF(SUMIF('Detailed Budget'!$D$5:$D$1005,$B31,'Detailed Budget'!$BI$5:$BI$1005)&gt;0,SUMIF('Detailed Budget'!$D$5:$D$1005,$B31,'Detailed Budget'!$BI$5:$BI$1005),"")</f>
        <v/>
      </c>
      <c r="S31" s="44" t="str">
        <f>IF(SUMIF('Detailed Budget'!$D$5:$D$1005,$B31,'Detailed Budget'!$BN$5:$BN$1005)&gt;0,SUMIF('Detailed Budget'!$D$5:$D$1005,$B31,'Detailed Budget'!$BN$5:$BN$1005),"")</f>
        <v/>
      </c>
      <c r="T31" s="44" t="str">
        <f>IF(SUMIF('Detailed Budget'!$D$5:$D$1005,$B31,'Detailed Budget'!$BP$5:$BP$1005)&gt;0,SUMIF('Detailed Budget'!$D$5:$D$1005,$B31,'Detailed Budget'!$BP$5:$BP$1005),"")</f>
        <v/>
      </c>
      <c r="U31" s="44" t="str">
        <f>IF(SUMIF('Detailed Budget'!$D$5:$D$1005,$B31,'Detailed Budget'!$BR$5:$BR$1005)&gt;0,SUMIF('Detailed Budget'!$D$5:$D$1005,$B31,'Detailed Budget'!$BR$5:$BR$1005),"")</f>
        <v/>
      </c>
      <c r="V31" s="44" t="str">
        <f>IF(SUMIF('Detailed Budget'!$D$5:$D$1005,$B31,'Detailed Budget'!$BT$5:$BT$1005)&gt;0,SUMIF('Detailed Budget'!$D$5:$D$1005,$B31,'Detailed Budget'!$BT$5:$BT$1005),"")</f>
        <v/>
      </c>
      <c r="W31" s="45" t="str">
        <f>IF(SUMIF('Detailed Budget'!$D$5:$D$1005,$B31,'Detailed Budget'!$BV$5:$BV$1005)&gt;0,SUMIF('Detailed Budget'!$D$5:$D$1005,$B31,'Detailed Budget'!$BV$5:$BV$1005),"")</f>
        <v/>
      </c>
      <c r="X31" s="44" t="str">
        <f t="shared" si="1"/>
        <v/>
      </c>
      <c r="Y31" s="122" t="str">
        <f t="shared" si="0"/>
        <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row>
    <row r="32" spans="1:49" s="35" customFormat="1" hidden="1" x14ac:dyDescent="0.2">
      <c r="A32" s="42"/>
      <c r="B32" s="39" t="str">
        <f t="array" ref="B32">IFERROR(INDEX(ModuleIdList,MATCH(0,COUNTIF(ModuleIdList,"&lt;"&amp;ModuleIdList)-SUM(COUNTIF(ModuleIdList,B$15:B31)),0)),"")</f>
        <v/>
      </c>
      <c r="C32" s="43" t="str">
        <f>IFERROR(INDEX('Data Sheet'!$A$2:$A$26,MATCH(B32,'Data Sheet'!$D$2:$D$26,0)),"")</f>
        <v/>
      </c>
      <c r="D32" s="44" t="str">
        <f>IF(SUMIF('Detailed Budget'!$D$5:$D$1005,$B32,'Detailed Budget'!$AA$5:$AA$1005)&gt;0,SUMIF('Detailed Budget'!$D$5:$D$1005,$B32,'Detailed Budget'!$AA$5:$AA$1005),"")</f>
        <v/>
      </c>
      <c r="E32" s="44" t="str">
        <f>IF(SUMIF('Detailed Budget'!$D$5:$D$1005,$B32,'Detailed Budget'!$AC$5:$AC$1005)&gt;0,SUMIF('Detailed Budget'!$D$5:$D$1005,$B32,'Detailed Budget'!$AC$5:$AC$1005),"")</f>
        <v/>
      </c>
      <c r="F32" s="44" t="str">
        <f>IF(SUMIF('Detailed Budget'!$D$5:$D$1005,$B32,'Detailed Budget'!$AE$5:$AE$1005)&gt;0,SUMIF('Detailed Budget'!$D$5:$D$1005,$B32,'Detailed Budget'!$AE$5:$AE$1005),"")</f>
        <v/>
      </c>
      <c r="G32" s="44" t="str">
        <f>IF(SUMIF('Detailed Budget'!$D$5:$D$1005,$B32,'Detailed Budget'!$AG$5:$AG$1005)&gt;0,SUMIF('Detailed Budget'!$D$5:$D$1005,$B32,'Detailed Budget'!$AG$5:$AG$1005),"")</f>
        <v/>
      </c>
      <c r="H32" s="45" t="str">
        <f>IF(SUMIF('Detailed Budget'!$D$5:$D$1005,$B32,'Detailed Budget'!$AI$5:$AI$1005)&gt;0,SUMIF('Detailed Budget'!$D$5:$D$1005,$B32,'Detailed Budget'!$AI$5:$AI$1005),"")</f>
        <v/>
      </c>
      <c r="I32" s="44" t="str">
        <f>IF(SUMIF('Detailed Budget'!$D$5:$D$1005,$B32,'Detailed Budget'!$AN$5:$AN$1005)&gt;0,SUMIF('Detailed Budget'!$D$5:$D$1005,$B32,'Detailed Budget'!$AN$5:$AN$1005),"")</f>
        <v/>
      </c>
      <c r="J32" s="44" t="str">
        <f>IF(SUMIF('Detailed Budget'!$D$5:$D$1005,$B32,'Detailed Budget'!$AP$5:$AP$1005)&gt;0,SUMIF('Detailed Budget'!$D$5:$D$1005,$B32,'Detailed Budget'!$AP$5:$AP$1005),"")</f>
        <v/>
      </c>
      <c r="K32" s="44" t="str">
        <f>IF(SUMIF('Detailed Budget'!$D$5:$D$1005,$B32,'Detailed Budget'!$AR$5:$AR$1005)&gt;0,SUMIF('Detailed Budget'!$D$5:$D$1005,$B32,'Detailed Budget'!$AR$5:$AR$1005),"")</f>
        <v/>
      </c>
      <c r="L32" s="44" t="str">
        <f>IF(SUMIF('Detailed Budget'!$D$5:$D$1005,$B32,'Detailed Budget'!$AT$5:$AT$1005)&gt;0,SUMIF('Detailed Budget'!$D$5:$D$1005,$B32,'Detailed Budget'!$AT$5:$AT$1005),"")</f>
        <v/>
      </c>
      <c r="M32" s="45" t="str">
        <f>IF(SUMIF('Detailed Budget'!$D$5:$D$1005,$B32,'Detailed Budget'!$AV$5:$AV$1005)&gt;0,SUMIF('Detailed Budget'!$D$5:$D$1005,$B32,'Detailed Budget'!$AV$5:$AV$1005),"")</f>
        <v/>
      </c>
      <c r="N32" s="44" t="str">
        <f>IF(SUMIF('Detailed Budget'!$D$5:$D$1005,$B32,'Detailed Budget'!$BA$5:$BA$1005)&gt;0,SUMIF('Detailed Budget'!$D$5:$D$1005,$B32,'Detailed Budget'!$BA$5:$BA$1005),"")</f>
        <v/>
      </c>
      <c r="O32" s="44" t="str">
        <f>IF(SUMIF('Detailed Budget'!$D$5:$D$1005,$B32,'Detailed Budget'!$BC$5:$BC$1005)&gt;0,SUMIF('Detailed Budget'!$D$5:$D$1005,$B32,'Detailed Budget'!$BC$5:$BC$1005),"")</f>
        <v/>
      </c>
      <c r="P32" s="44" t="str">
        <f>IF(SUMIF('Detailed Budget'!$D$5:$D$1005,$B32,'Detailed Budget'!$BE$5:$BE$1005)&gt;0,SUMIF('Detailed Budget'!$D$5:$D$1005,$B32,'Detailed Budget'!$BE$5:$BE$1005),"")</f>
        <v/>
      </c>
      <c r="Q32" s="44" t="str">
        <f>IF(SUMIF('Detailed Budget'!$D$5:$D$1005,$B32,'Detailed Budget'!$BG$5:$BG$1005)&gt;0,SUMIF('Detailed Budget'!$D$5:$D$1005,$B32,'Detailed Budget'!$BG$5:$BG$1005),"")</f>
        <v/>
      </c>
      <c r="R32" s="45" t="str">
        <f>IF(SUMIF('Detailed Budget'!$D$5:$D$1005,$B32,'Detailed Budget'!$BI$5:$BI$1005)&gt;0,SUMIF('Detailed Budget'!$D$5:$D$1005,$B32,'Detailed Budget'!$BI$5:$BI$1005),"")</f>
        <v/>
      </c>
      <c r="S32" s="44" t="str">
        <f>IF(SUMIF('Detailed Budget'!$D$5:$D$1005,$B32,'Detailed Budget'!$BN$5:$BN$1005)&gt;0,SUMIF('Detailed Budget'!$D$5:$D$1005,$B32,'Detailed Budget'!$BN$5:$BN$1005),"")</f>
        <v/>
      </c>
      <c r="T32" s="44" t="str">
        <f>IF(SUMIF('Detailed Budget'!$D$5:$D$1005,$B32,'Detailed Budget'!$BP$5:$BP$1005)&gt;0,SUMIF('Detailed Budget'!$D$5:$D$1005,$B32,'Detailed Budget'!$BP$5:$BP$1005),"")</f>
        <v/>
      </c>
      <c r="U32" s="44" t="str">
        <f>IF(SUMIF('Detailed Budget'!$D$5:$D$1005,$B32,'Detailed Budget'!$BR$5:$BR$1005)&gt;0,SUMIF('Detailed Budget'!$D$5:$D$1005,$B32,'Detailed Budget'!$BR$5:$BR$1005),"")</f>
        <v/>
      </c>
      <c r="V32" s="44" t="str">
        <f>IF(SUMIF('Detailed Budget'!$D$5:$D$1005,$B32,'Detailed Budget'!$BT$5:$BT$1005)&gt;0,SUMIF('Detailed Budget'!$D$5:$D$1005,$B32,'Detailed Budget'!$BT$5:$BT$1005),"")</f>
        <v/>
      </c>
      <c r="W32" s="45" t="str">
        <f>IF(SUMIF('Detailed Budget'!$D$5:$D$1005,$B32,'Detailed Budget'!$BV$5:$BV$1005)&gt;0,SUMIF('Detailed Budget'!$D$5:$D$1005,$B32,'Detailed Budget'!$BV$5:$BV$1005),"")</f>
        <v/>
      </c>
      <c r="X32" s="44" t="str">
        <f t="shared" si="1"/>
        <v/>
      </c>
      <c r="Y32" s="122" t="str">
        <f t="shared" si="0"/>
        <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row>
    <row r="33" spans="1:49" s="35" customFormat="1" hidden="1" x14ac:dyDescent="0.2">
      <c r="A33" s="42"/>
      <c r="B33" s="39"/>
      <c r="C33" s="43" t="str">
        <f>IFERROR(INDEX('Data Sheet'!$A$2:$A$26,MATCH(B33,'Data Sheet'!$D$2:$D$26,0)),"")</f>
        <v/>
      </c>
      <c r="D33" s="44" t="str">
        <f>IF(SUMIF('Detailed Budget'!$D$5:$D$1005,$B33,'Detailed Budget'!$AA$5:$AA$1005)&gt;0,SUMIF('Detailed Budget'!$D$5:$D$1005,$B33,'Detailed Budget'!$AA$5:$AA$1005),"")</f>
        <v/>
      </c>
      <c r="E33" s="44" t="str">
        <f>IF(SUMIF('Detailed Budget'!$D$5:$D$1005,$B33,'Detailed Budget'!$AC$5:$AC$1005)&gt;0,SUMIF('Detailed Budget'!$D$5:$D$1005,$B33,'Detailed Budget'!$AC$5:$AC$1005),"")</f>
        <v/>
      </c>
      <c r="F33" s="44" t="str">
        <f>IF(SUMIF('Detailed Budget'!$D$5:$D$1005,$B33,'Detailed Budget'!$AE$5:$AE$1005)&gt;0,SUMIF('Detailed Budget'!$D$5:$D$1005,$B33,'Detailed Budget'!$AE$5:$AE$1005),"")</f>
        <v/>
      </c>
      <c r="G33" s="44" t="str">
        <f>IF(SUMIF('Detailed Budget'!$D$5:$D$1005,$B33,'Detailed Budget'!$AG$5:$AG$1005)&gt;0,SUMIF('Detailed Budget'!$D$5:$D$1005,$B33,'Detailed Budget'!$AG$5:$AG$1005),"")</f>
        <v/>
      </c>
      <c r="H33" s="45" t="str">
        <f>IF(SUMIF('Detailed Budget'!$D$5:$D$1005,$B33,'Detailed Budget'!$AI$5:$AI$1005)&gt;0,SUMIF('Detailed Budget'!$D$5:$D$1005,$B33,'Detailed Budget'!$AI$5:$AI$1005),"")</f>
        <v/>
      </c>
      <c r="I33" s="44" t="str">
        <f>IF(SUMIF('Detailed Budget'!$D$5:$D$1005,$B33,'Detailed Budget'!$AN$5:$AN$1005)&gt;0,SUMIF('Detailed Budget'!$D$5:$D$1005,$B33,'Detailed Budget'!$AN$5:$AN$1005),"")</f>
        <v/>
      </c>
      <c r="J33" s="44" t="str">
        <f>IF(SUMIF('Detailed Budget'!$D$5:$D$1005,$B33,'Detailed Budget'!$AP$5:$AP$1005)&gt;0,SUMIF('Detailed Budget'!$D$5:$D$1005,$B33,'Detailed Budget'!$AP$5:$AP$1005),"")</f>
        <v/>
      </c>
      <c r="K33" s="44" t="str">
        <f>IF(SUMIF('Detailed Budget'!$D$5:$D$1005,$B33,'Detailed Budget'!$AR$5:$AR$1005)&gt;0,SUMIF('Detailed Budget'!$D$5:$D$1005,$B33,'Detailed Budget'!$AR$5:$AR$1005),"")</f>
        <v/>
      </c>
      <c r="L33" s="44" t="str">
        <f>IF(SUMIF('Detailed Budget'!$D$5:$D$1005,$B33,'Detailed Budget'!$AT$5:$AT$1005)&gt;0,SUMIF('Detailed Budget'!$D$5:$D$1005,$B33,'Detailed Budget'!$AT$5:$AT$1005),"")</f>
        <v/>
      </c>
      <c r="M33" s="45" t="str">
        <f>IF(SUMIF('Detailed Budget'!$D$5:$D$1005,$B33,'Detailed Budget'!$AV$5:$AV$1005)&gt;0,SUMIF('Detailed Budget'!$D$5:$D$1005,$B33,'Detailed Budget'!$AV$5:$AV$1005),"")</f>
        <v/>
      </c>
      <c r="N33" s="44" t="str">
        <f>IF(SUMIF('Detailed Budget'!$D$5:$D$1005,$B33,'Detailed Budget'!$BA$5:$BA$1005)&gt;0,SUMIF('Detailed Budget'!$D$5:$D$1005,$B33,'Detailed Budget'!$BA$5:$BA$1005),"")</f>
        <v/>
      </c>
      <c r="O33" s="44" t="str">
        <f>IF(SUMIF('Detailed Budget'!$D$5:$D$1005,$B33,'Detailed Budget'!$BC$5:$BC$1005)&gt;0,SUMIF('Detailed Budget'!$D$5:$D$1005,$B33,'Detailed Budget'!$BC$5:$BC$1005),"")</f>
        <v/>
      </c>
      <c r="P33" s="44" t="str">
        <f>IF(SUMIF('Detailed Budget'!$D$5:$D$1005,$B33,'Detailed Budget'!$BE$5:$BE$1005)&gt;0,SUMIF('Detailed Budget'!$D$5:$D$1005,$B33,'Detailed Budget'!$BE$5:$BE$1005),"")</f>
        <v/>
      </c>
      <c r="Q33" s="44" t="str">
        <f>IF(SUMIF('Detailed Budget'!$D$5:$D$1005,$B33,'Detailed Budget'!$BG$5:$BG$1005)&gt;0,SUMIF('Detailed Budget'!$D$5:$D$1005,$B33,'Detailed Budget'!$BG$5:$BG$1005),"")</f>
        <v/>
      </c>
      <c r="R33" s="45" t="str">
        <f>IF(SUMIF('Detailed Budget'!$D$5:$D$1005,$B33,'Detailed Budget'!$BI$5:$BI$1005)&gt;0,SUMIF('Detailed Budget'!$D$5:$D$1005,$B33,'Detailed Budget'!$BI$5:$BI$1005),"")</f>
        <v/>
      </c>
      <c r="S33" s="44" t="str">
        <f>IF(SUMIF('Detailed Budget'!$D$5:$D$1005,$B33,'Detailed Budget'!$BN$5:$BN$1005)&gt;0,SUMIF('Detailed Budget'!$D$5:$D$1005,$B33,'Detailed Budget'!$BN$5:$BN$1005),"")</f>
        <v/>
      </c>
      <c r="T33" s="44" t="str">
        <f>IF(SUMIF('Detailed Budget'!$D$5:$D$1005,$B33,'Detailed Budget'!$BP$5:$BP$1005)&gt;0,SUMIF('Detailed Budget'!$D$5:$D$1005,$B33,'Detailed Budget'!$BP$5:$BP$1005),"")</f>
        <v/>
      </c>
      <c r="U33" s="44" t="str">
        <f>IF(SUMIF('Detailed Budget'!$D$5:$D$1005,$B33,'Detailed Budget'!$BR$5:$BR$1005)&gt;0,SUMIF('Detailed Budget'!$D$5:$D$1005,$B33,'Detailed Budget'!$BR$5:$BR$1005),"")</f>
        <v/>
      </c>
      <c r="V33" s="44" t="str">
        <f>IF(SUMIF('Detailed Budget'!$D$5:$D$1005,$B33,'Detailed Budget'!$BT$5:$BT$1005)&gt;0,SUMIF('Detailed Budget'!$D$5:$D$1005,$B33,'Detailed Budget'!$BT$5:$BT$1005),"")</f>
        <v/>
      </c>
      <c r="W33" s="45" t="str">
        <f>IF(SUMIF('Detailed Budget'!$D$5:$D$1005,$B33,'Detailed Budget'!$BV$5:$BV$1005)&gt;0,SUMIF('Detailed Budget'!$D$5:$D$1005,$B33,'Detailed Budget'!$BV$5:$BV$1005),"")</f>
        <v/>
      </c>
      <c r="X33" s="44" t="str">
        <f t="shared" ref="X33:X42" si="2">IF(SUM(H33,M33,R33,W33)&gt;0,SUM(H33,M33,R33,W33),"")</f>
        <v/>
      </c>
      <c r="Y33" s="122" t="str">
        <f t="shared" ref="Y33:Y42" si="3">IFERROR($X33/$X$43,"")</f>
        <v/>
      </c>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row>
    <row r="34" spans="1:49" s="35" customFormat="1" hidden="1" x14ac:dyDescent="0.2">
      <c r="A34" s="42"/>
      <c r="B34" s="39"/>
      <c r="C34" s="43" t="str">
        <f>IFERROR(INDEX('Data Sheet'!$A$2:$A$26,MATCH(B34,'Data Sheet'!$D$2:$D$26,0)),"")</f>
        <v/>
      </c>
      <c r="D34" s="44" t="str">
        <f>IF(SUMIF('Detailed Budget'!$D$5:$D$1005,$B34,'Detailed Budget'!$AA$5:$AA$1005)&gt;0,SUMIF('Detailed Budget'!$D$5:$D$1005,$B34,'Detailed Budget'!$AA$5:$AA$1005),"")</f>
        <v/>
      </c>
      <c r="E34" s="44" t="str">
        <f>IF(SUMIF('Detailed Budget'!$D$5:$D$1005,$B34,'Detailed Budget'!$AC$5:$AC$1005)&gt;0,SUMIF('Detailed Budget'!$D$5:$D$1005,$B34,'Detailed Budget'!$AC$5:$AC$1005),"")</f>
        <v/>
      </c>
      <c r="F34" s="44" t="str">
        <f>IF(SUMIF('Detailed Budget'!$D$5:$D$1005,$B34,'Detailed Budget'!$AE$5:$AE$1005)&gt;0,SUMIF('Detailed Budget'!$D$5:$D$1005,$B34,'Detailed Budget'!$AE$5:$AE$1005),"")</f>
        <v/>
      </c>
      <c r="G34" s="44" t="str">
        <f>IF(SUMIF('Detailed Budget'!$D$5:$D$1005,$B34,'Detailed Budget'!$AG$5:$AG$1005)&gt;0,SUMIF('Detailed Budget'!$D$5:$D$1005,$B34,'Detailed Budget'!$AG$5:$AG$1005),"")</f>
        <v/>
      </c>
      <c r="H34" s="45" t="str">
        <f>IF(SUMIF('Detailed Budget'!$D$5:$D$1005,$B34,'Detailed Budget'!$AI$5:$AI$1005)&gt;0,SUMIF('Detailed Budget'!$D$5:$D$1005,$B34,'Detailed Budget'!$AI$5:$AI$1005),"")</f>
        <v/>
      </c>
      <c r="I34" s="44" t="str">
        <f>IF(SUMIF('Detailed Budget'!$D$5:$D$1005,$B34,'Detailed Budget'!$AN$5:$AN$1005)&gt;0,SUMIF('Detailed Budget'!$D$5:$D$1005,$B34,'Detailed Budget'!$AN$5:$AN$1005),"")</f>
        <v/>
      </c>
      <c r="J34" s="44" t="str">
        <f>IF(SUMIF('Detailed Budget'!$D$5:$D$1005,$B34,'Detailed Budget'!$AP$5:$AP$1005)&gt;0,SUMIF('Detailed Budget'!$D$5:$D$1005,$B34,'Detailed Budget'!$AP$5:$AP$1005),"")</f>
        <v/>
      </c>
      <c r="K34" s="44" t="str">
        <f>IF(SUMIF('Detailed Budget'!$D$5:$D$1005,$B34,'Detailed Budget'!$AR$5:$AR$1005)&gt;0,SUMIF('Detailed Budget'!$D$5:$D$1005,$B34,'Detailed Budget'!$AR$5:$AR$1005),"")</f>
        <v/>
      </c>
      <c r="L34" s="44" t="str">
        <f>IF(SUMIF('Detailed Budget'!$D$5:$D$1005,$B34,'Detailed Budget'!$AT$5:$AT$1005)&gt;0,SUMIF('Detailed Budget'!$D$5:$D$1005,$B34,'Detailed Budget'!$AT$5:$AT$1005),"")</f>
        <v/>
      </c>
      <c r="M34" s="45" t="str">
        <f>IF(SUMIF('Detailed Budget'!$D$5:$D$1005,$B34,'Detailed Budget'!$AV$5:$AV$1005)&gt;0,SUMIF('Detailed Budget'!$D$5:$D$1005,$B34,'Detailed Budget'!$AV$5:$AV$1005),"")</f>
        <v/>
      </c>
      <c r="N34" s="44" t="str">
        <f>IF(SUMIF('Detailed Budget'!$D$5:$D$1005,$B34,'Detailed Budget'!$BA$5:$BA$1005)&gt;0,SUMIF('Detailed Budget'!$D$5:$D$1005,$B34,'Detailed Budget'!$BA$5:$BA$1005),"")</f>
        <v/>
      </c>
      <c r="O34" s="44" t="str">
        <f>IF(SUMIF('Detailed Budget'!$D$5:$D$1005,$B34,'Detailed Budget'!$BC$5:$BC$1005)&gt;0,SUMIF('Detailed Budget'!$D$5:$D$1005,$B34,'Detailed Budget'!$BC$5:$BC$1005),"")</f>
        <v/>
      </c>
      <c r="P34" s="44" t="str">
        <f>IF(SUMIF('Detailed Budget'!$D$5:$D$1005,$B34,'Detailed Budget'!$BE$5:$BE$1005)&gt;0,SUMIF('Detailed Budget'!$D$5:$D$1005,$B34,'Detailed Budget'!$BE$5:$BE$1005),"")</f>
        <v/>
      </c>
      <c r="Q34" s="44" t="str">
        <f>IF(SUMIF('Detailed Budget'!$D$5:$D$1005,$B34,'Detailed Budget'!$BG$5:$BG$1005)&gt;0,SUMIF('Detailed Budget'!$D$5:$D$1005,$B34,'Detailed Budget'!$BG$5:$BG$1005),"")</f>
        <v/>
      </c>
      <c r="R34" s="45" t="str">
        <f>IF(SUMIF('Detailed Budget'!$D$5:$D$1005,$B34,'Detailed Budget'!$BI$5:$BI$1005)&gt;0,SUMIF('Detailed Budget'!$D$5:$D$1005,$B34,'Detailed Budget'!$BI$5:$BI$1005),"")</f>
        <v/>
      </c>
      <c r="S34" s="44" t="str">
        <f>IF(SUMIF('Detailed Budget'!$D$5:$D$1005,$B34,'Detailed Budget'!$BN$5:$BN$1005)&gt;0,SUMIF('Detailed Budget'!$D$5:$D$1005,$B34,'Detailed Budget'!$BN$5:$BN$1005),"")</f>
        <v/>
      </c>
      <c r="T34" s="44" t="str">
        <f>IF(SUMIF('Detailed Budget'!$D$5:$D$1005,$B34,'Detailed Budget'!$BP$5:$BP$1005)&gt;0,SUMIF('Detailed Budget'!$D$5:$D$1005,$B34,'Detailed Budget'!$BP$5:$BP$1005),"")</f>
        <v/>
      </c>
      <c r="U34" s="44" t="str">
        <f>IF(SUMIF('Detailed Budget'!$D$5:$D$1005,$B34,'Detailed Budget'!$BR$5:$BR$1005)&gt;0,SUMIF('Detailed Budget'!$D$5:$D$1005,$B34,'Detailed Budget'!$BR$5:$BR$1005),"")</f>
        <v/>
      </c>
      <c r="V34" s="44" t="str">
        <f>IF(SUMIF('Detailed Budget'!$D$5:$D$1005,$B34,'Detailed Budget'!$BT$5:$BT$1005)&gt;0,SUMIF('Detailed Budget'!$D$5:$D$1005,$B34,'Detailed Budget'!$BT$5:$BT$1005),"")</f>
        <v/>
      </c>
      <c r="W34" s="45" t="str">
        <f>IF(SUMIF('Detailed Budget'!$D$5:$D$1005,$B34,'Detailed Budget'!$BV$5:$BV$1005)&gt;0,SUMIF('Detailed Budget'!$D$5:$D$1005,$B34,'Detailed Budget'!$BV$5:$BV$1005),"")</f>
        <v/>
      </c>
      <c r="X34" s="44" t="str">
        <f t="shared" si="2"/>
        <v/>
      </c>
      <c r="Y34" s="122" t="str">
        <f t="shared" si="3"/>
        <v/>
      </c>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row>
    <row r="35" spans="1:49" s="35" customFormat="1" hidden="1" x14ac:dyDescent="0.2">
      <c r="A35" s="42"/>
      <c r="B35" s="39"/>
      <c r="C35" s="43" t="str">
        <f>IFERROR(INDEX('Data Sheet'!$A$2:$A$26,MATCH(B35,'Data Sheet'!$D$2:$D$26,0)),"")</f>
        <v/>
      </c>
      <c r="D35" s="44" t="str">
        <f>IF(SUMIF('Detailed Budget'!$D$5:$D$1005,$B35,'Detailed Budget'!$AA$5:$AA$1005)&gt;0,SUMIF('Detailed Budget'!$D$5:$D$1005,$B35,'Detailed Budget'!$AA$5:$AA$1005),"")</f>
        <v/>
      </c>
      <c r="E35" s="44" t="str">
        <f>IF(SUMIF('Detailed Budget'!$D$5:$D$1005,$B35,'Detailed Budget'!$AC$5:$AC$1005)&gt;0,SUMIF('Detailed Budget'!$D$5:$D$1005,$B35,'Detailed Budget'!$AC$5:$AC$1005),"")</f>
        <v/>
      </c>
      <c r="F35" s="44" t="str">
        <f>IF(SUMIF('Detailed Budget'!$D$5:$D$1005,$B35,'Detailed Budget'!$AE$5:$AE$1005)&gt;0,SUMIF('Detailed Budget'!$D$5:$D$1005,$B35,'Detailed Budget'!$AE$5:$AE$1005),"")</f>
        <v/>
      </c>
      <c r="G35" s="44" t="str">
        <f>IF(SUMIF('Detailed Budget'!$D$5:$D$1005,$B35,'Detailed Budget'!$AG$5:$AG$1005)&gt;0,SUMIF('Detailed Budget'!$D$5:$D$1005,$B35,'Detailed Budget'!$AG$5:$AG$1005),"")</f>
        <v/>
      </c>
      <c r="H35" s="45" t="str">
        <f>IF(SUMIF('Detailed Budget'!$D$5:$D$1005,$B35,'Detailed Budget'!$AI$5:$AI$1005)&gt;0,SUMIF('Detailed Budget'!$D$5:$D$1005,$B35,'Detailed Budget'!$AI$5:$AI$1005),"")</f>
        <v/>
      </c>
      <c r="I35" s="44" t="str">
        <f>IF(SUMIF('Detailed Budget'!$D$5:$D$1005,$B35,'Detailed Budget'!$AN$5:$AN$1005)&gt;0,SUMIF('Detailed Budget'!$D$5:$D$1005,$B35,'Detailed Budget'!$AN$5:$AN$1005),"")</f>
        <v/>
      </c>
      <c r="J35" s="44" t="str">
        <f>IF(SUMIF('Detailed Budget'!$D$5:$D$1005,$B35,'Detailed Budget'!$AP$5:$AP$1005)&gt;0,SUMIF('Detailed Budget'!$D$5:$D$1005,$B35,'Detailed Budget'!$AP$5:$AP$1005),"")</f>
        <v/>
      </c>
      <c r="K35" s="44" t="str">
        <f>IF(SUMIF('Detailed Budget'!$D$5:$D$1005,$B35,'Detailed Budget'!$AR$5:$AR$1005)&gt;0,SUMIF('Detailed Budget'!$D$5:$D$1005,$B35,'Detailed Budget'!$AR$5:$AR$1005),"")</f>
        <v/>
      </c>
      <c r="L35" s="44" t="str">
        <f>IF(SUMIF('Detailed Budget'!$D$5:$D$1005,$B35,'Detailed Budget'!$AT$5:$AT$1005)&gt;0,SUMIF('Detailed Budget'!$D$5:$D$1005,$B35,'Detailed Budget'!$AT$5:$AT$1005),"")</f>
        <v/>
      </c>
      <c r="M35" s="45" t="str">
        <f>IF(SUMIF('Detailed Budget'!$D$5:$D$1005,$B35,'Detailed Budget'!$AV$5:$AV$1005)&gt;0,SUMIF('Detailed Budget'!$D$5:$D$1005,$B35,'Detailed Budget'!$AV$5:$AV$1005),"")</f>
        <v/>
      </c>
      <c r="N35" s="44" t="str">
        <f>IF(SUMIF('Detailed Budget'!$D$5:$D$1005,$B35,'Detailed Budget'!$BA$5:$BA$1005)&gt;0,SUMIF('Detailed Budget'!$D$5:$D$1005,$B35,'Detailed Budget'!$BA$5:$BA$1005),"")</f>
        <v/>
      </c>
      <c r="O35" s="44" t="str">
        <f>IF(SUMIF('Detailed Budget'!$D$5:$D$1005,$B35,'Detailed Budget'!$BC$5:$BC$1005)&gt;0,SUMIF('Detailed Budget'!$D$5:$D$1005,$B35,'Detailed Budget'!$BC$5:$BC$1005),"")</f>
        <v/>
      </c>
      <c r="P35" s="44" t="str">
        <f>IF(SUMIF('Detailed Budget'!$D$5:$D$1005,$B35,'Detailed Budget'!$BE$5:$BE$1005)&gt;0,SUMIF('Detailed Budget'!$D$5:$D$1005,$B35,'Detailed Budget'!$BE$5:$BE$1005),"")</f>
        <v/>
      </c>
      <c r="Q35" s="44" t="str">
        <f>IF(SUMIF('Detailed Budget'!$D$5:$D$1005,$B35,'Detailed Budget'!$BG$5:$BG$1005)&gt;0,SUMIF('Detailed Budget'!$D$5:$D$1005,$B35,'Detailed Budget'!$BG$5:$BG$1005),"")</f>
        <v/>
      </c>
      <c r="R35" s="45" t="str">
        <f>IF(SUMIF('Detailed Budget'!$D$5:$D$1005,$B35,'Detailed Budget'!$BI$5:$BI$1005)&gt;0,SUMIF('Detailed Budget'!$D$5:$D$1005,$B35,'Detailed Budget'!$BI$5:$BI$1005),"")</f>
        <v/>
      </c>
      <c r="S35" s="44" t="str">
        <f>IF(SUMIF('Detailed Budget'!$D$5:$D$1005,$B35,'Detailed Budget'!$BN$5:$BN$1005)&gt;0,SUMIF('Detailed Budget'!$D$5:$D$1005,$B35,'Detailed Budget'!$BN$5:$BN$1005),"")</f>
        <v/>
      </c>
      <c r="T35" s="44" t="str">
        <f>IF(SUMIF('Detailed Budget'!$D$5:$D$1005,$B35,'Detailed Budget'!$BP$5:$BP$1005)&gt;0,SUMIF('Detailed Budget'!$D$5:$D$1005,$B35,'Detailed Budget'!$BP$5:$BP$1005),"")</f>
        <v/>
      </c>
      <c r="U35" s="44" t="str">
        <f>IF(SUMIF('Detailed Budget'!$D$5:$D$1005,$B35,'Detailed Budget'!$BR$5:$BR$1005)&gt;0,SUMIF('Detailed Budget'!$D$5:$D$1005,$B35,'Detailed Budget'!$BR$5:$BR$1005),"")</f>
        <v/>
      </c>
      <c r="V35" s="44" t="str">
        <f>IF(SUMIF('Detailed Budget'!$D$5:$D$1005,$B35,'Detailed Budget'!$BT$5:$BT$1005)&gt;0,SUMIF('Detailed Budget'!$D$5:$D$1005,$B35,'Detailed Budget'!$BT$5:$BT$1005),"")</f>
        <v/>
      </c>
      <c r="W35" s="45" t="str">
        <f>IF(SUMIF('Detailed Budget'!$D$5:$D$1005,$B35,'Detailed Budget'!$BV$5:$BV$1005)&gt;0,SUMIF('Detailed Budget'!$D$5:$D$1005,$B35,'Detailed Budget'!$BV$5:$BV$1005),"")</f>
        <v/>
      </c>
      <c r="X35" s="44" t="str">
        <f t="shared" si="2"/>
        <v/>
      </c>
      <c r="Y35" s="122" t="str">
        <f t="shared" si="3"/>
        <v/>
      </c>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row>
    <row r="36" spans="1:49" s="35" customFormat="1" hidden="1" x14ac:dyDescent="0.2">
      <c r="A36" s="42"/>
      <c r="B36" s="39"/>
      <c r="C36" s="43" t="str">
        <f>IFERROR(INDEX('Data Sheet'!$A$2:$A$26,MATCH(B36,'Data Sheet'!$D$2:$D$26,0)),"")</f>
        <v/>
      </c>
      <c r="D36" s="44" t="str">
        <f>IF(SUMIF('Detailed Budget'!$D$5:$D$1005,$B36,'Detailed Budget'!$AA$5:$AA$1005)&gt;0,SUMIF('Detailed Budget'!$D$5:$D$1005,$B36,'Detailed Budget'!$AA$5:$AA$1005),"")</f>
        <v/>
      </c>
      <c r="E36" s="44" t="str">
        <f>IF(SUMIF('Detailed Budget'!$D$5:$D$1005,$B36,'Detailed Budget'!$AC$5:$AC$1005)&gt;0,SUMIF('Detailed Budget'!$D$5:$D$1005,$B36,'Detailed Budget'!$AC$5:$AC$1005),"")</f>
        <v/>
      </c>
      <c r="F36" s="44" t="str">
        <f>IF(SUMIF('Detailed Budget'!$D$5:$D$1005,$B36,'Detailed Budget'!$AE$5:$AE$1005)&gt;0,SUMIF('Detailed Budget'!$D$5:$D$1005,$B36,'Detailed Budget'!$AE$5:$AE$1005),"")</f>
        <v/>
      </c>
      <c r="G36" s="44" t="str">
        <f>IF(SUMIF('Detailed Budget'!$D$5:$D$1005,$B36,'Detailed Budget'!$AG$5:$AG$1005)&gt;0,SUMIF('Detailed Budget'!$D$5:$D$1005,$B36,'Detailed Budget'!$AG$5:$AG$1005),"")</f>
        <v/>
      </c>
      <c r="H36" s="45" t="str">
        <f>IF(SUMIF('Detailed Budget'!$D$5:$D$1005,$B36,'Detailed Budget'!$AI$5:$AI$1005)&gt;0,SUMIF('Detailed Budget'!$D$5:$D$1005,$B36,'Detailed Budget'!$AI$5:$AI$1005),"")</f>
        <v/>
      </c>
      <c r="I36" s="44" t="str">
        <f>IF(SUMIF('Detailed Budget'!$D$5:$D$1005,$B36,'Detailed Budget'!$AN$5:$AN$1005)&gt;0,SUMIF('Detailed Budget'!$D$5:$D$1005,$B36,'Detailed Budget'!$AN$5:$AN$1005),"")</f>
        <v/>
      </c>
      <c r="J36" s="44" t="str">
        <f>IF(SUMIF('Detailed Budget'!$D$5:$D$1005,$B36,'Detailed Budget'!$AP$5:$AP$1005)&gt;0,SUMIF('Detailed Budget'!$D$5:$D$1005,$B36,'Detailed Budget'!$AP$5:$AP$1005),"")</f>
        <v/>
      </c>
      <c r="K36" s="44" t="str">
        <f>IF(SUMIF('Detailed Budget'!$D$5:$D$1005,$B36,'Detailed Budget'!$AR$5:$AR$1005)&gt;0,SUMIF('Detailed Budget'!$D$5:$D$1005,$B36,'Detailed Budget'!$AR$5:$AR$1005),"")</f>
        <v/>
      </c>
      <c r="L36" s="44" t="str">
        <f>IF(SUMIF('Detailed Budget'!$D$5:$D$1005,$B36,'Detailed Budget'!$AT$5:$AT$1005)&gt;0,SUMIF('Detailed Budget'!$D$5:$D$1005,$B36,'Detailed Budget'!$AT$5:$AT$1005),"")</f>
        <v/>
      </c>
      <c r="M36" s="45" t="str">
        <f>IF(SUMIF('Detailed Budget'!$D$5:$D$1005,$B36,'Detailed Budget'!$AV$5:$AV$1005)&gt;0,SUMIF('Detailed Budget'!$D$5:$D$1005,$B36,'Detailed Budget'!$AV$5:$AV$1005),"")</f>
        <v/>
      </c>
      <c r="N36" s="44" t="str">
        <f>IF(SUMIF('Detailed Budget'!$D$5:$D$1005,$B36,'Detailed Budget'!$BA$5:$BA$1005)&gt;0,SUMIF('Detailed Budget'!$D$5:$D$1005,$B36,'Detailed Budget'!$BA$5:$BA$1005),"")</f>
        <v/>
      </c>
      <c r="O36" s="44" t="str">
        <f>IF(SUMIF('Detailed Budget'!$D$5:$D$1005,$B36,'Detailed Budget'!$BC$5:$BC$1005)&gt;0,SUMIF('Detailed Budget'!$D$5:$D$1005,$B36,'Detailed Budget'!$BC$5:$BC$1005),"")</f>
        <v/>
      </c>
      <c r="P36" s="44" t="str">
        <f>IF(SUMIF('Detailed Budget'!$D$5:$D$1005,$B36,'Detailed Budget'!$BE$5:$BE$1005)&gt;0,SUMIF('Detailed Budget'!$D$5:$D$1005,$B36,'Detailed Budget'!$BE$5:$BE$1005),"")</f>
        <v/>
      </c>
      <c r="Q36" s="44" t="str">
        <f>IF(SUMIF('Detailed Budget'!$D$5:$D$1005,$B36,'Detailed Budget'!$BG$5:$BG$1005)&gt;0,SUMIF('Detailed Budget'!$D$5:$D$1005,$B36,'Detailed Budget'!$BG$5:$BG$1005),"")</f>
        <v/>
      </c>
      <c r="R36" s="45" t="str">
        <f>IF(SUMIF('Detailed Budget'!$D$5:$D$1005,$B36,'Detailed Budget'!$BI$5:$BI$1005)&gt;0,SUMIF('Detailed Budget'!$D$5:$D$1005,$B36,'Detailed Budget'!$BI$5:$BI$1005),"")</f>
        <v/>
      </c>
      <c r="S36" s="44" t="str">
        <f>IF(SUMIF('Detailed Budget'!$D$5:$D$1005,$B36,'Detailed Budget'!$BN$5:$BN$1005)&gt;0,SUMIF('Detailed Budget'!$D$5:$D$1005,$B36,'Detailed Budget'!$BN$5:$BN$1005),"")</f>
        <v/>
      </c>
      <c r="T36" s="44" t="str">
        <f>IF(SUMIF('Detailed Budget'!$D$5:$D$1005,$B36,'Detailed Budget'!$BP$5:$BP$1005)&gt;0,SUMIF('Detailed Budget'!$D$5:$D$1005,$B36,'Detailed Budget'!$BP$5:$BP$1005),"")</f>
        <v/>
      </c>
      <c r="U36" s="44" t="str">
        <f>IF(SUMIF('Detailed Budget'!$D$5:$D$1005,$B36,'Detailed Budget'!$BR$5:$BR$1005)&gt;0,SUMIF('Detailed Budget'!$D$5:$D$1005,$B36,'Detailed Budget'!$BR$5:$BR$1005),"")</f>
        <v/>
      </c>
      <c r="V36" s="44" t="str">
        <f>IF(SUMIF('Detailed Budget'!$D$5:$D$1005,$B36,'Detailed Budget'!$BT$5:$BT$1005)&gt;0,SUMIF('Detailed Budget'!$D$5:$D$1005,$B36,'Detailed Budget'!$BT$5:$BT$1005),"")</f>
        <v/>
      </c>
      <c r="W36" s="45" t="str">
        <f>IF(SUMIF('Detailed Budget'!$D$5:$D$1005,$B36,'Detailed Budget'!$BV$5:$BV$1005)&gt;0,SUMIF('Detailed Budget'!$D$5:$D$1005,$B36,'Detailed Budget'!$BV$5:$BV$1005),"")</f>
        <v/>
      </c>
      <c r="X36" s="44" t="str">
        <f t="shared" si="2"/>
        <v/>
      </c>
      <c r="Y36" s="122" t="str">
        <f t="shared" si="3"/>
        <v/>
      </c>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row>
    <row r="37" spans="1:49" s="35" customFormat="1" hidden="1" x14ac:dyDescent="0.2">
      <c r="A37" s="42"/>
      <c r="B37" s="39"/>
      <c r="C37" s="43" t="str">
        <f>IFERROR(INDEX('Data Sheet'!$A$2:$A$26,MATCH(B37,'Data Sheet'!$D$2:$D$26,0)),"")</f>
        <v/>
      </c>
      <c r="D37" s="44" t="str">
        <f>IF(SUMIF('Detailed Budget'!$D$5:$D$1005,$B37,'Detailed Budget'!$AA$5:$AA$1005)&gt;0,SUMIF('Detailed Budget'!$D$5:$D$1005,$B37,'Detailed Budget'!$AA$5:$AA$1005),"")</f>
        <v/>
      </c>
      <c r="E37" s="44" t="str">
        <f>IF(SUMIF('Detailed Budget'!$D$5:$D$1005,$B37,'Detailed Budget'!$AC$5:$AC$1005)&gt;0,SUMIF('Detailed Budget'!$D$5:$D$1005,$B37,'Detailed Budget'!$AC$5:$AC$1005),"")</f>
        <v/>
      </c>
      <c r="F37" s="44" t="str">
        <f>IF(SUMIF('Detailed Budget'!$D$5:$D$1005,$B37,'Detailed Budget'!$AE$5:$AE$1005)&gt;0,SUMIF('Detailed Budget'!$D$5:$D$1005,$B37,'Detailed Budget'!$AE$5:$AE$1005),"")</f>
        <v/>
      </c>
      <c r="G37" s="44" t="str">
        <f>IF(SUMIF('Detailed Budget'!$D$5:$D$1005,$B37,'Detailed Budget'!$AG$5:$AG$1005)&gt;0,SUMIF('Detailed Budget'!$D$5:$D$1005,$B37,'Detailed Budget'!$AG$5:$AG$1005),"")</f>
        <v/>
      </c>
      <c r="H37" s="45" t="str">
        <f>IF(SUMIF('Detailed Budget'!$D$5:$D$1005,$B37,'Detailed Budget'!$AI$5:$AI$1005)&gt;0,SUMIF('Detailed Budget'!$D$5:$D$1005,$B37,'Detailed Budget'!$AI$5:$AI$1005),"")</f>
        <v/>
      </c>
      <c r="I37" s="44" t="str">
        <f>IF(SUMIF('Detailed Budget'!$D$5:$D$1005,$B37,'Detailed Budget'!$AN$5:$AN$1005)&gt;0,SUMIF('Detailed Budget'!$D$5:$D$1005,$B37,'Detailed Budget'!$AN$5:$AN$1005),"")</f>
        <v/>
      </c>
      <c r="J37" s="44" t="str">
        <f>IF(SUMIF('Detailed Budget'!$D$5:$D$1005,$B37,'Detailed Budget'!$AP$5:$AP$1005)&gt;0,SUMIF('Detailed Budget'!$D$5:$D$1005,$B37,'Detailed Budget'!$AP$5:$AP$1005),"")</f>
        <v/>
      </c>
      <c r="K37" s="44" t="str">
        <f>IF(SUMIF('Detailed Budget'!$D$5:$D$1005,$B37,'Detailed Budget'!$AR$5:$AR$1005)&gt;0,SUMIF('Detailed Budget'!$D$5:$D$1005,$B37,'Detailed Budget'!$AR$5:$AR$1005),"")</f>
        <v/>
      </c>
      <c r="L37" s="44" t="str">
        <f>IF(SUMIF('Detailed Budget'!$D$5:$D$1005,$B37,'Detailed Budget'!$AT$5:$AT$1005)&gt;0,SUMIF('Detailed Budget'!$D$5:$D$1005,$B37,'Detailed Budget'!$AT$5:$AT$1005),"")</f>
        <v/>
      </c>
      <c r="M37" s="45" t="str">
        <f>IF(SUMIF('Detailed Budget'!$D$5:$D$1005,$B37,'Detailed Budget'!$AV$5:$AV$1005)&gt;0,SUMIF('Detailed Budget'!$D$5:$D$1005,$B37,'Detailed Budget'!$AV$5:$AV$1005),"")</f>
        <v/>
      </c>
      <c r="N37" s="44" t="str">
        <f>IF(SUMIF('Detailed Budget'!$D$5:$D$1005,$B37,'Detailed Budget'!$BA$5:$BA$1005)&gt;0,SUMIF('Detailed Budget'!$D$5:$D$1005,$B37,'Detailed Budget'!$BA$5:$BA$1005),"")</f>
        <v/>
      </c>
      <c r="O37" s="44" t="str">
        <f>IF(SUMIF('Detailed Budget'!$D$5:$D$1005,$B37,'Detailed Budget'!$BC$5:$BC$1005)&gt;0,SUMIF('Detailed Budget'!$D$5:$D$1005,$B37,'Detailed Budget'!$BC$5:$BC$1005),"")</f>
        <v/>
      </c>
      <c r="P37" s="44" t="str">
        <f>IF(SUMIF('Detailed Budget'!$D$5:$D$1005,$B37,'Detailed Budget'!$BE$5:$BE$1005)&gt;0,SUMIF('Detailed Budget'!$D$5:$D$1005,$B37,'Detailed Budget'!$BE$5:$BE$1005),"")</f>
        <v/>
      </c>
      <c r="Q37" s="44" t="str">
        <f>IF(SUMIF('Detailed Budget'!$D$5:$D$1005,$B37,'Detailed Budget'!$BG$5:$BG$1005)&gt;0,SUMIF('Detailed Budget'!$D$5:$D$1005,$B37,'Detailed Budget'!$BG$5:$BG$1005),"")</f>
        <v/>
      </c>
      <c r="R37" s="45" t="str">
        <f>IF(SUMIF('Detailed Budget'!$D$5:$D$1005,$B37,'Detailed Budget'!$BI$5:$BI$1005)&gt;0,SUMIF('Detailed Budget'!$D$5:$D$1005,$B37,'Detailed Budget'!$BI$5:$BI$1005),"")</f>
        <v/>
      </c>
      <c r="S37" s="44" t="str">
        <f>IF(SUMIF('Detailed Budget'!$D$5:$D$1005,$B37,'Detailed Budget'!$BN$5:$BN$1005)&gt;0,SUMIF('Detailed Budget'!$D$5:$D$1005,$B37,'Detailed Budget'!$BN$5:$BN$1005),"")</f>
        <v/>
      </c>
      <c r="T37" s="44" t="str">
        <f>IF(SUMIF('Detailed Budget'!$D$5:$D$1005,$B37,'Detailed Budget'!$BP$5:$BP$1005)&gt;0,SUMIF('Detailed Budget'!$D$5:$D$1005,$B37,'Detailed Budget'!$BP$5:$BP$1005),"")</f>
        <v/>
      </c>
      <c r="U37" s="44" t="str">
        <f>IF(SUMIF('Detailed Budget'!$D$5:$D$1005,$B37,'Detailed Budget'!$BR$5:$BR$1005)&gt;0,SUMIF('Detailed Budget'!$D$5:$D$1005,$B37,'Detailed Budget'!$BR$5:$BR$1005),"")</f>
        <v/>
      </c>
      <c r="V37" s="44" t="str">
        <f>IF(SUMIF('Detailed Budget'!$D$5:$D$1005,$B37,'Detailed Budget'!$BT$5:$BT$1005)&gt;0,SUMIF('Detailed Budget'!$D$5:$D$1005,$B37,'Detailed Budget'!$BT$5:$BT$1005),"")</f>
        <v/>
      </c>
      <c r="W37" s="45" t="str">
        <f>IF(SUMIF('Detailed Budget'!$D$5:$D$1005,$B37,'Detailed Budget'!$BV$5:$BV$1005)&gt;0,SUMIF('Detailed Budget'!$D$5:$D$1005,$B37,'Detailed Budget'!$BV$5:$BV$1005),"")</f>
        <v/>
      </c>
      <c r="X37" s="44" t="str">
        <f t="shared" si="2"/>
        <v/>
      </c>
      <c r="Y37" s="122" t="str">
        <f t="shared" si="3"/>
        <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row>
    <row r="38" spans="1:49" s="35" customFormat="1" hidden="1" x14ac:dyDescent="0.2">
      <c r="A38" s="42"/>
      <c r="B38" s="39"/>
      <c r="C38" s="43" t="str">
        <f>IFERROR(INDEX('Data Sheet'!$A$2:$A$26,MATCH(B38,'Data Sheet'!$D$2:$D$26,0)),"")</f>
        <v/>
      </c>
      <c r="D38" s="44" t="str">
        <f>IF(SUMIF('Detailed Budget'!$D$5:$D$1005,$B38,'Detailed Budget'!$AA$5:$AA$1005)&gt;0,SUMIF('Detailed Budget'!$D$5:$D$1005,$B38,'Detailed Budget'!$AA$5:$AA$1005),"")</f>
        <v/>
      </c>
      <c r="E38" s="44" t="str">
        <f>IF(SUMIF('Detailed Budget'!$D$5:$D$1005,$B38,'Detailed Budget'!$AC$5:$AC$1005)&gt;0,SUMIF('Detailed Budget'!$D$5:$D$1005,$B38,'Detailed Budget'!$AC$5:$AC$1005),"")</f>
        <v/>
      </c>
      <c r="F38" s="44" t="str">
        <f>IF(SUMIF('Detailed Budget'!$D$5:$D$1005,$B38,'Detailed Budget'!$AE$5:$AE$1005)&gt;0,SUMIF('Detailed Budget'!$D$5:$D$1005,$B38,'Detailed Budget'!$AE$5:$AE$1005),"")</f>
        <v/>
      </c>
      <c r="G38" s="44" t="str">
        <f>IF(SUMIF('Detailed Budget'!$D$5:$D$1005,$B38,'Detailed Budget'!$AG$5:$AG$1005)&gt;0,SUMIF('Detailed Budget'!$D$5:$D$1005,$B38,'Detailed Budget'!$AG$5:$AG$1005),"")</f>
        <v/>
      </c>
      <c r="H38" s="45" t="str">
        <f>IF(SUMIF('Detailed Budget'!$D$5:$D$1005,$B38,'Detailed Budget'!$AI$5:$AI$1005)&gt;0,SUMIF('Detailed Budget'!$D$5:$D$1005,$B38,'Detailed Budget'!$AI$5:$AI$1005),"")</f>
        <v/>
      </c>
      <c r="I38" s="44" t="str">
        <f>IF(SUMIF('Detailed Budget'!$D$5:$D$1005,$B38,'Detailed Budget'!$AN$5:$AN$1005)&gt;0,SUMIF('Detailed Budget'!$D$5:$D$1005,$B38,'Detailed Budget'!$AN$5:$AN$1005),"")</f>
        <v/>
      </c>
      <c r="J38" s="44" t="str">
        <f>IF(SUMIF('Detailed Budget'!$D$5:$D$1005,$B38,'Detailed Budget'!$AP$5:$AP$1005)&gt;0,SUMIF('Detailed Budget'!$D$5:$D$1005,$B38,'Detailed Budget'!$AP$5:$AP$1005),"")</f>
        <v/>
      </c>
      <c r="K38" s="44" t="str">
        <f>IF(SUMIF('Detailed Budget'!$D$5:$D$1005,$B38,'Detailed Budget'!$AR$5:$AR$1005)&gt;0,SUMIF('Detailed Budget'!$D$5:$D$1005,$B38,'Detailed Budget'!$AR$5:$AR$1005),"")</f>
        <v/>
      </c>
      <c r="L38" s="44" t="str">
        <f>IF(SUMIF('Detailed Budget'!$D$5:$D$1005,$B38,'Detailed Budget'!$AT$5:$AT$1005)&gt;0,SUMIF('Detailed Budget'!$D$5:$D$1005,$B38,'Detailed Budget'!$AT$5:$AT$1005),"")</f>
        <v/>
      </c>
      <c r="M38" s="45" t="str">
        <f>IF(SUMIF('Detailed Budget'!$D$5:$D$1005,$B38,'Detailed Budget'!$AV$5:$AV$1005)&gt;0,SUMIF('Detailed Budget'!$D$5:$D$1005,$B38,'Detailed Budget'!$AV$5:$AV$1005),"")</f>
        <v/>
      </c>
      <c r="N38" s="44" t="str">
        <f>IF(SUMIF('Detailed Budget'!$D$5:$D$1005,$B38,'Detailed Budget'!$BA$5:$BA$1005)&gt;0,SUMIF('Detailed Budget'!$D$5:$D$1005,$B38,'Detailed Budget'!$BA$5:$BA$1005),"")</f>
        <v/>
      </c>
      <c r="O38" s="44" t="str">
        <f>IF(SUMIF('Detailed Budget'!$D$5:$D$1005,$B38,'Detailed Budget'!$BC$5:$BC$1005)&gt;0,SUMIF('Detailed Budget'!$D$5:$D$1005,$B38,'Detailed Budget'!$BC$5:$BC$1005),"")</f>
        <v/>
      </c>
      <c r="P38" s="44" t="str">
        <f>IF(SUMIF('Detailed Budget'!$D$5:$D$1005,$B38,'Detailed Budget'!$BE$5:$BE$1005)&gt;0,SUMIF('Detailed Budget'!$D$5:$D$1005,$B38,'Detailed Budget'!$BE$5:$BE$1005),"")</f>
        <v/>
      </c>
      <c r="Q38" s="44" t="str">
        <f>IF(SUMIF('Detailed Budget'!$D$5:$D$1005,$B38,'Detailed Budget'!$BG$5:$BG$1005)&gt;0,SUMIF('Detailed Budget'!$D$5:$D$1005,$B38,'Detailed Budget'!$BG$5:$BG$1005),"")</f>
        <v/>
      </c>
      <c r="R38" s="45" t="str">
        <f>IF(SUMIF('Detailed Budget'!$D$5:$D$1005,$B38,'Detailed Budget'!$BI$5:$BI$1005)&gt;0,SUMIF('Detailed Budget'!$D$5:$D$1005,$B38,'Detailed Budget'!$BI$5:$BI$1005),"")</f>
        <v/>
      </c>
      <c r="S38" s="44" t="str">
        <f>IF(SUMIF('Detailed Budget'!$D$5:$D$1005,$B38,'Detailed Budget'!$BN$5:$BN$1005)&gt;0,SUMIF('Detailed Budget'!$D$5:$D$1005,$B38,'Detailed Budget'!$BN$5:$BN$1005),"")</f>
        <v/>
      </c>
      <c r="T38" s="44" t="str">
        <f>IF(SUMIF('Detailed Budget'!$D$5:$D$1005,$B38,'Detailed Budget'!$BP$5:$BP$1005)&gt;0,SUMIF('Detailed Budget'!$D$5:$D$1005,$B38,'Detailed Budget'!$BP$5:$BP$1005),"")</f>
        <v/>
      </c>
      <c r="U38" s="44" t="str">
        <f>IF(SUMIF('Detailed Budget'!$D$5:$D$1005,$B38,'Detailed Budget'!$BR$5:$BR$1005)&gt;0,SUMIF('Detailed Budget'!$D$5:$D$1005,$B38,'Detailed Budget'!$BR$5:$BR$1005),"")</f>
        <v/>
      </c>
      <c r="V38" s="44" t="str">
        <f>IF(SUMIF('Detailed Budget'!$D$5:$D$1005,$B38,'Detailed Budget'!$BT$5:$BT$1005)&gt;0,SUMIF('Detailed Budget'!$D$5:$D$1005,$B38,'Detailed Budget'!$BT$5:$BT$1005),"")</f>
        <v/>
      </c>
      <c r="W38" s="45" t="str">
        <f>IF(SUMIF('Detailed Budget'!$D$5:$D$1005,$B38,'Detailed Budget'!$BV$5:$BV$1005)&gt;0,SUMIF('Detailed Budget'!$D$5:$D$1005,$B38,'Detailed Budget'!$BV$5:$BV$1005),"")</f>
        <v/>
      </c>
      <c r="X38" s="44" t="str">
        <f t="shared" si="2"/>
        <v/>
      </c>
      <c r="Y38" s="122" t="str">
        <f t="shared" si="3"/>
        <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row>
    <row r="39" spans="1:49" s="35" customFormat="1" hidden="1" x14ac:dyDescent="0.2">
      <c r="A39" s="42"/>
      <c r="B39" s="39"/>
      <c r="C39" s="43" t="str">
        <f>IFERROR(INDEX('Data Sheet'!$A$2:$A$26,MATCH(B39,'Data Sheet'!$D$2:$D$26,0)),"")</f>
        <v/>
      </c>
      <c r="D39" s="44" t="str">
        <f>IF(SUMIF('Detailed Budget'!$D$5:$D$1005,$B39,'Detailed Budget'!$AA$5:$AA$1005)&gt;0,SUMIF('Detailed Budget'!$D$5:$D$1005,$B39,'Detailed Budget'!$AA$5:$AA$1005),"")</f>
        <v/>
      </c>
      <c r="E39" s="44" t="str">
        <f>IF(SUMIF('Detailed Budget'!$D$5:$D$1005,$B39,'Detailed Budget'!$AC$5:$AC$1005)&gt;0,SUMIF('Detailed Budget'!$D$5:$D$1005,$B39,'Detailed Budget'!$AC$5:$AC$1005),"")</f>
        <v/>
      </c>
      <c r="F39" s="44" t="str">
        <f>IF(SUMIF('Detailed Budget'!$D$5:$D$1005,$B39,'Detailed Budget'!$AE$5:$AE$1005)&gt;0,SUMIF('Detailed Budget'!$D$5:$D$1005,$B39,'Detailed Budget'!$AE$5:$AE$1005),"")</f>
        <v/>
      </c>
      <c r="G39" s="44" t="str">
        <f>IF(SUMIF('Detailed Budget'!$D$5:$D$1005,$B39,'Detailed Budget'!$AG$5:$AG$1005)&gt;0,SUMIF('Detailed Budget'!$D$5:$D$1005,$B39,'Detailed Budget'!$AG$5:$AG$1005),"")</f>
        <v/>
      </c>
      <c r="H39" s="45" t="str">
        <f>IF(SUMIF('Detailed Budget'!$D$5:$D$1005,$B39,'Detailed Budget'!$AI$5:$AI$1005)&gt;0,SUMIF('Detailed Budget'!$D$5:$D$1005,$B39,'Detailed Budget'!$AI$5:$AI$1005),"")</f>
        <v/>
      </c>
      <c r="I39" s="44" t="str">
        <f>IF(SUMIF('Detailed Budget'!$D$5:$D$1005,$B39,'Detailed Budget'!$AN$5:$AN$1005)&gt;0,SUMIF('Detailed Budget'!$D$5:$D$1005,$B39,'Detailed Budget'!$AN$5:$AN$1005),"")</f>
        <v/>
      </c>
      <c r="J39" s="44" t="str">
        <f>IF(SUMIF('Detailed Budget'!$D$5:$D$1005,$B39,'Detailed Budget'!$AP$5:$AP$1005)&gt;0,SUMIF('Detailed Budget'!$D$5:$D$1005,$B39,'Detailed Budget'!$AP$5:$AP$1005),"")</f>
        <v/>
      </c>
      <c r="K39" s="44" t="str">
        <f>IF(SUMIF('Detailed Budget'!$D$5:$D$1005,$B39,'Detailed Budget'!$AR$5:$AR$1005)&gt;0,SUMIF('Detailed Budget'!$D$5:$D$1005,$B39,'Detailed Budget'!$AR$5:$AR$1005),"")</f>
        <v/>
      </c>
      <c r="L39" s="44" t="str">
        <f>IF(SUMIF('Detailed Budget'!$D$5:$D$1005,$B39,'Detailed Budget'!$AT$5:$AT$1005)&gt;0,SUMIF('Detailed Budget'!$D$5:$D$1005,$B39,'Detailed Budget'!$AT$5:$AT$1005),"")</f>
        <v/>
      </c>
      <c r="M39" s="45" t="str">
        <f>IF(SUMIF('Detailed Budget'!$D$5:$D$1005,$B39,'Detailed Budget'!$AV$5:$AV$1005)&gt;0,SUMIF('Detailed Budget'!$D$5:$D$1005,$B39,'Detailed Budget'!$AV$5:$AV$1005),"")</f>
        <v/>
      </c>
      <c r="N39" s="44" t="str">
        <f>IF(SUMIF('Detailed Budget'!$D$5:$D$1005,$B39,'Detailed Budget'!$BA$5:$BA$1005)&gt;0,SUMIF('Detailed Budget'!$D$5:$D$1005,$B39,'Detailed Budget'!$BA$5:$BA$1005),"")</f>
        <v/>
      </c>
      <c r="O39" s="44" t="str">
        <f>IF(SUMIF('Detailed Budget'!$D$5:$D$1005,$B39,'Detailed Budget'!$BC$5:$BC$1005)&gt;0,SUMIF('Detailed Budget'!$D$5:$D$1005,$B39,'Detailed Budget'!$BC$5:$BC$1005),"")</f>
        <v/>
      </c>
      <c r="P39" s="44" t="str">
        <f>IF(SUMIF('Detailed Budget'!$D$5:$D$1005,$B39,'Detailed Budget'!$BE$5:$BE$1005)&gt;0,SUMIF('Detailed Budget'!$D$5:$D$1005,$B39,'Detailed Budget'!$BE$5:$BE$1005),"")</f>
        <v/>
      </c>
      <c r="Q39" s="44" t="str">
        <f>IF(SUMIF('Detailed Budget'!$D$5:$D$1005,$B39,'Detailed Budget'!$BG$5:$BG$1005)&gt;0,SUMIF('Detailed Budget'!$D$5:$D$1005,$B39,'Detailed Budget'!$BG$5:$BG$1005),"")</f>
        <v/>
      </c>
      <c r="R39" s="45" t="str">
        <f>IF(SUMIF('Detailed Budget'!$D$5:$D$1005,$B39,'Detailed Budget'!$BI$5:$BI$1005)&gt;0,SUMIF('Detailed Budget'!$D$5:$D$1005,$B39,'Detailed Budget'!$BI$5:$BI$1005),"")</f>
        <v/>
      </c>
      <c r="S39" s="44" t="str">
        <f>IF(SUMIF('Detailed Budget'!$D$5:$D$1005,$B39,'Detailed Budget'!$BN$5:$BN$1005)&gt;0,SUMIF('Detailed Budget'!$D$5:$D$1005,$B39,'Detailed Budget'!$BN$5:$BN$1005),"")</f>
        <v/>
      </c>
      <c r="T39" s="44" t="str">
        <f>IF(SUMIF('Detailed Budget'!$D$5:$D$1005,$B39,'Detailed Budget'!$BP$5:$BP$1005)&gt;0,SUMIF('Detailed Budget'!$D$5:$D$1005,$B39,'Detailed Budget'!$BP$5:$BP$1005),"")</f>
        <v/>
      </c>
      <c r="U39" s="44" t="str">
        <f>IF(SUMIF('Detailed Budget'!$D$5:$D$1005,$B39,'Detailed Budget'!$BR$5:$BR$1005)&gt;0,SUMIF('Detailed Budget'!$D$5:$D$1005,$B39,'Detailed Budget'!$BR$5:$BR$1005),"")</f>
        <v/>
      </c>
      <c r="V39" s="44" t="str">
        <f>IF(SUMIF('Detailed Budget'!$D$5:$D$1005,$B39,'Detailed Budget'!$BT$5:$BT$1005)&gt;0,SUMIF('Detailed Budget'!$D$5:$D$1005,$B39,'Detailed Budget'!$BT$5:$BT$1005),"")</f>
        <v/>
      </c>
      <c r="W39" s="45" t="str">
        <f>IF(SUMIF('Detailed Budget'!$D$5:$D$1005,$B39,'Detailed Budget'!$BV$5:$BV$1005)&gt;0,SUMIF('Detailed Budget'!$D$5:$D$1005,$B39,'Detailed Budget'!$BV$5:$BV$1005),"")</f>
        <v/>
      </c>
      <c r="X39" s="44" t="str">
        <f t="shared" si="2"/>
        <v/>
      </c>
      <c r="Y39" s="122" t="str">
        <f t="shared" si="3"/>
        <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row>
    <row r="40" spans="1:49" s="35" customFormat="1" hidden="1" x14ac:dyDescent="0.2">
      <c r="A40" s="42"/>
      <c r="B40" s="39"/>
      <c r="C40" s="43" t="str">
        <f>IFERROR(INDEX('Data Sheet'!$A$2:$A$26,MATCH(B40,'Data Sheet'!$D$2:$D$26,0)),"")</f>
        <v/>
      </c>
      <c r="D40" s="44" t="str">
        <f>IF(SUMIF('Detailed Budget'!$D$5:$D$1005,$B40,'Detailed Budget'!$AA$5:$AA$1005)&gt;0,SUMIF('Detailed Budget'!$D$5:$D$1005,$B40,'Detailed Budget'!$AA$5:$AA$1005),"")</f>
        <v/>
      </c>
      <c r="E40" s="44" t="str">
        <f>IF(SUMIF('Detailed Budget'!$D$5:$D$1005,$B40,'Detailed Budget'!$AC$5:$AC$1005)&gt;0,SUMIF('Detailed Budget'!$D$5:$D$1005,$B40,'Detailed Budget'!$AC$5:$AC$1005),"")</f>
        <v/>
      </c>
      <c r="F40" s="44" t="str">
        <f>IF(SUMIF('Detailed Budget'!$D$5:$D$1005,$B40,'Detailed Budget'!$AE$5:$AE$1005)&gt;0,SUMIF('Detailed Budget'!$D$5:$D$1005,$B40,'Detailed Budget'!$AE$5:$AE$1005),"")</f>
        <v/>
      </c>
      <c r="G40" s="44" t="str">
        <f>IF(SUMIF('Detailed Budget'!$D$5:$D$1005,$B40,'Detailed Budget'!$AG$5:$AG$1005)&gt;0,SUMIF('Detailed Budget'!$D$5:$D$1005,$B40,'Detailed Budget'!$AG$5:$AG$1005),"")</f>
        <v/>
      </c>
      <c r="H40" s="45" t="str">
        <f>IF(SUMIF('Detailed Budget'!$D$5:$D$1005,$B40,'Detailed Budget'!$AI$5:$AI$1005)&gt;0,SUMIF('Detailed Budget'!$D$5:$D$1005,$B40,'Detailed Budget'!$AI$5:$AI$1005),"")</f>
        <v/>
      </c>
      <c r="I40" s="44" t="str">
        <f>IF(SUMIF('Detailed Budget'!$D$5:$D$1005,$B40,'Detailed Budget'!$AN$5:$AN$1005)&gt;0,SUMIF('Detailed Budget'!$D$5:$D$1005,$B40,'Detailed Budget'!$AN$5:$AN$1005),"")</f>
        <v/>
      </c>
      <c r="J40" s="44" t="str">
        <f>IF(SUMIF('Detailed Budget'!$D$5:$D$1005,$B40,'Detailed Budget'!$AP$5:$AP$1005)&gt;0,SUMIF('Detailed Budget'!$D$5:$D$1005,$B40,'Detailed Budget'!$AP$5:$AP$1005),"")</f>
        <v/>
      </c>
      <c r="K40" s="44" t="str">
        <f>IF(SUMIF('Detailed Budget'!$D$5:$D$1005,$B40,'Detailed Budget'!$AR$5:$AR$1005)&gt;0,SUMIF('Detailed Budget'!$D$5:$D$1005,$B40,'Detailed Budget'!$AR$5:$AR$1005),"")</f>
        <v/>
      </c>
      <c r="L40" s="44" t="str">
        <f>IF(SUMIF('Detailed Budget'!$D$5:$D$1005,$B40,'Detailed Budget'!$AT$5:$AT$1005)&gt;0,SUMIF('Detailed Budget'!$D$5:$D$1005,$B40,'Detailed Budget'!$AT$5:$AT$1005),"")</f>
        <v/>
      </c>
      <c r="M40" s="45" t="str">
        <f>IF(SUMIF('Detailed Budget'!$D$5:$D$1005,$B40,'Detailed Budget'!$AV$5:$AV$1005)&gt;0,SUMIF('Detailed Budget'!$D$5:$D$1005,$B40,'Detailed Budget'!$AV$5:$AV$1005),"")</f>
        <v/>
      </c>
      <c r="N40" s="44" t="str">
        <f>IF(SUMIF('Detailed Budget'!$D$5:$D$1005,$B40,'Detailed Budget'!$BA$5:$BA$1005)&gt;0,SUMIF('Detailed Budget'!$D$5:$D$1005,$B40,'Detailed Budget'!$BA$5:$BA$1005),"")</f>
        <v/>
      </c>
      <c r="O40" s="44" t="str">
        <f>IF(SUMIF('Detailed Budget'!$D$5:$D$1005,$B40,'Detailed Budget'!$BC$5:$BC$1005)&gt;0,SUMIF('Detailed Budget'!$D$5:$D$1005,$B40,'Detailed Budget'!$BC$5:$BC$1005),"")</f>
        <v/>
      </c>
      <c r="P40" s="44" t="str">
        <f>IF(SUMIF('Detailed Budget'!$D$5:$D$1005,$B40,'Detailed Budget'!$BE$5:$BE$1005)&gt;0,SUMIF('Detailed Budget'!$D$5:$D$1005,$B40,'Detailed Budget'!$BE$5:$BE$1005),"")</f>
        <v/>
      </c>
      <c r="Q40" s="44" t="str">
        <f>IF(SUMIF('Detailed Budget'!$D$5:$D$1005,$B40,'Detailed Budget'!$BG$5:$BG$1005)&gt;0,SUMIF('Detailed Budget'!$D$5:$D$1005,$B40,'Detailed Budget'!$BG$5:$BG$1005),"")</f>
        <v/>
      </c>
      <c r="R40" s="45" t="str">
        <f>IF(SUMIF('Detailed Budget'!$D$5:$D$1005,$B40,'Detailed Budget'!$BI$5:$BI$1005)&gt;0,SUMIF('Detailed Budget'!$D$5:$D$1005,$B40,'Detailed Budget'!$BI$5:$BI$1005),"")</f>
        <v/>
      </c>
      <c r="S40" s="44" t="str">
        <f>IF(SUMIF('Detailed Budget'!$D$5:$D$1005,$B40,'Detailed Budget'!$BN$5:$BN$1005)&gt;0,SUMIF('Detailed Budget'!$D$5:$D$1005,$B40,'Detailed Budget'!$BN$5:$BN$1005),"")</f>
        <v/>
      </c>
      <c r="T40" s="44" t="str">
        <f>IF(SUMIF('Detailed Budget'!$D$5:$D$1005,$B40,'Detailed Budget'!$BP$5:$BP$1005)&gt;0,SUMIF('Detailed Budget'!$D$5:$D$1005,$B40,'Detailed Budget'!$BP$5:$BP$1005),"")</f>
        <v/>
      </c>
      <c r="U40" s="44" t="str">
        <f>IF(SUMIF('Detailed Budget'!$D$5:$D$1005,$B40,'Detailed Budget'!$BR$5:$BR$1005)&gt;0,SUMIF('Detailed Budget'!$D$5:$D$1005,$B40,'Detailed Budget'!$BR$5:$BR$1005),"")</f>
        <v/>
      </c>
      <c r="V40" s="44" t="str">
        <f>IF(SUMIF('Detailed Budget'!$D$5:$D$1005,$B40,'Detailed Budget'!$BT$5:$BT$1005)&gt;0,SUMIF('Detailed Budget'!$D$5:$D$1005,$B40,'Detailed Budget'!$BT$5:$BT$1005),"")</f>
        <v/>
      </c>
      <c r="W40" s="45" t="str">
        <f>IF(SUMIF('Detailed Budget'!$D$5:$D$1005,$B40,'Detailed Budget'!$BV$5:$BV$1005)&gt;0,SUMIF('Detailed Budget'!$D$5:$D$1005,$B40,'Detailed Budget'!$BV$5:$BV$1005),"")</f>
        <v/>
      </c>
      <c r="X40" s="44" t="str">
        <f t="shared" si="2"/>
        <v/>
      </c>
      <c r="Y40" s="122" t="str">
        <f t="shared" si="3"/>
        <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row>
    <row r="41" spans="1:49" s="35" customFormat="1" hidden="1" x14ac:dyDescent="0.2">
      <c r="A41" s="42"/>
      <c r="B41" s="39"/>
      <c r="C41" s="43" t="str">
        <f>IFERROR(INDEX('Data Sheet'!$A$2:$A$26,MATCH(B41,'Data Sheet'!$D$2:$D$26,0)),"")</f>
        <v/>
      </c>
      <c r="D41" s="44" t="str">
        <f>IF(SUMIF('Detailed Budget'!$D$5:$D$1005,$B41,'Detailed Budget'!$AA$5:$AA$1005)&gt;0,SUMIF('Detailed Budget'!$D$5:$D$1005,$B41,'Detailed Budget'!$AA$5:$AA$1005),"")</f>
        <v/>
      </c>
      <c r="E41" s="44" t="str">
        <f>IF(SUMIF('Detailed Budget'!$D$5:$D$1005,$B41,'Detailed Budget'!$AC$5:$AC$1005)&gt;0,SUMIF('Detailed Budget'!$D$5:$D$1005,$B41,'Detailed Budget'!$AC$5:$AC$1005),"")</f>
        <v/>
      </c>
      <c r="F41" s="44" t="str">
        <f>IF(SUMIF('Detailed Budget'!$D$5:$D$1005,$B41,'Detailed Budget'!$AE$5:$AE$1005)&gt;0,SUMIF('Detailed Budget'!$D$5:$D$1005,$B41,'Detailed Budget'!$AE$5:$AE$1005),"")</f>
        <v/>
      </c>
      <c r="G41" s="44" t="str">
        <f>IF(SUMIF('Detailed Budget'!$D$5:$D$1005,$B41,'Detailed Budget'!$AG$5:$AG$1005)&gt;0,SUMIF('Detailed Budget'!$D$5:$D$1005,$B41,'Detailed Budget'!$AG$5:$AG$1005),"")</f>
        <v/>
      </c>
      <c r="H41" s="45" t="str">
        <f>IF(SUMIF('Detailed Budget'!$D$5:$D$1005,$B41,'Detailed Budget'!$AI$5:$AI$1005)&gt;0,SUMIF('Detailed Budget'!$D$5:$D$1005,$B41,'Detailed Budget'!$AI$5:$AI$1005),"")</f>
        <v/>
      </c>
      <c r="I41" s="44" t="str">
        <f>IF(SUMIF('Detailed Budget'!$D$5:$D$1005,$B41,'Detailed Budget'!$AN$5:$AN$1005)&gt;0,SUMIF('Detailed Budget'!$D$5:$D$1005,$B41,'Detailed Budget'!$AN$5:$AN$1005),"")</f>
        <v/>
      </c>
      <c r="J41" s="44" t="str">
        <f>IF(SUMIF('Detailed Budget'!$D$5:$D$1005,$B41,'Detailed Budget'!$AP$5:$AP$1005)&gt;0,SUMIF('Detailed Budget'!$D$5:$D$1005,$B41,'Detailed Budget'!$AP$5:$AP$1005),"")</f>
        <v/>
      </c>
      <c r="K41" s="44" t="str">
        <f>IF(SUMIF('Detailed Budget'!$D$5:$D$1005,$B41,'Detailed Budget'!$AR$5:$AR$1005)&gt;0,SUMIF('Detailed Budget'!$D$5:$D$1005,$B41,'Detailed Budget'!$AR$5:$AR$1005),"")</f>
        <v/>
      </c>
      <c r="L41" s="44" t="str">
        <f>IF(SUMIF('Detailed Budget'!$D$5:$D$1005,$B41,'Detailed Budget'!$AT$5:$AT$1005)&gt;0,SUMIF('Detailed Budget'!$D$5:$D$1005,$B41,'Detailed Budget'!$AT$5:$AT$1005),"")</f>
        <v/>
      </c>
      <c r="M41" s="45" t="str">
        <f>IF(SUMIF('Detailed Budget'!$D$5:$D$1005,$B41,'Detailed Budget'!$AV$5:$AV$1005)&gt;0,SUMIF('Detailed Budget'!$D$5:$D$1005,$B41,'Detailed Budget'!$AV$5:$AV$1005),"")</f>
        <v/>
      </c>
      <c r="N41" s="44" t="str">
        <f>IF(SUMIF('Detailed Budget'!$D$5:$D$1005,$B41,'Detailed Budget'!$BA$5:$BA$1005)&gt;0,SUMIF('Detailed Budget'!$D$5:$D$1005,$B41,'Detailed Budget'!$BA$5:$BA$1005),"")</f>
        <v/>
      </c>
      <c r="O41" s="44" t="str">
        <f>IF(SUMIF('Detailed Budget'!$D$5:$D$1005,$B41,'Detailed Budget'!$BC$5:$BC$1005)&gt;0,SUMIF('Detailed Budget'!$D$5:$D$1005,$B41,'Detailed Budget'!$BC$5:$BC$1005),"")</f>
        <v/>
      </c>
      <c r="P41" s="44" t="str">
        <f>IF(SUMIF('Detailed Budget'!$D$5:$D$1005,$B41,'Detailed Budget'!$BE$5:$BE$1005)&gt;0,SUMIF('Detailed Budget'!$D$5:$D$1005,$B41,'Detailed Budget'!$BE$5:$BE$1005),"")</f>
        <v/>
      </c>
      <c r="Q41" s="44" t="str">
        <f>IF(SUMIF('Detailed Budget'!$D$5:$D$1005,$B41,'Detailed Budget'!$BG$5:$BG$1005)&gt;0,SUMIF('Detailed Budget'!$D$5:$D$1005,$B41,'Detailed Budget'!$BG$5:$BG$1005),"")</f>
        <v/>
      </c>
      <c r="R41" s="45" t="str">
        <f>IF(SUMIF('Detailed Budget'!$D$5:$D$1005,$B41,'Detailed Budget'!$BI$5:$BI$1005)&gt;0,SUMIF('Detailed Budget'!$D$5:$D$1005,$B41,'Detailed Budget'!$BI$5:$BI$1005),"")</f>
        <v/>
      </c>
      <c r="S41" s="44" t="str">
        <f>IF(SUMIF('Detailed Budget'!$D$5:$D$1005,$B41,'Detailed Budget'!$BN$5:$BN$1005)&gt;0,SUMIF('Detailed Budget'!$D$5:$D$1005,$B41,'Detailed Budget'!$BN$5:$BN$1005),"")</f>
        <v/>
      </c>
      <c r="T41" s="44" t="str">
        <f>IF(SUMIF('Detailed Budget'!$D$5:$D$1005,$B41,'Detailed Budget'!$BP$5:$BP$1005)&gt;0,SUMIF('Detailed Budget'!$D$5:$D$1005,$B41,'Detailed Budget'!$BP$5:$BP$1005),"")</f>
        <v/>
      </c>
      <c r="U41" s="44" t="str">
        <f>IF(SUMIF('Detailed Budget'!$D$5:$D$1005,$B41,'Detailed Budget'!$BR$5:$BR$1005)&gt;0,SUMIF('Detailed Budget'!$D$5:$D$1005,$B41,'Detailed Budget'!$BR$5:$BR$1005),"")</f>
        <v/>
      </c>
      <c r="V41" s="44" t="str">
        <f>IF(SUMIF('Detailed Budget'!$D$5:$D$1005,$B41,'Detailed Budget'!$BT$5:$BT$1005)&gt;0,SUMIF('Detailed Budget'!$D$5:$D$1005,$B41,'Detailed Budget'!$BT$5:$BT$1005),"")</f>
        <v/>
      </c>
      <c r="W41" s="45" t="str">
        <f>IF(SUMIF('Detailed Budget'!$D$5:$D$1005,$B41,'Detailed Budget'!$BV$5:$BV$1005)&gt;0,SUMIF('Detailed Budget'!$D$5:$D$1005,$B41,'Detailed Budget'!$BV$5:$BV$1005),"")</f>
        <v/>
      </c>
      <c r="X41" s="44" t="str">
        <f t="shared" si="2"/>
        <v/>
      </c>
      <c r="Y41" s="122" t="str">
        <f t="shared" si="3"/>
        <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row>
    <row r="42" spans="1:49" s="35" customFormat="1" hidden="1" x14ac:dyDescent="0.2">
      <c r="A42" s="42"/>
      <c r="B42" s="39"/>
      <c r="C42" s="43" t="str">
        <f>IFERROR(INDEX('Data Sheet'!$A$2:$A$26,MATCH(B42,'Data Sheet'!$D$2:$D$26,0)),"")</f>
        <v/>
      </c>
      <c r="D42" s="44" t="str">
        <f>IF(SUMIF('Detailed Budget'!$D$5:$D$1005,$B42,'Detailed Budget'!$AA$5:$AA$1005)&gt;0,SUMIF('Detailed Budget'!$D$5:$D$1005,$B42,'Detailed Budget'!$AA$5:$AA$1005),"")</f>
        <v/>
      </c>
      <c r="E42" s="44" t="str">
        <f>IF(SUMIF('Detailed Budget'!$D$5:$D$1005,$B42,'Detailed Budget'!$AC$5:$AC$1005)&gt;0,SUMIF('Detailed Budget'!$D$5:$D$1005,$B42,'Detailed Budget'!$AC$5:$AC$1005),"")</f>
        <v/>
      </c>
      <c r="F42" s="44" t="str">
        <f>IF(SUMIF('Detailed Budget'!$D$5:$D$1005,$B42,'Detailed Budget'!$AE$5:$AE$1005)&gt;0,SUMIF('Detailed Budget'!$D$5:$D$1005,$B42,'Detailed Budget'!$AE$5:$AE$1005),"")</f>
        <v/>
      </c>
      <c r="G42" s="44" t="str">
        <f>IF(SUMIF('Detailed Budget'!$D$5:$D$1005,$B42,'Detailed Budget'!$AG$5:$AG$1005)&gt;0,SUMIF('Detailed Budget'!$D$5:$D$1005,$B42,'Detailed Budget'!$AG$5:$AG$1005),"")</f>
        <v/>
      </c>
      <c r="H42" s="45" t="str">
        <f>IF(SUMIF('Detailed Budget'!$D$5:$D$1005,$B42,'Detailed Budget'!$AI$5:$AI$1005)&gt;0,SUMIF('Detailed Budget'!$D$5:$D$1005,$B42,'Detailed Budget'!$AI$5:$AI$1005),"")</f>
        <v/>
      </c>
      <c r="I42" s="44" t="str">
        <f>IF(SUMIF('Detailed Budget'!$D$5:$D$1005,$B42,'Detailed Budget'!$AN$5:$AN$1005)&gt;0,SUMIF('Detailed Budget'!$D$5:$D$1005,$B42,'Detailed Budget'!$AN$5:$AN$1005),"")</f>
        <v/>
      </c>
      <c r="J42" s="44" t="str">
        <f>IF(SUMIF('Detailed Budget'!$D$5:$D$1005,$B42,'Detailed Budget'!$AP$5:$AP$1005)&gt;0,SUMIF('Detailed Budget'!$D$5:$D$1005,$B42,'Detailed Budget'!$AP$5:$AP$1005),"")</f>
        <v/>
      </c>
      <c r="K42" s="44" t="str">
        <f>IF(SUMIF('Detailed Budget'!$D$5:$D$1005,$B42,'Detailed Budget'!$AR$5:$AR$1005)&gt;0,SUMIF('Detailed Budget'!$D$5:$D$1005,$B42,'Detailed Budget'!$AR$5:$AR$1005),"")</f>
        <v/>
      </c>
      <c r="L42" s="44" t="str">
        <f>IF(SUMIF('Detailed Budget'!$D$5:$D$1005,$B42,'Detailed Budget'!$AT$5:$AT$1005)&gt;0,SUMIF('Detailed Budget'!$D$5:$D$1005,$B42,'Detailed Budget'!$AT$5:$AT$1005),"")</f>
        <v/>
      </c>
      <c r="M42" s="45" t="str">
        <f>IF(SUMIF('Detailed Budget'!$D$5:$D$1005,$B42,'Detailed Budget'!$AV$5:$AV$1005)&gt;0,SUMIF('Detailed Budget'!$D$5:$D$1005,$B42,'Detailed Budget'!$AV$5:$AV$1005),"")</f>
        <v/>
      </c>
      <c r="N42" s="44" t="str">
        <f>IF(SUMIF('Detailed Budget'!$D$5:$D$1005,$B42,'Detailed Budget'!$BA$5:$BA$1005)&gt;0,SUMIF('Detailed Budget'!$D$5:$D$1005,$B42,'Detailed Budget'!$BA$5:$BA$1005),"")</f>
        <v/>
      </c>
      <c r="O42" s="44" t="str">
        <f>IF(SUMIF('Detailed Budget'!$D$5:$D$1005,$B42,'Detailed Budget'!$BC$5:$BC$1005)&gt;0,SUMIF('Detailed Budget'!$D$5:$D$1005,$B42,'Detailed Budget'!$BC$5:$BC$1005),"")</f>
        <v/>
      </c>
      <c r="P42" s="44" t="str">
        <f>IF(SUMIF('Detailed Budget'!$D$5:$D$1005,$B42,'Detailed Budget'!$BE$5:$BE$1005)&gt;0,SUMIF('Detailed Budget'!$D$5:$D$1005,$B42,'Detailed Budget'!$BE$5:$BE$1005),"")</f>
        <v/>
      </c>
      <c r="Q42" s="44" t="str">
        <f>IF(SUMIF('Detailed Budget'!$D$5:$D$1005,$B42,'Detailed Budget'!$BG$5:$BG$1005)&gt;0,SUMIF('Detailed Budget'!$D$5:$D$1005,$B42,'Detailed Budget'!$BG$5:$BG$1005),"")</f>
        <v/>
      </c>
      <c r="R42" s="45" t="str">
        <f>IF(SUMIF('Detailed Budget'!$D$5:$D$1005,$B42,'Detailed Budget'!$BI$5:$BI$1005)&gt;0,SUMIF('Detailed Budget'!$D$5:$D$1005,$B42,'Detailed Budget'!$BI$5:$BI$1005),"")</f>
        <v/>
      </c>
      <c r="S42" s="44" t="str">
        <f>IF(SUMIF('Detailed Budget'!$D$5:$D$1005,$B42,'Detailed Budget'!$BN$5:$BN$1005)&gt;0,SUMIF('Detailed Budget'!$D$5:$D$1005,$B42,'Detailed Budget'!$BN$5:$BN$1005),"")</f>
        <v/>
      </c>
      <c r="T42" s="44" t="str">
        <f>IF(SUMIF('Detailed Budget'!$D$5:$D$1005,$B42,'Detailed Budget'!$BP$5:$BP$1005)&gt;0,SUMIF('Detailed Budget'!$D$5:$D$1005,$B42,'Detailed Budget'!$BP$5:$BP$1005),"")</f>
        <v/>
      </c>
      <c r="U42" s="44" t="str">
        <f>IF(SUMIF('Detailed Budget'!$D$5:$D$1005,$B42,'Detailed Budget'!$BR$5:$BR$1005)&gt;0,SUMIF('Detailed Budget'!$D$5:$D$1005,$B42,'Detailed Budget'!$BR$5:$BR$1005),"")</f>
        <v/>
      </c>
      <c r="V42" s="44" t="str">
        <f>IF(SUMIF('Detailed Budget'!$D$5:$D$1005,$B42,'Detailed Budget'!$BT$5:$BT$1005)&gt;0,SUMIF('Detailed Budget'!$D$5:$D$1005,$B42,'Detailed Budget'!$BT$5:$BT$1005),"")</f>
        <v/>
      </c>
      <c r="W42" s="45" t="str">
        <f>IF(SUMIF('Detailed Budget'!$D$5:$D$1005,$B42,'Detailed Budget'!$BV$5:$BV$1005)&gt;0,SUMIF('Detailed Budget'!$D$5:$D$1005,$B42,'Detailed Budget'!$BV$5:$BV$1005),"")</f>
        <v/>
      </c>
      <c r="X42" s="44" t="str">
        <f t="shared" si="2"/>
        <v/>
      </c>
      <c r="Y42" s="122" t="str">
        <f t="shared" si="3"/>
        <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row>
    <row r="43" spans="1:49" s="39" customFormat="1" x14ac:dyDescent="0.2">
      <c r="C43" s="46" t="str">
        <f ca="1">Translations!A$174</f>
        <v>Total</v>
      </c>
      <c r="D43" s="47">
        <f>IF(SUM(D16:D42)&gt;0,SUM(D16:D42),"")</f>
        <v>1451516.54961346</v>
      </c>
      <c r="E43" s="47">
        <f t="shared" ref="E43:W43" si="4">IF(SUM(E16:E42)&gt;0,SUM(E16:E42),"")</f>
        <v>294720.31315088744</v>
      </c>
      <c r="F43" s="47">
        <f t="shared" si="4"/>
        <v>217075.38567376207</v>
      </c>
      <c r="G43" s="47">
        <f t="shared" si="4"/>
        <v>283621.58501355269</v>
      </c>
      <c r="H43" s="48">
        <f t="shared" si="4"/>
        <v>2246933.8334516622</v>
      </c>
      <c r="I43" s="47">
        <f t="shared" si="4"/>
        <v>1460333.3750126865</v>
      </c>
      <c r="J43" s="47">
        <f t="shared" si="4"/>
        <v>276858.99165088742</v>
      </c>
      <c r="K43" s="47">
        <f t="shared" si="4"/>
        <v>208593.54817376204</v>
      </c>
      <c r="L43" s="47">
        <f t="shared" si="4"/>
        <v>284139.74751355272</v>
      </c>
      <c r="M43" s="48">
        <f t="shared" si="4"/>
        <v>2229925.6623508888</v>
      </c>
      <c r="N43" s="47">
        <f t="shared" si="4"/>
        <v>1486191.8176191491</v>
      </c>
      <c r="O43" s="47">
        <f t="shared" si="4"/>
        <v>500118.16648696351</v>
      </c>
      <c r="P43" s="47">
        <f t="shared" si="4"/>
        <v>218121.76317376207</v>
      </c>
      <c r="Q43" s="47">
        <f t="shared" si="4"/>
        <v>250358.46326418838</v>
      </c>
      <c r="R43" s="48">
        <f t="shared" si="4"/>
        <v>2454790.2105440632</v>
      </c>
      <c r="S43" s="47" t="str">
        <f t="shared" si="4"/>
        <v/>
      </c>
      <c r="T43" s="47" t="str">
        <f t="shared" si="4"/>
        <v/>
      </c>
      <c r="U43" s="47" t="str">
        <f t="shared" si="4"/>
        <v/>
      </c>
      <c r="V43" s="47" t="str">
        <f t="shared" si="4"/>
        <v/>
      </c>
      <c r="W43" s="48" t="str">
        <f t="shared" si="4"/>
        <v/>
      </c>
      <c r="X43" s="47">
        <f t="shared" si="1"/>
        <v>6931649.7063466143</v>
      </c>
      <c r="Y43" s="122">
        <f>IFERROR($X43/$X$43,"")</f>
        <v>1</v>
      </c>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row>
    <row r="44" spans="1:49" s="35" customFormat="1" x14ac:dyDescent="0.2">
      <c r="D44" s="36"/>
      <c r="E44" s="36"/>
      <c r="F44" s="36"/>
      <c r="G44" s="36"/>
      <c r="H44" s="36"/>
      <c r="I44" s="36"/>
      <c r="J44" s="36"/>
      <c r="K44" s="36"/>
      <c r="L44" s="36"/>
      <c r="M44" s="36"/>
      <c r="N44" s="36"/>
      <c r="O44" s="36"/>
      <c r="P44" s="36"/>
      <c r="Q44" s="36"/>
      <c r="R44" s="36"/>
      <c r="S44" s="36"/>
      <c r="T44" s="36"/>
      <c r="U44" s="36"/>
      <c r="V44" s="36"/>
      <c r="W44" s="36"/>
      <c r="X44" s="36"/>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row>
    <row r="45" spans="1:49" s="35" customFormat="1" x14ac:dyDescent="0.2">
      <c r="D45" s="36"/>
      <c r="E45" s="36"/>
      <c r="F45" s="36"/>
      <c r="G45" s="36"/>
      <c r="H45" s="36"/>
      <c r="I45" s="36"/>
      <c r="J45" s="36"/>
      <c r="K45" s="36"/>
      <c r="L45" s="36"/>
      <c r="M45" s="36"/>
      <c r="N45" s="36"/>
      <c r="O45" s="36"/>
      <c r="P45" s="36"/>
      <c r="Q45" s="36"/>
      <c r="R45" s="36"/>
      <c r="S45" s="36"/>
      <c r="T45" s="36"/>
      <c r="U45" s="36"/>
      <c r="V45" s="36"/>
      <c r="W45" s="36"/>
      <c r="X45" s="36"/>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row>
    <row r="46" spans="1:49" s="39" customFormat="1" x14ac:dyDescent="0.2">
      <c r="B46" s="39" t="s">
        <v>1264</v>
      </c>
      <c r="C46" s="40" t="str">
        <f ca="1">Translations!A$145</f>
        <v>By Cost Grouping</v>
      </c>
      <c r="D46" s="41" t="s">
        <v>1168</v>
      </c>
      <c r="E46" s="41" t="s">
        <v>1169</v>
      </c>
      <c r="F46" s="41" t="s">
        <v>1170</v>
      </c>
      <c r="G46" s="41" t="s">
        <v>1171</v>
      </c>
      <c r="H46" s="41" t="str">
        <f ca="1">Translations!A$160</f>
        <v>Year 1</v>
      </c>
      <c r="I46" s="41" t="s">
        <v>1223</v>
      </c>
      <c r="J46" s="41" t="s">
        <v>1224</v>
      </c>
      <c r="K46" s="41" t="s">
        <v>1225</v>
      </c>
      <c r="L46" s="41" t="s">
        <v>1226</v>
      </c>
      <c r="M46" s="41" t="str">
        <f ca="1">Translations!$A$161</f>
        <v>Year 2</v>
      </c>
      <c r="N46" s="41" t="s">
        <v>1227</v>
      </c>
      <c r="O46" s="41" t="s">
        <v>1228</v>
      </c>
      <c r="P46" s="41" t="s">
        <v>1229</v>
      </c>
      <c r="Q46" s="41" t="s">
        <v>1230</v>
      </c>
      <c r="R46" s="41" t="str">
        <f ca="1">Translations!$A$162</f>
        <v>Year 3</v>
      </c>
      <c r="S46" s="41" t="s">
        <v>1231</v>
      </c>
      <c r="T46" s="41" t="s">
        <v>1232</v>
      </c>
      <c r="U46" s="41" t="s">
        <v>1233</v>
      </c>
      <c r="V46" s="41" t="s">
        <v>1234</v>
      </c>
      <c r="W46" s="41" t="str">
        <f ca="1">Translations!A163</f>
        <v>Year 4</v>
      </c>
      <c r="X46" s="41" t="str">
        <f ca="1">Translations!$A$174</f>
        <v>Total</v>
      </c>
      <c r="Y46" s="41" t="s">
        <v>1864</v>
      </c>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row>
    <row r="47" spans="1:49" s="35" customFormat="1" x14ac:dyDescent="0.2">
      <c r="B47" s="233">
        <v>1</v>
      </c>
      <c r="C47" s="371" t="str">
        <f>IFERROR(INDEX('Data Sheet'!$F$198:$F$275,MATCH(B47,'Data Sheet'!$D$198:$D$275,0)),"")</f>
        <v>1.0 Human Resources (HR)</v>
      </c>
      <c r="D47" s="44">
        <f>IF(SUMIF('Detailed Budget'!$U$5:$U$1005,$B47,'Detailed Budget'!$AA$5:$AA$1005)&gt;0,SUMIF('Detailed Budget'!$U$5:$U$1005,$B47,'Detailed Budget'!$AA$5:$AA$1005),"")</f>
        <v>107886.54214182707</v>
      </c>
      <c r="E47" s="44">
        <f>IF(SUMIF('Detailed Budget'!$U$5:$U$1005,$B47,'Detailed Budget'!$AC$5:$AC$1005)&gt;0,SUMIF('Detailed Budget'!$U$5:$U$1005,$B47,'Detailed Budget'!$AC$5:$AC$1005),"")</f>
        <v>106542.03972542621</v>
      </c>
      <c r="F47" s="44">
        <f>IF(SUMIF('Detailed Budget'!$U$5:$U$1005,$B47,'Detailed Budget'!$AE$5:$AE$1005)&gt;0,SUMIF('Detailed Budget'!$U$5:$U$1005,$B47,'Detailed Budget'!$AE$5:$AE$1005),"")</f>
        <v>106542.03972542621</v>
      </c>
      <c r="G47" s="44">
        <f>IF(SUMIF('Detailed Budget'!$U$5:$U$1005,$B47,'Detailed Budget'!$AG$5:$AG$1005)&gt;0,SUMIF('Detailed Budget'!$U$5:$U$1005,$B47,'Detailed Budget'!$AG$5:$AG$1005),"")</f>
        <v>106542.03972542621</v>
      </c>
      <c r="H47" s="45">
        <f>IF(SUMIF('Detailed Budget'!$U$5:$U$1005,$B47,'Detailed Budget'!$AI$5:$AI$1005)&gt;0,SUMIF('Detailed Budget'!$U$5:$U$1005,$B47,'Detailed Budget'!$AI$5:$AI$1005),"")</f>
        <v>427512.6613181057</v>
      </c>
      <c r="I47" s="44">
        <f>IF(SUMIF('Detailed Budget'!$U$5:$U$1005,$B47,'Detailed Budget'!$AN$5:$AN$1005)&gt;0,SUMIF('Detailed Budget'!$U$5:$U$1005,$B47,'Detailed Budget'!$AN$5:$AN$1005),"")</f>
        <v>108500.79214182707</v>
      </c>
      <c r="J47" s="44">
        <f>IF(SUMIF('Detailed Budget'!$U$5:$U$1005,$B47,'Detailed Budget'!$AP$5:$AP$1005)&gt;0,SUMIF('Detailed Budget'!$U$5:$U$1005,$B47,'Detailed Budget'!$AP$5:$AP$1005),"")</f>
        <v>107156.28972542621</v>
      </c>
      <c r="K47" s="44">
        <f>IF(SUMIF('Detailed Budget'!$U$5:$U$1005,$B47,'Detailed Budget'!$AR$5:$AR$1005)&gt;0,SUMIF('Detailed Budget'!$U$5:$U$1005,$B47,'Detailed Budget'!$AR$5:$AR$1005),"")</f>
        <v>107156.28972542621</v>
      </c>
      <c r="L47" s="44">
        <f>IF(SUMIF('Detailed Budget'!$U$5:$U$1005,$B47,'Detailed Budget'!$AT$5:$AT$1005)&gt;0,SUMIF('Detailed Budget'!$U$5:$U$1005,$B47,'Detailed Budget'!$AT$5:$AT$1005),"")</f>
        <v>107156.28972542621</v>
      </c>
      <c r="M47" s="45">
        <f>IF(SUMIF('Detailed Budget'!$U$5:$U$1005,$B47,'Detailed Budget'!$AV$5:$AV$1005)&gt;0,SUMIF('Detailed Budget'!$U$5:$U$1005,$B47,'Detailed Budget'!$AV$5:$AV$1005),"")</f>
        <v>429969.6613181057</v>
      </c>
      <c r="N47" s="44">
        <f>IF(SUMIF('Detailed Budget'!$U$5:$U$1005,$B47,'Detailed Budget'!$BA$5:$BA$1005)&gt;0,SUMIF('Detailed Budget'!$U$5:$U$1005,$B47,'Detailed Budget'!$BA$5:$BA$1005),"")</f>
        <v>109133.46964182706</v>
      </c>
      <c r="O47" s="44">
        <f>IF(SUMIF('Detailed Budget'!$U$5:$U$1005,$B47,'Detailed Budget'!$BC$5:$BC$1005)&gt;0,SUMIF('Detailed Budget'!$U$5:$U$1005,$B47,'Detailed Budget'!$BC$5:$BC$1005),"")</f>
        <v>107788.96722542621</v>
      </c>
      <c r="P47" s="44">
        <f>IF(SUMIF('Detailed Budget'!$U$5:$U$1005,$B47,'Detailed Budget'!$BE$5:$BE$1005)&gt;0,SUMIF('Detailed Budget'!$U$5:$U$1005,$B47,'Detailed Budget'!$BE$5:$BE$1005),"")</f>
        <v>107788.96722542621</v>
      </c>
      <c r="Q47" s="44">
        <f>IF(SUMIF('Detailed Budget'!$U$5:$U$1005,$B47,'Detailed Budget'!$BG$5:$BG$1005)&gt;0,SUMIF('Detailed Budget'!$U$5:$U$1005,$B47,'Detailed Budget'!$BG$5:$BG$1005),"")</f>
        <v>107788.96722542621</v>
      </c>
      <c r="R47" s="45">
        <f>IF(SUMIF('Detailed Budget'!$U$5:$U$1005,$B47,'Detailed Budget'!$BI$5:$BI$1005)&gt;0,SUMIF('Detailed Budget'!$U$5:$U$1005,$B47,'Detailed Budget'!$BI$5:$BI$1005),"")</f>
        <v>432500.37131810567</v>
      </c>
      <c r="S47" s="44" t="str">
        <f>IF(SUMIF('Detailed Budget'!$U$5:$U$1005,$B47,'Detailed Budget'!$BN$5:$BN$1005)&gt;0,SUMIF('Detailed Budget'!$U$5:$U$1005,$B47,'Detailed Budget'!$BN$5:$BN$1005),"")</f>
        <v/>
      </c>
      <c r="T47" s="44" t="str">
        <f>IF(SUMIF('Detailed Budget'!$U$5:$U$1005,$B47,'Detailed Budget'!$BP$5:$BP$1005)&gt;0,SUMIF('Detailed Budget'!$U$5:$U$1005,$B47,'Detailed Budget'!$BP$5:$BP$1005),"")</f>
        <v/>
      </c>
      <c r="U47" s="44" t="str">
        <f>IF(SUMIF('Detailed Budget'!$U$5:$U$1005,$B47,'Detailed Budget'!$BR$5:$BR$1005)&gt;0,SUMIF('Detailed Budget'!$U$5:$U$1005,$B47,'Detailed Budget'!$BR$5:$BR$1005),"")</f>
        <v/>
      </c>
      <c r="V47" s="44" t="str">
        <f>IF(SUMIF('Detailed Budget'!$U$5:$U$1005,$B47,'Detailed Budget'!$BT$5:$BT$1005)&gt;0,SUMIF('Detailed Budget'!$U$5:$U$1005,$B47,'Detailed Budget'!$BT$5:$BT$1005),"")</f>
        <v/>
      </c>
      <c r="W47" s="45" t="str">
        <f>IF(SUMIF('Detailed Budget'!$U$5:$U$1005,$B47,'Detailed Budget'!$BV$5:$BV$1005)&gt;0,SUMIF('Detailed Budget'!$U$5:$U$1005,$B47,'Detailed Budget'!$BV$5:$BV$1005),"")</f>
        <v/>
      </c>
      <c r="X47" s="44">
        <f>IF(SUM(H47,M47,R47,W47)&gt;0,SUM(H47,M47,R47,W47),"")</f>
        <v>1289982.6939543171</v>
      </c>
      <c r="Y47" s="122">
        <f>IFERROR($X47/$X$61,"")</f>
        <v>0.18610038715216815</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row>
    <row r="48" spans="1:49" s="35" customFormat="1" x14ac:dyDescent="0.2">
      <c r="B48" s="233">
        <v>2</v>
      </c>
      <c r="C48" s="371" t="str">
        <f>IFERROR(INDEX('Data Sheet'!$F$198:$F$275,MATCH(B48,'Data Sheet'!$D$198:$D$275,0)),"")</f>
        <v>2.0 Travel related costs (TRC)</v>
      </c>
      <c r="D48" s="44">
        <f>IF(SUMIF('Detailed Budget'!$U$5:$U$1005,$B48,'Detailed Budget'!$AA$5:$AA$1005)&gt;0,SUMIF('Detailed Budget'!$U$5:$U$1005,$B48,'Detailed Budget'!$AA$5:$AA$1005),"")</f>
        <v>27968.094810985818</v>
      </c>
      <c r="E48" s="44">
        <f>IF(SUMIF('Detailed Budget'!$U$5:$U$1005,$B48,'Detailed Budget'!$AC$5:$AC$1005)&gt;0,SUMIF('Detailed Budget'!$U$5:$U$1005,$B48,'Detailed Budget'!$AC$5:$AC$1005),"")</f>
        <v>41174.775364814224</v>
      </c>
      <c r="F48" s="44">
        <f>IF(SUMIF('Detailed Budget'!$U$5:$U$1005,$B48,'Detailed Budget'!$AE$5:$AE$1005)&gt;0,SUMIF('Detailed Budget'!$U$5:$U$1005,$B48,'Detailed Budget'!$AE$5:$AE$1005),"")</f>
        <v>32765.523887688872</v>
      </c>
      <c r="G48" s="44">
        <f>IF(SUMIF('Detailed Budget'!$U$5:$U$1005,$B48,'Detailed Budget'!$AG$5:$AG$1005)&gt;0,SUMIF('Detailed Budget'!$U$5:$U$1005,$B48,'Detailed Budget'!$AG$5:$AG$1005),"")</f>
        <v>68311.72322747951</v>
      </c>
      <c r="H48" s="45">
        <f>IF(SUMIF('Detailed Budget'!$U$5:$U$1005,$B48,'Detailed Budget'!$AI$5:$AI$1005)&gt;0,SUMIF('Detailed Budget'!$U$5:$U$1005,$B48,'Detailed Budget'!$AI$5:$AI$1005),"")</f>
        <v>170220.1172909684</v>
      </c>
      <c r="I48" s="44">
        <f>IF(SUMIF('Detailed Budget'!$U$5:$U$1005,$B48,'Detailed Budget'!$AN$5:$AN$1005)&gt;0,SUMIF('Detailed Budget'!$U$5:$U$1005,$B48,'Detailed Budget'!$AN$5:$AN$1005),"")</f>
        <v>24918.518875603873</v>
      </c>
      <c r="J48" s="44">
        <f>IF(SUMIF('Detailed Budget'!$U$5:$U$1005,$B48,'Detailed Budget'!$AP$5:$AP$1005)&gt;0,SUMIF('Detailed Budget'!$U$5:$U$1005,$B48,'Detailed Budget'!$AP$5:$AP$1005),"")</f>
        <v>41174.775364814224</v>
      </c>
      <c r="K48" s="44">
        <f>IF(SUMIF('Detailed Budget'!$U$5:$U$1005,$B48,'Detailed Budget'!$AR$5:$AR$1005)&gt;0,SUMIF('Detailed Budget'!$U$5:$U$1005,$B48,'Detailed Budget'!$AR$5:$AR$1005),"")</f>
        <v>32765.523887688872</v>
      </c>
      <c r="L48" s="44">
        <f>IF(SUMIF('Detailed Budget'!$U$5:$U$1005,$B48,'Detailed Budget'!$AT$5:$AT$1005)&gt;0,SUMIF('Detailed Budget'!$U$5:$U$1005,$B48,'Detailed Budget'!$AT$5:$AT$1005),"")</f>
        <v>68311.72322747951</v>
      </c>
      <c r="M48" s="45">
        <f>IF(SUMIF('Detailed Budget'!$U$5:$U$1005,$B48,'Detailed Budget'!$AV$5:$AV$1005)&gt;0,SUMIF('Detailed Budget'!$U$5:$U$1005,$B48,'Detailed Budget'!$AV$5:$AV$1005),"")</f>
        <v>167170.54135558647</v>
      </c>
      <c r="N48" s="44">
        <f>IF(SUMIF('Detailed Budget'!$U$5:$U$1005,$B48,'Detailed Budget'!$BA$5:$BA$1005)&gt;0,SUMIF('Detailed Budget'!$U$5:$U$1005,$B48,'Detailed Budget'!$BA$5:$BA$1005),"")</f>
        <v>24918.518875603873</v>
      </c>
      <c r="O48" s="44">
        <f>IF(SUMIF('Detailed Budget'!$U$5:$U$1005,$B48,'Detailed Budget'!$BC$5:$BC$1005)&gt;0,SUMIF('Detailed Budget'!$U$5:$U$1005,$B48,'Detailed Budget'!$BC$5:$BC$1005),"")</f>
        <v>323761.92720089032</v>
      </c>
      <c r="P48" s="44">
        <f>IF(SUMIF('Detailed Budget'!$U$5:$U$1005,$B48,'Detailed Budget'!$BE$5:$BE$1005)&gt;0,SUMIF('Detailed Budget'!$U$5:$U$1005,$B48,'Detailed Budget'!$BE$5:$BE$1005),"")</f>
        <v>32765.523887688872</v>
      </c>
      <c r="Q48" s="44">
        <f>IF(SUMIF('Detailed Budget'!$U$5:$U$1005,$B48,'Detailed Budget'!$BG$5:$BG$1005)&gt;0,SUMIF('Detailed Budget'!$U$5:$U$1005,$B48,'Detailed Budget'!$BG$5:$BG$1005),"")</f>
        <v>49002.223978115209</v>
      </c>
      <c r="R48" s="45">
        <f>IF(SUMIF('Detailed Budget'!$U$5:$U$1005,$B48,'Detailed Budget'!$BI$5:$BI$1005)&gt;0,SUMIF('Detailed Budget'!$U$5:$U$1005,$B48,'Detailed Budget'!$BI$5:$BI$1005),"")</f>
        <v>430448.1939422983</v>
      </c>
      <c r="S48" s="44" t="str">
        <f>IF(SUMIF('Detailed Budget'!$U$5:$U$1005,$B48,'Detailed Budget'!$BN$5:$BN$1005)&gt;0,SUMIF('Detailed Budget'!$U$5:$U$1005,$B48,'Detailed Budget'!$BN$5:$BN$1005),"")</f>
        <v/>
      </c>
      <c r="T48" s="44" t="str">
        <f>IF(SUMIF('Detailed Budget'!$U$5:$U$1005,$B48,'Detailed Budget'!$BP$5:$BP$1005)&gt;0,SUMIF('Detailed Budget'!$U$5:$U$1005,$B48,'Detailed Budget'!$BP$5:$BP$1005),"")</f>
        <v/>
      </c>
      <c r="U48" s="44" t="str">
        <f>IF(SUMIF('Detailed Budget'!$U$5:$U$1005,$B48,'Detailed Budget'!$BR$5:$BR$1005)&gt;0,SUMIF('Detailed Budget'!$U$5:$U$1005,$B48,'Detailed Budget'!$BR$5:$BR$1005),"")</f>
        <v/>
      </c>
      <c r="V48" s="44" t="str">
        <f>IF(SUMIF('Detailed Budget'!$U$5:$U$1005,$B48,'Detailed Budget'!$BT$5:$BT$1005)&gt;0,SUMIF('Detailed Budget'!$U$5:$U$1005,$B48,'Detailed Budget'!$BT$5:$BT$1005),"")</f>
        <v/>
      </c>
      <c r="W48" s="45" t="str">
        <f>IF(SUMIF('Detailed Budget'!$U$5:$U$1005,$B48,'Detailed Budget'!$BV$5:$BV$1005)&gt;0,SUMIF('Detailed Budget'!$U$5:$U$1005,$B48,'Detailed Budget'!$BV$5:$BV$1005),"")</f>
        <v/>
      </c>
      <c r="X48" s="44">
        <f t="shared" ref="X48:X61" si="5">IF(SUM(H48,M48,R48,W48)&gt;0,SUM(H48,M48,R48,W48),"")</f>
        <v>767838.8525888531</v>
      </c>
      <c r="Y48" s="122">
        <f t="shared" ref="Y48:Y61" si="6">IFERROR($X48/$X$61,"")</f>
        <v>0.11077288742473823</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row>
    <row r="49" spans="2:49" s="35" customFormat="1" ht="25.5" x14ac:dyDescent="0.2">
      <c r="B49" s="233">
        <v>3</v>
      </c>
      <c r="C49" s="371" t="str">
        <f>IFERROR(INDEX('Data Sheet'!$F$198:$F$275,MATCH(B49,'Data Sheet'!$D$198:$D$275,0)),"")</f>
        <v>3.0 External Professional services (EPS)</v>
      </c>
      <c r="D49" s="44">
        <f>IF(SUMIF('Detailed Budget'!$U$5:$U$1005,$B49,'Detailed Budget'!$AA$5:$AA$1005)&gt;0,SUMIF('Detailed Budget'!$U$5:$U$1005,$B49,'Detailed Budget'!$AA$5:$AA$1005),"")</f>
        <v>16950</v>
      </c>
      <c r="E49" s="44">
        <f>IF(SUMIF('Detailed Budget'!$U$5:$U$1005,$B49,'Detailed Budget'!$AC$5:$AC$1005)&gt;0,SUMIF('Detailed Budget'!$U$5:$U$1005,$B49,'Detailed Budget'!$AC$5:$AC$1005),"")</f>
        <v>16950</v>
      </c>
      <c r="F49" s="44">
        <f>IF(SUMIF('Detailed Budget'!$U$5:$U$1005,$B49,'Detailed Budget'!$AE$5:$AE$1005)&gt;0,SUMIF('Detailed Budget'!$U$5:$U$1005,$B49,'Detailed Budget'!$AE$5:$AE$1005),"")</f>
        <v>25950</v>
      </c>
      <c r="G49" s="44">
        <f>IF(SUMIF('Detailed Budget'!$U$5:$U$1005,$B49,'Detailed Budget'!$AG$5:$AG$1005)&gt;0,SUMIF('Detailed Budget'!$U$5:$U$1005,$B49,'Detailed Budget'!$AG$5:$AG$1005),"")</f>
        <v>41950</v>
      </c>
      <c r="H49" s="45">
        <f>IF(SUMIF('Detailed Budget'!$U$5:$U$1005,$B49,'Detailed Budget'!$AI$5:$AI$1005)&gt;0,SUMIF('Detailed Budget'!$U$5:$U$1005,$B49,'Detailed Budget'!$AI$5:$AI$1005),"")</f>
        <v>101800</v>
      </c>
      <c r="I49" s="44">
        <f>IF(SUMIF('Detailed Budget'!$U$5:$U$1005,$B49,'Detailed Budget'!$AN$5:$AN$1005)&gt;0,SUMIF('Detailed Budget'!$U$5:$U$1005,$B49,'Detailed Budget'!$AN$5:$AN$1005),"")</f>
        <v>16950</v>
      </c>
      <c r="J49" s="44">
        <f>IF(SUMIF('Detailed Budget'!$U$5:$U$1005,$B49,'Detailed Budget'!$AP$5:$AP$1005)&gt;0,SUMIF('Detailed Budget'!$U$5:$U$1005,$B49,'Detailed Budget'!$AP$5:$AP$1005),"")</f>
        <v>16950</v>
      </c>
      <c r="K49" s="44">
        <f>IF(SUMIF('Detailed Budget'!$U$5:$U$1005,$B49,'Detailed Budget'!$AR$5:$AR$1005)&gt;0,SUMIF('Detailed Budget'!$U$5:$U$1005,$B49,'Detailed Budget'!$AR$5:$AR$1005),"")</f>
        <v>16950</v>
      </c>
      <c r="L49" s="44">
        <f>IF(SUMIF('Detailed Budget'!$U$5:$U$1005,$B49,'Detailed Budget'!$AT$5:$AT$1005)&gt;0,SUMIF('Detailed Budget'!$U$5:$U$1005,$B49,'Detailed Budget'!$AT$5:$AT$1005),"")</f>
        <v>41950</v>
      </c>
      <c r="M49" s="45">
        <f>IF(SUMIF('Detailed Budget'!$U$5:$U$1005,$B49,'Detailed Budget'!$AV$5:$AV$1005)&gt;0,SUMIF('Detailed Budget'!$U$5:$U$1005,$B49,'Detailed Budget'!$AV$5:$AV$1005),"")</f>
        <v>92800</v>
      </c>
      <c r="N49" s="44">
        <f>IF(SUMIF('Detailed Budget'!$U$5:$U$1005,$B49,'Detailed Budget'!$BA$5:$BA$1005)&gt;0,SUMIF('Detailed Budget'!$U$5:$U$1005,$B49,'Detailed Budget'!$BA$5:$BA$1005),"")</f>
        <v>16950</v>
      </c>
      <c r="O49" s="44">
        <f>IF(SUMIF('Detailed Budget'!$U$5:$U$1005,$B49,'Detailed Budget'!$BC$5:$BC$1005)&gt;0,SUMIF('Detailed Budget'!$U$5:$U$1005,$B49,'Detailed Budget'!$BC$5:$BC$1005),"")</f>
        <v>16950</v>
      </c>
      <c r="P49" s="44">
        <f>IF(SUMIF('Detailed Budget'!$U$5:$U$1005,$B49,'Detailed Budget'!$BE$5:$BE$1005)&gt;0,SUMIF('Detailed Budget'!$U$5:$U$1005,$B49,'Detailed Budget'!$BE$5:$BE$1005),"")</f>
        <v>25950</v>
      </c>
      <c r="Q49" s="44">
        <f>IF(SUMIF('Detailed Budget'!$U$5:$U$1005,$B49,'Detailed Budget'!$BG$5:$BG$1005)&gt;0,SUMIF('Detailed Budget'!$U$5:$U$1005,$B49,'Detailed Budget'!$BG$5:$BG$1005),"")</f>
        <v>41950</v>
      </c>
      <c r="R49" s="45">
        <f>IF(SUMIF('Detailed Budget'!$U$5:$U$1005,$B49,'Detailed Budget'!$BI$5:$BI$1005)&gt;0,SUMIF('Detailed Budget'!$U$5:$U$1005,$B49,'Detailed Budget'!$BI$5:$BI$1005),"")</f>
        <v>101800</v>
      </c>
      <c r="S49" s="44" t="str">
        <f>IF(SUMIF('Detailed Budget'!$U$5:$U$1005,$B49,'Detailed Budget'!$BN$5:$BN$1005)&gt;0,SUMIF('Detailed Budget'!$U$5:$U$1005,$B49,'Detailed Budget'!$BN$5:$BN$1005),"")</f>
        <v/>
      </c>
      <c r="T49" s="44" t="str">
        <f>IF(SUMIF('Detailed Budget'!$U$5:$U$1005,$B49,'Detailed Budget'!$BP$5:$BP$1005)&gt;0,SUMIF('Detailed Budget'!$U$5:$U$1005,$B49,'Detailed Budget'!$BP$5:$BP$1005),"")</f>
        <v/>
      </c>
      <c r="U49" s="44" t="str">
        <f>IF(SUMIF('Detailed Budget'!$U$5:$U$1005,$B49,'Detailed Budget'!$BR$5:$BR$1005)&gt;0,SUMIF('Detailed Budget'!$U$5:$U$1005,$B49,'Detailed Budget'!$BR$5:$BR$1005),"")</f>
        <v/>
      </c>
      <c r="V49" s="44" t="str">
        <f>IF(SUMIF('Detailed Budget'!$U$5:$U$1005,$B49,'Detailed Budget'!$BT$5:$BT$1005)&gt;0,SUMIF('Detailed Budget'!$U$5:$U$1005,$B49,'Detailed Budget'!$BT$5:$BT$1005),"")</f>
        <v/>
      </c>
      <c r="W49" s="45" t="str">
        <f>IF(SUMIF('Detailed Budget'!$U$5:$U$1005,$B49,'Detailed Budget'!$BV$5:$BV$1005)&gt;0,SUMIF('Detailed Budget'!$U$5:$U$1005,$B49,'Detailed Budget'!$BV$5:$BV$1005),"")</f>
        <v/>
      </c>
      <c r="X49" s="44">
        <f t="shared" si="5"/>
        <v>296400</v>
      </c>
      <c r="Y49" s="122">
        <f t="shared" si="6"/>
        <v>4.2760383538801218E-2</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row>
    <row r="50" spans="2:49" s="35" customFormat="1" ht="25.5" x14ac:dyDescent="0.2">
      <c r="B50" s="233">
        <v>4</v>
      </c>
      <c r="C50" s="371" t="str">
        <f>IFERROR(INDEX('Data Sheet'!$F$198:$F$275,MATCH(B50,'Data Sheet'!$D$198:$D$275,0)),"")</f>
        <v>4.0 Health Products - Pharmaceutical Products (HPPP)</v>
      </c>
      <c r="D50" s="44">
        <f>IF(SUMIF('Detailed Budget'!$U$5:$U$1005,$B50,'Detailed Budget'!$AA$5:$AA$1005)&gt;0,SUMIF('Detailed Budget'!$U$5:$U$1005,$B50,'Detailed Budget'!$AA$5:$AA$1005),"")</f>
        <v>696435</v>
      </c>
      <c r="E50" s="44">
        <f>IF(SUMIF('Detailed Budget'!$U$5:$U$1005,$B50,'Detailed Budget'!$AC$5:$AC$1005)&gt;0,SUMIF('Detailed Budget'!$U$5:$U$1005,$B50,'Detailed Budget'!$AC$5:$AC$1005),"")</f>
        <v>63279.73</v>
      </c>
      <c r="F50" s="44" t="str">
        <f>IF(SUMIF('Detailed Budget'!$U$5:$U$1005,$B50,'Detailed Budget'!$AE$5:$AE$1005)&gt;0,SUMIF('Detailed Budget'!$U$5:$U$1005,$B50,'Detailed Budget'!$AE$5:$AE$1005),"")</f>
        <v/>
      </c>
      <c r="G50" s="44" t="str">
        <f>IF(SUMIF('Detailed Budget'!$U$5:$U$1005,$B50,'Detailed Budget'!$AG$5:$AG$1005)&gt;0,SUMIF('Detailed Budget'!$U$5:$U$1005,$B50,'Detailed Budget'!$AG$5:$AG$1005),"")</f>
        <v/>
      </c>
      <c r="H50" s="45">
        <f>IF(SUMIF('Detailed Budget'!$U$5:$U$1005,$B50,'Detailed Budget'!$AI$5:$AI$1005)&gt;0,SUMIF('Detailed Budget'!$U$5:$U$1005,$B50,'Detailed Budget'!$AI$5:$AI$1005),"")</f>
        <v>759714.73</v>
      </c>
      <c r="I50" s="44">
        <f>IF(SUMIF('Detailed Budget'!$U$5:$U$1005,$B50,'Detailed Budget'!$AN$5:$AN$1005)&gt;0,SUMIF('Detailed Budget'!$U$5:$U$1005,$B50,'Detailed Budget'!$AN$5:$AN$1005),"")</f>
        <v>674244</v>
      </c>
      <c r="J50" s="44">
        <f>IF(SUMIF('Detailed Budget'!$U$5:$U$1005,$B50,'Detailed Budget'!$AP$5:$AP$1005)&gt;0,SUMIF('Detailed Budget'!$U$5:$U$1005,$B50,'Detailed Budget'!$AP$5:$AP$1005),"")</f>
        <v>49880.160000000003</v>
      </c>
      <c r="K50" s="44" t="str">
        <f>IF(SUMIF('Detailed Budget'!$U$5:$U$1005,$B50,'Detailed Budget'!$AR$5:$AR$1005)&gt;0,SUMIF('Detailed Budget'!$U$5:$U$1005,$B50,'Detailed Budget'!$AR$5:$AR$1005),"")</f>
        <v/>
      </c>
      <c r="L50" s="44" t="str">
        <f>IF(SUMIF('Detailed Budget'!$U$5:$U$1005,$B50,'Detailed Budget'!$AT$5:$AT$1005)&gt;0,SUMIF('Detailed Budget'!$U$5:$U$1005,$B50,'Detailed Budget'!$AT$5:$AT$1005),"")</f>
        <v/>
      </c>
      <c r="M50" s="45">
        <f>IF(SUMIF('Detailed Budget'!$U$5:$U$1005,$B50,'Detailed Budget'!$AV$5:$AV$1005)&gt;0,SUMIF('Detailed Budget'!$U$5:$U$1005,$B50,'Detailed Budget'!$AV$5:$AV$1005),"")</f>
        <v>724124.16000000003</v>
      </c>
      <c r="N50" s="44">
        <f>IF(SUMIF('Detailed Budget'!$U$5:$U$1005,$B50,'Detailed Budget'!$BA$5:$BA$1005)&gt;0,SUMIF('Detailed Budget'!$U$5:$U$1005,$B50,'Detailed Budget'!$BA$5:$BA$1005),"")</f>
        <v>664421.09100000001</v>
      </c>
      <c r="O50" s="44" t="str">
        <f>IF(SUMIF('Detailed Budget'!$U$5:$U$1005,$B50,'Detailed Budget'!$BC$5:$BC$1005)&gt;0,SUMIF('Detailed Budget'!$U$5:$U$1005,$B50,'Detailed Budget'!$BC$5:$BC$1005),"")</f>
        <v/>
      </c>
      <c r="P50" s="44" t="str">
        <f>IF(SUMIF('Detailed Budget'!$U$5:$U$1005,$B50,'Detailed Budget'!$BE$5:$BE$1005)&gt;0,SUMIF('Detailed Budget'!$U$5:$U$1005,$B50,'Detailed Budget'!$BE$5:$BE$1005),"")</f>
        <v/>
      </c>
      <c r="Q50" s="44" t="str">
        <f>IF(SUMIF('Detailed Budget'!$U$5:$U$1005,$B50,'Detailed Budget'!$BG$5:$BG$1005)&gt;0,SUMIF('Detailed Budget'!$U$5:$U$1005,$B50,'Detailed Budget'!$BG$5:$BG$1005),"")</f>
        <v/>
      </c>
      <c r="R50" s="45">
        <f>IF(SUMIF('Detailed Budget'!$U$5:$U$1005,$B50,'Detailed Budget'!$BI$5:$BI$1005)&gt;0,SUMIF('Detailed Budget'!$U$5:$U$1005,$B50,'Detailed Budget'!$BI$5:$BI$1005),"")</f>
        <v>664421.09100000001</v>
      </c>
      <c r="S50" s="44" t="str">
        <f>IF(SUMIF('Detailed Budget'!$U$5:$U$1005,$B50,'Detailed Budget'!$BN$5:$BN$1005)&gt;0,SUMIF('Detailed Budget'!$U$5:$U$1005,$B50,'Detailed Budget'!$BN$5:$BN$1005),"")</f>
        <v/>
      </c>
      <c r="T50" s="44" t="str">
        <f>IF(SUMIF('Detailed Budget'!$U$5:$U$1005,$B50,'Detailed Budget'!$BP$5:$BP$1005)&gt;0,SUMIF('Detailed Budget'!$U$5:$U$1005,$B50,'Detailed Budget'!$BP$5:$BP$1005),"")</f>
        <v/>
      </c>
      <c r="U50" s="44" t="str">
        <f>IF(SUMIF('Detailed Budget'!$U$5:$U$1005,$B50,'Detailed Budget'!$BR$5:$BR$1005)&gt;0,SUMIF('Detailed Budget'!$U$5:$U$1005,$B50,'Detailed Budget'!$BR$5:$BR$1005),"")</f>
        <v/>
      </c>
      <c r="V50" s="44" t="str">
        <f>IF(SUMIF('Detailed Budget'!$U$5:$U$1005,$B50,'Detailed Budget'!$BT$5:$BT$1005)&gt;0,SUMIF('Detailed Budget'!$U$5:$U$1005,$B50,'Detailed Budget'!$BT$5:$BT$1005),"")</f>
        <v/>
      </c>
      <c r="W50" s="45" t="str">
        <f>IF(SUMIF('Detailed Budget'!$U$5:$U$1005,$B50,'Detailed Budget'!$BV$5:$BV$1005)&gt;0,SUMIF('Detailed Budget'!$U$5:$U$1005,$B50,'Detailed Budget'!$BV$5:$BV$1005),"")</f>
        <v/>
      </c>
      <c r="X50" s="44">
        <f t="shared" si="5"/>
        <v>2148259.9810000001</v>
      </c>
      <c r="Y50" s="122">
        <f t="shared" si="6"/>
        <v>0.30992044780235434</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row>
    <row r="51" spans="2:49" s="35" customFormat="1" ht="25.5" x14ac:dyDescent="0.2">
      <c r="B51" s="233">
        <v>5</v>
      </c>
      <c r="C51" s="371" t="str">
        <f>IFERROR(INDEX('Data Sheet'!$F$198:$F$275,MATCH(B51,'Data Sheet'!$D$198:$D$275,0)),"")</f>
        <v>5.0 Health Products - Non-Pharmaceuticals (HPNP)</v>
      </c>
      <c r="D51" s="44">
        <f>IF(SUMIF('Detailed Budget'!$U$5:$U$1005,$B51,'Detailed Budget'!$AA$5:$AA$1005)&gt;0,SUMIF('Detailed Budget'!$U$5:$U$1005,$B51,'Detailed Budget'!$AA$5:$AA$1005),"")</f>
        <v>47738.75</v>
      </c>
      <c r="E51" s="44" t="str">
        <f>IF(SUMIF('Detailed Budget'!$U$5:$U$1005,$B51,'Detailed Budget'!$AC$5:$AC$1005)&gt;0,SUMIF('Detailed Budget'!$U$5:$U$1005,$B51,'Detailed Budget'!$AC$5:$AC$1005),"")</f>
        <v/>
      </c>
      <c r="F51" s="44" t="str">
        <f>IF(SUMIF('Detailed Budget'!$U$5:$U$1005,$B51,'Detailed Budget'!$AE$5:$AE$1005)&gt;0,SUMIF('Detailed Budget'!$U$5:$U$1005,$B51,'Detailed Budget'!$AE$5:$AE$1005),"")</f>
        <v/>
      </c>
      <c r="G51" s="44" t="str">
        <f>IF(SUMIF('Detailed Budget'!$U$5:$U$1005,$B51,'Detailed Budget'!$AG$5:$AG$1005)&gt;0,SUMIF('Detailed Budget'!$U$5:$U$1005,$B51,'Detailed Budget'!$AG$5:$AG$1005),"")</f>
        <v/>
      </c>
      <c r="H51" s="45">
        <f>IF(SUMIF('Detailed Budget'!$U$5:$U$1005,$B51,'Detailed Budget'!$AI$5:$AI$1005)&gt;0,SUMIF('Detailed Budget'!$U$5:$U$1005,$B51,'Detailed Budget'!$AI$5:$AI$1005),"")</f>
        <v>47738.75</v>
      </c>
      <c r="I51" s="44">
        <f>IF(SUMIF('Detailed Budget'!$U$5:$U$1005,$B51,'Detailed Budget'!$AN$5:$AN$1005)&gt;0,SUMIF('Detailed Budget'!$U$5:$U$1005,$B51,'Detailed Budget'!$AN$5:$AN$1005),"")</f>
        <v>50753.7</v>
      </c>
      <c r="J51" s="44" t="str">
        <f>IF(SUMIF('Detailed Budget'!$U$5:$U$1005,$B51,'Detailed Budget'!$AP$5:$AP$1005)&gt;0,SUMIF('Detailed Budget'!$U$5:$U$1005,$B51,'Detailed Budget'!$AP$5:$AP$1005),"")</f>
        <v/>
      </c>
      <c r="K51" s="44" t="str">
        <f>IF(SUMIF('Detailed Budget'!$U$5:$U$1005,$B51,'Detailed Budget'!$AR$5:$AR$1005)&gt;0,SUMIF('Detailed Budget'!$U$5:$U$1005,$B51,'Detailed Budget'!$AR$5:$AR$1005),"")</f>
        <v/>
      </c>
      <c r="L51" s="44" t="str">
        <f>IF(SUMIF('Detailed Budget'!$U$5:$U$1005,$B51,'Detailed Budget'!$AT$5:$AT$1005)&gt;0,SUMIF('Detailed Budget'!$U$5:$U$1005,$B51,'Detailed Budget'!$AT$5:$AT$1005),"")</f>
        <v/>
      </c>
      <c r="M51" s="45">
        <f>IF(SUMIF('Detailed Budget'!$U$5:$U$1005,$B51,'Detailed Budget'!$AV$5:$AV$1005)&gt;0,SUMIF('Detailed Budget'!$U$5:$U$1005,$B51,'Detailed Budget'!$AV$5:$AV$1005),"")</f>
        <v>50753.7</v>
      </c>
      <c r="N51" s="44">
        <f>IF(SUMIF('Detailed Budget'!$U$5:$U$1005,$B51,'Detailed Budget'!$BA$5:$BA$1005)&gt;0,SUMIF('Detailed Budget'!$U$5:$U$1005,$B51,'Detailed Budget'!$BA$5:$BA$1005),"")</f>
        <v>53994.9</v>
      </c>
      <c r="O51" s="44" t="str">
        <f>IF(SUMIF('Detailed Budget'!$U$5:$U$1005,$B51,'Detailed Budget'!$BC$5:$BC$1005)&gt;0,SUMIF('Detailed Budget'!$U$5:$U$1005,$B51,'Detailed Budget'!$BC$5:$BC$1005),"")</f>
        <v/>
      </c>
      <c r="P51" s="44" t="str">
        <f>IF(SUMIF('Detailed Budget'!$U$5:$U$1005,$B51,'Detailed Budget'!$BE$5:$BE$1005)&gt;0,SUMIF('Detailed Budget'!$U$5:$U$1005,$B51,'Detailed Budget'!$BE$5:$BE$1005),"")</f>
        <v/>
      </c>
      <c r="Q51" s="44" t="str">
        <f>IF(SUMIF('Detailed Budget'!$U$5:$U$1005,$B51,'Detailed Budget'!$BG$5:$BG$1005)&gt;0,SUMIF('Detailed Budget'!$U$5:$U$1005,$B51,'Detailed Budget'!$BG$5:$BG$1005),"")</f>
        <v/>
      </c>
      <c r="R51" s="45">
        <f>IF(SUMIF('Detailed Budget'!$U$5:$U$1005,$B51,'Detailed Budget'!$BI$5:$BI$1005)&gt;0,SUMIF('Detailed Budget'!$U$5:$U$1005,$B51,'Detailed Budget'!$BI$5:$BI$1005),"")</f>
        <v>53994.9</v>
      </c>
      <c r="S51" s="44" t="str">
        <f>IF(SUMIF('Detailed Budget'!$U$5:$U$1005,$B51,'Detailed Budget'!$BN$5:$BN$1005)&gt;0,SUMIF('Detailed Budget'!$U$5:$U$1005,$B51,'Detailed Budget'!$BN$5:$BN$1005),"")</f>
        <v/>
      </c>
      <c r="T51" s="44" t="str">
        <f>IF(SUMIF('Detailed Budget'!$U$5:$U$1005,$B51,'Detailed Budget'!$BP$5:$BP$1005)&gt;0,SUMIF('Detailed Budget'!$U$5:$U$1005,$B51,'Detailed Budget'!$BP$5:$BP$1005),"")</f>
        <v/>
      </c>
      <c r="U51" s="44" t="str">
        <f>IF(SUMIF('Detailed Budget'!$U$5:$U$1005,$B51,'Detailed Budget'!$BR$5:$BR$1005)&gt;0,SUMIF('Detailed Budget'!$U$5:$U$1005,$B51,'Detailed Budget'!$BR$5:$BR$1005),"")</f>
        <v/>
      </c>
      <c r="V51" s="44" t="str">
        <f>IF(SUMIF('Detailed Budget'!$U$5:$U$1005,$B51,'Detailed Budget'!$BT$5:$BT$1005)&gt;0,SUMIF('Detailed Budget'!$U$5:$U$1005,$B51,'Detailed Budget'!$BT$5:$BT$1005),"")</f>
        <v/>
      </c>
      <c r="W51" s="45" t="str">
        <f>IF(SUMIF('Detailed Budget'!$U$5:$U$1005,$B51,'Detailed Budget'!$BV$5:$BV$1005)&gt;0,SUMIF('Detailed Budget'!$U$5:$U$1005,$B51,'Detailed Budget'!$BV$5:$BV$1005),"")</f>
        <v/>
      </c>
      <c r="X51" s="44">
        <f t="shared" si="5"/>
        <v>152487.35</v>
      </c>
      <c r="Y51" s="122">
        <f t="shared" si="6"/>
        <v>2.1998709753088465E-2</v>
      </c>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row>
    <row r="52" spans="2:49" s="35" customFormat="1" ht="25.5" x14ac:dyDescent="0.2">
      <c r="B52" s="233">
        <v>6</v>
      </c>
      <c r="C52" s="371" t="str">
        <f>IFERROR(INDEX('Data Sheet'!$F$198:$F$275,MATCH(B52,'Data Sheet'!$D$198:$D$275,0)),"")</f>
        <v>6.0 Health Products - Equipment (HPE)</v>
      </c>
      <c r="D52" s="44">
        <f>IF(SUMIF('Detailed Budget'!$U$5:$U$1005,$B52,'Detailed Budget'!$AA$5:$AA$1005)&gt;0,SUMIF('Detailed Budget'!$U$5:$U$1005,$B52,'Detailed Budget'!$AA$5:$AA$1005),"")</f>
        <v>305135.065</v>
      </c>
      <c r="E52" s="44" t="str">
        <f>IF(SUMIF('Detailed Budget'!$U$5:$U$1005,$B52,'Detailed Budget'!$AC$5:$AC$1005)&gt;0,SUMIF('Detailed Budget'!$U$5:$U$1005,$B52,'Detailed Budget'!$AC$5:$AC$1005),"")</f>
        <v/>
      </c>
      <c r="F52" s="44" t="str">
        <f>IF(SUMIF('Detailed Budget'!$U$5:$U$1005,$B52,'Detailed Budget'!$AE$5:$AE$1005)&gt;0,SUMIF('Detailed Budget'!$U$5:$U$1005,$B52,'Detailed Budget'!$AE$5:$AE$1005),"")</f>
        <v/>
      </c>
      <c r="G52" s="44" t="str">
        <f>IF(SUMIF('Detailed Budget'!$U$5:$U$1005,$B52,'Detailed Budget'!$AG$5:$AG$1005)&gt;0,SUMIF('Detailed Budget'!$U$5:$U$1005,$B52,'Detailed Budget'!$AG$5:$AG$1005),"")</f>
        <v/>
      </c>
      <c r="H52" s="45">
        <f>IF(SUMIF('Detailed Budget'!$U$5:$U$1005,$B52,'Detailed Budget'!$AI$5:$AI$1005)&gt;0,SUMIF('Detailed Budget'!$U$5:$U$1005,$B52,'Detailed Budget'!$AI$5:$AI$1005),"")</f>
        <v>305135.065</v>
      </c>
      <c r="I52" s="44">
        <f>IF(SUMIF('Detailed Budget'!$U$5:$U$1005,$B52,'Detailed Budget'!$AN$5:$AN$1005)&gt;0,SUMIF('Detailed Budget'!$U$5:$U$1005,$B52,'Detailed Budget'!$AN$5:$AN$1005),"")</f>
        <v>338748.05263460823</v>
      </c>
      <c r="J52" s="44" t="str">
        <f>IF(SUMIF('Detailed Budget'!$U$5:$U$1005,$B52,'Detailed Budget'!$AP$5:$AP$1005)&gt;0,SUMIF('Detailed Budget'!$U$5:$U$1005,$B52,'Detailed Budget'!$AP$5:$AP$1005),"")</f>
        <v/>
      </c>
      <c r="K52" s="44" t="str">
        <f>IF(SUMIF('Detailed Budget'!$U$5:$U$1005,$B52,'Detailed Budget'!$AR$5:$AR$1005)&gt;0,SUMIF('Detailed Budget'!$U$5:$U$1005,$B52,'Detailed Budget'!$AR$5:$AR$1005),"")</f>
        <v/>
      </c>
      <c r="L52" s="44" t="str">
        <f>IF(SUMIF('Detailed Budget'!$U$5:$U$1005,$B52,'Detailed Budget'!$AT$5:$AT$1005)&gt;0,SUMIF('Detailed Budget'!$U$5:$U$1005,$B52,'Detailed Budget'!$AT$5:$AT$1005),"")</f>
        <v/>
      </c>
      <c r="M52" s="45">
        <f>IF(SUMIF('Detailed Budget'!$U$5:$U$1005,$B52,'Detailed Budget'!$AV$5:$AV$1005)&gt;0,SUMIF('Detailed Budget'!$U$5:$U$1005,$B52,'Detailed Budget'!$AV$5:$AV$1005),"")</f>
        <v>338748.05263460823</v>
      </c>
      <c r="N52" s="44">
        <f>IF(SUMIF('Detailed Budget'!$U$5:$U$1005,$B52,'Detailed Budget'!$BA$5:$BA$1005)&gt;0,SUMIF('Detailed Budget'!$U$5:$U$1005,$B52,'Detailed Budget'!$BA$5:$BA$1005),"")</f>
        <v>372663.89147107105</v>
      </c>
      <c r="O52" s="44" t="str">
        <f>IF(SUMIF('Detailed Budget'!$U$5:$U$1005,$B52,'Detailed Budget'!$BC$5:$BC$1005)&gt;0,SUMIF('Detailed Budget'!$U$5:$U$1005,$B52,'Detailed Budget'!$BC$5:$BC$1005),"")</f>
        <v/>
      </c>
      <c r="P52" s="44" t="str">
        <f>IF(SUMIF('Detailed Budget'!$U$5:$U$1005,$B52,'Detailed Budget'!$BE$5:$BE$1005)&gt;0,SUMIF('Detailed Budget'!$U$5:$U$1005,$B52,'Detailed Budget'!$BE$5:$BE$1005),"")</f>
        <v/>
      </c>
      <c r="Q52" s="44" t="str">
        <f>IF(SUMIF('Detailed Budget'!$U$5:$U$1005,$B52,'Detailed Budget'!$BG$5:$BG$1005)&gt;0,SUMIF('Detailed Budget'!$U$5:$U$1005,$B52,'Detailed Budget'!$BG$5:$BG$1005),"")</f>
        <v/>
      </c>
      <c r="R52" s="45">
        <f>IF(SUMIF('Detailed Budget'!$U$5:$U$1005,$B52,'Detailed Budget'!$BI$5:$BI$1005)&gt;0,SUMIF('Detailed Budget'!$U$5:$U$1005,$B52,'Detailed Budget'!$BI$5:$BI$1005),"")</f>
        <v>372663.89147107105</v>
      </c>
      <c r="S52" s="44" t="str">
        <f>IF(SUMIF('Detailed Budget'!$U$5:$U$1005,$B52,'Detailed Budget'!$BN$5:$BN$1005)&gt;0,SUMIF('Detailed Budget'!$U$5:$U$1005,$B52,'Detailed Budget'!$BN$5:$BN$1005),"")</f>
        <v/>
      </c>
      <c r="T52" s="44" t="str">
        <f>IF(SUMIF('Detailed Budget'!$U$5:$U$1005,$B52,'Detailed Budget'!$BP$5:$BP$1005)&gt;0,SUMIF('Detailed Budget'!$U$5:$U$1005,$B52,'Detailed Budget'!$BP$5:$BP$1005),"")</f>
        <v/>
      </c>
      <c r="U52" s="44" t="str">
        <f>IF(SUMIF('Detailed Budget'!$U$5:$U$1005,$B52,'Detailed Budget'!$BR$5:$BR$1005)&gt;0,SUMIF('Detailed Budget'!$U$5:$U$1005,$B52,'Detailed Budget'!$BR$5:$BR$1005),"")</f>
        <v/>
      </c>
      <c r="V52" s="44" t="str">
        <f>IF(SUMIF('Detailed Budget'!$U$5:$U$1005,$B52,'Detailed Budget'!$BT$5:$BT$1005)&gt;0,SUMIF('Detailed Budget'!$U$5:$U$1005,$B52,'Detailed Budget'!$BT$5:$BT$1005),"")</f>
        <v/>
      </c>
      <c r="W52" s="45" t="str">
        <f>IF(SUMIF('Detailed Budget'!$U$5:$U$1005,$B52,'Detailed Budget'!$BV$5:$BV$1005)&gt;0,SUMIF('Detailed Budget'!$U$5:$U$1005,$B52,'Detailed Budget'!$BV$5:$BV$1005),"")</f>
        <v/>
      </c>
      <c r="X52" s="44">
        <f t="shared" si="5"/>
        <v>1016547.0091056792</v>
      </c>
      <c r="Y52" s="122">
        <f t="shared" si="6"/>
        <v>0.14665296894257793</v>
      </c>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row>
    <row r="53" spans="2:49" s="35" customFormat="1" ht="25.5" x14ac:dyDescent="0.2">
      <c r="B53" s="233">
        <v>7</v>
      </c>
      <c r="C53" s="371" t="str">
        <f>IFERROR(INDEX('Data Sheet'!$F$198:$F$275,MATCH(B53,'Data Sheet'!$D$198:$D$275,0)),"")</f>
        <v>7.0 Procurement and Supply-Chain Management costs (PSM)</v>
      </c>
      <c r="D53" s="44">
        <f>IF(SUMIF('Detailed Budget'!$U$5:$U$1005,$B53,'Detailed Budget'!$AA$5:$AA$1005)&gt;0,SUMIF('Detailed Budget'!$U$5:$U$1005,$B53,'Detailed Budget'!$AA$5:$AA$1005),"")</f>
        <v>203435.27560000002</v>
      </c>
      <c r="E53" s="44">
        <f>IF(SUMIF('Detailed Budget'!$U$5:$U$1005,$B53,'Detailed Budget'!$AC$5:$AC$1005)&gt;0,SUMIF('Detailed Budget'!$U$5:$U$1005,$B53,'Detailed Budget'!$AC$5:$AC$1005),"")</f>
        <v>18505.946000000004</v>
      </c>
      <c r="F53" s="44">
        <f>IF(SUMIF('Detailed Budget'!$U$5:$U$1005,$B53,'Detailed Budget'!$AE$5:$AE$1005)&gt;0,SUMIF('Detailed Budget'!$U$5:$U$1005,$B53,'Detailed Budget'!$AE$5:$AE$1005),"")</f>
        <v>5850</v>
      </c>
      <c r="G53" s="44">
        <f>IF(SUMIF('Detailed Budget'!$U$5:$U$1005,$B53,'Detailed Budget'!$AG$5:$AG$1005)&gt;0,SUMIF('Detailed Budget'!$U$5:$U$1005,$B53,'Detailed Budget'!$AG$5:$AG$1005),"")</f>
        <v>20850</v>
      </c>
      <c r="H53" s="45">
        <f>IF(SUMIF('Detailed Budget'!$U$5:$U$1005,$B53,'Detailed Budget'!$AI$5:$AI$1005)&gt;0,SUMIF('Detailed Budget'!$U$5:$U$1005,$B53,'Detailed Budget'!$AI$5:$AI$1005),"")</f>
        <v>248641.22160000002</v>
      </c>
      <c r="I53" s="44">
        <f>IF(SUMIF('Detailed Budget'!$U$5:$U$1005,$B53,'Detailed Budget'!$AN$5:$AN$1005)&gt;0,SUMIF('Detailed Budget'!$U$5:$U$1005,$B53,'Detailed Budget'!$AN$5:$AN$1005),"")</f>
        <v>198046.57680000004</v>
      </c>
      <c r="J53" s="44">
        <f>IF(SUMIF('Detailed Budget'!$U$5:$U$1005,$B53,'Detailed Budget'!$AP$5:$AP$1005)&gt;0,SUMIF('Detailed Budget'!$U$5:$U$1005,$B53,'Detailed Budget'!$AP$5:$AP$1005),"")</f>
        <v>15826.032000000001</v>
      </c>
      <c r="K53" s="44">
        <f>IF(SUMIF('Detailed Budget'!$U$5:$U$1005,$B53,'Detailed Budget'!$AR$5:$AR$1005)&gt;0,SUMIF('Detailed Budget'!$U$5:$U$1005,$B53,'Detailed Budget'!$AR$5:$AR$1005),"")</f>
        <v>5850</v>
      </c>
      <c r="L53" s="44">
        <f>IF(SUMIF('Detailed Budget'!$U$5:$U$1005,$B53,'Detailed Budget'!$AT$5:$AT$1005)&gt;0,SUMIF('Detailed Budget'!$U$5:$U$1005,$B53,'Detailed Budget'!$AT$5:$AT$1005),"")</f>
        <v>20850</v>
      </c>
      <c r="M53" s="45">
        <f>IF(SUMIF('Detailed Budget'!$U$5:$U$1005,$B53,'Detailed Budget'!$AV$5:$AV$1005)&gt;0,SUMIF('Detailed Budget'!$U$5:$U$1005,$B53,'Detailed Budget'!$AV$5:$AV$1005),"")</f>
        <v>240572.60880000005</v>
      </c>
      <c r="N53" s="44">
        <f>IF(SUMIF('Detailed Budget'!$U$5:$U$1005,$B53,'Detailed Budget'!$BA$5:$BA$1005)&gt;0,SUMIF('Detailed Budget'!$U$5:$U$1005,$B53,'Detailed Budget'!$BA$5:$BA$1005),"")</f>
        <v>196042.67457000003</v>
      </c>
      <c r="O53" s="44">
        <f>IF(SUMIF('Detailed Budget'!$U$5:$U$1005,$B53,'Detailed Budget'!$BC$5:$BC$1005)&gt;0,SUMIF('Detailed Budget'!$U$5:$U$1005,$B53,'Detailed Budget'!$BC$5:$BC$1005),"")</f>
        <v>5850</v>
      </c>
      <c r="P53" s="44">
        <f>IF(SUMIF('Detailed Budget'!$U$5:$U$1005,$B53,'Detailed Budget'!$BE$5:$BE$1005)&gt;0,SUMIF('Detailed Budget'!$U$5:$U$1005,$B53,'Detailed Budget'!$BE$5:$BE$1005),"")</f>
        <v>5850</v>
      </c>
      <c r="Q53" s="44">
        <f>IF(SUMIF('Detailed Budget'!$U$5:$U$1005,$B53,'Detailed Budget'!$BG$5:$BG$1005)&gt;0,SUMIF('Detailed Budget'!$U$5:$U$1005,$B53,'Detailed Budget'!$BG$5:$BG$1005),"")</f>
        <v>5850</v>
      </c>
      <c r="R53" s="45">
        <f>IF(SUMIF('Detailed Budget'!$U$5:$U$1005,$B53,'Detailed Budget'!$BI$5:$BI$1005)&gt;0,SUMIF('Detailed Budget'!$U$5:$U$1005,$B53,'Detailed Budget'!$BI$5:$BI$1005),"")</f>
        <v>213592.67457000003</v>
      </c>
      <c r="S53" s="44" t="str">
        <f>IF(SUMIF('Detailed Budget'!$U$5:$U$1005,$B53,'Detailed Budget'!$BN$5:$BN$1005)&gt;0,SUMIF('Detailed Budget'!$U$5:$U$1005,$B53,'Detailed Budget'!$BN$5:$BN$1005),"")</f>
        <v/>
      </c>
      <c r="T53" s="44" t="str">
        <f>IF(SUMIF('Detailed Budget'!$U$5:$U$1005,$B53,'Detailed Budget'!$BP$5:$BP$1005)&gt;0,SUMIF('Detailed Budget'!$U$5:$U$1005,$B53,'Detailed Budget'!$BP$5:$BP$1005),"")</f>
        <v/>
      </c>
      <c r="U53" s="44" t="str">
        <f>IF(SUMIF('Detailed Budget'!$U$5:$U$1005,$B53,'Detailed Budget'!$BR$5:$BR$1005)&gt;0,SUMIF('Detailed Budget'!$U$5:$U$1005,$B53,'Detailed Budget'!$BR$5:$BR$1005),"")</f>
        <v/>
      </c>
      <c r="V53" s="44" t="str">
        <f>IF(SUMIF('Detailed Budget'!$U$5:$U$1005,$B53,'Detailed Budget'!$BT$5:$BT$1005)&gt;0,SUMIF('Detailed Budget'!$U$5:$U$1005,$B53,'Detailed Budget'!$BT$5:$BT$1005),"")</f>
        <v/>
      </c>
      <c r="W53" s="45" t="str">
        <f>IF(SUMIF('Detailed Budget'!$U$5:$U$1005,$B53,'Detailed Budget'!$BV$5:$BV$1005)&gt;0,SUMIF('Detailed Budget'!$U$5:$U$1005,$B53,'Detailed Budget'!$BV$5:$BV$1005),"")</f>
        <v/>
      </c>
      <c r="X53" s="44">
        <f t="shared" si="5"/>
        <v>702806.50497000013</v>
      </c>
      <c r="Y53" s="122">
        <f t="shared" si="6"/>
        <v>0.10139094367773822</v>
      </c>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row>
    <row r="54" spans="2:49" s="35" customFormat="1" x14ac:dyDescent="0.2">
      <c r="B54" s="233">
        <v>8</v>
      </c>
      <c r="C54" s="371" t="str">
        <f>IFERROR(INDEX('Data Sheet'!$F$198:$F$275,MATCH(B54,'Data Sheet'!$D$198:$D$275,0)),"")</f>
        <v>8.0 Infrastructure (INF)</v>
      </c>
      <c r="D54" s="44" t="str">
        <f>IF(SUMIF('Detailed Budget'!$U$5:$U$1005,$B54,'Detailed Budget'!$AA$5:$AA$1005)&gt;0,SUMIF('Detailed Budget'!$U$5:$U$1005,$B54,'Detailed Budget'!$AA$5:$AA$1005),"")</f>
        <v/>
      </c>
      <c r="E54" s="44" t="str">
        <f>IF(SUMIF('Detailed Budget'!$U$5:$U$1005,$B54,'Detailed Budget'!$AC$5:$AC$1005)&gt;0,SUMIF('Detailed Budget'!$U$5:$U$1005,$B54,'Detailed Budget'!$AC$5:$AC$1005),"")</f>
        <v/>
      </c>
      <c r="F54" s="44" t="str">
        <f>IF(SUMIF('Detailed Budget'!$U$5:$U$1005,$B54,'Detailed Budget'!$AE$5:$AE$1005)&gt;0,SUMIF('Detailed Budget'!$U$5:$U$1005,$B54,'Detailed Budget'!$AE$5:$AE$1005),"")</f>
        <v/>
      </c>
      <c r="G54" s="44" t="str">
        <f>IF(SUMIF('Detailed Budget'!$U$5:$U$1005,$B54,'Detailed Budget'!$AG$5:$AG$1005)&gt;0,SUMIF('Detailed Budget'!$U$5:$U$1005,$B54,'Detailed Budget'!$AG$5:$AG$1005),"")</f>
        <v/>
      </c>
      <c r="H54" s="45" t="str">
        <f>IF(SUMIF('Detailed Budget'!$U$5:$U$1005,$B54,'Detailed Budget'!$AI$5:$AI$1005)&gt;0,SUMIF('Detailed Budget'!$U$5:$U$1005,$B54,'Detailed Budget'!$AI$5:$AI$1005),"")</f>
        <v/>
      </c>
      <c r="I54" s="44" t="str">
        <f>IF(SUMIF('Detailed Budget'!$U$5:$U$1005,$B54,'Detailed Budget'!$AN$5:$AN$1005)&gt;0,SUMIF('Detailed Budget'!$U$5:$U$1005,$B54,'Detailed Budget'!$AN$5:$AN$1005),"")</f>
        <v/>
      </c>
      <c r="J54" s="44" t="str">
        <f>IF(SUMIF('Detailed Budget'!$U$5:$U$1005,$B54,'Detailed Budget'!$AP$5:$AP$1005)&gt;0,SUMIF('Detailed Budget'!$U$5:$U$1005,$B54,'Detailed Budget'!$AP$5:$AP$1005),"")</f>
        <v/>
      </c>
      <c r="K54" s="44" t="str">
        <f>IF(SUMIF('Detailed Budget'!$U$5:$U$1005,$B54,'Detailed Budget'!$AR$5:$AR$1005)&gt;0,SUMIF('Detailed Budget'!$U$5:$U$1005,$B54,'Detailed Budget'!$AR$5:$AR$1005),"")</f>
        <v/>
      </c>
      <c r="L54" s="44" t="str">
        <f>IF(SUMIF('Detailed Budget'!$U$5:$U$1005,$B54,'Detailed Budget'!$AT$5:$AT$1005)&gt;0,SUMIF('Detailed Budget'!$U$5:$U$1005,$B54,'Detailed Budget'!$AT$5:$AT$1005),"")</f>
        <v/>
      </c>
      <c r="M54" s="45" t="str">
        <f>IF(SUMIF('Detailed Budget'!$U$5:$U$1005,$B54,'Detailed Budget'!$AV$5:$AV$1005)&gt;0,SUMIF('Detailed Budget'!$U$5:$U$1005,$B54,'Detailed Budget'!$AV$5:$AV$1005),"")</f>
        <v/>
      </c>
      <c r="N54" s="44" t="str">
        <f>IF(SUMIF('Detailed Budget'!$U$5:$U$1005,$B54,'Detailed Budget'!$BA$5:$BA$1005)&gt;0,SUMIF('Detailed Budget'!$U$5:$U$1005,$B54,'Detailed Budget'!$BA$5:$BA$1005),"")</f>
        <v/>
      </c>
      <c r="O54" s="44" t="str">
        <f>IF(SUMIF('Detailed Budget'!$U$5:$U$1005,$B54,'Detailed Budget'!$BC$5:$BC$1005)&gt;0,SUMIF('Detailed Budget'!$U$5:$U$1005,$B54,'Detailed Budget'!$BC$5:$BC$1005),"")</f>
        <v/>
      </c>
      <c r="P54" s="44" t="str">
        <f>IF(SUMIF('Detailed Budget'!$U$5:$U$1005,$B54,'Detailed Budget'!$BE$5:$BE$1005)&gt;0,SUMIF('Detailed Budget'!$U$5:$U$1005,$B54,'Detailed Budget'!$BE$5:$BE$1005),"")</f>
        <v/>
      </c>
      <c r="Q54" s="44" t="str">
        <f>IF(SUMIF('Detailed Budget'!$U$5:$U$1005,$B54,'Detailed Budget'!$BG$5:$BG$1005)&gt;0,SUMIF('Detailed Budget'!$U$5:$U$1005,$B54,'Detailed Budget'!$BG$5:$BG$1005),"")</f>
        <v/>
      </c>
      <c r="R54" s="45" t="str">
        <f>IF(SUMIF('Detailed Budget'!$U$5:$U$1005,$B54,'Detailed Budget'!$BI$5:$BI$1005)&gt;0,SUMIF('Detailed Budget'!$U$5:$U$1005,$B54,'Detailed Budget'!$BI$5:$BI$1005),"")</f>
        <v/>
      </c>
      <c r="S54" s="44" t="str">
        <f>IF(SUMIF('Detailed Budget'!$U$5:$U$1005,$B54,'Detailed Budget'!$BN$5:$BN$1005)&gt;0,SUMIF('Detailed Budget'!$U$5:$U$1005,$B54,'Detailed Budget'!$BN$5:$BN$1005),"")</f>
        <v/>
      </c>
      <c r="T54" s="44" t="str">
        <f>IF(SUMIF('Detailed Budget'!$U$5:$U$1005,$B54,'Detailed Budget'!$BP$5:$BP$1005)&gt;0,SUMIF('Detailed Budget'!$U$5:$U$1005,$B54,'Detailed Budget'!$BP$5:$BP$1005),"")</f>
        <v/>
      </c>
      <c r="U54" s="44" t="str">
        <f>IF(SUMIF('Detailed Budget'!$U$5:$U$1005,$B54,'Detailed Budget'!$BR$5:$BR$1005)&gt;0,SUMIF('Detailed Budget'!$U$5:$U$1005,$B54,'Detailed Budget'!$BR$5:$BR$1005),"")</f>
        <v/>
      </c>
      <c r="V54" s="44" t="str">
        <f>IF(SUMIF('Detailed Budget'!$U$5:$U$1005,$B54,'Detailed Budget'!$BT$5:$BT$1005)&gt;0,SUMIF('Detailed Budget'!$U$5:$U$1005,$B54,'Detailed Budget'!$BT$5:$BT$1005),"")</f>
        <v/>
      </c>
      <c r="W54" s="45" t="str">
        <f>IF(SUMIF('Detailed Budget'!$U$5:$U$1005,$B54,'Detailed Budget'!$BV$5:$BV$1005)&gt;0,SUMIF('Detailed Budget'!$U$5:$U$1005,$B54,'Detailed Budget'!$BV$5:$BV$1005),"")</f>
        <v/>
      </c>
      <c r="X54" s="44" t="str">
        <f t="shared" si="5"/>
        <v/>
      </c>
      <c r="Y54" s="122" t="str">
        <f t="shared" si="6"/>
        <v/>
      </c>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row>
    <row r="55" spans="2:49" s="35" customFormat="1" x14ac:dyDescent="0.2">
      <c r="B55" s="233">
        <v>9</v>
      </c>
      <c r="C55" s="371" t="str">
        <f>IFERROR(INDEX('Data Sheet'!$F$198:$F$275,MATCH(B55,'Data Sheet'!$D$198:$D$275,0)),"")</f>
        <v>9.0 Non-health equipment (NHP)</v>
      </c>
      <c r="D55" s="44">
        <f>IF(SUMIF('Detailed Budget'!$U$5:$U$1005,$B55,'Detailed Budget'!$AA$5:$AA$1005)&gt;0,SUMIF('Detailed Budget'!$U$5:$U$1005,$B55,'Detailed Budget'!$AA$5:$AA$1005),"")</f>
        <v>1014.0345762508512</v>
      </c>
      <c r="E55" s="44">
        <f>IF(SUMIF('Detailed Budget'!$U$5:$U$1005,$B55,'Detailed Budget'!$AC$5:$AC$1005)&gt;0,SUMIF('Detailed Budget'!$U$5:$U$1005,$B55,'Detailed Budget'!$AC$5:$AC$1005),"")</f>
        <v>3314.0345762508509</v>
      </c>
      <c r="F55" s="44">
        <f>IF(SUMIF('Detailed Budget'!$U$5:$U$1005,$B55,'Detailed Budget'!$AE$5:$AE$1005)&gt;0,SUMIF('Detailed Budget'!$U$5:$U$1005,$B55,'Detailed Budget'!$AE$5:$AE$1005),"")</f>
        <v>1014.0345762508512</v>
      </c>
      <c r="G55" s="44">
        <f>IF(SUMIF('Detailed Budget'!$U$5:$U$1005,$B55,'Detailed Budget'!$AG$5:$AG$1005)&gt;0,SUMIF('Detailed Budget'!$U$5:$U$1005,$B55,'Detailed Budget'!$AG$5:$AG$1005),"")</f>
        <v>1014.0345762508512</v>
      </c>
      <c r="H55" s="45">
        <f>IF(SUMIF('Detailed Budget'!$U$5:$U$1005,$B55,'Detailed Budget'!$AI$5:$AI$1005)&gt;0,SUMIF('Detailed Budget'!$U$5:$U$1005,$B55,'Detailed Budget'!$AI$5:$AI$1005),"")</f>
        <v>6356.1383050034037</v>
      </c>
      <c r="I55" s="44">
        <f>IF(SUMIF('Detailed Budget'!$U$5:$U$1005,$B55,'Detailed Budget'!$AN$5:$AN$1005)&gt;0,SUMIF('Detailed Budget'!$U$5:$U$1005,$B55,'Detailed Budget'!$AN$5:$AN$1005),"")</f>
        <v>3314.0345762508509</v>
      </c>
      <c r="J55" s="44">
        <f>IF(SUMIF('Detailed Budget'!$U$5:$U$1005,$B55,'Detailed Budget'!$AP$5:$AP$1005)&gt;0,SUMIF('Detailed Budget'!$U$5:$U$1005,$B55,'Detailed Budget'!$AP$5:$AP$1005),"")</f>
        <v>1014.0345762508512</v>
      </c>
      <c r="K55" s="44">
        <f>IF(SUMIF('Detailed Budget'!$U$5:$U$1005,$B55,'Detailed Budget'!$AR$5:$AR$1005)&gt;0,SUMIF('Detailed Budget'!$U$5:$U$1005,$B55,'Detailed Budget'!$AR$5:$AR$1005),"")</f>
        <v>1014.0345762508512</v>
      </c>
      <c r="L55" s="44">
        <f>IF(SUMIF('Detailed Budget'!$U$5:$U$1005,$B55,'Detailed Budget'!$AT$5:$AT$1005)&gt;0,SUMIF('Detailed Budget'!$U$5:$U$1005,$B55,'Detailed Budget'!$AT$5:$AT$1005),"")</f>
        <v>1014.0345762508512</v>
      </c>
      <c r="M55" s="45">
        <f>IF(SUMIF('Detailed Budget'!$U$5:$U$1005,$B55,'Detailed Budget'!$AV$5:$AV$1005)&gt;0,SUMIF('Detailed Budget'!$U$5:$U$1005,$B55,'Detailed Budget'!$AV$5:$AV$1005),"")</f>
        <v>6356.1383050034037</v>
      </c>
      <c r="N55" s="44">
        <f>IF(SUMIF('Detailed Budget'!$U$5:$U$1005,$B55,'Detailed Budget'!$BA$5:$BA$1005)&gt;0,SUMIF('Detailed Budget'!$U$5:$U$1005,$B55,'Detailed Budget'!$BA$5:$BA$1005),"")</f>
        <v>3314.0345762508509</v>
      </c>
      <c r="O55" s="44">
        <f>IF(SUMIF('Detailed Budget'!$U$5:$U$1005,$B55,'Detailed Budget'!$BC$5:$BC$1005)&gt;0,SUMIF('Detailed Budget'!$U$5:$U$1005,$B55,'Detailed Budget'!$BC$5:$BC$1005),"")</f>
        <v>1014.0345762508512</v>
      </c>
      <c r="P55" s="44">
        <f>IF(SUMIF('Detailed Budget'!$U$5:$U$1005,$B55,'Detailed Budget'!$BE$5:$BE$1005)&gt;0,SUMIF('Detailed Budget'!$U$5:$U$1005,$B55,'Detailed Budget'!$BE$5:$BE$1005),"")</f>
        <v>1014.0345762508512</v>
      </c>
      <c r="Q55" s="44">
        <f>IF(SUMIF('Detailed Budget'!$U$5:$U$1005,$B55,'Detailed Budget'!$BG$5:$BG$1005)&gt;0,SUMIF('Detailed Budget'!$U$5:$U$1005,$B55,'Detailed Budget'!$BG$5:$BG$1005),"")</f>
        <v>1014.0345762508512</v>
      </c>
      <c r="R55" s="45">
        <f>IF(SUMIF('Detailed Budget'!$U$5:$U$1005,$B55,'Detailed Budget'!$BI$5:$BI$1005)&gt;0,SUMIF('Detailed Budget'!$U$5:$U$1005,$B55,'Detailed Budget'!$BI$5:$BI$1005),"")</f>
        <v>6356.1383050034037</v>
      </c>
      <c r="S55" s="44" t="str">
        <f>IF(SUMIF('Detailed Budget'!$U$5:$U$1005,$B55,'Detailed Budget'!$BN$5:$BN$1005)&gt;0,SUMIF('Detailed Budget'!$U$5:$U$1005,$B55,'Detailed Budget'!$BN$5:$BN$1005),"")</f>
        <v/>
      </c>
      <c r="T55" s="44" t="str">
        <f>IF(SUMIF('Detailed Budget'!$U$5:$U$1005,$B55,'Detailed Budget'!$BP$5:$BP$1005)&gt;0,SUMIF('Detailed Budget'!$U$5:$U$1005,$B55,'Detailed Budget'!$BP$5:$BP$1005),"")</f>
        <v/>
      </c>
      <c r="U55" s="44" t="str">
        <f>IF(SUMIF('Detailed Budget'!$U$5:$U$1005,$B55,'Detailed Budget'!$BR$5:$BR$1005)&gt;0,SUMIF('Detailed Budget'!$U$5:$U$1005,$B55,'Detailed Budget'!$BR$5:$BR$1005),"")</f>
        <v/>
      </c>
      <c r="V55" s="44" t="str">
        <f>IF(SUMIF('Detailed Budget'!$U$5:$U$1005,$B55,'Detailed Budget'!$BT$5:$BT$1005)&gt;0,SUMIF('Detailed Budget'!$U$5:$U$1005,$B55,'Detailed Budget'!$BT$5:$BT$1005),"")</f>
        <v/>
      </c>
      <c r="W55" s="45" t="str">
        <f>IF(SUMIF('Detailed Budget'!$U$5:$U$1005,$B55,'Detailed Budget'!$BV$5:$BV$1005)&gt;0,SUMIF('Detailed Budget'!$U$5:$U$1005,$B55,'Detailed Budget'!$BV$5:$BV$1005),"")</f>
        <v/>
      </c>
      <c r="X55" s="44">
        <f t="shared" si="5"/>
        <v>19068.414915010209</v>
      </c>
      <c r="Y55" s="122">
        <f t="shared" si="6"/>
        <v>2.7509201593887795E-3</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row>
    <row r="56" spans="2:49" s="35" customFormat="1" ht="25.5" x14ac:dyDescent="0.2">
      <c r="B56" s="233">
        <v>10</v>
      </c>
      <c r="C56" s="371" t="str">
        <f>IFERROR(INDEX('Data Sheet'!$F$198:$F$275,MATCH(B56,'Data Sheet'!$D$198:$D$275,0)),"")</f>
        <v>10.0 Communication Material and Publications (CMP)</v>
      </c>
      <c r="D56" s="44" t="str">
        <f>IF(SUMIF('Detailed Budget'!$U$5:$U$1005,$B56,'Detailed Budget'!$AA$5:$AA$1005)&gt;0,SUMIF('Detailed Budget'!$U$5:$U$1005,$B56,'Detailed Budget'!$AA$5:$AA$1005),"")</f>
        <v/>
      </c>
      <c r="E56" s="44" t="str">
        <f>IF(SUMIF('Detailed Budget'!$U$5:$U$1005,$B56,'Detailed Budget'!$AC$5:$AC$1005)&gt;0,SUMIF('Detailed Budget'!$U$5:$U$1005,$B56,'Detailed Budget'!$AC$5:$AC$1005),"")</f>
        <v/>
      </c>
      <c r="F56" s="44" t="str">
        <f>IF(SUMIF('Detailed Budget'!$U$5:$U$1005,$B56,'Detailed Budget'!$AE$5:$AE$1005)&gt;0,SUMIF('Detailed Budget'!$U$5:$U$1005,$B56,'Detailed Budget'!$AE$5:$AE$1005),"")</f>
        <v/>
      </c>
      <c r="G56" s="44" t="str">
        <f>IF(SUMIF('Detailed Budget'!$U$5:$U$1005,$B56,'Detailed Budget'!$AG$5:$AG$1005)&gt;0,SUMIF('Detailed Budget'!$U$5:$U$1005,$B56,'Detailed Budget'!$AG$5:$AG$1005),"")</f>
        <v/>
      </c>
      <c r="H56" s="45" t="str">
        <f>IF(SUMIF('Detailed Budget'!$U$5:$U$1005,$B56,'Detailed Budget'!$AI$5:$AI$1005)&gt;0,SUMIF('Detailed Budget'!$U$5:$U$1005,$B56,'Detailed Budget'!$AI$5:$AI$1005),"")</f>
        <v/>
      </c>
      <c r="I56" s="44" t="str">
        <f>IF(SUMIF('Detailed Budget'!$U$5:$U$1005,$B56,'Detailed Budget'!$AN$5:$AN$1005)&gt;0,SUMIF('Detailed Budget'!$U$5:$U$1005,$B56,'Detailed Budget'!$AN$5:$AN$1005),"")</f>
        <v/>
      </c>
      <c r="J56" s="44" t="str">
        <f>IF(SUMIF('Detailed Budget'!$U$5:$U$1005,$B56,'Detailed Budget'!$AP$5:$AP$1005)&gt;0,SUMIF('Detailed Budget'!$U$5:$U$1005,$B56,'Detailed Budget'!$AP$5:$AP$1005),"")</f>
        <v/>
      </c>
      <c r="K56" s="44" t="str">
        <f>IF(SUMIF('Detailed Budget'!$U$5:$U$1005,$B56,'Detailed Budget'!$AR$5:$AR$1005)&gt;0,SUMIF('Detailed Budget'!$U$5:$U$1005,$B56,'Detailed Budget'!$AR$5:$AR$1005),"")</f>
        <v/>
      </c>
      <c r="L56" s="44" t="str">
        <f>IF(SUMIF('Detailed Budget'!$U$5:$U$1005,$B56,'Detailed Budget'!$AT$5:$AT$1005)&gt;0,SUMIF('Detailed Budget'!$U$5:$U$1005,$B56,'Detailed Budget'!$AT$5:$AT$1005),"")</f>
        <v/>
      </c>
      <c r="M56" s="45" t="str">
        <f>IF(SUMIF('Detailed Budget'!$U$5:$U$1005,$B56,'Detailed Budget'!$AV$5:$AV$1005)&gt;0,SUMIF('Detailed Budget'!$U$5:$U$1005,$B56,'Detailed Budget'!$AV$5:$AV$1005),"")</f>
        <v/>
      </c>
      <c r="N56" s="44" t="str">
        <f>IF(SUMIF('Detailed Budget'!$U$5:$U$1005,$B56,'Detailed Budget'!$BA$5:$BA$1005)&gt;0,SUMIF('Detailed Budget'!$U$5:$U$1005,$B56,'Detailed Budget'!$BA$5:$BA$1005),"")</f>
        <v/>
      </c>
      <c r="O56" s="44" t="str">
        <f>IF(SUMIF('Detailed Budget'!$U$5:$U$1005,$B56,'Detailed Budget'!$BC$5:$BC$1005)&gt;0,SUMIF('Detailed Budget'!$U$5:$U$1005,$B56,'Detailed Budget'!$BC$5:$BC$1005),"")</f>
        <v/>
      </c>
      <c r="P56" s="44" t="str">
        <f>IF(SUMIF('Detailed Budget'!$U$5:$U$1005,$B56,'Detailed Budget'!$BE$5:$BE$1005)&gt;0,SUMIF('Detailed Budget'!$U$5:$U$1005,$B56,'Detailed Budget'!$BE$5:$BE$1005),"")</f>
        <v/>
      </c>
      <c r="Q56" s="44" t="str">
        <f>IF(SUMIF('Detailed Budget'!$U$5:$U$1005,$B56,'Detailed Budget'!$BG$5:$BG$1005)&gt;0,SUMIF('Detailed Budget'!$U$5:$U$1005,$B56,'Detailed Budget'!$BG$5:$BG$1005),"")</f>
        <v/>
      </c>
      <c r="R56" s="45" t="str">
        <f>IF(SUMIF('Detailed Budget'!$U$5:$U$1005,$B56,'Detailed Budget'!$BI$5:$BI$1005)&gt;0,SUMIF('Detailed Budget'!$U$5:$U$1005,$B56,'Detailed Budget'!$BI$5:$BI$1005),"")</f>
        <v/>
      </c>
      <c r="S56" s="44" t="str">
        <f>IF(SUMIF('Detailed Budget'!$U$5:$U$1005,$B56,'Detailed Budget'!$BN$5:$BN$1005)&gt;0,SUMIF('Detailed Budget'!$U$5:$U$1005,$B56,'Detailed Budget'!$BN$5:$BN$1005),"")</f>
        <v/>
      </c>
      <c r="T56" s="44" t="str">
        <f>IF(SUMIF('Detailed Budget'!$U$5:$U$1005,$B56,'Detailed Budget'!$BP$5:$BP$1005)&gt;0,SUMIF('Detailed Budget'!$U$5:$U$1005,$B56,'Detailed Budget'!$BP$5:$BP$1005),"")</f>
        <v/>
      </c>
      <c r="U56" s="44" t="str">
        <f>IF(SUMIF('Detailed Budget'!$U$5:$U$1005,$B56,'Detailed Budget'!$BR$5:$BR$1005)&gt;0,SUMIF('Detailed Budget'!$U$5:$U$1005,$B56,'Detailed Budget'!$BR$5:$BR$1005),"")</f>
        <v/>
      </c>
      <c r="V56" s="44" t="str">
        <f>IF(SUMIF('Detailed Budget'!$U$5:$U$1005,$B56,'Detailed Budget'!$BT$5:$BT$1005)&gt;0,SUMIF('Detailed Budget'!$U$5:$U$1005,$B56,'Detailed Budget'!$BT$5:$BT$1005),"")</f>
        <v/>
      </c>
      <c r="W56" s="45" t="str">
        <f>IF(SUMIF('Detailed Budget'!$U$5:$U$1005,$B56,'Detailed Budget'!$BV$5:$BV$1005)&gt;0,SUMIF('Detailed Budget'!$U$5:$U$1005,$B56,'Detailed Budget'!$BV$5:$BV$1005),"")</f>
        <v/>
      </c>
      <c r="X56" s="44" t="str">
        <f t="shared" si="5"/>
        <v/>
      </c>
      <c r="Y56" s="122" t="str">
        <f t="shared" si="6"/>
        <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row>
    <row r="57" spans="2:49" s="35" customFormat="1" ht="25.5" x14ac:dyDescent="0.2">
      <c r="B57" s="233">
        <v>11</v>
      </c>
      <c r="C57" s="371" t="str">
        <f>IFERROR(INDEX('Data Sheet'!$F$198:$F$275,MATCH(B57,'Data Sheet'!$D$198:$D$275,0)),"")</f>
        <v>11.0 Programme Administration costs (PA)</v>
      </c>
      <c r="D57" s="44">
        <f>IF(SUMIF('Detailed Budget'!$U$5:$U$1005,$B57,'Detailed Budget'!$AA$5:$AA$1005)&gt;0,SUMIF('Detailed Budget'!$U$5:$U$1005,$B57,'Detailed Budget'!$AA$5:$AA$1005),"")</f>
        <v>20560.548566585636</v>
      </c>
      <c r="E57" s="44">
        <f>IF(SUMIF('Detailed Budget'!$U$5:$U$1005,$B57,'Detailed Budget'!$AC$5:$AC$1005)&gt;0,SUMIF('Detailed Budget'!$U$5:$U$1005,$B57,'Detailed Budget'!$AC$5:$AC$1005),"")</f>
        <v>20560.548566585636</v>
      </c>
      <c r="F57" s="44">
        <f>IF(SUMIF('Detailed Budget'!$U$5:$U$1005,$B57,'Detailed Budget'!$AE$5:$AE$1005)&gt;0,SUMIF('Detailed Budget'!$U$5:$U$1005,$B57,'Detailed Budget'!$AE$5:$AE$1005),"")</f>
        <v>20560.548566585636</v>
      </c>
      <c r="G57" s="44">
        <f>IF(SUMIF('Detailed Budget'!$U$5:$U$1005,$B57,'Detailed Budget'!$AG$5:$AG$1005)&gt;0,SUMIF('Detailed Budget'!$U$5:$U$1005,$B57,'Detailed Budget'!$AG$5:$AG$1005),"")</f>
        <v>20560.548566585636</v>
      </c>
      <c r="H57" s="45">
        <f>IF(SUMIF('Detailed Budget'!$U$5:$U$1005,$B57,'Detailed Budget'!$AI$5:$AI$1005)&gt;0,SUMIF('Detailed Budget'!$U$5:$U$1005,$B57,'Detailed Budget'!$AI$5:$AI$1005),"")</f>
        <v>82242.194266342543</v>
      </c>
      <c r="I57" s="44">
        <f>IF(SUMIF('Detailed Budget'!$U$5:$U$1005,$B57,'Detailed Budget'!$AN$5:$AN$1005)&gt;0,SUMIF('Detailed Budget'!$U$5:$U$1005,$B57,'Detailed Budget'!$AN$5:$AN$1005),"")</f>
        <v>20464.461066585638</v>
      </c>
      <c r="J57" s="44">
        <f>IF(SUMIF('Detailed Budget'!$U$5:$U$1005,$B57,'Detailed Budget'!$AP$5:$AP$1005)&gt;0,SUMIF('Detailed Budget'!$U$5:$U$1005,$B57,'Detailed Budget'!$AP$5:$AP$1005),"")</f>
        <v>20464.461066585638</v>
      </c>
      <c r="K57" s="44">
        <f>IF(SUMIF('Detailed Budget'!$U$5:$U$1005,$B57,'Detailed Budget'!$AR$5:$AR$1005)&gt;0,SUMIF('Detailed Budget'!$U$5:$U$1005,$B57,'Detailed Budget'!$AR$5:$AR$1005),"")</f>
        <v>20464.461066585638</v>
      </c>
      <c r="L57" s="44">
        <f>IF(SUMIF('Detailed Budget'!$U$5:$U$1005,$B57,'Detailed Budget'!$AT$5:$AT$1005)&gt;0,SUMIF('Detailed Budget'!$U$5:$U$1005,$B57,'Detailed Budget'!$AT$5:$AT$1005),"")</f>
        <v>20464.461066585638</v>
      </c>
      <c r="M57" s="45">
        <f>IF(SUMIF('Detailed Budget'!$U$5:$U$1005,$B57,'Detailed Budget'!$AV$5:$AV$1005)&gt;0,SUMIF('Detailed Budget'!$U$5:$U$1005,$B57,'Detailed Budget'!$AV$5:$AV$1005),"")</f>
        <v>81857.844266342552</v>
      </c>
      <c r="N57" s="44">
        <f>IF(SUMIF('Detailed Budget'!$U$5:$U$1005,$B57,'Detailed Budget'!$BA$5:$BA$1005)&gt;0,SUMIF('Detailed Budget'!$U$5:$U$1005,$B57,'Detailed Budget'!$BA$5:$BA$1005),"")</f>
        <v>20359.998566585637</v>
      </c>
      <c r="O57" s="44">
        <f>IF(SUMIF('Detailed Budget'!$U$5:$U$1005,$B57,'Detailed Budget'!$BC$5:$BC$1005)&gt;0,SUMIF('Detailed Budget'!$U$5:$U$1005,$B57,'Detailed Budget'!$BC$5:$BC$1005),"")</f>
        <v>20359.998566585637</v>
      </c>
      <c r="P57" s="44">
        <f>IF(SUMIF('Detailed Budget'!$U$5:$U$1005,$B57,'Detailed Budget'!$BE$5:$BE$1005)&gt;0,SUMIF('Detailed Budget'!$U$5:$U$1005,$B57,'Detailed Budget'!$BE$5:$BE$1005),"")</f>
        <v>20359.998566585637</v>
      </c>
      <c r="Q57" s="44">
        <f>IF(SUMIF('Detailed Budget'!$U$5:$U$1005,$B57,'Detailed Budget'!$BG$5:$BG$1005)&gt;0,SUMIF('Detailed Budget'!$U$5:$U$1005,$B57,'Detailed Budget'!$BG$5:$BG$1005),"")</f>
        <v>20359.998566585637</v>
      </c>
      <c r="R57" s="45">
        <f>IF(SUMIF('Detailed Budget'!$U$5:$U$1005,$B57,'Detailed Budget'!$BI$5:$BI$1005)&gt;0,SUMIF('Detailed Budget'!$U$5:$U$1005,$B57,'Detailed Budget'!$BI$5:$BI$1005),"")</f>
        <v>81439.994266342546</v>
      </c>
      <c r="S57" s="44" t="str">
        <f>IF(SUMIF('Detailed Budget'!$U$5:$U$1005,$B57,'Detailed Budget'!$BN$5:$BN$1005)&gt;0,SUMIF('Detailed Budget'!$U$5:$U$1005,$B57,'Detailed Budget'!$BN$5:$BN$1005),"")</f>
        <v/>
      </c>
      <c r="T57" s="44" t="str">
        <f>IF(SUMIF('Detailed Budget'!$U$5:$U$1005,$B57,'Detailed Budget'!$BP$5:$BP$1005)&gt;0,SUMIF('Detailed Budget'!$U$5:$U$1005,$B57,'Detailed Budget'!$BP$5:$BP$1005),"")</f>
        <v/>
      </c>
      <c r="U57" s="44" t="str">
        <f>IF(SUMIF('Detailed Budget'!$U$5:$U$1005,$B57,'Detailed Budget'!$BR$5:$BR$1005)&gt;0,SUMIF('Detailed Budget'!$U$5:$U$1005,$B57,'Detailed Budget'!$BR$5:$BR$1005),"")</f>
        <v/>
      </c>
      <c r="V57" s="44" t="str">
        <f>IF(SUMIF('Detailed Budget'!$U$5:$U$1005,$B57,'Detailed Budget'!$BT$5:$BT$1005)&gt;0,SUMIF('Detailed Budget'!$U$5:$U$1005,$B57,'Detailed Budget'!$BT$5:$BT$1005),"")</f>
        <v/>
      </c>
      <c r="W57" s="45" t="str">
        <f>IF(SUMIF('Detailed Budget'!$U$5:$U$1005,$B57,'Detailed Budget'!$BV$5:$BV$1005)&gt;0,SUMIF('Detailed Budget'!$U$5:$U$1005,$B57,'Detailed Budget'!$BV$5:$BV$1005),"")</f>
        <v/>
      </c>
      <c r="X57" s="44">
        <f t="shared" si="5"/>
        <v>245540.03279902763</v>
      </c>
      <c r="Y57" s="122">
        <f t="shared" si="6"/>
        <v>3.5423029610716104E-2</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row>
    <row r="58" spans="2:49" s="35" customFormat="1" ht="25.5" x14ac:dyDescent="0.2">
      <c r="B58" s="233">
        <v>12</v>
      </c>
      <c r="C58" s="371" t="str">
        <f>IFERROR(INDEX('Data Sheet'!$F$198:$F$275,MATCH(B58,'Data Sheet'!$D$198:$D$275,0)),"")</f>
        <v>12.0 Living support to client/ target population (LSCTP)</v>
      </c>
      <c r="D58" s="44">
        <f>IF(SUMIF('Detailed Budget'!$U$5:$U$1005,$B58,'Detailed Budget'!$AA$5:$AA$1005)&gt;0,SUMIF('Detailed Budget'!$U$5:$U$1005,$B58,'Detailed Budget'!$AA$5:$AA$1005),"")</f>
        <v>23232.07774000975</v>
      </c>
      <c r="E58" s="44">
        <f>IF(SUMIF('Detailed Budget'!$U$5:$U$1005,$B58,'Detailed Budget'!$AC$5:$AC$1005)&gt;0,SUMIF('Detailed Budget'!$U$5:$U$1005,$B58,'Detailed Budget'!$AC$5:$AC$1005),"")</f>
        <v>23232.07774000975</v>
      </c>
      <c r="F58" s="44">
        <f>IF(SUMIF('Detailed Budget'!$U$5:$U$1005,$B58,'Detailed Budget'!$AE$5:$AE$1005)&gt;0,SUMIF('Detailed Budget'!$U$5:$U$1005,$B58,'Detailed Budget'!$AE$5:$AE$1005),"")</f>
        <v>23232.07774000975</v>
      </c>
      <c r="G58" s="44">
        <f>IF(SUMIF('Detailed Budget'!$U$5:$U$1005,$B58,'Detailed Budget'!$AG$5:$AG$1005)&gt;0,SUMIF('Detailed Budget'!$U$5:$U$1005,$B58,'Detailed Budget'!$AG$5:$AG$1005),"")</f>
        <v>23232.07774000975</v>
      </c>
      <c r="H58" s="45">
        <f>IF(SUMIF('Detailed Budget'!$U$5:$U$1005,$B58,'Detailed Budget'!$AI$5:$AI$1005)&gt;0,SUMIF('Detailed Budget'!$U$5:$U$1005,$B58,'Detailed Budget'!$AI$5:$AI$1005),"")</f>
        <v>92928.310960039002</v>
      </c>
      <c r="I58" s="44">
        <f>IF(SUMIF('Detailed Budget'!$U$5:$U$1005,$B58,'Detailed Budget'!$AN$5:$AN$1005)&gt;0,SUMIF('Detailed Budget'!$U$5:$U$1005,$B58,'Detailed Budget'!$AN$5:$AN$1005),"")</f>
        <v>23232.07774000975</v>
      </c>
      <c r="J58" s="44">
        <f>IF(SUMIF('Detailed Budget'!$U$5:$U$1005,$B58,'Detailed Budget'!$AP$5:$AP$1005)&gt;0,SUMIF('Detailed Budget'!$U$5:$U$1005,$B58,'Detailed Budget'!$AP$5:$AP$1005),"")</f>
        <v>23232.07774000975</v>
      </c>
      <c r="K58" s="44">
        <f>IF(SUMIF('Detailed Budget'!$U$5:$U$1005,$B58,'Detailed Budget'!$AR$5:$AR$1005)&gt;0,SUMIF('Detailed Budget'!$U$5:$U$1005,$B58,'Detailed Budget'!$AR$5:$AR$1005),"")</f>
        <v>23232.07774000975</v>
      </c>
      <c r="L58" s="44">
        <f>IF(SUMIF('Detailed Budget'!$U$5:$U$1005,$B58,'Detailed Budget'!$AT$5:$AT$1005)&gt;0,SUMIF('Detailed Budget'!$U$5:$U$1005,$B58,'Detailed Budget'!$AT$5:$AT$1005),"")</f>
        <v>23232.07774000975</v>
      </c>
      <c r="M58" s="45">
        <f>IF(SUMIF('Detailed Budget'!$U$5:$U$1005,$B58,'Detailed Budget'!$AV$5:$AV$1005)&gt;0,SUMIF('Detailed Budget'!$U$5:$U$1005,$B58,'Detailed Budget'!$AV$5:$AV$1005),"")</f>
        <v>92928.310960039002</v>
      </c>
      <c r="N58" s="44">
        <f>IF(SUMIF('Detailed Budget'!$U$5:$U$1005,$B58,'Detailed Budget'!$BA$5:$BA$1005)&gt;0,SUMIF('Detailed Budget'!$U$5:$U$1005,$B58,'Detailed Budget'!$BA$5:$BA$1005),"")</f>
        <v>23232.07774000975</v>
      </c>
      <c r="O58" s="44">
        <f>IF(SUMIF('Detailed Budget'!$U$5:$U$1005,$B58,'Detailed Budget'!$BC$5:$BC$1005)&gt;0,SUMIF('Detailed Budget'!$U$5:$U$1005,$B58,'Detailed Budget'!$BC$5:$BC$1005),"")</f>
        <v>23232.07774000975</v>
      </c>
      <c r="P58" s="44">
        <f>IF(SUMIF('Detailed Budget'!$U$5:$U$1005,$B58,'Detailed Budget'!$BE$5:$BE$1005)&gt;0,SUMIF('Detailed Budget'!$U$5:$U$1005,$B58,'Detailed Budget'!$BE$5:$BE$1005),"")</f>
        <v>23232.07774000975</v>
      </c>
      <c r="Q58" s="44">
        <f>IF(SUMIF('Detailed Budget'!$U$5:$U$1005,$B58,'Detailed Budget'!$BG$5:$BG$1005)&gt;0,SUMIF('Detailed Budget'!$U$5:$U$1005,$B58,'Detailed Budget'!$BG$5:$BG$1005),"")</f>
        <v>23232.07774000975</v>
      </c>
      <c r="R58" s="45">
        <f>IF(SUMIF('Detailed Budget'!$U$5:$U$1005,$B58,'Detailed Budget'!$BI$5:$BI$1005)&gt;0,SUMIF('Detailed Budget'!$U$5:$U$1005,$B58,'Detailed Budget'!$BI$5:$BI$1005),"")</f>
        <v>92928.310960039002</v>
      </c>
      <c r="S58" s="44" t="str">
        <f>IF(SUMIF('Detailed Budget'!$U$5:$U$1005,$B58,'Detailed Budget'!$BN$5:$BN$1005)&gt;0,SUMIF('Detailed Budget'!$U$5:$U$1005,$B58,'Detailed Budget'!$BN$5:$BN$1005),"")</f>
        <v/>
      </c>
      <c r="T58" s="44" t="str">
        <f>IF(SUMIF('Detailed Budget'!$U$5:$U$1005,$B58,'Detailed Budget'!$BP$5:$BP$1005)&gt;0,SUMIF('Detailed Budget'!$U$5:$U$1005,$B58,'Detailed Budget'!$BP$5:$BP$1005),"")</f>
        <v/>
      </c>
      <c r="U58" s="44" t="str">
        <f>IF(SUMIF('Detailed Budget'!$U$5:$U$1005,$B58,'Detailed Budget'!$BR$5:$BR$1005)&gt;0,SUMIF('Detailed Budget'!$U$5:$U$1005,$B58,'Detailed Budget'!$BR$5:$BR$1005),"")</f>
        <v/>
      </c>
      <c r="V58" s="44" t="str">
        <f>IF(SUMIF('Detailed Budget'!$U$5:$U$1005,$B58,'Detailed Budget'!$BT$5:$BT$1005)&gt;0,SUMIF('Detailed Budget'!$U$5:$U$1005,$B58,'Detailed Budget'!$BT$5:$BT$1005),"")</f>
        <v/>
      </c>
      <c r="W58" s="45" t="str">
        <f>IF(SUMIF('Detailed Budget'!$U$5:$U$1005,$B58,'Detailed Budget'!$BV$5:$BV$1005)&gt;0,SUMIF('Detailed Budget'!$U$5:$U$1005,$B58,'Detailed Budget'!$BV$5:$BV$1005),"")</f>
        <v/>
      </c>
      <c r="X58" s="44">
        <f t="shared" si="5"/>
        <v>278784.93288011698</v>
      </c>
      <c r="Y58" s="122">
        <f t="shared" si="6"/>
        <v>4.0219131763808223E-2</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row>
    <row r="59" spans="2:49" s="35" customFormat="1" x14ac:dyDescent="0.2">
      <c r="B59" s="233">
        <v>13</v>
      </c>
      <c r="C59" s="371" t="str">
        <f>IFERROR(INDEX('Data Sheet'!$F$198:$F$275,MATCH(B59,'Data Sheet'!$D$198:$D$275,0)),"")</f>
        <v>13.0 Payment for Results</v>
      </c>
      <c r="D59" s="44">
        <f>IF(SUMIF('Detailed Budget'!$U$5:$U$1005,$B59,'Detailed Budget'!$AA$5:$AA$1005)&gt;0,SUMIF('Detailed Budget'!$U$5:$U$1005,$B59,'Detailed Budget'!$AA$5:$AA$1005),"")</f>
        <v>1161.1611778007398</v>
      </c>
      <c r="E59" s="44">
        <f>IF(SUMIF('Detailed Budget'!$U$5:$U$1005,$B59,'Detailed Budget'!$AC$5:$AC$1005)&gt;0,SUMIF('Detailed Budget'!$U$5:$U$1005,$B59,'Detailed Budget'!$AC$5:$AC$1005),"")</f>
        <v>1161.1611778007398</v>
      </c>
      <c r="F59" s="44">
        <f>IF(SUMIF('Detailed Budget'!$U$5:$U$1005,$B59,'Detailed Budget'!$AE$5:$AE$1005)&gt;0,SUMIF('Detailed Budget'!$U$5:$U$1005,$B59,'Detailed Budget'!$AE$5:$AE$1005),"")</f>
        <v>1161.1611778007398</v>
      </c>
      <c r="G59" s="44">
        <f>IF(SUMIF('Detailed Budget'!$U$5:$U$1005,$B59,'Detailed Budget'!$AG$5:$AG$1005)&gt;0,SUMIF('Detailed Budget'!$U$5:$U$1005,$B59,'Detailed Budget'!$AG$5:$AG$1005),"")</f>
        <v>1161.1611778007398</v>
      </c>
      <c r="H59" s="45">
        <f>IF(SUMIF('Detailed Budget'!$U$5:$U$1005,$B59,'Detailed Budget'!$AI$5:$AI$1005)&gt;0,SUMIF('Detailed Budget'!$U$5:$U$1005,$B59,'Detailed Budget'!$AI$5:$AI$1005),"")</f>
        <v>4644.6447112029591</v>
      </c>
      <c r="I59" s="44">
        <f>IF(SUMIF('Detailed Budget'!$U$5:$U$1005,$B59,'Detailed Budget'!$AN$5:$AN$1005)&gt;0,SUMIF('Detailed Budget'!$U$5:$U$1005,$B59,'Detailed Budget'!$AN$5:$AN$1005),"")</f>
        <v>1161.1611778007398</v>
      </c>
      <c r="J59" s="44">
        <f>IF(SUMIF('Detailed Budget'!$U$5:$U$1005,$B59,'Detailed Budget'!$AP$5:$AP$1005)&gt;0,SUMIF('Detailed Budget'!$U$5:$U$1005,$B59,'Detailed Budget'!$AP$5:$AP$1005),"")</f>
        <v>1161.1611778007398</v>
      </c>
      <c r="K59" s="44">
        <f>IF(SUMIF('Detailed Budget'!$U$5:$U$1005,$B59,'Detailed Budget'!$AR$5:$AR$1005)&gt;0,SUMIF('Detailed Budget'!$U$5:$U$1005,$B59,'Detailed Budget'!$AR$5:$AR$1005),"")</f>
        <v>1161.1611778007398</v>
      </c>
      <c r="L59" s="44">
        <f>IF(SUMIF('Detailed Budget'!$U$5:$U$1005,$B59,'Detailed Budget'!$AT$5:$AT$1005)&gt;0,SUMIF('Detailed Budget'!$U$5:$U$1005,$B59,'Detailed Budget'!$AT$5:$AT$1005),"")</f>
        <v>1161.1611778007398</v>
      </c>
      <c r="M59" s="45">
        <f>IF(SUMIF('Detailed Budget'!$U$5:$U$1005,$B59,'Detailed Budget'!$AV$5:$AV$1005)&gt;0,SUMIF('Detailed Budget'!$U$5:$U$1005,$B59,'Detailed Budget'!$AV$5:$AV$1005),"")</f>
        <v>4644.6447112029591</v>
      </c>
      <c r="N59" s="44">
        <f>IF(SUMIF('Detailed Budget'!$U$5:$U$1005,$B59,'Detailed Budget'!$BA$5:$BA$1005)&gt;0,SUMIF('Detailed Budget'!$U$5:$U$1005,$B59,'Detailed Budget'!$BA$5:$BA$1005),"")</f>
        <v>1161.1611778007398</v>
      </c>
      <c r="O59" s="44">
        <f>IF(SUMIF('Detailed Budget'!$U$5:$U$1005,$B59,'Detailed Budget'!$BC$5:$BC$1005)&gt;0,SUMIF('Detailed Budget'!$U$5:$U$1005,$B59,'Detailed Budget'!$BC$5:$BC$1005),"")</f>
        <v>1161.1611778007398</v>
      </c>
      <c r="P59" s="44">
        <f>IF(SUMIF('Detailed Budget'!$U$5:$U$1005,$B59,'Detailed Budget'!$BE$5:$BE$1005)&gt;0,SUMIF('Detailed Budget'!$U$5:$U$1005,$B59,'Detailed Budget'!$BE$5:$BE$1005),"")</f>
        <v>1161.1611778007398</v>
      </c>
      <c r="Q59" s="44">
        <f>IF(SUMIF('Detailed Budget'!$U$5:$U$1005,$B59,'Detailed Budget'!$BG$5:$BG$1005)&gt;0,SUMIF('Detailed Budget'!$U$5:$U$1005,$B59,'Detailed Budget'!$BG$5:$BG$1005),"")</f>
        <v>1161.1611778007398</v>
      </c>
      <c r="R59" s="45">
        <f>IF(SUMIF('Detailed Budget'!$U$5:$U$1005,$B59,'Detailed Budget'!$BI$5:$BI$1005)&gt;0,SUMIF('Detailed Budget'!$U$5:$U$1005,$B59,'Detailed Budget'!$BI$5:$BI$1005),"")</f>
        <v>4644.6447112029591</v>
      </c>
      <c r="S59" s="44" t="str">
        <f>IF(SUMIF('Detailed Budget'!$U$5:$U$1005,$B59,'Detailed Budget'!$BN$5:$BN$1005)&gt;0,SUMIF('Detailed Budget'!$U$5:$U$1005,$B59,'Detailed Budget'!$BN$5:$BN$1005),"")</f>
        <v/>
      </c>
      <c r="T59" s="44" t="str">
        <f>IF(SUMIF('Detailed Budget'!$U$5:$U$1005,$B59,'Detailed Budget'!$BP$5:$BP$1005)&gt;0,SUMIF('Detailed Budget'!$U$5:$U$1005,$B59,'Detailed Budget'!$BP$5:$BP$1005),"")</f>
        <v/>
      </c>
      <c r="U59" s="44" t="str">
        <f>IF(SUMIF('Detailed Budget'!$U$5:$U$1005,$B59,'Detailed Budget'!$BR$5:$BR$1005)&gt;0,SUMIF('Detailed Budget'!$U$5:$U$1005,$B59,'Detailed Budget'!$BR$5:$BR$1005),"")</f>
        <v/>
      </c>
      <c r="V59" s="44" t="str">
        <f>IF(SUMIF('Detailed Budget'!$U$5:$U$1005,$B59,'Detailed Budget'!$BT$5:$BT$1005)&gt;0,SUMIF('Detailed Budget'!$U$5:$U$1005,$B59,'Detailed Budget'!$BT$5:$BT$1005),"")</f>
        <v/>
      </c>
      <c r="W59" s="45" t="str">
        <f>IF(SUMIF('Detailed Budget'!$U$5:$U$1005,$B59,'Detailed Budget'!$BV$5:$BV$1005)&gt;0,SUMIF('Detailed Budget'!$U$5:$U$1005,$B59,'Detailed Budget'!$BV$5:$BV$1005),"")</f>
        <v/>
      </c>
      <c r="X59" s="44">
        <f t="shared" si="5"/>
        <v>13933.934133608876</v>
      </c>
      <c r="Y59" s="122">
        <f t="shared" si="6"/>
        <v>2.0101901746204772E-3</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row>
    <row r="60" spans="2:49" s="35" customFormat="1" x14ac:dyDescent="0.2">
      <c r="C60" s="371" t="str">
        <f>IFERROR(INDEX('Data Sheet'!$F$198:$F$275,MATCH(B60,'Data Sheet'!$D$198:$D$275,0)),"")</f>
        <v/>
      </c>
      <c r="D60" s="44" t="str">
        <f>IF(SUMIF('Detailed Budget'!$U$5:$U$1005,$B60,'Detailed Budget'!$AA$5:$AA$1005)&gt;0,SUMIF('Detailed Budget'!$U$5:$U$1005,$B60,'Detailed Budget'!$AA$5:$AA$1005),"")</f>
        <v/>
      </c>
      <c r="E60" s="44" t="str">
        <f>IF(SUMIF('Detailed Budget'!$U$5:$U$1005,$B60,'Detailed Budget'!$AC$5:$AC$1005)&gt;0,SUMIF('Detailed Budget'!$U$5:$U$1005,$B60,'Detailed Budget'!$AC$5:$AC$1005),"")</f>
        <v/>
      </c>
      <c r="F60" s="44" t="str">
        <f>IF(SUMIF('Detailed Budget'!$U$5:$U$1005,$B60,'Detailed Budget'!$AE$5:$AE$1005)&gt;0,SUMIF('Detailed Budget'!$U$5:$U$1005,$B60,'Detailed Budget'!$AE$5:$AE$1005),"")</f>
        <v/>
      </c>
      <c r="G60" s="44" t="str">
        <f>IF(SUMIF('Detailed Budget'!$U$5:$U$1005,$B60,'Detailed Budget'!$AG$5:$AG$1005)&gt;0,SUMIF('Detailed Budget'!$U$5:$U$1005,$B60,'Detailed Budget'!$AG$5:$AG$1005),"")</f>
        <v/>
      </c>
      <c r="H60" s="45" t="str">
        <f>IF(SUMIF('Detailed Budget'!$U$5:$U$1005,$B60,'Detailed Budget'!$AI$5:$AI$1005)&gt;0,SUMIF('Detailed Budget'!$U$5:$U$1005,$B60,'Detailed Budget'!$AI$5:$AI$1005),"")</f>
        <v/>
      </c>
      <c r="I60" s="44" t="str">
        <f>IF(SUMIF('Detailed Budget'!$U$5:$U$1005,$B60,'Detailed Budget'!$AN$5:$AN$1005)&gt;0,SUMIF('Detailed Budget'!$U$5:$U$1005,$B60,'Detailed Budget'!$AN$5:$AN$1005),"")</f>
        <v/>
      </c>
      <c r="J60" s="44" t="str">
        <f>IF(SUMIF('Detailed Budget'!$U$5:$U$1005,$B60,'Detailed Budget'!$AP$5:$AP$1005)&gt;0,SUMIF('Detailed Budget'!$U$5:$U$1005,$B60,'Detailed Budget'!$AP$5:$AP$1005),"")</f>
        <v/>
      </c>
      <c r="K60" s="44" t="str">
        <f>IF(SUMIF('Detailed Budget'!$U$5:$U$1005,$B60,'Detailed Budget'!$AR$5:$AR$1005)&gt;0,SUMIF('Detailed Budget'!$U$5:$U$1005,$B60,'Detailed Budget'!$AR$5:$AR$1005),"")</f>
        <v/>
      </c>
      <c r="L60" s="44" t="str">
        <f>IF(SUMIF('Detailed Budget'!$U$5:$U$1005,$B60,'Detailed Budget'!$AT$5:$AT$1005)&gt;0,SUMIF('Detailed Budget'!$U$5:$U$1005,$B60,'Detailed Budget'!$AT$5:$AT$1005),"")</f>
        <v/>
      </c>
      <c r="M60" s="45" t="str">
        <f>IF(SUMIF('Detailed Budget'!$U$5:$U$1005,$B60,'Detailed Budget'!$AV$5:$AV$1005)&gt;0,SUMIF('Detailed Budget'!$U$5:$U$1005,$B60,'Detailed Budget'!$AV$5:$AV$1005),"")</f>
        <v/>
      </c>
      <c r="N60" s="44" t="str">
        <f>IF(SUMIF('Detailed Budget'!$U$5:$U$1005,$B60,'Detailed Budget'!$BA$5:$BA$1005)&gt;0,SUMIF('Detailed Budget'!$U$5:$U$1005,$B60,'Detailed Budget'!$BA$5:$BA$1005),"")</f>
        <v/>
      </c>
      <c r="O60" s="44" t="str">
        <f>IF(SUMIF('Detailed Budget'!$U$5:$U$1005,$B60,'Detailed Budget'!$BC$5:$BC$1005)&gt;0,SUMIF('Detailed Budget'!$U$5:$U$1005,$B60,'Detailed Budget'!$BC$5:$BC$1005),"")</f>
        <v/>
      </c>
      <c r="P60" s="44" t="str">
        <f>IF(SUMIF('Detailed Budget'!$U$5:$U$1005,$B60,'Detailed Budget'!$BE$5:$BE$1005)&gt;0,SUMIF('Detailed Budget'!$U$5:$U$1005,$B60,'Detailed Budget'!$BE$5:$BE$1005),"")</f>
        <v/>
      </c>
      <c r="Q60" s="44" t="str">
        <f>IF(SUMIF('Detailed Budget'!$U$5:$U$1005,$B60,'Detailed Budget'!$BG$5:$BG$1005)&gt;0,SUMIF('Detailed Budget'!$U$5:$U$1005,$B60,'Detailed Budget'!$BG$5:$BG$1005),"")</f>
        <v/>
      </c>
      <c r="R60" s="45" t="str">
        <f>IF(SUMIF('Detailed Budget'!$U$5:$U$1005,$B60,'Detailed Budget'!$BI$5:$BI$1005)&gt;0,SUMIF('Detailed Budget'!$U$5:$U$1005,$B60,'Detailed Budget'!$BI$5:$BI$1005),"")</f>
        <v/>
      </c>
      <c r="S60" s="44" t="str">
        <f>IF(SUMIF('Detailed Budget'!$U$5:$U$1005,$B60,'Detailed Budget'!$BN$5:$BN$1005)&gt;0,SUMIF('Detailed Budget'!$U$5:$U$1005,$B60,'Detailed Budget'!$BN$5:$BN$1005),"")</f>
        <v/>
      </c>
      <c r="T60" s="44" t="str">
        <f>IF(SUMIF('Detailed Budget'!$U$5:$U$1005,$B60,'Detailed Budget'!$BP$5:$BP$1005)&gt;0,SUMIF('Detailed Budget'!$U$5:$U$1005,$B60,'Detailed Budget'!$BP$5:$BP$1005),"")</f>
        <v/>
      </c>
      <c r="U60" s="44" t="str">
        <f>IF(SUMIF('Detailed Budget'!$U$5:$U$1005,$B60,'Detailed Budget'!$BR$5:$BR$1005)&gt;0,SUMIF('Detailed Budget'!$U$5:$U$1005,$B60,'Detailed Budget'!$BR$5:$BR$1005),"")</f>
        <v/>
      </c>
      <c r="V60" s="44" t="str">
        <f>IF(SUMIF('Detailed Budget'!$U$5:$U$1005,$B60,'Detailed Budget'!$BT$5:$BT$1005)&gt;0,SUMIF('Detailed Budget'!$U$5:$U$1005,$B60,'Detailed Budget'!$BT$5:$BT$1005),"")</f>
        <v/>
      </c>
      <c r="W60" s="45" t="str">
        <f>IF(SUMIF('Detailed Budget'!$U$5:$U$1005,$B60,'Detailed Budget'!$BV$5:$BV$1005)&gt;0,SUMIF('Detailed Budget'!$U$5:$U$1005,$B60,'Detailed Budget'!$BV$5:$BV$1005),"")</f>
        <v/>
      </c>
      <c r="X60" s="44" t="str">
        <f t="shared" si="5"/>
        <v/>
      </c>
      <c r="Y60" s="122" t="str">
        <f t="shared" si="6"/>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row>
    <row r="61" spans="2:49" s="39" customFormat="1" x14ac:dyDescent="0.2">
      <c r="C61" s="46" t="str">
        <f ca="1">Translations!A$174</f>
        <v>Total</v>
      </c>
      <c r="D61" s="47">
        <f t="shared" ref="D61:W61" si="7">IF(SUM(D47:D60)&gt;0,SUM(D47:D60),"")</f>
        <v>1451516.54961346</v>
      </c>
      <c r="E61" s="47">
        <f t="shared" si="7"/>
        <v>294720.31315088744</v>
      </c>
      <c r="F61" s="47">
        <f t="shared" si="7"/>
        <v>217075.38567376207</v>
      </c>
      <c r="G61" s="47">
        <f t="shared" si="7"/>
        <v>283621.58501355269</v>
      </c>
      <c r="H61" s="48">
        <f t="shared" si="7"/>
        <v>2246933.8334516617</v>
      </c>
      <c r="I61" s="47">
        <f t="shared" si="7"/>
        <v>1460333.375012686</v>
      </c>
      <c r="J61" s="47">
        <f t="shared" si="7"/>
        <v>276858.99165088742</v>
      </c>
      <c r="K61" s="47">
        <f t="shared" si="7"/>
        <v>208593.54817376207</v>
      </c>
      <c r="L61" s="47">
        <f t="shared" si="7"/>
        <v>284139.74751355272</v>
      </c>
      <c r="M61" s="48">
        <f t="shared" si="7"/>
        <v>2229925.6623508884</v>
      </c>
      <c r="N61" s="47">
        <f t="shared" si="7"/>
        <v>1486191.8176191491</v>
      </c>
      <c r="O61" s="47">
        <f t="shared" si="7"/>
        <v>500118.16648696351</v>
      </c>
      <c r="P61" s="47">
        <f t="shared" si="7"/>
        <v>218121.76317376207</v>
      </c>
      <c r="Q61" s="47">
        <f t="shared" si="7"/>
        <v>250358.46326418838</v>
      </c>
      <c r="R61" s="48">
        <f t="shared" si="7"/>
        <v>2454790.2105440628</v>
      </c>
      <c r="S61" s="47" t="str">
        <f t="shared" si="7"/>
        <v/>
      </c>
      <c r="T61" s="47" t="str">
        <f t="shared" si="7"/>
        <v/>
      </c>
      <c r="U61" s="47" t="str">
        <f t="shared" si="7"/>
        <v/>
      </c>
      <c r="V61" s="47" t="str">
        <f t="shared" si="7"/>
        <v/>
      </c>
      <c r="W61" s="48" t="str">
        <f t="shared" si="7"/>
        <v/>
      </c>
      <c r="X61" s="47">
        <f t="shared" si="5"/>
        <v>6931649.7063466124</v>
      </c>
      <c r="Y61" s="122">
        <f t="shared" si="6"/>
        <v>1</v>
      </c>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row>
    <row r="62" spans="2:49" s="35" customFormat="1" x14ac:dyDescent="0.2">
      <c r="D62" s="36"/>
      <c r="E62" s="36"/>
      <c r="F62" s="36"/>
      <c r="G62" s="36"/>
      <c r="H62" s="36"/>
      <c r="I62" s="36"/>
      <c r="J62" s="36"/>
      <c r="K62" s="36"/>
      <c r="L62" s="36"/>
      <c r="M62" s="36"/>
      <c r="N62" s="36"/>
      <c r="O62" s="36"/>
      <c r="P62" s="36"/>
      <c r="Q62" s="36"/>
      <c r="R62" s="36"/>
      <c r="S62" s="36"/>
      <c r="T62" s="36"/>
      <c r="U62" s="36"/>
      <c r="V62" s="36"/>
      <c r="W62" s="36"/>
      <c r="X62" s="36"/>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row>
    <row r="63" spans="2:49" s="35" customFormat="1" x14ac:dyDescent="0.2">
      <c r="D63" s="36"/>
      <c r="E63" s="36"/>
      <c r="F63" s="36"/>
      <c r="G63" s="36"/>
      <c r="H63" s="36"/>
      <c r="I63" s="36"/>
      <c r="J63" s="36"/>
      <c r="K63" s="36"/>
      <c r="L63" s="36"/>
      <c r="M63" s="36"/>
      <c r="N63" s="36"/>
      <c r="O63" s="36"/>
      <c r="P63" s="36"/>
      <c r="Q63" s="36"/>
      <c r="R63" s="36"/>
      <c r="S63" s="36"/>
      <c r="T63" s="36"/>
      <c r="U63" s="36"/>
      <c r="V63" s="36"/>
      <c r="W63" s="36"/>
      <c r="X63" s="36"/>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row>
    <row r="64" spans="2:49" s="39" customFormat="1" x14ac:dyDescent="0.2">
      <c r="B64" s="39" t="str">
        <f>""</f>
        <v/>
      </c>
      <c r="C64" s="40" t="str">
        <f ca="1">Translations!A$168</f>
        <v>By Recipients</v>
      </c>
      <c r="D64" s="41" t="s">
        <v>1168</v>
      </c>
      <c r="E64" s="41" t="s">
        <v>1169</v>
      </c>
      <c r="F64" s="41" t="s">
        <v>1170</v>
      </c>
      <c r="G64" s="41" t="s">
        <v>1171</v>
      </c>
      <c r="H64" s="41" t="str">
        <f ca="1">Translations!A$160</f>
        <v>Year 1</v>
      </c>
      <c r="I64" s="41" t="s">
        <v>1223</v>
      </c>
      <c r="J64" s="41" t="s">
        <v>1224</v>
      </c>
      <c r="K64" s="41" t="s">
        <v>1225</v>
      </c>
      <c r="L64" s="41" t="s">
        <v>1226</v>
      </c>
      <c r="M64" s="41" t="str">
        <f ca="1">Translations!$A$161</f>
        <v>Year 2</v>
      </c>
      <c r="N64" s="41" t="s">
        <v>1227</v>
      </c>
      <c r="O64" s="41" t="s">
        <v>1228</v>
      </c>
      <c r="P64" s="41" t="s">
        <v>1229</v>
      </c>
      <c r="Q64" s="41" t="s">
        <v>1230</v>
      </c>
      <c r="R64" s="41" t="str">
        <f ca="1">Translations!$A$162</f>
        <v>Year 3</v>
      </c>
      <c r="S64" s="41" t="s">
        <v>1231</v>
      </c>
      <c r="T64" s="41" t="s">
        <v>1232</v>
      </c>
      <c r="U64" s="41" t="s">
        <v>1233</v>
      </c>
      <c r="V64" s="41" t="s">
        <v>1234</v>
      </c>
      <c r="W64" s="41" t="str">
        <f ca="1">Translations!A163</f>
        <v>Year 4</v>
      </c>
      <c r="X64" s="41" t="str">
        <f ca="1">Translations!$A$174</f>
        <v>Total</v>
      </c>
      <c r="Y64" s="41" t="s">
        <v>1864</v>
      </c>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row>
    <row r="65" spans="2:49" s="35" customFormat="1" x14ac:dyDescent="0.2">
      <c r="B65" s="39" t="str">
        <f t="array" ref="B65">IFERROR(INDEX(RecipientList,MATCH(0,COUNTIF(RecipientList,"&lt;"&amp;RecipientList)-SUM(COUNTIF(RecipientList,B$64:B64)),0)),"")</f>
        <v>CHAS</v>
      </c>
      <c r="C65" s="371" t="str">
        <f>B65</f>
        <v>CHAS</v>
      </c>
      <c r="D65" s="44">
        <f>IF(SUMIF('Detailed Budget'!$M$5:$M$1005,$C65,'Detailed Budget'!$AA$5:$AA$1005)&gt;0,SUMIF('Detailed Budget'!$M$5:$M$1005,$C65,'Detailed Budget'!$AA$5:$AA$1005),"")</f>
        <v>1306147.3800889468</v>
      </c>
      <c r="E65" s="44">
        <f>IF(SUMIF('Detailed Budget'!$M$5:$M$1005,$C65,'Detailed Budget'!$AC$5:$AC$1005)&gt;0,SUMIF('Detailed Budget'!$M$5:$M$1005,$C65,'Detailed Budget'!$AC$5:$AC$1005),"")</f>
        <v>135188.96548894656</v>
      </c>
      <c r="F65" s="44">
        <f>IF(SUMIF('Detailed Budget'!$M$5:$M$1005,$C65,'Detailed Budget'!$AE$5:$AE$1005)&gt;0,SUMIF('Detailed Budget'!$M$5:$M$1005,$C65,'Detailed Budget'!$AE$5:$AE$1005),"")</f>
        <v>59253.289488946553</v>
      </c>
      <c r="G65" s="44">
        <f>IF(SUMIF('Detailed Budget'!$M$5:$M$1005,$C65,'Detailed Budget'!$AG$5:$AG$1005)&gt;0,SUMIF('Detailed Budget'!$M$5:$M$1005,$C65,'Detailed Budget'!$AG$5:$AG$1005),"")</f>
        <v>93562.788738310875</v>
      </c>
      <c r="H65" s="45">
        <f>IF(SUMIF('Detailed Budget'!$M$5:$M$1005,$C65,'Detailed Budget'!$AI$5:$AI$1005)&gt;0,SUMIF('Detailed Budget'!$M$5:$M$1005,$C65,'Detailed Budget'!$AI$5:$AI$1005),"")</f>
        <v>1594152.4238051509</v>
      </c>
      <c r="I65" s="44">
        <f>IF(SUMIF('Detailed Budget'!$M$5:$M$1005,$C65,'Detailed Budget'!$AN$5:$AN$1005)&gt;0,SUMIF('Detailed Budget'!$M$5:$M$1005,$C65,'Detailed Budget'!$AN$5:$AN$1005),"")</f>
        <v>1315195.6189235549</v>
      </c>
      <c r="J65" s="44">
        <f>IF(SUMIF('Detailed Budget'!$M$5:$M$1005,$C65,'Detailed Budget'!$AP$5:$AP$1005)&gt;0,SUMIF('Detailed Budget'!$M$5:$M$1005,$C65,'Detailed Budget'!$AP$5:$AP$1005),"")</f>
        <v>119109.48148894658</v>
      </c>
      <c r="K65" s="44">
        <f>IF(SUMIF('Detailed Budget'!$M$5:$M$1005,$C65,'Detailed Budget'!$AR$5:$AR$1005)&gt;0,SUMIF('Detailed Budget'!$M$5:$M$1005,$C65,'Detailed Budget'!$AR$5:$AR$1005),"")</f>
        <v>59253.289488946553</v>
      </c>
      <c r="L65" s="44">
        <f>IF(SUMIF('Detailed Budget'!$M$5:$M$1005,$C65,'Detailed Budget'!$AT$5:$AT$1005)&gt;0,SUMIF('Detailed Budget'!$M$5:$M$1005,$C65,'Detailed Budget'!$AT$5:$AT$1005),"")</f>
        <v>93562.788738310875</v>
      </c>
      <c r="M65" s="45">
        <f>IF(SUMIF('Detailed Budget'!$M$5:$M$1005,$C65,'Detailed Budget'!$AV$5:$AV$1005)&gt;0,SUMIF('Detailed Budget'!$M$5:$M$1005,$C65,'Detailed Budget'!$AV$5:$AV$1005),"")</f>
        <v>1587121.1786397588</v>
      </c>
      <c r="N65" s="44">
        <f>IF(SUMIF('Detailed Budget'!$M$5:$M$1005,$C65,'Detailed Budget'!$BA$5:$BA$1005)&gt;0,SUMIF('Detailed Budget'!$M$5:$M$1005,$C65,'Detailed Budget'!$BA$5:$BA$1005),"")</f>
        <v>1340525.8465300177</v>
      </c>
      <c r="O65" s="44">
        <f>IF(SUMIF('Detailed Budget'!$M$5:$M$1005,$C65,'Detailed Budget'!$BC$5:$BC$1005)&gt;0,SUMIF('Detailed Budget'!$M$5:$M$1005,$C65,'Detailed Budget'!$BC$5:$BC$1005),"")</f>
        <v>341840.44132502266</v>
      </c>
      <c r="P65" s="44">
        <f>IF(SUMIF('Detailed Budget'!$M$5:$M$1005,$C65,'Detailed Budget'!$BE$5:$BE$1005)&gt;0,SUMIF('Detailed Budget'!$M$5:$M$1005,$C65,'Detailed Budget'!$BE$5:$BE$1005),"")</f>
        <v>59253.289488946553</v>
      </c>
      <c r="Q65" s="44">
        <f>IF(SUMIF('Detailed Budget'!$M$5:$M$1005,$C65,'Detailed Budget'!$BG$5:$BG$1005)&gt;0,SUMIF('Detailed Budget'!$M$5:$M$1005,$C65,'Detailed Budget'!$BG$5:$BG$1005),"")</f>
        <v>59253.289488946553</v>
      </c>
      <c r="R65" s="45">
        <f>IF(SUMIF('Detailed Budget'!$M$5:$M$1005,$C65,'Detailed Budget'!$BI$5:$BI$1005)&gt;0,SUMIF('Detailed Budget'!$M$5:$M$1005,$C65,'Detailed Budget'!$BI$5:$BI$1005),"")</f>
        <v>1800872.8668329336</v>
      </c>
      <c r="S65" s="44" t="str">
        <f>IF(SUMIF('Detailed Budget'!$M$5:$M$1005,$C65,'Detailed Budget'!$BN$5:$BN$1005)&gt;0,SUMIF('Detailed Budget'!$M$5:$M$1005,$C65,'Detailed Budget'!$BN$5:$BN$1005),"")</f>
        <v/>
      </c>
      <c r="T65" s="44" t="str">
        <f>IF(SUMIF('Detailed Budget'!$M$5:$M$1005,$C65,'Detailed Budget'!$BP$5:$BP$1005)&gt;0,SUMIF('Detailed Budget'!$M$5:$M$1005,$C65,'Detailed Budget'!$BP$5:$BP$1005),"")</f>
        <v/>
      </c>
      <c r="U65" s="44" t="str">
        <f>IF(SUMIF('Detailed Budget'!$M$5:$M$1005,$C65,'Detailed Budget'!$BR$5:$BR$1005)&gt;0,SUMIF('Detailed Budget'!$M$5:$M$1005,$C65,'Detailed Budget'!$BR$5:$BR$1005),"")</f>
        <v/>
      </c>
      <c r="V65" s="44" t="str">
        <f>IF(SUMIF('Detailed Budget'!$M$5:$M$1005,$C65,'Detailed Budget'!$BT$5:$BT$1005)&gt;0,SUMIF('Detailed Budget'!$M$5:$M$1005,$C65,'Detailed Budget'!$BT$5:$BT$1005),"")</f>
        <v/>
      </c>
      <c r="W65" s="45" t="str">
        <f>IF(SUMIF('Detailed Budget'!$M$5:$M$1005,$C65,'Detailed Budget'!$BV$5:$BV$1005)&gt;0,SUMIF('Detailed Budget'!$M$5:$M$1005,$C65,'Detailed Budget'!$BV$5:$BV$1005),"")</f>
        <v/>
      </c>
      <c r="X65" s="44">
        <f>IF(SUM(H65,M65,R65,W65)&gt;0,SUM(H65,M65,R65,W65),"")</f>
        <v>4982146.4692778429</v>
      </c>
      <c r="Y65" s="122">
        <f>IFERROR($X65/$X$105,"")</f>
        <v>0.71875335314711486</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row>
    <row r="66" spans="2:49" s="35" customFormat="1" x14ac:dyDescent="0.2">
      <c r="B66" s="39" t="str">
        <f t="array" ref="B66">IFERROR(INDEX(RecipientList,MATCH(0,COUNTIF(RecipientList,"&lt;"&amp;RecipientList)-SUM(COUNTIF(RecipientList,B$64:B65)),0)),"")</f>
        <v>LaoPHA</v>
      </c>
      <c r="C66" s="371" t="str">
        <f t="shared" ref="C66:C104" si="8">B66</f>
        <v>LaoPHA</v>
      </c>
      <c r="D66" s="44">
        <f>IF(SUMIF('Detailed Budget'!$M$5:$M$1005,$C66,'Detailed Budget'!$AA$5:$AA$1005)&gt;0,SUMIF('Detailed Budget'!$M$5:$M$1005,$C66,'Detailed Budget'!$AA$5:$AA$1005),"")</f>
        <v>50592.400598552922</v>
      </c>
      <c r="E66" s="44">
        <f>IF(SUMIF('Detailed Budget'!$M$5:$M$1005,$C66,'Detailed Budget'!$AC$5:$AC$1005)&gt;0,SUMIF('Detailed Budget'!$M$5:$M$1005,$C66,'Detailed Budget'!$AC$5:$AC$1005),"")</f>
        <v>55774.846276316224</v>
      </c>
      <c r="F66" s="44">
        <f>IF(SUMIF('Detailed Budget'!$M$5:$M$1005,$C66,'Detailed Budget'!$AE$5:$AE$1005)&gt;0,SUMIF('Detailed Budget'!$M$5:$M$1005,$C66,'Detailed Budget'!$AE$5:$AE$1005),"")</f>
        <v>50592.400598552922</v>
      </c>
      <c r="G66" s="44">
        <f>IF(SUMIF('Detailed Budget'!$M$5:$M$1005,$C66,'Detailed Budget'!$AG$5:$AG$1005)&gt;0,SUMIF('Detailed Budget'!$M$5:$M$1005,$C66,'Detailed Budget'!$AG$5:$AG$1005),"")</f>
        <v>61118.632244047629</v>
      </c>
      <c r="H66" s="45">
        <f>IF(SUMIF('Detailed Budget'!$M$5:$M$1005,$C66,'Detailed Budget'!$AI$5:$AI$1005)&gt;0,SUMIF('Detailed Budget'!$M$5:$M$1005,$C66,'Detailed Budget'!$AI$5:$AI$1005),"")</f>
        <v>218078.27971746968</v>
      </c>
      <c r="I66" s="44">
        <f>IF(SUMIF('Detailed Budget'!$M$5:$M$1005,$C66,'Detailed Budget'!$AN$5:$AN$1005)&gt;0,SUMIF('Detailed Budget'!$M$5:$M$1005,$C66,'Detailed Budget'!$AN$5:$AN$1005),"")</f>
        <v>50592.400598552922</v>
      </c>
      <c r="J66" s="44">
        <f>IF(SUMIF('Detailed Budget'!$M$5:$M$1005,$C66,'Detailed Budget'!$AP$5:$AP$1005)&gt;0,SUMIF('Detailed Budget'!$M$5:$M$1005,$C66,'Detailed Budget'!$AP$5:$AP$1005),"")</f>
        <v>55774.846276316224</v>
      </c>
      <c r="K66" s="44">
        <f>IF(SUMIF('Detailed Budget'!$M$5:$M$1005,$C66,'Detailed Budget'!$AR$5:$AR$1005)&gt;0,SUMIF('Detailed Budget'!$M$5:$M$1005,$C66,'Detailed Budget'!$AR$5:$AR$1005),"")</f>
        <v>50592.400598552922</v>
      </c>
      <c r="L66" s="44">
        <f>IF(SUMIF('Detailed Budget'!$M$5:$M$1005,$C66,'Detailed Budget'!$AT$5:$AT$1005)&gt;0,SUMIF('Detailed Budget'!$M$5:$M$1005,$C66,'Detailed Budget'!$AT$5:$AT$1005),"")</f>
        <v>61118.632244047629</v>
      </c>
      <c r="M66" s="45">
        <f>IF(SUMIF('Detailed Budget'!$M$5:$M$1005,$C66,'Detailed Budget'!$AV$5:$AV$1005)&gt;0,SUMIF('Detailed Budget'!$M$5:$M$1005,$C66,'Detailed Budget'!$AV$5:$AV$1005),"")</f>
        <v>218078.27971746968</v>
      </c>
      <c r="N66" s="44">
        <f>IF(SUMIF('Detailed Budget'!$M$5:$M$1005,$C66,'Detailed Budget'!$BA$5:$BA$1005)&gt;0,SUMIF('Detailed Budget'!$M$5:$M$1005,$C66,'Detailed Budget'!$BA$5:$BA$1005),"")</f>
        <v>50592.400598552922</v>
      </c>
      <c r="O66" s="44">
        <f>IF(SUMIF('Detailed Budget'!$M$5:$M$1005,$C66,'Detailed Budget'!$BC$5:$BC$1005)&gt;0,SUMIF('Detailed Budget'!$M$5:$M$1005,$C66,'Detailed Budget'!$BC$5:$BC$1005),"")</f>
        <v>55774.846276316224</v>
      </c>
      <c r="P66" s="44">
        <f>IF(SUMIF('Detailed Budget'!$M$5:$M$1005,$C66,'Detailed Budget'!$BE$5:$BE$1005)&gt;0,SUMIF('Detailed Budget'!$M$5:$M$1005,$C66,'Detailed Budget'!$BE$5:$BE$1005),"")</f>
        <v>50592.400598552922</v>
      </c>
      <c r="Q66" s="44">
        <f>IF(SUMIF('Detailed Budget'!$M$5:$M$1005,$C66,'Detailed Budget'!$BG$5:$BG$1005)&gt;0,SUMIF('Detailed Budget'!$M$5:$M$1005,$C66,'Detailed Budget'!$BG$5:$BG$1005),"")</f>
        <v>61118.632244047629</v>
      </c>
      <c r="R66" s="45">
        <f>IF(SUMIF('Detailed Budget'!$M$5:$M$1005,$C66,'Detailed Budget'!$BI$5:$BI$1005)&gt;0,SUMIF('Detailed Budget'!$M$5:$M$1005,$C66,'Detailed Budget'!$BI$5:$BI$1005),"")</f>
        <v>218078.27971746968</v>
      </c>
      <c r="S66" s="44" t="str">
        <f>IF(SUMIF('Detailed Budget'!$M$5:$M$1005,$C66,'Detailed Budget'!$BN$5:$BN$1005)&gt;0,SUMIF('Detailed Budget'!$M$5:$M$1005,$C66,'Detailed Budget'!$BN$5:$BN$1005),"")</f>
        <v/>
      </c>
      <c r="T66" s="44" t="str">
        <f>IF(SUMIF('Detailed Budget'!$M$5:$M$1005,$C66,'Detailed Budget'!$BP$5:$BP$1005)&gt;0,SUMIF('Detailed Budget'!$M$5:$M$1005,$C66,'Detailed Budget'!$BP$5:$BP$1005),"")</f>
        <v/>
      </c>
      <c r="U66" s="44" t="str">
        <f>IF(SUMIF('Detailed Budget'!$M$5:$M$1005,$C66,'Detailed Budget'!$BR$5:$BR$1005)&gt;0,SUMIF('Detailed Budget'!$M$5:$M$1005,$C66,'Detailed Budget'!$BR$5:$BR$1005),"")</f>
        <v/>
      </c>
      <c r="V66" s="44" t="str">
        <f>IF(SUMIF('Detailed Budget'!$M$5:$M$1005,$C66,'Detailed Budget'!$BT$5:$BT$1005)&gt;0,SUMIF('Detailed Budget'!$M$5:$M$1005,$C66,'Detailed Budget'!$BT$5:$BT$1005),"")</f>
        <v/>
      </c>
      <c r="W66" s="45" t="str">
        <f>IF(SUMIF('Detailed Budget'!$M$5:$M$1005,$C66,'Detailed Budget'!$BV$5:$BV$1005)&gt;0,SUMIF('Detailed Budget'!$M$5:$M$1005,$C66,'Detailed Budget'!$BV$5:$BV$1005),"")</f>
        <v/>
      </c>
      <c r="X66" s="44">
        <f t="shared" ref="X66:X104" si="9">IF(SUM(H66,M66,R66,W66)&gt;0,SUM(H66,M66,R66,W66),"")</f>
        <v>654234.839152409</v>
      </c>
      <c r="Y66" s="122">
        <f t="shared" ref="Y66:Y105" si="10">IFERROR($X66/$X$105,"")</f>
        <v>9.4383713382600973E-2</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row>
    <row r="67" spans="2:49" s="35" customFormat="1" ht="25.5" x14ac:dyDescent="0.2">
      <c r="B67" s="39" t="str">
        <f t="array" ref="B67">IFERROR(INDEX(RecipientList,MATCH(0,COUNTIF(RecipientList,"&lt;"&amp;RecipientList)-SUM(COUNTIF(RecipientList,B$64:B66)),0)),"")</f>
        <v>Ministry of Health of the Lao People's Democratic Republic</v>
      </c>
      <c r="C67" s="371" t="str">
        <f t="shared" si="8"/>
        <v>Ministry of Health of the Lao People's Democratic Republic</v>
      </c>
      <c r="D67" s="44">
        <f>IF(SUMIF('Detailed Budget'!$M$5:$M$1005,$C67,'Detailed Budget'!$AA$5:$AA$1005)&gt;0,SUMIF('Detailed Budget'!$M$5:$M$1005,$C67,'Detailed Budget'!$AA$5:$AA$1005),"")</f>
        <v>41592.957490842658</v>
      </c>
      <c r="E67" s="44">
        <f>IF(SUMIF('Detailed Budget'!$M$5:$M$1005,$C67,'Detailed Budget'!$AC$5:$AC$1005)&gt;0,SUMIF('Detailed Budget'!$M$5:$M$1005,$C67,'Detailed Budget'!$AC$5:$AC$1005),"")</f>
        <v>42548.455074441794</v>
      </c>
      <c r="F67" s="44">
        <f>IF(SUMIF('Detailed Budget'!$M$5:$M$1005,$C67,'Detailed Budget'!$AE$5:$AE$1005)&gt;0,SUMIF('Detailed Budget'!$M$5:$M$1005,$C67,'Detailed Budget'!$AE$5:$AE$1005),"")</f>
        <v>49248.455074441801</v>
      </c>
      <c r="G67" s="44">
        <f>IF(SUMIF('Detailed Budget'!$M$5:$M$1005,$C67,'Detailed Budget'!$AG$5:$AG$1005)&gt;0,SUMIF('Detailed Budget'!$M$5:$M$1005,$C67,'Detailed Budget'!$AG$5:$AG$1005),"")</f>
        <v>65248.455074441794</v>
      </c>
      <c r="H67" s="45">
        <f>IF(SUMIF('Detailed Budget'!$M$5:$M$1005,$C67,'Detailed Budget'!$AI$5:$AI$1005)&gt;0,SUMIF('Detailed Budget'!$M$5:$M$1005,$C67,'Detailed Budget'!$AI$5:$AI$1005),"")</f>
        <v>198638.32271416805</v>
      </c>
      <c r="I67" s="44">
        <f>IF(SUMIF('Detailed Budget'!$M$5:$M$1005,$C67,'Detailed Budget'!$AN$5:$AN$1005)&gt;0,SUMIF('Detailed Budget'!$M$5:$M$1005,$C67,'Detailed Budget'!$AN$5:$AN$1005),"")</f>
        <v>44507.207490842658</v>
      </c>
      <c r="J67" s="44">
        <f>IF(SUMIF('Detailed Budget'!$M$5:$M$1005,$C67,'Detailed Budget'!$AP$5:$AP$1005)&gt;0,SUMIF('Detailed Budget'!$M$5:$M$1005,$C67,'Detailed Budget'!$AP$5:$AP$1005),"")</f>
        <v>40862.705074441801</v>
      </c>
      <c r="K67" s="44">
        <f>IF(SUMIF('Detailed Budget'!$M$5:$M$1005,$C67,'Detailed Budget'!$AR$5:$AR$1005)&gt;0,SUMIF('Detailed Budget'!$M$5:$M$1005,$C67,'Detailed Budget'!$AR$5:$AR$1005),"")</f>
        <v>40862.705074441801</v>
      </c>
      <c r="L67" s="44">
        <f>IF(SUMIF('Detailed Budget'!$M$5:$M$1005,$C67,'Detailed Budget'!$AT$5:$AT$1005)&gt;0,SUMIF('Detailed Budget'!$M$5:$M$1005,$C67,'Detailed Budget'!$AT$5:$AT$1005),"")</f>
        <v>65862.705074441794</v>
      </c>
      <c r="M67" s="45">
        <f>IF(SUMIF('Detailed Budget'!$M$5:$M$1005,$C67,'Detailed Budget'!$AV$5:$AV$1005)&gt;0,SUMIF('Detailed Budget'!$M$5:$M$1005,$C67,'Detailed Budget'!$AV$5:$AV$1005),"")</f>
        <v>192095.32271416805</v>
      </c>
      <c r="N67" s="44">
        <f>IF(SUMIF('Detailed Budget'!$M$5:$M$1005,$C67,'Detailed Budget'!$BA$5:$BA$1005)&gt;0,SUMIF('Detailed Budget'!$M$5:$M$1005,$C67,'Detailed Budget'!$BA$5:$BA$1005),"")</f>
        <v>45139.884990842656</v>
      </c>
      <c r="O67" s="44">
        <f>IF(SUMIF('Detailed Budget'!$M$5:$M$1005,$C67,'Detailed Budget'!$BC$5:$BC$1005)&gt;0,SUMIF('Detailed Budget'!$M$5:$M$1005,$C67,'Detailed Budget'!$BC$5:$BC$1005),"")</f>
        <v>41495.382574441799</v>
      </c>
      <c r="P67" s="44">
        <f>IF(SUMIF('Detailed Budget'!$M$5:$M$1005,$C67,'Detailed Budget'!$BE$5:$BE$1005)&gt;0,SUMIF('Detailed Budget'!$M$5:$M$1005,$C67,'Detailed Budget'!$BE$5:$BE$1005),"")</f>
        <v>50495.382574441799</v>
      </c>
      <c r="Q67" s="44">
        <f>IF(SUMIF('Detailed Budget'!$M$5:$M$1005,$C67,'Detailed Budget'!$BG$5:$BG$1005)&gt;0,SUMIF('Detailed Budget'!$M$5:$M$1005,$C67,'Detailed Budget'!$BG$5:$BG$1005),"")</f>
        <v>66495.382574441799</v>
      </c>
      <c r="R67" s="45">
        <f>IF(SUMIF('Detailed Budget'!$M$5:$M$1005,$C67,'Detailed Budget'!$BI$5:$BI$1005)&gt;0,SUMIF('Detailed Budget'!$M$5:$M$1005,$C67,'Detailed Budget'!$BI$5:$BI$1005),"")</f>
        <v>203626.03271416808</v>
      </c>
      <c r="S67" s="44" t="str">
        <f>IF(SUMIF('Detailed Budget'!$M$5:$M$1005,$C67,'Detailed Budget'!$BN$5:$BN$1005)&gt;0,SUMIF('Detailed Budget'!$M$5:$M$1005,$C67,'Detailed Budget'!$BN$5:$BN$1005),"")</f>
        <v/>
      </c>
      <c r="T67" s="44" t="str">
        <f>IF(SUMIF('Detailed Budget'!$M$5:$M$1005,$C67,'Detailed Budget'!$BP$5:$BP$1005)&gt;0,SUMIF('Detailed Budget'!$M$5:$M$1005,$C67,'Detailed Budget'!$BP$5:$BP$1005),"")</f>
        <v/>
      </c>
      <c r="U67" s="44" t="str">
        <f>IF(SUMIF('Detailed Budget'!$M$5:$M$1005,$C67,'Detailed Budget'!$BR$5:$BR$1005)&gt;0,SUMIF('Detailed Budget'!$M$5:$M$1005,$C67,'Detailed Budget'!$BR$5:$BR$1005),"")</f>
        <v/>
      </c>
      <c r="V67" s="44" t="str">
        <f>IF(SUMIF('Detailed Budget'!$M$5:$M$1005,$C67,'Detailed Budget'!$BT$5:$BT$1005)&gt;0,SUMIF('Detailed Budget'!$M$5:$M$1005,$C67,'Detailed Budget'!$BT$5:$BT$1005),"")</f>
        <v/>
      </c>
      <c r="W67" s="45" t="str">
        <f>IF(SUMIF('Detailed Budget'!$M$5:$M$1005,$C67,'Detailed Budget'!$BV$5:$BV$1005)&gt;0,SUMIF('Detailed Budget'!$M$5:$M$1005,$C67,'Detailed Budget'!$BV$5:$BV$1005),"")</f>
        <v/>
      </c>
      <c r="X67" s="44">
        <f t="shared" si="9"/>
        <v>594359.67814250418</v>
      </c>
      <c r="Y67" s="122">
        <f t="shared" si="10"/>
        <v>8.574577529477706E-2</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row>
    <row r="68" spans="2:49" s="35" customFormat="1" x14ac:dyDescent="0.2">
      <c r="B68" s="39" t="str">
        <f t="array" ref="B68">IFERROR(INDEX(RecipientList,MATCH(0,COUNTIF(RecipientList,"&lt;"&amp;RecipientList)-SUM(COUNTIF(RecipientList,B$64:B67)),0)),"")</f>
        <v>PEDA</v>
      </c>
      <c r="C68" s="371" t="str">
        <f t="shared" si="8"/>
        <v>PEDA</v>
      </c>
      <c r="D68" s="44">
        <f>IF(SUMIF('Detailed Budget'!$M$5:$M$1005,$C68,'Detailed Budget'!$AA$5:$AA$1005)&gt;0,SUMIF('Detailed Budget'!$M$5:$M$1005,$C68,'Detailed Budget'!$AA$5:$AA$1005),"")</f>
        <v>21246.291648437458</v>
      </c>
      <c r="E68" s="44">
        <f>IF(SUMIF('Detailed Budget'!$M$5:$M$1005,$C68,'Detailed Budget'!$AC$5:$AC$1005)&gt;0,SUMIF('Detailed Budget'!$M$5:$M$1005,$C68,'Detailed Budget'!$AC$5:$AC$1005),"")</f>
        <v>31744.410970680146</v>
      </c>
      <c r="F68" s="44">
        <f>IF(SUMIF('Detailed Budget'!$M$5:$M$1005,$C68,'Detailed Budget'!$AE$5:$AE$1005)&gt;0,SUMIF('Detailed Budget'!$M$5:$M$1005,$C68,'Detailed Budget'!$AE$5:$AE$1005),"")</f>
        <v>29445.311838634676</v>
      </c>
      <c r="G68" s="44">
        <f>IF(SUMIF('Detailed Budget'!$M$5:$M$1005,$C68,'Detailed Budget'!$AG$5:$AG$1005)&gt;0,SUMIF('Detailed Budget'!$M$5:$M$1005,$C68,'Detailed Budget'!$AG$5:$AG$1005),"")</f>
        <v>32096.426148792365</v>
      </c>
      <c r="H68" s="45">
        <f>IF(SUMIF('Detailed Budget'!$M$5:$M$1005,$C68,'Detailed Budget'!$AI$5:$AI$1005)&gt;0,SUMIF('Detailed Budget'!$M$5:$M$1005,$C68,'Detailed Budget'!$AI$5:$AI$1005),"")</f>
        <v>114532.44060654464</v>
      </c>
      <c r="I68" s="44">
        <f>IF(SUMIF('Detailed Budget'!$M$5:$M$1005,$C68,'Detailed Budget'!$AN$5:$AN$1005)&gt;0,SUMIF('Detailed Budget'!$M$5:$M$1005,$C68,'Detailed Budget'!$AN$5:$AN$1005),"")</f>
        <v>21246.291648437458</v>
      </c>
      <c r="J68" s="44">
        <f>IF(SUMIF('Detailed Budget'!$M$5:$M$1005,$C68,'Detailed Budget'!$AP$5:$AP$1005)&gt;0,SUMIF('Detailed Budget'!$M$5:$M$1005,$C68,'Detailed Budget'!$AP$5:$AP$1005),"")</f>
        <v>31744.410970680146</v>
      </c>
      <c r="K68" s="44">
        <f>IF(SUMIF('Detailed Budget'!$M$5:$M$1005,$C68,'Detailed Budget'!$AR$5:$AR$1005)&gt;0,SUMIF('Detailed Budget'!$M$5:$M$1005,$C68,'Detailed Budget'!$AR$5:$AR$1005),"")</f>
        <v>29445.311838634676</v>
      </c>
      <c r="L68" s="44">
        <f>IF(SUMIF('Detailed Budget'!$M$5:$M$1005,$C68,'Detailed Budget'!$AT$5:$AT$1005)&gt;0,SUMIF('Detailed Budget'!$M$5:$M$1005,$C68,'Detailed Budget'!$AT$5:$AT$1005),"")</f>
        <v>32096.426148792365</v>
      </c>
      <c r="M68" s="45">
        <f>IF(SUMIF('Detailed Budget'!$M$5:$M$1005,$C68,'Detailed Budget'!$AV$5:$AV$1005)&gt;0,SUMIF('Detailed Budget'!$M$5:$M$1005,$C68,'Detailed Budget'!$AV$5:$AV$1005),"")</f>
        <v>114532.44060654464</v>
      </c>
      <c r="N68" s="44">
        <f>IF(SUMIF('Detailed Budget'!$M$5:$M$1005,$C68,'Detailed Budget'!$BA$5:$BA$1005)&gt;0,SUMIF('Detailed Budget'!$M$5:$M$1005,$C68,'Detailed Budget'!$BA$5:$BA$1005),"")</f>
        <v>21246.291648437458</v>
      </c>
      <c r="O68" s="44">
        <f>IF(SUMIF('Detailed Budget'!$M$5:$M$1005,$C68,'Detailed Budget'!$BC$5:$BC$1005)&gt;0,SUMIF('Detailed Budget'!$M$5:$M$1005,$C68,'Detailed Budget'!$BC$5:$BC$1005),"")</f>
        <v>31744.410970680146</v>
      </c>
      <c r="P68" s="44">
        <f>IF(SUMIF('Detailed Budget'!$M$5:$M$1005,$C68,'Detailed Budget'!$BE$5:$BE$1005)&gt;0,SUMIF('Detailed Budget'!$M$5:$M$1005,$C68,'Detailed Budget'!$BE$5:$BE$1005),"")</f>
        <v>29445.311838634676</v>
      </c>
      <c r="Q68" s="44">
        <f>IF(SUMIF('Detailed Budget'!$M$5:$M$1005,$C68,'Detailed Budget'!$BG$5:$BG$1005)&gt;0,SUMIF('Detailed Budget'!$M$5:$M$1005,$C68,'Detailed Budget'!$BG$5:$BG$1005),"")</f>
        <v>32096.426148792365</v>
      </c>
      <c r="R68" s="45">
        <f>IF(SUMIF('Detailed Budget'!$M$5:$M$1005,$C68,'Detailed Budget'!$BI$5:$BI$1005)&gt;0,SUMIF('Detailed Budget'!$M$5:$M$1005,$C68,'Detailed Budget'!$BI$5:$BI$1005),"")</f>
        <v>114532.44060654464</v>
      </c>
      <c r="S68" s="44" t="str">
        <f>IF(SUMIF('Detailed Budget'!$M$5:$M$1005,$C68,'Detailed Budget'!$BN$5:$BN$1005)&gt;0,SUMIF('Detailed Budget'!$M$5:$M$1005,$C68,'Detailed Budget'!$BN$5:$BN$1005),"")</f>
        <v/>
      </c>
      <c r="T68" s="44" t="str">
        <f>IF(SUMIF('Detailed Budget'!$M$5:$M$1005,$C68,'Detailed Budget'!$BP$5:$BP$1005)&gt;0,SUMIF('Detailed Budget'!$M$5:$M$1005,$C68,'Detailed Budget'!$BP$5:$BP$1005),"")</f>
        <v/>
      </c>
      <c r="U68" s="44" t="str">
        <f>IF(SUMIF('Detailed Budget'!$M$5:$M$1005,$C68,'Detailed Budget'!$BR$5:$BR$1005)&gt;0,SUMIF('Detailed Budget'!$M$5:$M$1005,$C68,'Detailed Budget'!$BR$5:$BR$1005),"")</f>
        <v/>
      </c>
      <c r="V68" s="44" t="str">
        <f>IF(SUMIF('Detailed Budget'!$M$5:$M$1005,$C68,'Detailed Budget'!$BT$5:$BT$1005)&gt;0,SUMIF('Detailed Budget'!$M$5:$M$1005,$C68,'Detailed Budget'!$BT$5:$BT$1005),"")</f>
        <v/>
      </c>
      <c r="W68" s="45" t="str">
        <f>IF(SUMIF('Detailed Budget'!$M$5:$M$1005,$C68,'Detailed Budget'!$BV$5:$BV$1005)&gt;0,SUMIF('Detailed Budget'!$M$5:$M$1005,$C68,'Detailed Budget'!$BV$5:$BV$1005),"")</f>
        <v/>
      </c>
      <c r="X68" s="44">
        <f t="shared" si="9"/>
        <v>343597.32181963394</v>
      </c>
      <c r="Y68" s="122">
        <f t="shared" si="10"/>
        <v>4.956934299565606E-2</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row>
    <row r="69" spans="2:49" s="35" customFormat="1" x14ac:dyDescent="0.2">
      <c r="B69" s="39" t="str">
        <f t="array" ref="B69">IFERROR(INDEX(RecipientList,MATCH(0,COUNTIF(RecipientList,"&lt;"&amp;RecipientList)-SUM(COUNTIF(RecipientList,B$64:B68)),0)),"")</f>
        <v>PSI</v>
      </c>
      <c r="C69" s="371" t="str">
        <f t="shared" si="8"/>
        <v>PSI</v>
      </c>
      <c r="D69" s="44">
        <f>IF(SUMIF('Detailed Budget'!$M$5:$M$1005,$C69,'Detailed Budget'!$AA$5:$AA$1005)&gt;0,SUMIF('Detailed Budget'!$M$5:$M$1005,$C69,'Detailed Budget'!$AA$5:$AA$1005),"")</f>
        <v>31937.519786680266</v>
      </c>
      <c r="E69" s="44">
        <f>IF(SUMIF('Detailed Budget'!$M$5:$M$1005,$C69,'Detailed Budget'!$AC$5:$AC$1005)&gt;0,SUMIF('Detailed Budget'!$M$5:$M$1005,$C69,'Detailed Budget'!$AC$5:$AC$1005),"")</f>
        <v>29463.635340502689</v>
      </c>
      <c r="F69" s="44">
        <f>IF(SUMIF('Detailed Budget'!$M$5:$M$1005,$C69,'Detailed Budget'!$AE$5:$AE$1005)&gt;0,SUMIF('Detailed Budget'!$M$5:$M$1005,$C69,'Detailed Budget'!$AE$5:$AE$1005),"")</f>
        <v>28535.928673186099</v>
      </c>
      <c r="G69" s="44">
        <f>IF(SUMIF('Detailed Budget'!$M$5:$M$1005,$C69,'Detailed Budget'!$AG$5:$AG$1005)&gt;0,SUMIF('Detailed Budget'!$M$5:$M$1005,$C69,'Detailed Budget'!$AG$5:$AG$1005),"")</f>
        <v>31595.282807960048</v>
      </c>
      <c r="H69" s="45">
        <f>IF(SUMIF('Detailed Budget'!$M$5:$M$1005,$C69,'Detailed Budget'!$AI$5:$AI$1005)&gt;0,SUMIF('Detailed Budget'!$M$5:$M$1005,$C69,'Detailed Budget'!$AI$5:$AI$1005),"")</f>
        <v>121532.3666083291</v>
      </c>
      <c r="I69" s="44">
        <f>IF(SUMIF('Detailed Budget'!$M$5:$M$1005,$C69,'Detailed Budget'!$AN$5:$AN$1005)&gt;0,SUMIF('Detailed Budget'!$M$5:$M$1005,$C69,'Detailed Budget'!$AN$5:$AN$1005),"")</f>
        <v>28791.856351298324</v>
      </c>
      <c r="J69" s="44">
        <f>IF(SUMIF('Detailed Budget'!$M$5:$M$1005,$C69,'Detailed Budget'!$AP$5:$AP$1005)&gt;0,SUMIF('Detailed Budget'!$M$5:$M$1005,$C69,'Detailed Budget'!$AP$5:$AP$1005),"")</f>
        <v>29367.547840502692</v>
      </c>
      <c r="K69" s="44">
        <f>IF(SUMIF('Detailed Budget'!$M$5:$M$1005,$C69,'Detailed Budget'!$AR$5:$AR$1005)&gt;0,SUMIF('Detailed Budget'!$M$5:$M$1005,$C69,'Detailed Budget'!$AR$5:$AR$1005),"")</f>
        <v>28439.841173186102</v>
      </c>
      <c r="L69" s="44">
        <f>IF(SUMIF('Detailed Budget'!$M$5:$M$1005,$C69,'Detailed Budget'!$AT$5:$AT$1005)&gt;0,SUMIF('Detailed Budget'!$M$5:$M$1005,$C69,'Detailed Budget'!$AT$5:$AT$1005),"")</f>
        <v>31499.19530796005</v>
      </c>
      <c r="M69" s="45">
        <f>IF(SUMIF('Detailed Budget'!$M$5:$M$1005,$C69,'Detailed Budget'!$AV$5:$AV$1005)&gt;0,SUMIF('Detailed Budget'!$M$5:$M$1005,$C69,'Detailed Budget'!$AV$5:$AV$1005),"")</f>
        <v>118098.44067294717</v>
      </c>
      <c r="N69" s="44">
        <f>IF(SUMIF('Detailed Budget'!$M$5:$M$1005,$C69,'Detailed Budget'!$BA$5:$BA$1005)&gt;0,SUMIF('Detailed Budget'!$M$5:$M$1005,$C69,'Detailed Budget'!$BA$5:$BA$1005),"")</f>
        <v>28687.393851298322</v>
      </c>
      <c r="O69" s="44">
        <f>IF(SUMIF('Detailed Budget'!$M$5:$M$1005,$C69,'Detailed Budget'!$BC$5:$BC$1005)&gt;0,SUMIF('Detailed Budget'!$M$5:$M$1005,$C69,'Detailed Budget'!$BC$5:$BC$1005),"")</f>
        <v>29263.08534050269</v>
      </c>
      <c r="P69" s="44">
        <f>IF(SUMIF('Detailed Budget'!$M$5:$M$1005,$C69,'Detailed Budget'!$BE$5:$BE$1005)&gt;0,SUMIF('Detailed Budget'!$M$5:$M$1005,$C69,'Detailed Budget'!$BE$5:$BE$1005),"")</f>
        <v>28335.3786731861</v>
      </c>
      <c r="Q69" s="44">
        <f>IF(SUMIF('Detailed Budget'!$M$5:$M$1005,$C69,'Detailed Budget'!$BG$5:$BG$1005)&gt;0,SUMIF('Detailed Budget'!$M$5:$M$1005,$C69,'Detailed Budget'!$BG$5:$BG$1005),"")</f>
        <v>31394.732807960048</v>
      </c>
      <c r="R69" s="45">
        <f>IF(SUMIF('Detailed Budget'!$M$5:$M$1005,$C69,'Detailed Budget'!$BI$5:$BI$1005)&gt;0,SUMIF('Detailed Budget'!$M$5:$M$1005,$C69,'Detailed Budget'!$BI$5:$BI$1005),"")</f>
        <v>117680.59067294716</v>
      </c>
      <c r="S69" s="44" t="str">
        <f>IF(SUMIF('Detailed Budget'!$M$5:$M$1005,$C69,'Detailed Budget'!$BN$5:$BN$1005)&gt;0,SUMIF('Detailed Budget'!$M$5:$M$1005,$C69,'Detailed Budget'!$BN$5:$BN$1005),"")</f>
        <v/>
      </c>
      <c r="T69" s="44" t="str">
        <f>IF(SUMIF('Detailed Budget'!$M$5:$M$1005,$C69,'Detailed Budget'!$BP$5:$BP$1005)&gt;0,SUMIF('Detailed Budget'!$M$5:$M$1005,$C69,'Detailed Budget'!$BP$5:$BP$1005),"")</f>
        <v/>
      </c>
      <c r="U69" s="44" t="str">
        <f>IF(SUMIF('Detailed Budget'!$M$5:$M$1005,$C69,'Detailed Budget'!$BR$5:$BR$1005)&gt;0,SUMIF('Detailed Budget'!$M$5:$M$1005,$C69,'Detailed Budget'!$BR$5:$BR$1005),"")</f>
        <v/>
      </c>
      <c r="V69" s="44" t="str">
        <f>IF(SUMIF('Detailed Budget'!$M$5:$M$1005,$C69,'Detailed Budget'!$BT$5:$BT$1005)&gt;0,SUMIF('Detailed Budget'!$M$5:$M$1005,$C69,'Detailed Budget'!$BT$5:$BT$1005),"")</f>
        <v/>
      </c>
      <c r="W69" s="45" t="str">
        <f>IF(SUMIF('Detailed Budget'!$M$5:$M$1005,$C69,'Detailed Budget'!$BV$5:$BV$1005)&gt;0,SUMIF('Detailed Budget'!$M$5:$M$1005,$C69,'Detailed Budget'!$BV$5:$BV$1005),"")</f>
        <v/>
      </c>
      <c r="X69" s="44">
        <f t="shared" si="9"/>
        <v>357311.39795422344</v>
      </c>
      <c r="Y69" s="122">
        <f t="shared" si="10"/>
        <v>5.1547815179850957E-2</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row>
    <row r="70" spans="2:49" s="35" customFormat="1" hidden="1" x14ac:dyDescent="0.2">
      <c r="B70" s="39" t="str">
        <f t="array" ref="B70">IFERROR(INDEX(RecipientList,MATCH(0,COUNTIF(RecipientList,"&lt;"&amp;RecipientList)-SUM(COUNTIF(RecipientList,B$64:B69)),0)),"")</f>
        <v/>
      </c>
      <c r="C70" s="371" t="str">
        <f t="shared" si="8"/>
        <v/>
      </c>
      <c r="D70" s="44" t="str">
        <f>IF(SUMIF('Detailed Budget'!$M$5:$M$1005,$C70,'Detailed Budget'!$AA$5:$AA$1005)&gt;0,SUMIF('Detailed Budget'!$M$5:$M$1005,$C70,'Detailed Budget'!$AA$5:$AA$1005),"")</f>
        <v/>
      </c>
      <c r="E70" s="44" t="str">
        <f>IF(SUMIF('Detailed Budget'!$M$5:$M$1005,$C70,'Detailed Budget'!$AC$5:$AC$1005)&gt;0,SUMIF('Detailed Budget'!$M$5:$M$1005,$C70,'Detailed Budget'!$AC$5:$AC$1005),"")</f>
        <v/>
      </c>
      <c r="F70" s="44" t="str">
        <f>IF(SUMIF('Detailed Budget'!$M$5:$M$1005,$C70,'Detailed Budget'!$AE$5:$AE$1005)&gt;0,SUMIF('Detailed Budget'!$M$5:$M$1005,$C70,'Detailed Budget'!$AE$5:$AE$1005),"")</f>
        <v/>
      </c>
      <c r="G70" s="44" t="str">
        <f>IF(SUMIF('Detailed Budget'!$M$5:$M$1005,$C70,'Detailed Budget'!$AG$5:$AG$1005)&gt;0,SUMIF('Detailed Budget'!$M$5:$M$1005,$C70,'Detailed Budget'!$AG$5:$AG$1005),"")</f>
        <v/>
      </c>
      <c r="H70" s="45" t="str">
        <f>IF(SUMIF('Detailed Budget'!$M$5:$M$1005,$C70,'Detailed Budget'!$AI$5:$AI$1005)&gt;0,SUMIF('Detailed Budget'!$M$5:$M$1005,$C70,'Detailed Budget'!$AI$5:$AI$1005),"")</f>
        <v/>
      </c>
      <c r="I70" s="44" t="str">
        <f>IF(SUMIF('Detailed Budget'!$M$5:$M$1005,$C70,'Detailed Budget'!$AN$5:$AN$1005)&gt;0,SUMIF('Detailed Budget'!$M$5:$M$1005,$C70,'Detailed Budget'!$AN$5:$AN$1005),"")</f>
        <v/>
      </c>
      <c r="J70" s="44" t="str">
        <f>IF(SUMIF('Detailed Budget'!$M$5:$M$1005,$C70,'Detailed Budget'!$AP$5:$AP$1005)&gt;0,SUMIF('Detailed Budget'!$M$5:$M$1005,$C70,'Detailed Budget'!$AP$5:$AP$1005),"")</f>
        <v/>
      </c>
      <c r="K70" s="44" t="str">
        <f>IF(SUMIF('Detailed Budget'!$M$5:$M$1005,$C70,'Detailed Budget'!$AR$5:$AR$1005)&gt;0,SUMIF('Detailed Budget'!$M$5:$M$1005,$C70,'Detailed Budget'!$AR$5:$AR$1005),"")</f>
        <v/>
      </c>
      <c r="L70" s="44" t="str">
        <f>IF(SUMIF('Detailed Budget'!$M$5:$M$1005,$C70,'Detailed Budget'!$AT$5:$AT$1005)&gt;0,SUMIF('Detailed Budget'!$M$5:$M$1005,$C70,'Detailed Budget'!$AT$5:$AT$1005),"")</f>
        <v/>
      </c>
      <c r="M70" s="45" t="str">
        <f>IF(SUMIF('Detailed Budget'!$M$5:$M$1005,$C70,'Detailed Budget'!$AV$5:$AV$1005)&gt;0,SUMIF('Detailed Budget'!$M$5:$M$1005,$C70,'Detailed Budget'!$AV$5:$AV$1005),"")</f>
        <v/>
      </c>
      <c r="N70" s="44" t="str">
        <f>IF(SUMIF('Detailed Budget'!$M$5:$M$1005,$C70,'Detailed Budget'!$BA$5:$BA$1005)&gt;0,SUMIF('Detailed Budget'!$M$5:$M$1005,$C70,'Detailed Budget'!$BA$5:$BA$1005),"")</f>
        <v/>
      </c>
      <c r="O70" s="44" t="str">
        <f>IF(SUMIF('Detailed Budget'!$M$5:$M$1005,$C70,'Detailed Budget'!$BC$5:$BC$1005)&gt;0,SUMIF('Detailed Budget'!$M$5:$M$1005,$C70,'Detailed Budget'!$BC$5:$BC$1005),"")</f>
        <v/>
      </c>
      <c r="P70" s="44" t="str">
        <f>IF(SUMIF('Detailed Budget'!$M$5:$M$1005,$C70,'Detailed Budget'!$BE$5:$BE$1005)&gt;0,SUMIF('Detailed Budget'!$M$5:$M$1005,$C70,'Detailed Budget'!$BE$5:$BE$1005),"")</f>
        <v/>
      </c>
      <c r="Q70" s="44" t="str">
        <f>IF(SUMIF('Detailed Budget'!$M$5:$M$1005,$C70,'Detailed Budget'!$BG$5:$BG$1005)&gt;0,SUMIF('Detailed Budget'!$M$5:$M$1005,$C70,'Detailed Budget'!$BG$5:$BG$1005),"")</f>
        <v/>
      </c>
      <c r="R70" s="45" t="str">
        <f>IF(SUMIF('Detailed Budget'!$M$5:$M$1005,$C70,'Detailed Budget'!$BI$5:$BI$1005)&gt;0,SUMIF('Detailed Budget'!$M$5:$M$1005,$C70,'Detailed Budget'!$BI$5:$BI$1005),"")</f>
        <v/>
      </c>
      <c r="S70" s="44" t="str">
        <f>IF(SUMIF('Detailed Budget'!$M$5:$M$1005,$C70,'Detailed Budget'!$BN$5:$BN$1005)&gt;0,SUMIF('Detailed Budget'!$M$5:$M$1005,$C70,'Detailed Budget'!$BN$5:$BN$1005),"")</f>
        <v/>
      </c>
      <c r="T70" s="44" t="str">
        <f>IF(SUMIF('Detailed Budget'!$M$5:$M$1005,$C70,'Detailed Budget'!$BP$5:$BP$1005)&gt;0,SUMIF('Detailed Budget'!$M$5:$M$1005,$C70,'Detailed Budget'!$BP$5:$BP$1005),"")</f>
        <v/>
      </c>
      <c r="U70" s="44" t="str">
        <f>IF(SUMIF('Detailed Budget'!$M$5:$M$1005,$C70,'Detailed Budget'!$BR$5:$BR$1005)&gt;0,SUMIF('Detailed Budget'!$M$5:$M$1005,$C70,'Detailed Budget'!$BR$5:$BR$1005),"")</f>
        <v/>
      </c>
      <c r="V70" s="44" t="str">
        <f>IF(SUMIF('Detailed Budget'!$M$5:$M$1005,$C70,'Detailed Budget'!$BT$5:$BT$1005)&gt;0,SUMIF('Detailed Budget'!$M$5:$M$1005,$C70,'Detailed Budget'!$BT$5:$BT$1005),"")</f>
        <v/>
      </c>
      <c r="W70" s="45" t="str">
        <f>IF(SUMIF('Detailed Budget'!$M$5:$M$1005,$C70,'Detailed Budget'!$BV$5:$BV$1005)&gt;0,SUMIF('Detailed Budget'!$M$5:$M$1005,$C70,'Detailed Budget'!$BV$5:$BV$1005),"")</f>
        <v/>
      </c>
      <c r="X70" s="44" t="str">
        <f t="shared" si="9"/>
        <v/>
      </c>
      <c r="Y70" s="122" t="str">
        <f t="shared" si="10"/>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row>
    <row r="71" spans="2:49" s="35" customFormat="1" hidden="1" x14ac:dyDescent="0.2">
      <c r="B71" s="39" t="str">
        <f t="array" ref="B71">IFERROR(INDEX(RecipientList,MATCH(0,COUNTIF(RecipientList,"&lt;"&amp;RecipientList)-SUM(COUNTIF(RecipientList,B$64:B70)),0)),"")</f>
        <v/>
      </c>
      <c r="C71" s="371" t="str">
        <f t="shared" si="8"/>
        <v/>
      </c>
      <c r="D71" s="44" t="str">
        <f>IF(SUMIF('Detailed Budget'!$M$5:$M$1005,$C71,'Detailed Budget'!$AA$5:$AA$1005)&gt;0,SUMIF('Detailed Budget'!$M$5:$M$1005,$C71,'Detailed Budget'!$AA$5:$AA$1005),"")</f>
        <v/>
      </c>
      <c r="E71" s="44" t="str">
        <f>IF(SUMIF('Detailed Budget'!$M$5:$M$1005,$C71,'Detailed Budget'!$AC$5:$AC$1005)&gt;0,SUMIF('Detailed Budget'!$M$5:$M$1005,$C71,'Detailed Budget'!$AC$5:$AC$1005),"")</f>
        <v/>
      </c>
      <c r="F71" s="44" t="str">
        <f>IF(SUMIF('Detailed Budget'!$M$5:$M$1005,$C71,'Detailed Budget'!$AE$5:$AE$1005)&gt;0,SUMIF('Detailed Budget'!$M$5:$M$1005,$C71,'Detailed Budget'!$AE$5:$AE$1005),"")</f>
        <v/>
      </c>
      <c r="G71" s="44" t="str">
        <f>IF(SUMIF('Detailed Budget'!$M$5:$M$1005,$C71,'Detailed Budget'!$AG$5:$AG$1005)&gt;0,SUMIF('Detailed Budget'!$M$5:$M$1005,$C71,'Detailed Budget'!$AG$5:$AG$1005),"")</f>
        <v/>
      </c>
      <c r="H71" s="45" t="str">
        <f>IF(SUMIF('Detailed Budget'!$M$5:$M$1005,$C71,'Detailed Budget'!$AI$5:$AI$1005)&gt;0,SUMIF('Detailed Budget'!$M$5:$M$1005,$C71,'Detailed Budget'!$AI$5:$AI$1005),"")</f>
        <v/>
      </c>
      <c r="I71" s="44" t="str">
        <f>IF(SUMIF('Detailed Budget'!$M$5:$M$1005,$C71,'Detailed Budget'!$AN$5:$AN$1005)&gt;0,SUMIF('Detailed Budget'!$M$5:$M$1005,$C71,'Detailed Budget'!$AN$5:$AN$1005),"")</f>
        <v/>
      </c>
      <c r="J71" s="44" t="str">
        <f>IF(SUMIF('Detailed Budget'!$M$5:$M$1005,$C71,'Detailed Budget'!$AP$5:$AP$1005)&gt;0,SUMIF('Detailed Budget'!$M$5:$M$1005,$C71,'Detailed Budget'!$AP$5:$AP$1005),"")</f>
        <v/>
      </c>
      <c r="K71" s="44" t="str">
        <f>IF(SUMIF('Detailed Budget'!$M$5:$M$1005,$C71,'Detailed Budget'!$AR$5:$AR$1005)&gt;0,SUMIF('Detailed Budget'!$M$5:$M$1005,$C71,'Detailed Budget'!$AR$5:$AR$1005),"")</f>
        <v/>
      </c>
      <c r="L71" s="44" t="str">
        <f>IF(SUMIF('Detailed Budget'!$M$5:$M$1005,$C71,'Detailed Budget'!$AT$5:$AT$1005)&gt;0,SUMIF('Detailed Budget'!$M$5:$M$1005,$C71,'Detailed Budget'!$AT$5:$AT$1005),"")</f>
        <v/>
      </c>
      <c r="M71" s="45" t="str">
        <f>IF(SUMIF('Detailed Budget'!$M$5:$M$1005,$C71,'Detailed Budget'!$AV$5:$AV$1005)&gt;0,SUMIF('Detailed Budget'!$M$5:$M$1005,$C71,'Detailed Budget'!$AV$5:$AV$1005),"")</f>
        <v/>
      </c>
      <c r="N71" s="44" t="str">
        <f>IF(SUMIF('Detailed Budget'!$M$5:$M$1005,$C71,'Detailed Budget'!$BA$5:$BA$1005)&gt;0,SUMIF('Detailed Budget'!$M$5:$M$1005,$C71,'Detailed Budget'!$BA$5:$BA$1005),"")</f>
        <v/>
      </c>
      <c r="O71" s="44" t="str">
        <f>IF(SUMIF('Detailed Budget'!$M$5:$M$1005,$C71,'Detailed Budget'!$BC$5:$BC$1005)&gt;0,SUMIF('Detailed Budget'!$M$5:$M$1005,$C71,'Detailed Budget'!$BC$5:$BC$1005),"")</f>
        <v/>
      </c>
      <c r="P71" s="44" t="str">
        <f>IF(SUMIF('Detailed Budget'!$M$5:$M$1005,$C71,'Detailed Budget'!$BE$5:$BE$1005)&gt;0,SUMIF('Detailed Budget'!$M$5:$M$1005,$C71,'Detailed Budget'!$BE$5:$BE$1005),"")</f>
        <v/>
      </c>
      <c r="Q71" s="44" t="str">
        <f>IF(SUMIF('Detailed Budget'!$M$5:$M$1005,$C71,'Detailed Budget'!$BG$5:$BG$1005)&gt;0,SUMIF('Detailed Budget'!$M$5:$M$1005,$C71,'Detailed Budget'!$BG$5:$BG$1005),"")</f>
        <v/>
      </c>
      <c r="R71" s="45" t="str">
        <f>IF(SUMIF('Detailed Budget'!$M$5:$M$1005,$C71,'Detailed Budget'!$BI$5:$BI$1005)&gt;0,SUMIF('Detailed Budget'!$M$5:$M$1005,$C71,'Detailed Budget'!$BI$5:$BI$1005),"")</f>
        <v/>
      </c>
      <c r="S71" s="44" t="str">
        <f>IF(SUMIF('Detailed Budget'!$M$5:$M$1005,$C71,'Detailed Budget'!$BN$5:$BN$1005)&gt;0,SUMIF('Detailed Budget'!$M$5:$M$1005,$C71,'Detailed Budget'!$BN$5:$BN$1005),"")</f>
        <v/>
      </c>
      <c r="T71" s="44" t="str">
        <f>IF(SUMIF('Detailed Budget'!$M$5:$M$1005,$C71,'Detailed Budget'!$BP$5:$BP$1005)&gt;0,SUMIF('Detailed Budget'!$M$5:$M$1005,$C71,'Detailed Budget'!$BP$5:$BP$1005),"")</f>
        <v/>
      </c>
      <c r="U71" s="44" t="str">
        <f>IF(SUMIF('Detailed Budget'!$M$5:$M$1005,$C71,'Detailed Budget'!$BR$5:$BR$1005)&gt;0,SUMIF('Detailed Budget'!$M$5:$M$1005,$C71,'Detailed Budget'!$BR$5:$BR$1005),"")</f>
        <v/>
      </c>
      <c r="V71" s="44" t="str">
        <f>IF(SUMIF('Detailed Budget'!$M$5:$M$1005,$C71,'Detailed Budget'!$BT$5:$BT$1005)&gt;0,SUMIF('Detailed Budget'!$M$5:$M$1005,$C71,'Detailed Budget'!$BT$5:$BT$1005),"")</f>
        <v/>
      </c>
      <c r="W71" s="45" t="str">
        <f>IF(SUMIF('Detailed Budget'!$M$5:$M$1005,$C71,'Detailed Budget'!$BV$5:$BV$1005)&gt;0,SUMIF('Detailed Budget'!$M$5:$M$1005,$C71,'Detailed Budget'!$BV$5:$BV$1005),"")</f>
        <v/>
      </c>
      <c r="X71" s="44" t="str">
        <f t="shared" si="9"/>
        <v/>
      </c>
      <c r="Y71" s="122" t="str">
        <f t="shared" si="10"/>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row>
    <row r="72" spans="2:49" s="35" customFormat="1" hidden="1" x14ac:dyDescent="0.2">
      <c r="B72" s="39" t="str">
        <f t="array" ref="B72">IFERROR(INDEX(RecipientList,MATCH(0,COUNTIF(RecipientList,"&lt;"&amp;RecipientList)-SUM(COUNTIF(RecipientList,B$64:B71)),0)),"")</f>
        <v/>
      </c>
      <c r="C72" s="371" t="str">
        <f t="shared" si="8"/>
        <v/>
      </c>
      <c r="D72" s="44" t="str">
        <f>IF(SUMIF('Detailed Budget'!$M$5:$M$1005,$C72,'Detailed Budget'!$AA$5:$AA$1005)&gt;0,SUMIF('Detailed Budget'!$M$5:$M$1005,$C72,'Detailed Budget'!$AA$5:$AA$1005),"")</f>
        <v/>
      </c>
      <c r="E72" s="44" t="str">
        <f>IF(SUMIF('Detailed Budget'!$M$5:$M$1005,$C72,'Detailed Budget'!$AC$5:$AC$1005)&gt;0,SUMIF('Detailed Budget'!$M$5:$M$1005,$C72,'Detailed Budget'!$AC$5:$AC$1005),"")</f>
        <v/>
      </c>
      <c r="F72" s="44" t="str">
        <f>IF(SUMIF('Detailed Budget'!$M$5:$M$1005,$C72,'Detailed Budget'!$AE$5:$AE$1005)&gt;0,SUMIF('Detailed Budget'!$M$5:$M$1005,$C72,'Detailed Budget'!$AE$5:$AE$1005),"")</f>
        <v/>
      </c>
      <c r="G72" s="44" t="str">
        <f>IF(SUMIF('Detailed Budget'!$M$5:$M$1005,$C72,'Detailed Budget'!$AG$5:$AG$1005)&gt;0,SUMIF('Detailed Budget'!$M$5:$M$1005,$C72,'Detailed Budget'!$AG$5:$AG$1005),"")</f>
        <v/>
      </c>
      <c r="H72" s="45" t="str">
        <f>IF(SUMIF('Detailed Budget'!$M$5:$M$1005,$C72,'Detailed Budget'!$AI$5:$AI$1005)&gt;0,SUMIF('Detailed Budget'!$M$5:$M$1005,$C72,'Detailed Budget'!$AI$5:$AI$1005),"")</f>
        <v/>
      </c>
      <c r="I72" s="44" t="str">
        <f>IF(SUMIF('Detailed Budget'!$M$5:$M$1005,$C72,'Detailed Budget'!$AN$5:$AN$1005)&gt;0,SUMIF('Detailed Budget'!$M$5:$M$1005,$C72,'Detailed Budget'!$AN$5:$AN$1005),"")</f>
        <v/>
      </c>
      <c r="J72" s="44" t="str">
        <f>IF(SUMIF('Detailed Budget'!$M$5:$M$1005,$C72,'Detailed Budget'!$AP$5:$AP$1005)&gt;0,SUMIF('Detailed Budget'!$M$5:$M$1005,$C72,'Detailed Budget'!$AP$5:$AP$1005),"")</f>
        <v/>
      </c>
      <c r="K72" s="44" t="str">
        <f>IF(SUMIF('Detailed Budget'!$M$5:$M$1005,$C72,'Detailed Budget'!$AR$5:$AR$1005)&gt;0,SUMIF('Detailed Budget'!$M$5:$M$1005,$C72,'Detailed Budget'!$AR$5:$AR$1005),"")</f>
        <v/>
      </c>
      <c r="L72" s="44" t="str">
        <f>IF(SUMIF('Detailed Budget'!$M$5:$M$1005,$C72,'Detailed Budget'!$AT$5:$AT$1005)&gt;0,SUMIF('Detailed Budget'!$M$5:$M$1005,$C72,'Detailed Budget'!$AT$5:$AT$1005),"")</f>
        <v/>
      </c>
      <c r="M72" s="45" t="str">
        <f>IF(SUMIF('Detailed Budget'!$M$5:$M$1005,$C72,'Detailed Budget'!$AV$5:$AV$1005)&gt;0,SUMIF('Detailed Budget'!$M$5:$M$1005,$C72,'Detailed Budget'!$AV$5:$AV$1005),"")</f>
        <v/>
      </c>
      <c r="N72" s="44" t="str">
        <f>IF(SUMIF('Detailed Budget'!$M$5:$M$1005,$C72,'Detailed Budget'!$BA$5:$BA$1005)&gt;0,SUMIF('Detailed Budget'!$M$5:$M$1005,$C72,'Detailed Budget'!$BA$5:$BA$1005),"")</f>
        <v/>
      </c>
      <c r="O72" s="44" t="str">
        <f>IF(SUMIF('Detailed Budget'!$M$5:$M$1005,$C72,'Detailed Budget'!$BC$5:$BC$1005)&gt;0,SUMIF('Detailed Budget'!$M$5:$M$1005,$C72,'Detailed Budget'!$BC$5:$BC$1005),"")</f>
        <v/>
      </c>
      <c r="P72" s="44" t="str">
        <f>IF(SUMIF('Detailed Budget'!$M$5:$M$1005,$C72,'Detailed Budget'!$BE$5:$BE$1005)&gt;0,SUMIF('Detailed Budget'!$M$5:$M$1005,$C72,'Detailed Budget'!$BE$5:$BE$1005),"")</f>
        <v/>
      </c>
      <c r="Q72" s="44" t="str">
        <f>IF(SUMIF('Detailed Budget'!$M$5:$M$1005,$C72,'Detailed Budget'!$BG$5:$BG$1005)&gt;0,SUMIF('Detailed Budget'!$M$5:$M$1005,$C72,'Detailed Budget'!$BG$5:$BG$1005),"")</f>
        <v/>
      </c>
      <c r="R72" s="45" t="str">
        <f>IF(SUMIF('Detailed Budget'!$M$5:$M$1005,$C72,'Detailed Budget'!$BI$5:$BI$1005)&gt;0,SUMIF('Detailed Budget'!$M$5:$M$1005,$C72,'Detailed Budget'!$BI$5:$BI$1005),"")</f>
        <v/>
      </c>
      <c r="S72" s="44" t="str">
        <f>IF(SUMIF('Detailed Budget'!$M$5:$M$1005,$C72,'Detailed Budget'!$BN$5:$BN$1005)&gt;0,SUMIF('Detailed Budget'!$M$5:$M$1005,$C72,'Detailed Budget'!$BN$5:$BN$1005),"")</f>
        <v/>
      </c>
      <c r="T72" s="44" t="str">
        <f>IF(SUMIF('Detailed Budget'!$M$5:$M$1005,$C72,'Detailed Budget'!$BP$5:$BP$1005)&gt;0,SUMIF('Detailed Budget'!$M$5:$M$1005,$C72,'Detailed Budget'!$BP$5:$BP$1005),"")</f>
        <v/>
      </c>
      <c r="U72" s="44" t="str">
        <f>IF(SUMIF('Detailed Budget'!$M$5:$M$1005,$C72,'Detailed Budget'!$BR$5:$BR$1005)&gt;0,SUMIF('Detailed Budget'!$M$5:$M$1005,$C72,'Detailed Budget'!$BR$5:$BR$1005),"")</f>
        <v/>
      </c>
      <c r="V72" s="44" t="str">
        <f>IF(SUMIF('Detailed Budget'!$M$5:$M$1005,$C72,'Detailed Budget'!$BT$5:$BT$1005)&gt;0,SUMIF('Detailed Budget'!$M$5:$M$1005,$C72,'Detailed Budget'!$BT$5:$BT$1005),"")</f>
        <v/>
      </c>
      <c r="W72" s="45" t="str">
        <f>IF(SUMIF('Detailed Budget'!$M$5:$M$1005,$C72,'Detailed Budget'!$BV$5:$BV$1005)&gt;0,SUMIF('Detailed Budget'!$M$5:$M$1005,$C72,'Detailed Budget'!$BV$5:$BV$1005),"")</f>
        <v/>
      </c>
      <c r="X72" s="44" t="str">
        <f t="shared" si="9"/>
        <v/>
      </c>
      <c r="Y72" s="122" t="str">
        <f t="shared" si="10"/>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row>
    <row r="73" spans="2:49" s="35" customFormat="1" hidden="1" x14ac:dyDescent="0.2">
      <c r="B73" s="39" t="str">
        <f t="array" ref="B73">IFERROR(INDEX(RecipientList,MATCH(0,COUNTIF(RecipientList,"&lt;"&amp;RecipientList)-SUM(COUNTIF(RecipientList,B$64:B72)),0)),"")</f>
        <v/>
      </c>
      <c r="C73" s="371" t="str">
        <f t="shared" si="8"/>
        <v/>
      </c>
      <c r="D73" s="44" t="str">
        <f>IF(SUMIF('Detailed Budget'!$M$5:$M$1005,$C73,'Detailed Budget'!$AA$5:$AA$1005)&gt;0,SUMIF('Detailed Budget'!$M$5:$M$1005,$C73,'Detailed Budget'!$AA$5:$AA$1005),"")</f>
        <v/>
      </c>
      <c r="E73" s="44" t="str">
        <f>IF(SUMIF('Detailed Budget'!$M$5:$M$1005,$C73,'Detailed Budget'!$AC$5:$AC$1005)&gt;0,SUMIF('Detailed Budget'!$M$5:$M$1005,$C73,'Detailed Budget'!$AC$5:$AC$1005),"")</f>
        <v/>
      </c>
      <c r="F73" s="44" t="str">
        <f>IF(SUMIF('Detailed Budget'!$M$5:$M$1005,$C73,'Detailed Budget'!$AE$5:$AE$1005)&gt;0,SUMIF('Detailed Budget'!$M$5:$M$1005,$C73,'Detailed Budget'!$AE$5:$AE$1005),"")</f>
        <v/>
      </c>
      <c r="G73" s="44" t="str">
        <f>IF(SUMIF('Detailed Budget'!$M$5:$M$1005,$C73,'Detailed Budget'!$AG$5:$AG$1005)&gt;0,SUMIF('Detailed Budget'!$M$5:$M$1005,$C73,'Detailed Budget'!$AG$5:$AG$1005),"")</f>
        <v/>
      </c>
      <c r="H73" s="45" t="str">
        <f>IF(SUMIF('Detailed Budget'!$M$5:$M$1005,$C73,'Detailed Budget'!$AI$5:$AI$1005)&gt;0,SUMIF('Detailed Budget'!$M$5:$M$1005,$C73,'Detailed Budget'!$AI$5:$AI$1005),"")</f>
        <v/>
      </c>
      <c r="I73" s="44" t="str">
        <f>IF(SUMIF('Detailed Budget'!$M$5:$M$1005,$C73,'Detailed Budget'!$AN$5:$AN$1005)&gt;0,SUMIF('Detailed Budget'!$M$5:$M$1005,$C73,'Detailed Budget'!$AN$5:$AN$1005),"")</f>
        <v/>
      </c>
      <c r="J73" s="44" t="str">
        <f>IF(SUMIF('Detailed Budget'!$M$5:$M$1005,$C73,'Detailed Budget'!$AP$5:$AP$1005)&gt;0,SUMIF('Detailed Budget'!$M$5:$M$1005,$C73,'Detailed Budget'!$AP$5:$AP$1005),"")</f>
        <v/>
      </c>
      <c r="K73" s="44" t="str">
        <f>IF(SUMIF('Detailed Budget'!$M$5:$M$1005,$C73,'Detailed Budget'!$AR$5:$AR$1005)&gt;0,SUMIF('Detailed Budget'!$M$5:$M$1005,$C73,'Detailed Budget'!$AR$5:$AR$1005),"")</f>
        <v/>
      </c>
      <c r="L73" s="44" t="str">
        <f>IF(SUMIF('Detailed Budget'!$M$5:$M$1005,$C73,'Detailed Budget'!$AT$5:$AT$1005)&gt;0,SUMIF('Detailed Budget'!$M$5:$M$1005,$C73,'Detailed Budget'!$AT$5:$AT$1005),"")</f>
        <v/>
      </c>
      <c r="M73" s="45" t="str">
        <f>IF(SUMIF('Detailed Budget'!$M$5:$M$1005,$C73,'Detailed Budget'!$AV$5:$AV$1005)&gt;0,SUMIF('Detailed Budget'!$M$5:$M$1005,$C73,'Detailed Budget'!$AV$5:$AV$1005),"")</f>
        <v/>
      </c>
      <c r="N73" s="44" t="str">
        <f>IF(SUMIF('Detailed Budget'!$M$5:$M$1005,$C73,'Detailed Budget'!$BA$5:$BA$1005)&gt;0,SUMIF('Detailed Budget'!$M$5:$M$1005,$C73,'Detailed Budget'!$BA$5:$BA$1005),"")</f>
        <v/>
      </c>
      <c r="O73" s="44" t="str">
        <f>IF(SUMIF('Detailed Budget'!$M$5:$M$1005,$C73,'Detailed Budget'!$BC$5:$BC$1005)&gt;0,SUMIF('Detailed Budget'!$M$5:$M$1005,$C73,'Detailed Budget'!$BC$5:$BC$1005),"")</f>
        <v/>
      </c>
      <c r="P73" s="44" t="str">
        <f>IF(SUMIF('Detailed Budget'!$M$5:$M$1005,$C73,'Detailed Budget'!$BE$5:$BE$1005)&gt;0,SUMIF('Detailed Budget'!$M$5:$M$1005,$C73,'Detailed Budget'!$BE$5:$BE$1005),"")</f>
        <v/>
      </c>
      <c r="Q73" s="44" t="str">
        <f>IF(SUMIF('Detailed Budget'!$M$5:$M$1005,$C73,'Detailed Budget'!$BG$5:$BG$1005)&gt;0,SUMIF('Detailed Budget'!$M$5:$M$1005,$C73,'Detailed Budget'!$BG$5:$BG$1005),"")</f>
        <v/>
      </c>
      <c r="R73" s="45" t="str">
        <f>IF(SUMIF('Detailed Budget'!$M$5:$M$1005,$C73,'Detailed Budget'!$BI$5:$BI$1005)&gt;0,SUMIF('Detailed Budget'!$M$5:$M$1005,$C73,'Detailed Budget'!$BI$5:$BI$1005),"")</f>
        <v/>
      </c>
      <c r="S73" s="44" t="str">
        <f>IF(SUMIF('Detailed Budget'!$M$5:$M$1005,$C73,'Detailed Budget'!$BN$5:$BN$1005)&gt;0,SUMIF('Detailed Budget'!$M$5:$M$1005,$C73,'Detailed Budget'!$BN$5:$BN$1005),"")</f>
        <v/>
      </c>
      <c r="T73" s="44" t="str">
        <f>IF(SUMIF('Detailed Budget'!$M$5:$M$1005,$C73,'Detailed Budget'!$BP$5:$BP$1005)&gt;0,SUMIF('Detailed Budget'!$M$5:$M$1005,$C73,'Detailed Budget'!$BP$5:$BP$1005),"")</f>
        <v/>
      </c>
      <c r="U73" s="44" t="str">
        <f>IF(SUMIF('Detailed Budget'!$M$5:$M$1005,$C73,'Detailed Budget'!$BR$5:$BR$1005)&gt;0,SUMIF('Detailed Budget'!$M$5:$M$1005,$C73,'Detailed Budget'!$BR$5:$BR$1005),"")</f>
        <v/>
      </c>
      <c r="V73" s="44" t="str">
        <f>IF(SUMIF('Detailed Budget'!$M$5:$M$1005,$C73,'Detailed Budget'!$BT$5:$BT$1005)&gt;0,SUMIF('Detailed Budget'!$M$5:$M$1005,$C73,'Detailed Budget'!$BT$5:$BT$1005),"")</f>
        <v/>
      </c>
      <c r="W73" s="45" t="str">
        <f>IF(SUMIF('Detailed Budget'!$M$5:$M$1005,$C73,'Detailed Budget'!$BV$5:$BV$1005)&gt;0,SUMIF('Detailed Budget'!$M$5:$M$1005,$C73,'Detailed Budget'!$BV$5:$BV$1005),"")</f>
        <v/>
      </c>
      <c r="X73" s="44" t="str">
        <f t="shared" si="9"/>
        <v/>
      </c>
      <c r="Y73" s="122" t="str">
        <f t="shared" si="10"/>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row>
    <row r="74" spans="2:49" s="35" customFormat="1" hidden="1" x14ac:dyDescent="0.2">
      <c r="B74" s="39" t="str">
        <f t="array" ref="B74">IFERROR(INDEX(RecipientList,MATCH(0,COUNTIF(RecipientList,"&lt;"&amp;RecipientList)-SUM(COUNTIF(RecipientList,B$64:B73)),0)),"")</f>
        <v/>
      </c>
      <c r="C74" s="371" t="str">
        <f t="shared" si="8"/>
        <v/>
      </c>
      <c r="D74" s="44" t="str">
        <f>IF(SUMIF('Detailed Budget'!$M$5:$M$1005,$C74,'Detailed Budget'!$AA$5:$AA$1005)&gt;0,SUMIF('Detailed Budget'!$M$5:$M$1005,$C74,'Detailed Budget'!$AA$5:$AA$1005),"")</f>
        <v/>
      </c>
      <c r="E74" s="44" t="str">
        <f>IF(SUMIF('Detailed Budget'!$M$5:$M$1005,$C74,'Detailed Budget'!$AC$5:$AC$1005)&gt;0,SUMIF('Detailed Budget'!$M$5:$M$1005,$C74,'Detailed Budget'!$AC$5:$AC$1005),"")</f>
        <v/>
      </c>
      <c r="F74" s="44" t="str">
        <f>IF(SUMIF('Detailed Budget'!$M$5:$M$1005,$C74,'Detailed Budget'!$AE$5:$AE$1005)&gt;0,SUMIF('Detailed Budget'!$M$5:$M$1005,$C74,'Detailed Budget'!$AE$5:$AE$1005),"")</f>
        <v/>
      </c>
      <c r="G74" s="44" t="str">
        <f>IF(SUMIF('Detailed Budget'!$M$5:$M$1005,$C74,'Detailed Budget'!$AG$5:$AG$1005)&gt;0,SUMIF('Detailed Budget'!$M$5:$M$1005,$C74,'Detailed Budget'!$AG$5:$AG$1005),"")</f>
        <v/>
      </c>
      <c r="H74" s="45" t="str">
        <f>IF(SUMIF('Detailed Budget'!$M$5:$M$1005,$C74,'Detailed Budget'!$AI$5:$AI$1005)&gt;0,SUMIF('Detailed Budget'!$M$5:$M$1005,$C74,'Detailed Budget'!$AI$5:$AI$1005),"")</f>
        <v/>
      </c>
      <c r="I74" s="44" t="str">
        <f>IF(SUMIF('Detailed Budget'!$M$5:$M$1005,$C74,'Detailed Budget'!$AN$5:$AN$1005)&gt;0,SUMIF('Detailed Budget'!$M$5:$M$1005,$C74,'Detailed Budget'!$AN$5:$AN$1005),"")</f>
        <v/>
      </c>
      <c r="J74" s="44" t="str">
        <f>IF(SUMIF('Detailed Budget'!$M$5:$M$1005,$C74,'Detailed Budget'!$AP$5:$AP$1005)&gt;0,SUMIF('Detailed Budget'!$M$5:$M$1005,$C74,'Detailed Budget'!$AP$5:$AP$1005),"")</f>
        <v/>
      </c>
      <c r="K74" s="44" t="str">
        <f>IF(SUMIF('Detailed Budget'!$M$5:$M$1005,$C74,'Detailed Budget'!$AR$5:$AR$1005)&gt;0,SUMIF('Detailed Budget'!$M$5:$M$1005,$C74,'Detailed Budget'!$AR$5:$AR$1005),"")</f>
        <v/>
      </c>
      <c r="L74" s="44" t="str">
        <f>IF(SUMIF('Detailed Budget'!$M$5:$M$1005,$C74,'Detailed Budget'!$AT$5:$AT$1005)&gt;0,SUMIF('Detailed Budget'!$M$5:$M$1005,$C74,'Detailed Budget'!$AT$5:$AT$1005),"")</f>
        <v/>
      </c>
      <c r="M74" s="45" t="str">
        <f>IF(SUMIF('Detailed Budget'!$M$5:$M$1005,$C74,'Detailed Budget'!$AV$5:$AV$1005)&gt;0,SUMIF('Detailed Budget'!$M$5:$M$1005,$C74,'Detailed Budget'!$AV$5:$AV$1005),"")</f>
        <v/>
      </c>
      <c r="N74" s="44" t="str">
        <f>IF(SUMIF('Detailed Budget'!$M$5:$M$1005,$C74,'Detailed Budget'!$BA$5:$BA$1005)&gt;0,SUMIF('Detailed Budget'!$M$5:$M$1005,$C74,'Detailed Budget'!$BA$5:$BA$1005),"")</f>
        <v/>
      </c>
      <c r="O74" s="44" t="str">
        <f>IF(SUMIF('Detailed Budget'!$M$5:$M$1005,$C74,'Detailed Budget'!$BC$5:$BC$1005)&gt;0,SUMIF('Detailed Budget'!$M$5:$M$1005,$C74,'Detailed Budget'!$BC$5:$BC$1005),"")</f>
        <v/>
      </c>
      <c r="P74" s="44" t="str">
        <f>IF(SUMIF('Detailed Budget'!$M$5:$M$1005,$C74,'Detailed Budget'!$BE$5:$BE$1005)&gt;0,SUMIF('Detailed Budget'!$M$5:$M$1005,$C74,'Detailed Budget'!$BE$5:$BE$1005),"")</f>
        <v/>
      </c>
      <c r="Q74" s="44" t="str">
        <f>IF(SUMIF('Detailed Budget'!$M$5:$M$1005,$C74,'Detailed Budget'!$BG$5:$BG$1005)&gt;0,SUMIF('Detailed Budget'!$M$5:$M$1005,$C74,'Detailed Budget'!$BG$5:$BG$1005),"")</f>
        <v/>
      </c>
      <c r="R74" s="45" t="str">
        <f>IF(SUMIF('Detailed Budget'!$M$5:$M$1005,$C74,'Detailed Budget'!$BI$5:$BI$1005)&gt;0,SUMIF('Detailed Budget'!$M$5:$M$1005,$C74,'Detailed Budget'!$BI$5:$BI$1005),"")</f>
        <v/>
      </c>
      <c r="S74" s="44" t="str">
        <f>IF(SUMIF('Detailed Budget'!$M$5:$M$1005,$C74,'Detailed Budget'!$BN$5:$BN$1005)&gt;0,SUMIF('Detailed Budget'!$M$5:$M$1005,$C74,'Detailed Budget'!$BN$5:$BN$1005),"")</f>
        <v/>
      </c>
      <c r="T74" s="44" t="str">
        <f>IF(SUMIF('Detailed Budget'!$M$5:$M$1005,$C74,'Detailed Budget'!$BP$5:$BP$1005)&gt;0,SUMIF('Detailed Budget'!$M$5:$M$1005,$C74,'Detailed Budget'!$BP$5:$BP$1005),"")</f>
        <v/>
      </c>
      <c r="U74" s="44" t="str">
        <f>IF(SUMIF('Detailed Budget'!$M$5:$M$1005,$C74,'Detailed Budget'!$BR$5:$BR$1005)&gt;0,SUMIF('Detailed Budget'!$M$5:$M$1005,$C74,'Detailed Budget'!$BR$5:$BR$1005),"")</f>
        <v/>
      </c>
      <c r="V74" s="44" t="str">
        <f>IF(SUMIF('Detailed Budget'!$M$5:$M$1005,$C74,'Detailed Budget'!$BT$5:$BT$1005)&gt;0,SUMIF('Detailed Budget'!$M$5:$M$1005,$C74,'Detailed Budget'!$BT$5:$BT$1005),"")</f>
        <v/>
      </c>
      <c r="W74" s="45" t="str">
        <f>IF(SUMIF('Detailed Budget'!$M$5:$M$1005,$C74,'Detailed Budget'!$BV$5:$BV$1005)&gt;0,SUMIF('Detailed Budget'!$M$5:$M$1005,$C74,'Detailed Budget'!$BV$5:$BV$1005),"")</f>
        <v/>
      </c>
      <c r="X74" s="44" t="str">
        <f t="shared" si="9"/>
        <v/>
      </c>
      <c r="Y74" s="122" t="str">
        <f t="shared" si="10"/>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row>
    <row r="75" spans="2:49" s="35" customFormat="1" hidden="1" x14ac:dyDescent="0.2">
      <c r="B75" s="39" t="str">
        <f t="array" ref="B75">IFERROR(INDEX(RecipientList,MATCH(0,COUNTIF(RecipientList,"&lt;"&amp;RecipientList)-SUM(COUNTIF(RecipientList,B$64:B74)),0)),"")</f>
        <v/>
      </c>
      <c r="C75" s="371" t="str">
        <f t="shared" si="8"/>
        <v/>
      </c>
      <c r="D75" s="44" t="str">
        <f>IF(SUMIF('Detailed Budget'!$M$5:$M$1005,$C75,'Detailed Budget'!$AA$5:$AA$1005)&gt;0,SUMIF('Detailed Budget'!$M$5:$M$1005,$C75,'Detailed Budget'!$AA$5:$AA$1005),"")</f>
        <v/>
      </c>
      <c r="E75" s="44" t="str">
        <f>IF(SUMIF('Detailed Budget'!$M$5:$M$1005,$C75,'Detailed Budget'!$AC$5:$AC$1005)&gt;0,SUMIF('Detailed Budget'!$M$5:$M$1005,$C75,'Detailed Budget'!$AC$5:$AC$1005),"")</f>
        <v/>
      </c>
      <c r="F75" s="44" t="str">
        <f>IF(SUMIF('Detailed Budget'!$M$5:$M$1005,$C75,'Detailed Budget'!$AE$5:$AE$1005)&gt;0,SUMIF('Detailed Budget'!$M$5:$M$1005,$C75,'Detailed Budget'!$AE$5:$AE$1005),"")</f>
        <v/>
      </c>
      <c r="G75" s="44" t="str">
        <f>IF(SUMIF('Detailed Budget'!$M$5:$M$1005,$C75,'Detailed Budget'!$AG$5:$AG$1005)&gt;0,SUMIF('Detailed Budget'!$M$5:$M$1005,$C75,'Detailed Budget'!$AG$5:$AG$1005),"")</f>
        <v/>
      </c>
      <c r="H75" s="45" t="str">
        <f>IF(SUMIF('Detailed Budget'!$M$5:$M$1005,$C75,'Detailed Budget'!$AI$5:$AI$1005)&gt;0,SUMIF('Detailed Budget'!$M$5:$M$1005,$C75,'Detailed Budget'!$AI$5:$AI$1005),"")</f>
        <v/>
      </c>
      <c r="I75" s="44" t="str">
        <f>IF(SUMIF('Detailed Budget'!$M$5:$M$1005,$C75,'Detailed Budget'!$AN$5:$AN$1005)&gt;0,SUMIF('Detailed Budget'!$M$5:$M$1005,$C75,'Detailed Budget'!$AN$5:$AN$1005),"")</f>
        <v/>
      </c>
      <c r="J75" s="44" t="str">
        <f>IF(SUMIF('Detailed Budget'!$M$5:$M$1005,$C75,'Detailed Budget'!$AP$5:$AP$1005)&gt;0,SUMIF('Detailed Budget'!$M$5:$M$1005,$C75,'Detailed Budget'!$AP$5:$AP$1005),"")</f>
        <v/>
      </c>
      <c r="K75" s="44" t="str">
        <f>IF(SUMIF('Detailed Budget'!$M$5:$M$1005,$C75,'Detailed Budget'!$AR$5:$AR$1005)&gt;0,SUMIF('Detailed Budget'!$M$5:$M$1005,$C75,'Detailed Budget'!$AR$5:$AR$1005),"")</f>
        <v/>
      </c>
      <c r="L75" s="44" t="str">
        <f>IF(SUMIF('Detailed Budget'!$M$5:$M$1005,$C75,'Detailed Budget'!$AT$5:$AT$1005)&gt;0,SUMIF('Detailed Budget'!$M$5:$M$1005,$C75,'Detailed Budget'!$AT$5:$AT$1005),"")</f>
        <v/>
      </c>
      <c r="M75" s="45" t="str">
        <f>IF(SUMIF('Detailed Budget'!$M$5:$M$1005,$C75,'Detailed Budget'!$AV$5:$AV$1005)&gt;0,SUMIF('Detailed Budget'!$M$5:$M$1005,$C75,'Detailed Budget'!$AV$5:$AV$1005),"")</f>
        <v/>
      </c>
      <c r="N75" s="44" t="str">
        <f>IF(SUMIF('Detailed Budget'!$M$5:$M$1005,$C75,'Detailed Budget'!$BA$5:$BA$1005)&gt;0,SUMIF('Detailed Budget'!$M$5:$M$1005,$C75,'Detailed Budget'!$BA$5:$BA$1005),"")</f>
        <v/>
      </c>
      <c r="O75" s="44" t="str">
        <f>IF(SUMIF('Detailed Budget'!$M$5:$M$1005,$C75,'Detailed Budget'!$BC$5:$BC$1005)&gt;0,SUMIF('Detailed Budget'!$M$5:$M$1005,$C75,'Detailed Budget'!$BC$5:$BC$1005),"")</f>
        <v/>
      </c>
      <c r="P75" s="44" t="str">
        <f>IF(SUMIF('Detailed Budget'!$M$5:$M$1005,$C75,'Detailed Budget'!$BE$5:$BE$1005)&gt;0,SUMIF('Detailed Budget'!$M$5:$M$1005,$C75,'Detailed Budget'!$BE$5:$BE$1005),"")</f>
        <v/>
      </c>
      <c r="Q75" s="44" t="str">
        <f>IF(SUMIF('Detailed Budget'!$M$5:$M$1005,$C75,'Detailed Budget'!$BG$5:$BG$1005)&gt;0,SUMIF('Detailed Budget'!$M$5:$M$1005,$C75,'Detailed Budget'!$BG$5:$BG$1005),"")</f>
        <v/>
      </c>
      <c r="R75" s="45" t="str">
        <f>IF(SUMIF('Detailed Budget'!$M$5:$M$1005,$C75,'Detailed Budget'!$BI$5:$BI$1005)&gt;0,SUMIF('Detailed Budget'!$M$5:$M$1005,$C75,'Detailed Budget'!$BI$5:$BI$1005),"")</f>
        <v/>
      </c>
      <c r="S75" s="44" t="str">
        <f>IF(SUMIF('Detailed Budget'!$M$5:$M$1005,$C75,'Detailed Budget'!$BN$5:$BN$1005)&gt;0,SUMIF('Detailed Budget'!$M$5:$M$1005,$C75,'Detailed Budget'!$BN$5:$BN$1005),"")</f>
        <v/>
      </c>
      <c r="T75" s="44" t="str">
        <f>IF(SUMIF('Detailed Budget'!$M$5:$M$1005,$C75,'Detailed Budget'!$BP$5:$BP$1005)&gt;0,SUMIF('Detailed Budget'!$M$5:$M$1005,$C75,'Detailed Budget'!$BP$5:$BP$1005),"")</f>
        <v/>
      </c>
      <c r="U75" s="44" t="str">
        <f>IF(SUMIF('Detailed Budget'!$M$5:$M$1005,$C75,'Detailed Budget'!$BR$5:$BR$1005)&gt;0,SUMIF('Detailed Budget'!$M$5:$M$1005,$C75,'Detailed Budget'!$BR$5:$BR$1005),"")</f>
        <v/>
      </c>
      <c r="V75" s="44" t="str">
        <f>IF(SUMIF('Detailed Budget'!$M$5:$M$1005,$C75,'Detailed Budget'!$BT$5:$BT$1005)&gt;0,SUMIF('Detailed Budget'!$M$5:$M$1005,$C75,'Detailed Budget'!$BT$5:$BT$1005),"")</f>
        <v/>
      </c>
      <c r="W75" s="45" t="str">
        <f>IF(SUMIF('Detailed Budget'!$M$5:$M$1005,$C75,'Detailed Budget'!$BV$5:$BV$1005)&gt;0,SUMIF('Detailed Budget'!$M$5:$M$1005,$C75,'Detailed Budget'!$BV$5:$BV$1005),"")</f>
        <v/>
      </c>
      <c r="X75" s="44" t="str">
        <f t="shared" si="9"/>
        <v/>
      </c>
      <c r="Y75" s="122" t="str">
        <f t="shared" si="10"/>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row>
    <row r="76" spans="2:49" s="35" customFormat="1" hidden="1" x14ac:dyDescent="0.2">
      <c r="B76" s="39" t="str">
        <f t="array" ref="B76">IFERROR(INDEX(RecipientList,MATCH(0,COUNTIF(RecipientList,"&lt;"&amp;RecipientList)-SUM(COUNTIF(RecipientList,B$64:B75)),0)),"")</f>
        <v/>
      </c>
      <c r="C76" s="371" t="str">
        <f t="shared" si="8"/>
        <v/>
      </c>
      <c r="D76" s="44" t="str">
        <f>IF(SUMIF('Detailed Budget'!$M$5:$M$1005,$C76,'Detailed Budget'!$AA$5:$AA$1005)&gt;0,SUMIF('Detailed Budget'!$M$5:$M$1005,$C76,'Detailed Budget'!$AA$5:$AA$1005),"")</f>
        <v/>
      </c>
      <c r="E76" s="44" t="str">
        <f>IF(SUMIF('Detailed Budget'!$M$5:$M$1005,$C76,'Detailed Budget'!$AC$5:$AC$1005)&gt;0,SUMIF('Detailed Budget'!$M$5:$M$1005,$C76,'Detailed Budget'!$AC$5:$AC$1005),"")</f>
        <v/>
      </c>
      <c r="F76" s="44" t="str">
        <f>IF(SUMIF('Detailed Budget'!$M$5:$M$1005,$C76,'Detailed Budget'!$AE$5:$AE$1005)&gt;0,SUMIF('Detailed Budget'!$M$5:$M$1005,$C76,'Detailed Budget'!$AE$5:$AE$1005),"")</f>
        <v/>
      </c>
      <c r="G76" s="44" t="str">
        <f>IF(SUMIF('Detailed Budget'!$M$5:$M$1005,$C76,'Detailed Budget'!$AG$5:$AG$1005)&gt;0,SUMIF('Detailed Budget'!$M$5:$M$1005,$C76,'Detailed Budget'!$AG$5:$AG$1005),"")</f>
        <v/>
      </c>
      <c r="H76" s="45" t="str">
        <f>IF(SUMIF('Detailed Budget'!$M$5:$M$1005,$C76,'Detailed Budget'!$AI$5:$AI$1005)&gt;0,SUMIF('Detailed Budget'!$M$5:$M$1005,$C76,'Detailed Budget'!$AI$5:$AI$1005),"")</f>
        <v/>
      </c>
      <c r="I76" s="44" t="str">
        <f>IF(SUMIF('Detailed Budget'!$M$5:$M$1005,$C76,'Detailed Budget'!$AN$5:$AN$1005)&gt;0,SUMIF('Detailed Budget'!$M$5:$M$1005,$C76,'Detailed Budget'!$AN$5:$AN$1005),"")</f>
        <v/>
      </c>
      <c r="J76" s="44" t="str">
        <f>IF(SUMIF('Detailed Budget'!$M$5:$M$1005,$C76,'Detailed Budget'!$AP$5:$AP$1005)&gt;0,SUMIF('Detailed Budget'!$M$5:$M$1005,$C76,'Detailed Budget'!$AP$5:$AP$1005),"")</f>
        <v/>
      </c>
      <c r="K76" s="44" t="str">
        <f>IF(SUMIF('Detailed Budget'!$M$5:$M$1005,$C76,'Detailed Budget'!$AR$5:$AR$1005)&gt;0,SUMIF('Detailed Budget'!$M$5:$M$1005,$C76,'Detailed Budget'!$AR$5:$AR$1005),"")</f>
        <v/>
      </c>
      <c r="L76" s="44" t="str">
        <f>IF(SUMIF('Detailed Budget'!$M$5:$M$1005,$C76,'Detailed Budget'!$AT$5:$AT$1005)&gt;0,SUMIF('Detailed Budget'!$M$5:$M$1005,$C76,'Detailed Budget'!$AT$5:$AT$1005),"")</f>
        <v/>
      </c>
      <c r="M76" s="45" t="str">
        <f>IF(SUMIF('Detailed Budget'!$M$5:$M$1005,$C76,'Detailed Budget'!$AV$5:$AV$1005)&gt;0,SUMIF('Detailed Budget'!$M$5:$M$1005,$C76,'Detailed Budget'!$AV$5:$AV$1005),"")</f>
        <v/>
      </c>
      <c r="N76" s="44" t="str">
        <f>IF(SUMIF('Detailed Budget'!$M$5:$M$1005,$C76,'Detailed Budget'!$BA$5:$BA$1005)&gt;0,SUMIF('Detailed Budget'!$M$5:$M$1005,$C76,'Detailed Budget'!$BA$5:$BA$1005),"")</f>
        <v/>
      </c>
      <c r="O76" s="44" t="str">
        <f>IF(SUMIF('Detailed Budget'!$M$5:$M$1005,$C76,'Detailed Budget'!$BC$5:$BC$1005)&gt;0,SUMIF('Detailed Budget'!$M$5:$M$1005,$C76,'Detailed Budget'!$BC$5:$BC$1005),"")</f>
        <v/>
      </c>
      <c r="P76" s="44" t="str">
        <f>IF(SUMIF('Detailed Budget'!$M$5:$M$1005,$C76,'Detailed Budget'!$BE$5:$BE$1005)&gt;0,SUMIF('Detailed Budget'!$M$5:$M$1005,$C76,'Detailed Budget'!$BE$5:$BE$1005),"")</f>
        <v/>
      </c>
      <c r="Q76" s="44" t="str">
        <f>IF(SUMIF('Detailed Budget'!$M$5:$M$1005,$C76,'Detailed Budget'!$BG$5:$BG$1005)&gt;0,SUMIF('Detailed Budget'!$M$5:$M$1005,$C76,'Detailed Budget'!$BG$5:$BG$1005),"")</f>
        <v/>
      </c>
      <c r="R76" s="45" t="str">
        <f>IF(SUMIF('Detailed Budget'!$M$5:$M$1005,$C76,'Detailed Budget'!$BI$5:$BI$1005)&gt;0,SUMIF('Detailed Budget'!$M$5:$M$1005,$C76,'Detailed Budget'!$BI$5:$BI$1005),"")</f>
        <v/>
      </c>
      <c r="S76" s="44" t="str">
        <f>IF(SUMIF('Detailed Budget'!$M$5:$M$1005,$C76,'Detailed Budget'!$BN$5:$BN$1005)&gt;0,SUMIF('Detailed Budget'!$M$5:$M$1005,$C76,'Detailed Budget'!$BN$5:$BN$1005),"")</f>
        <v/>
      </c>
      <c r="T76" s="44" t="str">
        <f>IF(SUMIF('Detailed Budget'!$M$5:$M$1005,$C76,'Detailed Budget'!$BP$5:$BP$1005)&gt;0,SUMIF('Detailed Budget'!$M$5:$M$1005,$C76,'Detailed Budget'!$BP$5:$BP$1005),"")</f>
        <v/>
      </c>
      <c r="U76" s="44" t="str">
        <f>IF(SUMIF('Detailed Budget'!$M$5:$M$1005,$C76,'Detailed Budget'!$BR$5:$BR$1005)&gt;0,SUMIF('Detailed Budget'!$M$5:$M$1005,$C76,'Detailed Budget'!$BR$5:$BR$1005),"")</f>
        <v/>
      </c>
      <c r="V76" s="44" t="str">
        <f>IF(SUMIF('Detailed Budget'!$M$5:$M$1005,$C76,'Detailed Budget'!$BT$5:$BT$1005)&gt;0,SUMIF('Detailed Budget'!$M$5:$M$1005,$C76,'Detailed Budget'!$BT$5:$BT$1005),"")</f>
        <v/>
      </c>
      <c r="W76" s="45" t="str">
        <f>IF(SUMIF('Detailed Budget'!$M$5:$M$1005,$C76,'Detailed Budget'!$BV$5:$BV$1005)&gt;0,SUMIF('Detailed Budget'!$M$5:$M$1005,$C76,'Detailed Budget'!$BV$5:$BV$1005),"")</f>
        <v/>
      </c>
      <c r="X76" s="44" t="str">
        <f t="shared" si="9"/>
        <v/>
      </c>
      <c r="Y76" s="122" t="str">
        <f t="shared" si="10"/>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row>
    <row r="77" spans="2:49" s="35" customFormat="1" hidden="1" x14ac:dyDescent="0.2">
      <c r="B77" s="39" t="str">
        <f t="array" ref="B77">IFERROR(INDEX(RecipientList,MATCH(0,COUNTIF(RecipientList,"&lt;"&amp;RecipientList)-SUM(COUNTIF(RecipientList,B$64:B76)),0)),"")</f>
        <v/>
      </c>
      <c r="C77" s="371" t="str">
        <f t="shared" si="8"/>
        <v/>
      </c>
      <c r="D77" s="44" t="str">
        <f>IF(SUMIF('Detailed Budget'!$M$5:$M$1005,$C77,'Detailed Budget'!$AA$5:$AA$1005)&gt;0,SUMIF('Detailed Budget'!$M$5:$M$1005,$C77,'Detailed Budget'!$AA$5:$AA$1005),"")</f>
        <v/>
      </c>
      <c r="E77" s="44" t="str">
        <f>IF(SUMIF('Detailed Budget'!$M$5:$M$1005,$C77,'Detailed Budget'!$AC$5:$AC$1005)&gt;0,SUMIF('Detailed Budget'!$M$5:$M$1005,$C77,'Detailed Budget'!$AC$5:$AC$1005),"")</f>
        <v/>
      </c>
      <c r="F77" s="44" t="str">
        <f>IF(SUMIF('Detailed Budget'!$M$5:$M$1005,$C77,'Detailed Budget'!$AE$5:$AE$1005)&gt;0,SUMIF('Detailed Budget'!$M$5:$M$1005,$C77,'Detailed Budget'!$AE$5:$AE$1005),"")</f>
        <v/>
      </c>
      <c r="G77" s="44" t="str">
        <f>IF(SUMIF('Detailed Budget'!$M$5:$M$1005,$C77,'Detailed Budget'!$AG$5:$AG$1005)&gt;0,SUMIF('Detailed Budget'!$M$5:$M$1005,$C77,'Detailed Budget'!$AG$5:$AG$1005),"")</f>
        <v/>
      </c>
      <c r="H77" s="45" t="str">
        <f>IF(SUMIF('Detailed Budget'!$M$5:$M$1005,$C77,'Detailed Budget'!$AI$5:$AI$1005)&gt;0,SUMIF('Detailed Budget'!$M$5:$M$1005,$C77,'Detailed Budget'!$AI$5:$AI$1005),"")</f>
        <v/>
      </c>
      <c r="I77" s="44" t="str">
        <f>IF(SUMIF('Detailed Budget'!$M$5:$M$1005,$C77,'Detailed Budget'!$AN$5:$AN$1005)&gt;0,SUMIF('Detailed Budget'!$M$5:$M$1005,$C77,'Detailed Budget'!$AN$5:$AN$1005),"")</f>
        <v/>
      </c>
      <c r="J77" s="44" t="str">
        <f>IF(SUMIF('Detailed Budget'!$M$5:$M$1005,$C77,'Detailed Budget'!$AP$5:$AP$1005)&gt;0,SUMIF('Detailed Budget'!$M$5:$M$1005,$C77,'Detailed Budget'!$AP$5:$AP$1005),"")</f>
        <v/>
      </c>
      <c r="K77" s="44" t="str">
        <f>IF(SUMIF('Detailed Budget'!$M$5:$M$1005,$C77,'Detailed Budget'!$AR$5:$AR$1005)&gt;0,SUMIF('Detailed Budget'!$M$5:$M$1005,$C77,'Detailed Budget'!$AR$5:$AR$1005),"")</f>
        <v/>
      </c>
      <c r="L77" s="44" t="str">
        <f>IF(SUMIF('Detailed Budget'!$M$5:$M$1005,$C77,'Detailed Budget'!$AT$5:$AT$1005)&gt;0,SUMIF('Detailed Budget'!$M$5:$M$1005,$C77,'Detailed Budget'!$AT$5:$AT$1005),"")</f>
        <v/>
      </c>
      <c r="M77" s="45" t="str">
        <f>IF(SUMIF('Detailed Budget'!$M$5:$M$1005,$C77,'Detailed Budget'!$AV$5:$AV$1005)&gt;0,SUMIF('Detailed Budget'!$M$5:$M$1005,$C77,'Detailed Budget'!$AV$5:$AV$1005),"")</f>
        <v/>
      </c>
      <c r="N77" s="44" t="str">
        <f>IF(SUMIF('Detailed Budget'!$M$5:$M$1005,$C77,'Detailed Budget'!$BA$5:$BA$1005)&gt;0,SUMIF('Detailed Budget'!$M$5:$M$1005,$C77,'Detailed Budget'!$BA$5:$BA$1005),"")</f>
        <v/>
      </c>
      <c r="O77" s="44" t="str">
        <f>IF(SUMIF('Detailed Budget'!$M$5:$M$1005,$C77,'Detailed Budget'!$BC$5:$BC$1005)&gt;0,SUMIF('Detailed Budget'!$M$5:$M$1005,$C77,'Detailed Budget'!$BC$5:$BC$1005),"")</f>
        <v/>
      </c>
      <c r="P77" s="44" t="str">
        <f>IF(SUMIF('Detailed Budget'!$M$5:$M$1005,$C77,'Detailed Budget'!$BE$5:$BE$1005)&gt;0,SUMIF('Detailed Budget'!$M$5:$M$1005,$C77,'Detailed Budget'!$BE$5:$BE$1005),"")</f>
        <v/>
      </c>
      <c r="Q77" s="44" t="str">
        <f>IF(SUMIF('Detailed Budget'!$M$5:$M$1005,$C77,'Detailed Budget'!$BG$5:$BG$1005)&gt;0,SUMIF('Detailed Budget'!$M$5:$M$1005,$C77,'Detailed Budget'!$BG$5:$BG$1005),"")</f>
        <v/>
      </c>
      <c r="R77" s="45" t="str">
        <f>IF(SUMIF('Detailed Budget'!$M$5:$M$1005,$C77,'Detailed Budget'!$BI$5:$BI$1005)&gt;0,SUMIF('Detailed Budget'!$M$5:$M$1005,$C77,'Detailed Budget'!$BI$5:$BI$1005),"")</f>
        <v/>
      </c>
      <c r="S77" s="44" t="str">
        <f>IF(SUMIF('Detailed Budget'!$M$5:$M$1005,$C77,'Detailed Budget'!$BN$5:$BN$1005)&gt;0,SUMIF('Detailed Budget'!$M$5:$M$1005,$C77,'Detailed Budget'!$BN$5:$BN$1005),"")</f>
        <v/>
      </c>
      <c r="T77" s="44" t="str">
        <f>IF(SUMIF('Detailed Budget'!$M$5:$M$1005,$C77,'Detailed Budget'!$BP$5:$BP$1005)&gt;0,SUMIF('Detailed Budget'!$M$5:$M$1005,$C77,'Detailed Budget'!$BP$5:$BP$1005),"")</f>
        <v/>
      </c>
      <c r="U77" s="44" t="str">
        <f>IF(SUMIF('Detailed Budget'!$M$5:$M$1005,$C77,'Detailed Budget'!$BR$5:$BR$1005)&gt;0,SUMIF('Detailed Budget'!$M$5:$M$1005,$C77,'Detailed Budget'!$BR$5:$BR$1005),"")</f>
        <v/>
      </c>
      <c r="V77" s="44" t="str">
        <f>IF(SUMIF('Detailed Budget'!$M$5:$M$1005,$C77,'Detailed Budget'!$BT$5:$BT$1005)&gt;0,SUMIF('Detailed Budget'!$M$5:$M$1005,$C77,'Detailed Budget'!$BT$5:$BT$1005),"")</f>
        <v/>
      </c>
      <c r="W77" s="45" t="str">
        <f>IF(SUMIF('Detailed Budget'!$M$5:$M$1005,$C77,'Detailed Budget'!$BV$5:$BV$1005)&gt;0,SUMIF('Detailed Budget'!$M$5:$M$1005,$C77,'Detailed Budget'!$BV$5:$BV$1005),"")</f>
        <v/>
      </c>
      <c r="X77" s="44" t="str">
        <f t="shared" si="9"/>
        <v/>
      </c>
      <c r="Y77" s="122" t="str">
        <f t="shared" si="10"/>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row>
    <row r="78" spans="2:49" s="35" customFormat="1" hidden="1" x14ac:dyDescent="0.2">
      <c r="B78" s="39" t="str">
        <f t="array" ref="B78">IFERROR(INDEX(RecipientList,MATCH(0,COUNTIF(RecipientList,"&lt;"&amp;RecipientList)-SUM(COUNTIF(RecipientList,B$64:B77)),0)),"")</f>
        <v/>
      </c>
      <c r="C78" s="371" t="str">
        <f t="shared" si="8"/>
        <v/>
      </c>
      <c r="D78" s="44" t="str">
        <f>IF(SUMIF('Detailed Budget'!$M$5:$M$1005,$C78,'Detailed Budget'!$AA$5:$AA$1005)&gt;0,SUMIF('Detailed Budget'!$M$5:$M$1005,$C78,'Detailed Budget'!$AA$5:$AA$1005),"")</f>
        <v/>
      </c>
      <c r="E78" s="44" t="str">
        <f>IF(SUMIF('Detailed Budget'!$M$5:$M$1005,$C78,'Detailed Budget'!$AC$5:$AC$1005)&gt;0,SUMIF('Detailed Budget'!$M$5:$M$1005,$C78,'Detailed Budget'!$AC$5:$AC$1005),"")</f>
        <v/>
      </c>
      <c r="F78" s="44" t="str">
        <f>IF(SUMIF('Detailed Budget'!$M$5:$M$1005,$C78,'Detailed Budget'!$AE$5:$AE$1005)&gt;0,SUMIF('Detailed Budget'!$M$5:$M$1005,$C78,'Detailed Budget'!$AE$5:$AE$1005),"")</f>
        <v/>
      </c>
      <c r="G78" s="44" t="str">
        <f>IF(SUMIF('Detailed Budget'!$M$5:$M$1005,$C78,'Detailed Budget'!$AG$5:$AG$1005)&gt;0,SUMIF('Detailed Budget'!$M$5:$M$1005,$C78,'Detailed Budget'!$AG$5:$AG$1005),"")</f>
        <v/>
      </c>
      <c r="H78" s="45" t="str">
        <f>IF(SUMIF('Detailed Budget'!$M$5:$M$1005,$C78,'Detailed Budget'!$AI$5:$AI$1005)&gt;0,SUMIF('Detailed Budget'!$M$5:$M$1005,$C78,'Detailed Budget'!$AI$5:$AI$1005),"")</f>
        <v/>
      </c>
      <c r="I78" s="44" t="str">
        <f>IF(SUMIF('Detailed Budget'!$M$5:$M$1005,$C78,'Detailed Budget'!$AN$5:$AN$1005)&gt;0,SUMIF('Detailed Budget'!$M$5:$M$1005,$C78,'Detailed Budget'!$AN$5:$AN$1005),"")</f>
        <v/>
      </c>
      <c r="J78" s="44" t="str">
        <f>IF(SUMIF('Detailed Budget'!$M$5:$M$1005,$C78,'Detailed Budget'!$AP$5:$AP$1005)&gt;0,SUMIF('Detailed Budget'!$M$5:$M$1005,$C78,'Detailed Budget'!$AP$5:$AP$1005),"")</f>
        <v/>
      </c>
      <c r="K78" s="44" t="str">
        <f>IF(SUMIF('Detailed Budget'!$M$5:$M$1005,$C78,'Detailed Budget'!$AR$5:$AR$1005)&gt;0,SUMIF('Detailed Budget'!$M$5:$M$1005,$C78,'Detailed Budget'!$AR$5:$AR$1005),"")</f>
        <v/>
      </c>
      <c r="L78" s="44" t="str">
        <f>IF(SUMIF('Detailed Budget'!$M$5:$M$1005,$C78,'Detailed Budget'!$AT$5:$AT$1005)&gt;0,SUMIF('Detailed Budget'!$M$5:$M$1005,$C78,'Detailed Budget'!$AT$5:$AT$1005),"")</f>
        <v/>
      </c>
      <c r="M78" s="45" t="str">
        <f>IF(SUMIF('Detailed Budget'!$M$5:$M$1005,$C78,'Detailed Budget'!$AV$5:$AV$1005)&gt;0,SUMIF('Detailed Budget'!$M$5:$M$1005,$C78,'Detailed Budget'!$AV$5:$AV$1005),"")</f>
        <v/>
      </c>
      <c r="N78" s="44" t="str">
        <f>IF(SUMIF('Detailed Budget'!$M$5:$M$1005,$C78,'Detailed Budget'!$BA$5:$BA$1005)&gt;0,SUMIF('Detailed Budget'!$M$5:$M$1005,$C78,'Detailed Budget'!$BA$5:$BA$1005),"")</f>
        <v/>
      </c>
      <c r="O78" s="44" t="str">
        <f>IF(SUMIF('Detailed Budget'!$M$5:$M$1005,$C78,'Detailed Budget'!$BC$5:$BC$1005)&gt;0,SUMIF('Detailed Budget'!$M$5:$M$1005,$C78,'Detailed Budget'!$BC$5:$BC$1005),"")</f>
        <v/>
      </c>
      <c r="P78" s="44" t="str">
        <f>IF(SUMIF('Detailed Budget'!$M$5:$M$1005,$C78,'Detailed Budget'!$BE$5:$BE$1005)&gt;0,SUMIF('Detailed Budget'!$M$5:$M$1005,$C78,'Detailed Budget'!$BE$5:$BE$1005),"")</f>
        <v/>
      </c>
      <c r="Q78" s="44" t="str">
        <f>IF(SUMIF('Detailed Budget'!$M$5:$M$1005,$C78,'Detailed Budget'!$BG$5:$BG$1005)&gt;0,SUMIF('Detailed Budget'!$M$5:$M$1005,$C78,'Detailed Budget'!$BG$5:$BG$1005),"")</f>
        <v/>
      </c>
      <c r="R78" s="45" t="str">
        <f>IF(SUMIF('Detailed Budget'!$M$5:$M$1005,$C78,'Detailed Budget'!$BI$5:$BI$1005)&gt;0,SUMIF('Detailed Budget'!$M$5:$M$1005,$C78,'Detailed Budget'!$BI$5:$BI$1005),"")</f>
        <v/>
      </c>
      <c r="S78" s="44" t="str">
        <f>IF(SUMIF('Detailed Budget'!$M$5:$M$1005,$C78,'Detailed Budget'!$BN$5:$BN$1005)&gt;0,SUMIF('Detailed Budget'!$M$5:$M$1005,$C78,'Detailed Budget'!$BN$5:$BN$1005),"")</f>
        <v/>
      </c>
      <c r="T78" s="44" t="str">
        <f>IF(SUMIF('Detailed Budget'!$M$5:$M$1005,$C78,'Detailed Budget'!$BP$5:$BP$1005)&gt;0,SUMIF('Detailed Budget'!$M$5:$M$1005,$C78,'Detailed Budget'!$BP$5:$BP$1005),"")</f>
        <v/>
      </c>
      <c r="U78" s="44" t="str">
        <f>IF(SUMIF('Detailed Budget'!$M$5:$M$1005,$C78,'Detailed Budget'!$BR$5:$BR$1005)&gt;0,SUMIF('Detailed Budget'!$M$5:$M$1005,$C78,'Detailed Budget'!$BR$5:$BR$1005),"")</f>
        <v/>
      </c>
      <c r="V78" s="44" t="str">
        <f>IF(SUMIF('Detailed Budget'!$M$5:$M$1005,$C78,'Detailed Budget'!$BT$5:$BT$1005)&gt;0,SUMIF('Detailed Budget'!$M$5:$M$1005,$C78,'Detailed Budget'!$BT$5:$BT$1005),"")</f>
        <v/>
      </c>
      <c r="W78" s="45" t="str">
        <f>IF(SUMIF('Detailed Budget'!$M$5:$M$1005,$C78,'Detailed Budget'!$BV$5:$BV$1005)&gt;0,SUMIF('Detailed Budget'!$M$5:$M$1005,$C78,'Detailed Budget'!$BV$5:$BV$1005),"")</f>
        <v/>
      </c>
      <c r="X78" s="44" t="str">
        <f t="shared" si="9"/>
        <v/>
      </c>
      <c r="Y78" s="122" t="str">
        <f t="shared" si="10"/>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row>
    <row r="79" spans="2:49" s="35" customFormat="1" hidden="1" x14ac:dyDescent="0.2">
      <c r="B79" s="39" t="str">
        <f t="array" ref="B79">IFERROR(INDEX(RecipientList,MATCH(0,COUNTIF(RecipientList,"&lt;"&amp;RecipientList)-SUM(COUNTIF(RecipientList,B$64:B78)),0)),"")</f>
        <v/>
      </c>
      <c r="C79" s="371" t="str">
        <f t="shared" si="8"/>
        <v/>
      </c>
      <c r="D79" s="44" t="str">
        <f>IF(SUMIF('Detailed Budget'!$M$5:$M$1005,$C79,'Detailed Budget'!$AA$5:$AA$1005)&gt;0,SUMIF('Detailed Budget'!$M$5:$M$1005,$C79,'Detailed Budget'!$AA$5:$AA$1005),"")</f>
        <v/>
      </c>
      <c r="E79" s="44" t="str">
        <f>IF(SUMIF('Detailed Budget'!$M$5:$M$1005,$C79,'Detailed Budget'!$AC$5:$AC$1005)&gt;0,SUMIF('Detailed Budget'!$M$5:$M$1005,$C79,'Detailed Budget'!$AC$5:$AC$1005),"")</f>
        <v/>
      </c>
      <c r="F79" s="44" t="str">
        <f>IF(SUMIF('Detailed Budget'!$M$5:$M$1005,$C79,'Detailed Budget'!$AE$5:$AE$1005)&gt;0,SUMIF('Detailed Budget'!$M$5:$M$1005,$C79,'Detailed Budget'!$AE$5:$AE$1005),"")</f>
        <v/>
      </c>
      <c r="G79" s="44" t="str">
        <f>IF(SUMIF('Detailed Budget'!$M$5:$M$1005,$C79,'Detailed Budget'!$AG$5:$AG$1005)&gt;0,SUMIF('Detailed Budget'!$M$5:$M$1005,$C79,'Detailed Budget'!$AG$5:$AG$1005),"")</f>
        <v/>
      </c>
      <c r="H79" s="45" t="str">
        <f>IF(SUMIF('Detailed Budget'!$M$5:$M$1005,$C79,'Detailed Budget'!$AI$5:$AI$1005)&gt;0,SUMIF('Detailed Budget'!$M$5:$M$1005,$C79,'Detailed Budget'!$AI$5:$AI$1005),"")</f>
        <v/>
      </c>
      <c r="I79" s="44" t="str">
        <f>IF(SUMIF('Detailed Budget'!$M$5:$M$1005,$C79,'Detailed Budget'!$AN$5:$AN$1005)&gt;0,SUMIF('Detailed Budget'!$M$5:$M$1005,$C79,'Detailed Budget'!$AN$5:$AN$1005),"")</f>
        <v/>
      </c>
      <c r="J79" s="44" t="str">
        <f>IF(SUMIF('Detailed Budget'!$M$5:$M$1005,$C79,'Detailed Budget'!$AP$5:$AP$1005)&gt;0,SUMIF('Detailed Budget'!$M$5:$M$1005,$C79,'Detailed Budget'!$AP$5:$AP$1005),"")</f>
        <v/>
      </c>
      <c r="K79" s="44" t="str">
        <f>IF(SUMIF('Detailed Budget'!$M$5:$M$1005,$C79,'Detailed Budget'!$AR$5:$AR$1005)&gt;0,SUMIF('Detailed Budget'!$M$5:$M$1005,$C79,'Detailed Budget'!$AR$5:$AR$1005),"")</f>
        <v/>
      </c>
      <c r="L79" s="44" t="str">
        <f>IF(SUMIF('Detailed Budget'!$M$5:$M$1005,$C79,'Detailed Budget'!$AT$5:$AT$1005)&gt;0,SUMIF('Detailed Budget'!$M$5:$M$1005,$C79,'Detailed Budget'!$AT$5:$AT$1005),"")</f>
        <v/>
      </c>
      <c r="M79" s="45" t="str">
        <f>IF(SUMIF('Detailed Budget'!$M$5:$M$1005,$C79,'Detailed Budget'!$AV$5:$AV$1005)&gt;0,SUMIF('Detailed Budget'!$M$5:$M$1005,$C79,'Detailed Budget'!$AV$5:$AV$1005),"")</f>
        <v/>
      </c>
      <c r="N79" s="44" t="str">
        <f>IF(SUMIF('Detailed Budget'!$M$5:$M$1005,$C79,'Detailed Budget'!$BA$5:$BA$1005)&gt;0,SUMIF('Detailed Budget'!$M$5:$M$1005,$C79,'Detailed Budget'!$BA$5:$BA$1005),"")</f>
        <v/>
      </c>
      <c r="O79" s="44" t="str">
        <f>IF(SUMIF('Detailed Budget'!$M$5:$M$1005,$C79,'Detailed Budget'!$BC$5:$BC$1005)&gt;0,SUMIF('Detailed Budget'!$M$5:$M$1005,$C79,'Detailed Budget'!$BC$5:$BC$1005),"")</f>
        <v/>
      </c>
      <c r="P79" s="44" t="str">
        <f>IF(SUMIF('Detailed Budget'!$M$5:$M$1005,$C79,'Detailed Budget'!$BE$5:$BE$1005)&gt;0,SUMIF('Detailed Budget'!$M$5:$M$1005,$C79,'Detailed Budget'!$BE$5:$BE$1005),"")</f>
        <v/>
      </c>
      <c r="Q79" s="44" t="str">
        <f>IF(SUMIF('Detailed Budget'!$M$5:$M$1005,$C79,'Detailed Budget'!$BG$5:$BG$1005)&gt;0,SUMIF('Detailed Budget'!$M$5:$M$1005,$C79,'Detailed Budget'!$BG$5:$BG$1005),"")</f>
        <v/>
      </c>
      <c r="R79" s="45" t="str">
        <f>IF(SUMIF('Detailed Budget'!$M$5:$M$1005,$C79,'Detailed Budget'!$BI$5:$BI$1005)&gt;0,SUMIF('Detailed Budget'!$M$5:$M$1005,$C79,'Detailed Budget'!$BI$5:$BI$1005),"")</f>
        <v/>
      </c>
      <c r="S79" s="44" t="str">
        <f>IF(SUMIF('Detailed Budget'!$M$5:$M$1005,$C79,'Detailed Budget'!$BN$5:$BN$1005)&gt;0,SUMIF('Detailed Budget'!$M$5:$M$1005,$C79,'Detailed Budget'!$BN$5:$BN$1005),"")</f>
        <v/>
      </c>
      <c r="T79" s="44" t="str">
        <f>IF(SUMIF('Detailed Budget'!$M$5:$M$1005,$C79,'Detailed Budget'!$BP$5:$BP$1005)&gt;0,SUMIF('Detailed Budget'!$M$5:$M$1005,$C79,'Detailed Budget'!$BP$5:$BP$1005),"")</f>
        <v/>
      </c>
      <c r="U79" s="44" t="str">
        <f>IF(SUMIF('Detailed Budget'!$M$5:$M$1005,$C79,'Detailed Budget'!$BR$5:$BR$1005)&gt;0,SUMIF('Detailed Budget'!$M$5:$M$1005,$C79,'Detailed Budget'!$BR$5:$BR$1005),"")</f>
        <v/>
      </c>
      <c r="V79" s="44" t="str">
        <f>IF(SUMIF('Detailed Budget'!$M$5:$M$1005,$C79,'Detailed Budget'!$BT$5:$BT$1005)&gt;0,SUMIF('Detailed Budget'!$M$5:$M$1005,$C79,'Detailed Budget'!$BT$5:$BT$1005),"")</f>
        <v/>
      </c>
      <c r="W79" s="45" t="str">
        <f>IF(SUMIF('Detailed Budget'!$M$5:$M$1005,$C79,'Detailed Budget'!$BV$5:$BV$1005)&gt;0,SUMIF('Detailed Budget'!$M$5:$M$1005,$C79,'Detailed Budget'!$BV$5:$BV$1005),"")</f>
        <v/>
      </c>
      <c r="X79" s="44" t="str">
        <f t="shared" si="9"/>
        <v/>
      </c>
      <c r="Y79" s="122" t="str">
        <f t="shared" si="10"/>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row>
    <row r="80" spans="2:49" s="35" customFormat="1" hidden="1" x14ac:dyDescent="0.2">
      <c r="B80" s="39" t="str">
        <f t="array" ref="B80">IFERROR(INDEX(RecipientList,MATCH(0,COUNTIF(RecipientList,"&lt;"&amp;RecipientList)-SUM(COUNTIF(RecipientList,B$64:B79)),0)),"")</f>
        <v/>
      </c>
      <c r="C80" s="371" t="str">
        <f t="shared" si="8"/>
        <v/>
      </c>
      <c r="D80" s="44" t="str">
        <f>IF(SUMIF('Detailed Budget'!$M$5:$M$1005,$C80,'Detailed Budget'!$AA$5:$AA$1005)&gt;0,SUMIF('Detailed Budget'!$M$5:$M$1005,$C80,'Detailed Budget'!$AA$5:$AA$1005),"")</f>
        <v/>
      </c>
      <c r="E80" s="44" t="str">
        <f>IF(SUMIF('Detailed Budget'!$M$5:$M$1005,$C80,'Detailed Budget'!$AC$5:$AC$1005)&gt;0,SUMIF('Detailed Budget'!$M$5:$M$1005,$C80,'Detailed Budget'!$AC$5:$AC$1005),"")</f>
        <v/>
      </c>
      <c r="F80" s="44" t="str">
        <f>IF(SUMIF('Detailed Budget'!$M$5:$M$1005,$C80,'Detailed Budget'!$AE$5:$AE$1005)&gt;0,SUMIF('Detailed Budget'!$M$5:$M$1005,$C80,'Detailed Budget'!$AE$5:$AE$1005),"")</f>
        <v/>
      </c>
      <c r="G80" s="44" t="str">
        <f>IF(SUMIF('Detailed Budget'!$M$5:$M$1005,$C80,'Detailed Budget'!$AG$5:$AG$1005)&gt;0,SUMIF('Detailed Budget'!$M$5:$M$1005,$C80,'Detailed Budget'!$AG$5:$AG$1005),"")</f>
        <v/>
      </c>
      <c r="H80" s="45" t="str">
        <f>IF(SUMIF('Detailed Budget'!$M$5:$M$1005,$C80,'Detailed Budget'!$AI$5:$AI$1005)&gt;0,SUMIF('Detailed Budget'!$M$5:$M$1005,$C80,'Detailed Budget'!$AI$5:$AI$1005),"")</f>
        <v/>
      </c>
      <c r="I80" s="44" t="str">
        <f>IF(SUMIF('Detailed Budget'!$M$5:$M$1005,$C80,'Detailed Budget'!$AN$5:$AN$1005)&gt;0,SUMIF('Detailed Budget'!$M$5:$M$1005,$C80,'Detailed Budget'!$AN$5:$AN$1005),"")</f>
        <v/>
      </c>
      <c r="J80" s="44" t="str">
        <f>IF(SUMIF('Detailed Budget'!$M$5:$M$1005,$C80,'Detailed Budget'!$AP$5:$AP$1005)&gt;0,SUMIF('Detailed Budget'!$M$5:$M$1005,$C80,'Detailed Budget'!$AP$5:$AP$1005),"")</f>
        <v/>
      </c>
      <c r="K80" s="44" t="str">
        <f>IF(SUMIF('Detailed Budget'!$M$5:$M$1005,$C80,'Detailed Budget'!$AR$5:$AR$1005)&gt;0,SUMIF('Detailed Budget'!$M$5:$M$1005,$C80,'Detailed Budget'!$AR$5:$AR$1005),"")</f>
        <v/>
      </c>
      <c r="L80" s="44" t="str">
        <f>IF(SUMIF('Detailed Budget'!$M$5:$M$1005,$C80,'Detailed Budget'!$AT$5:$AT$1005)&gt;0,SUMIF('Detailed Budget'!$M$5:$M$1005,$C80,'Detailed Budget'!$AT$5:$AT$1005),"")</f>
        <v/>
      </c>
      <c r="M80" s="45" t="str">
        <f>IF(SUMIF('Detailed Budget'!$M$5:$M$1005,$C80,'Detailed Budget'!$AV$5:$AV$1005)&gt;0,SUMIF('Detailed Budget'!$M$5:$M$1005,$C80,'Detailed Budget'!$AV$5:$AV$1005),"")</f>
        <v/>
      </c>
      <c r="N80" s="44" t="str">
        <f>IF(SUMIF('Detailed Budget'!$M$5:$M$1005,$C80,'Detailed Budget'!$BA$5:$BA$1005)&gt;0,SUMIF('Detailed Budget'!$M$5:$M$1005,$C80,'Detailed Budget'!$BA$5:$BA$1005),"")</f>
        <v/>
      </c>
      <c r="O80" s="44" t="str">
        <f>IF(SUMIF('Detailed Budget'!$M$5:$M$1005,$C80,'Detailed Budget'!$BC$5:$BC$1005)&gt;0,SUMIF('Detailed Budget'!$M$5:$M$1005,$C80,'Detailed Budget'!$BC$5:$BC$1005),"")</f>
        <v/>
      </c>
      <c r="P80" s="44" t="str">
        <f>IF(SUMIF('Detailed Budget'!$M$5:$M$1005,$C80,'Detailed Budget'!$BE$5:$BE$1005)&gt;0,SUMIF('Detailed Budget'!$M$5:$M$1005,$C80,'Detailed Budget'!$BE$5:$BE$1005),"")</f>
        <v/>
      </c>
      <c r="Q80" s="44" t="str">
        <f>IF(SUMIF('Detailed Budget'!$M$5:$M$1005,$C80,'Detailed Budget'!$BG$5:$BG$1005)&gt;0,SUMIF('Detailed Budget'!$M$5:$M$1005,$C80,'Detailed Budget'!$BG$5:$BG$1005),"")</f>
        <v/>
      </c>
      <c r="R80" s="45" t="str">
        <f>IF(SUMIF('Detailed Budget'!$M$5:$M$1005,$C80,'Detailed Budget'!$BI$5:$BI$1005)&gt;0,SUMIF('Detailed Budget'!$M$5:$M$1005,$C80,'Detailed Budget'!$BI$5:$BI$1005),"")</f>
        <v/>
      </c>
      <c r="S80" s="44" t="str">
        <f>IF(SUMIF('Detailed Budget'!$M$5:$M$1005,$C80,'Detailed Budget'!$BN$5:$BN$1005)&gt;0,SUMIF('Detailed Budget'!$M$5:$M$1005,$C80,'Detailed Budget'!$BN$5:$BN$1005),"")</f>
        <v/>
      </c>
      <c r="T80" s="44" t="str">
        <f>IF(SUMIF('Detailed Budget'!$M$5:$M$1005,$C80,'Detailed Budget'!$BP$5:$BP$1005)&gt;0,SUMIF('Detailed Budget'!$M$5:$M$1005,$C80,'Detailed Budget'!$BP$5:$BP$1005),"")</f>
        <v/>
      </c>
      <c r="U80" s="44" t="str">
        <f>IF(SUMIF('Detailed Budget'!$M$5:$M$1005,$C80,'Detailed Budget'!$BR$5:$BR$1005)&gt;0,SUMIF('Detailed Budget'!$M$5:$M$1005,$C80,'Detailed Budget'!$BR$5:$BR$1005),"")</f>
        <v/>
      </c>
      <c r="V80" s="44" t="str">
        <f>IF(SUMIF('Detailed Budget'!$M$5:$M$1005,$C80,'Detailed Budget'!$BT$5:$BT$1005)&gt;0,SUMIF('Detailed Budget'!$M$5:$M$1005,$C80,'Detailed Budget'!$BT$5:$BT$1005),"")</f>
        <v/>
      </c>
      <c r="W80" s="45" t="str">
        <f>IF(SUMIF('Detailed Budget'!$M$5:$M$1005,$C80,'Detailed Budget'!$BV$5:$BV$1005)&gt;0,SUMIF('Detailed Budget'!$M$5:$M$1005,$C80,'Detailed Budget'!$BV$5:$BV$1005),"")</f>
        <v/>
      </c>
      <c r="X80" s="44" t="str">
        <f t="shared" si="9"/>
        <v/>
      </c>
      <c r="Y80" s="122" t="str">
        <f t="shared" si="10"/>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row>
    <row r="81" spans="2:49" s="35" customFormat="1" hidden="1" x14ac:dyDescent="0.2">
      <c r="B81" s="39" t="str">
        <f t="array" ref="B81">IFERROR(INDEX(RecipientList,MATCH(0,COUNTIF(RecipientList,"&lt;"&amp;RecipientList)-SUM(COUNTIF(RecipientList,B$64:B80)),0)),"")</f>
        <v/>
      </c>
      <c r="C81" s="371" t="str">
        <f t="shared" si="8"/>
        <v/>
      </c>
      <c r="D81" s="44" t="str">
        <f>IF(SUMIF('Detailed Budget'!$M$5:$M$1005,$C81,'Detailed Budget'!$AA$5:$AA$1005)&gt;0,SUMIF('Detailed Budget'!$M$5:$M$1005,$C81,'Detailed Budget'!$AA$5:$AA$1005),"")</f>
        <v/>
      </c>
      <c r="E81" s="44" t="str">
        <f>IF(SUMIF('Detailed Budget'!$M$5:$M$1005,$C81,'Detailed Budget'!$AC$5:$AC$1005)&gt;0,SUMIF('Detailed Budget'!$M$5:$M$1005,$C81,'Detailed Budget'!$AC$5:$AC$1005),"")</f>
        <v/>
      </c>
      <c r="F81" s="44" t="str">
        <f>IF(SUMIF('Detailed Budget'!$M$5:$M$1005,$C81,'Detailed Budget'!$AE$5:$AE$1005)&gt;0,SUMIF('Detailed Budget'!$M$5:$M$1005,$C81,'Detailed Budget'!$AE$5:$AE$1005),"")</f>
        <v/>
      </c>
      <c r="G81" s="44" t="str">
        <f>IF(SUMIF('Detailed Budget'!$M$5:$M$1005,$C81,'Detailed Budget'!$AG$5:$AG$1005)&gt;0,SUMIF('Detailed Budget'!$M$5:$M$1005,$C81,'Detailed Budget'!$AG$5:$AG$1005),"")</f>
        <v/>
      </c>
      <c r="H81" s="45" t="str">
        <f>IF(SUMIF('Detailed Budget'!$M$5:$M$1005,$C81,'Detailed Budget'!$AI$5:$AI$1005)&gt;0,SUMIF('Detailed Budget'!$M$5:$M$1005,$C81,'Detailed Budget'!$AI$5:$AI$1005),"")</f>
        <v/>
      </c>
      <c r="I81" s="44" t="str">
        <f>IF(SUMIF('Detailed Budget'!$M$5:$M$1005,$C81,'Detailed Budget'!$AN$5:$AN$1005)&gt;0,SUMIF('Detailed Budget'!$M$5:$M$1005,$C81,'Detailed Budget'!$AN$5:$AN$1005),"")</f>
        <v/>
      </c>
      <c r="J81" s="44" t="str">
        <f>IF(SUMIF('Detailed Budget'!$M$5:$M$1005,$C81,'Detailed Budget'!$AP$5:$AP$1005)&gt;0,SUMIF('Detailed Budget'!$M$5:$M$1005,$C81,'Detailed Budget'!$AP$5:$AP$1005),"")</f>
        <v/>
      </c>
      <c r="K81" s="44" t="str">
        <f>IF(SUMIF('Detailed Budget'!$M$5:$M$1005,$C81,'Detailed Budget'!$AR$5:$AR$1005)&gt;0,SUMIF('Detailed Budget'!$M$5:$M$1005,$C81,'Detailed Budget'!$AR$5:$AR$1005),"")</f>
        <v/>
      </c>
      <c r="L81" s="44" t="str">
        <f>IF(SUMIF('Detailed Budget'!$M$5:$M$1005,$C81,'Detailed Budget'!$AT$5:$AT$1005)&gt;0,SUMIF('Detailed Budget'!$M$5:$M$1005,$C81,'Detailed Budget'!$AT$5:$AT$1005),"")</f>
        <v/>
      </c>
      <c r="M81" s="45" t="str">
        <f>IF(SUMIF('Detailed Budget'!$M$5:$M$1005,$C81,'Detailed Budget'!$AV$5:$AV$1005)&gt;0,SUMIF('Detailed Budget'!$M$5:$M$1005,$C81,'Detailed Budget'!$AV$5:$AV$1005),"")</f>
        <v/>
      </c>
      <c r="N81" s="44" t="str">
        <f>IF(SUMIF('Detailed Budget'!$M$5:$M$1005,$C81,'Detailed Budget'!$BA$5:$BA$1005)&gt;0,SUMIF('Detailed Budget'!$M$5:$M$1005,$C81,'Detailed Budget'!$BA$5:$BA$1005),"")</f>
        <v/>
      </c>
      <c r="O81" s="44" t="str">
        <f>IF(SUMIF('Detailed Budget'!$M$5:$M$1005,$C81,'Detailed Budget'!$BC$5:$BC$1005)&gt;0,SUMIF('Detailed Budget'!$M$5:$M$1005,$C81,'Detailed Budget'!$BC$5:$BC$1005),"")</f>
        <v/>
      </c>
      <c r="P81" s="44" t="str">
        <f>IF(SUMIF('Detailed Budget'!$M$5:$M$1005,$C81,'Detailed Budget'!$BE$5:$BE$1005)&gt;0,SUMIF('Detailed Budget'!$M$5:$M$1005,$C81,'Detailed Budget'!$BE$5:$BE$1005),"")</f>
        <v/>
      </c>
      <c r="Q81" s="44" t="str">
        <f>IF(SUMIF('Detailed Budget'!$M$5:$M$1005,$C81,'Detailed Budget'!$BG$5:$BG$1005)&gt;0,SUMIF('Detailed Budget'!$M$5:$M$1005,$C81,'Detailed Budget'!$BG$5:$BG$1005),"")</f>
        <v/>
      </c>
      <c r="R81" s="45" t="str">
        <f>IF(SUMIF('Detailed Budget'!$M$5:$M$1005,$C81,'Detailed Budget'!$BI$5:$BI$1005)&gt;0,SUMIF('Detailed Budget'!$M$5:$M$1005,$C81,'Detailed Budget'!$BI$5:$BI$1005),"")</f>
        <v/>
      </c>
      <c r="S81" s="44" t="str">
        <f>IF(SUMIF('Detailed Budget'!$M$5:$M$1005,$C81,'Detailed Budget'!$BN$5:$BN$1005)&gt;0,SUMIF('Detailed Budget'!$M$5:$M$1005,$C81,'Detailed Budget'!$BN$5:$BN$1005),"")</f>
        <v/>
      </c>
      <c r="T81" s="44" t="str">
        <f>IF(SUMIF('Detailed Budget'!$M$5:$M$1005,$C81,'Detailed Budget'!$BP$5:$BP$1005)&gt;0,SUMIF('Detailed Budget'!$M$5:$M$1005,$C81,'Detailed Budget'!$BP$5:$BP$1005),"")</f>
        <v/>
      </c>
      <c r="U81" s="44" t="str">
        <f>IF(SUMIF('Detailed Budget'!$M$5:$M$1005,$C81,'Detailed Budget'!$BR$5:$BR$1005)&gt;0,SUMIF('Detailed Budget'!$M$5:$M$1005,$C81,'Detailed Budget'!$BR$5:$BR$1005),"")</f>
        <v/>
      </c>
      <c r="V81" s="44" t="str">
        <f>IF(SUMIF('Detailed Budget'!$M$5:$M$1005,$C81,'Detailed Budget'!$BT$5:$BT$1005)&gt;0,SUMIF('Detailed Budget'!$M$5:$M$1005,$C81,'Detailed Budget'!$BT$5:$BT$1005),"")</f>
        <v/>
      </c>
      <c r="W81" s="45" t="str">
        <f>IF(SUMIF('Detailed Budget'!$M$5:$M$1005,$C81,'Detailed Budget'!$BV$5:$BV$1005)&gt;0,SUMIF('Detailed Budget'!$M$5:$M$1005,$C81,'Detailed Budget'!$BV$5:$BV$1005),"")</f>
        <v/>
      </c>
      <c r="X81" s="44" t="str">
        <f t="shared" si="9"/>
        <v/>
      </c>
      <c r="Y81" s="122" t="str">
        <f t="shared" si="10"/>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row>
    <row r="82" spans="2:49" s="35" customFormat="1" hidden="1" x14ac:dyDescent="0.2">
      <c r="B82" s="39" t="str">
        <f t="array" ref="B82">IFERROR(INDEX(RecipientList,MATCH(0,COUNTIF(RecipientList,"&lt;"&amp;RecipientList)-SUM(COUNTIF(RecipientList,B$64:B81)),0)),"")</f>
        <v/>
      </c>
      <c r="C82" s="371" t="str">
        <f t="shared" si="8"/>
        <v/>
      </c>
      <c r="D82" s="44" t="str">
        <f>IF(SUMIF('Detailed Budget'!$M$5:$M$1005,$C82,'Detailed Budget'!$AA$5:$AA$1005)&gt;0,SUMIF('Detailed Budget'!$M$5:$M$1005,$C82,'Detailed Budget'!$AA$5:$AA$1005),"")</f>
        <v/>
      </c>
      <c r="E82" s="44" t="str">
        <f>IF(SUMIF('Detailed Budget'!$M$5:$M$1005,$C82,'Detailed Budget'!$AC$5:$AC$1005)&gt;0,SUMIF('Detailed Budget'!$M$5:$M$1005,$C82,'Detailed Budget'!$AC$5:$AC$1005),"")</f>
        <v/>
      </c>
      <c r="F82" s="44" t="str">
        <f>IF(SUMIF('Detailed Budget'!$M$5:$M$1005,$C82,'Detailed Budget'!$AE$5:$AE$1005)&gt;0,SUMIF('Detailed Budget'!$M$5:$M$1005,$C82,'Detailed Budget'!$AE$5:$AE$1005),"")</f>
        <v/>
      </c>
      <c r="G82" s="44" t="str">
        <f>IF(SUMIF('Detailed Budget'!$M$5:$M$1005,$C82,'Detailed Budget'!$AG$5:$AG$1005)&gt;0,SUMIF('Detailed Budget'!$M$5:$M$1005,$C82,'Detailed Budget'!$AG$5:$AG$1005),"")</f>
        <v/>
      </c>
      <c r="H82" s="45" t="str">
        <f>IF(SUMIF('Detailed Budget'!$M$5:$M$1005,$C82,'Detailed Budget'!$AI$5:$AI$1005)&gt;0,SUMIF('Detailed Budget'!$M$5:$M$1005,$C82,'Detailed Budget'!$AI$5:$AI$1005),"")</f>
        <v/>
      </c>
      <c r="I82" s="44" t="str">
        <f>IF(SUMIF('Detailed Budget'!$M$5:$M$1005,$C82,'Detailed Budget'!$AN$5:$AN$1005)&gt;0,SUMIF('Detailed Budget'!$M$5:$M$1005,$C82,'Detailed Budget'!$AN$5:$AN$1005),"")</f>
        <v/>
      </c>
      <c r="J82" s="44" t="str">
        <f>IF(SUMIF('Detailed Budget'!$M$5:$M$1005,$C82,'Detailed Budget'!$AP$5:$AP$1005)&gt;0,SUMIF('Detailed Budget'!$M$5:$M$1005,$C82,'Detailed Budget'!$AP$5:$AP$1005),"")</f>
        <v/>
      </c>
      <c r="K82" s="44" t="str">
        <f>IF(SUMIF('Detailed Budget'!$M$5:$M$1005,$C82,'Detailed Budget'!$AR$5:$AR$1005)&gt;0,SUMIF('Detailed Budget'!$M$5:$M$1005,$C82,'Detailed Budget'!$AR$5:$AR$1005),"")</f>
        <v/>
      </c>
      <c r="L82" s="44" t="str">
        <f>IF(SUMIF('Detailed Budget'!$M$5:$M$1005,$C82,'Detailed Budget'!$AT$5:$AT$1005)&gt;0,SUMIF('Detailed Budget'!$M$5:$M$1005,$C82,'Detailed Budget'!$AT$5:$AT$1005),"")</f>
        <v/>
      </c>
      <c r="M82" s="45" t="str">
        <f>IF(SUMIF('Detailed Budget'!$M$5:$M$1005,$C82,'Detailed Budget'!$AV$5:$AV$1005)&gt;0,SUMIF('Detailed Budget'!$M$5:$M$1005,$C82,'Detailed Budget'!$AV$5:$AV$1005),"")</f>
        <v/>
      </c>
      <c r="N82" s="44" t="str">
        <f>IF(SUMIF('Detailed Budget'!$M$5:$M$1005,$C82,'Detailed Budget'!$BA$5:$BA$1005)&gt;0,SUMIF('Detailed Budget'!$M$5:$M$1005,$C82,'Detailed Budget'!$BA$5:$BA$1005),"")</f>
        <v/>
      </c>
      <c r="O82" s="44" t="str">
        <f>IF(SUMIF('Detailed Budget'!$M$5:$M$1005,$C82,'Detailed Budget'!$BC$5:$BC$1005)&gt;0,SUMIF('Detailed Budget'!$M$5:$M$1005,$C82,'Detailed Budget'!$BC$5:$BC$1005),"")</f>
        <v/>
      </c>
      <c r="P82" s="44" t="str">
        <f>IF(SUMIF('Detailed Budget'!$M$5:$M$1005,$C82,'Detailed Budget'!$BE$5:$BE$1005)&gt;0,SUMIF('Detailed Budget'!$M$5:$M$1005,$C82,'Detailed Budget'!$BE$5:$BE$1005),"")</f>
        <v/>
      </c>
      <c r="Q82" s="44" t="str">
        <f>IF(SUMIF('Detailed Budget'!$M$5:$M$1005,$C82,'Detailed Budget'!$BG$5:$BG$1005)&gt;0,SUMIF('Detailed Budget'!$M$5:$M$1005,$C82,'Detailed Budget'!$BG$5:$BG$1005),"")</f>
        <v/>
      </c>
      <c r="R82" s="45" t="str">
        <f>IF(SUMIF('Detailed Budget'!$M$5:$M$1005,$C82,'Detailed Budget'!$BI$5:$BI$1005)&gt;0,SUMIF('Detailed Budget'!$M$5:$M$1005,$C82,'Detailed Budget'!$BI$5:$BI$1005),"")</f>
        <v/>
      </c>
      <c r="S82" s="44" t="str">
        <f>IF(SUMIF('Detailed Budget'!$M$5:$M$1005,$C82,'Detailed Budget'!$BN$5:$BN$1005)&gt;0,SUMIF('Detailed Budget'!$M$5:$M$1005,$C82,'Detailed Budget'!$BN$5:$BN$1005),"")</f>
        <v/>
      </c>
      <c r="T82" s="44" t="str">
        <f>IF(SUMIF('Detailed Budget'!$M$5:$M$1005,$C82,'Detailed Budget'!$BP$5:$BP$1005)&gt;0,SUMIF('Detailed Budget'!$M$5:$M$1005,$C82,'Detailed Budget'!$BP$5:$BP$1005),"")</f>
        <v/>
      </c>
      <c r="U82" s="44" t="str">
        <f>IF(SUMIF('Detailed Budget'!$M$5:$M$1005,$C82,'Detailed Budget'!$BR$5:$BR$1005)&gt;0,SUMIF('Detailed Budget'!$M$5:$M$1005,$C82,'Detailed Budget'!$BR$5:$BR$1005),"")</f>
        <v/>
      </c>
      <c r="V82" s="44" t="str">
        <f>IF(SUMIF('Detailed Budget'!$M$5:$M$1005,$C82,'Detailed Budget'!$BT$5:$BT$1005)&gt;0,SUMIF('Detailed Budget'!$M$5:$M$1005,$C82,'Detailed Budget'!$BT$5:$BT$1005),"")</f>
        <v/>
      </c>
      <c r="W82" s="45" t="str">
        <f>IF(SUMIF('Detailed Budget'!$M$5:$M$1005,$C82,'Detailed Budget'!$BV$5:$BV$1005)&gt;0,SUMIF('Detailed Budget'!$M$5:$M$1005,$C82,'Detailed Budget'!$BV$5:$BV$1005),"")</f>
        <v/>
      </c>
      <c r="X82" s="44" t="str">
        <f t="shared" si="9"/>
        <v/>
      </c>
      <c r="Y82" s="122" t="str">
        <f t="shared" si="10"/>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row>
    <row r="83" spans="2:49" s="35" customFormat="1" hidden="1" x14ac:dyDescent="0.2">
      <c r="B83" s="39" t="str">
        <f t="array" ref="B83">IFERROR(INDEX(RecipientList,MATCH(0,COUNTIF(RecipientList,"&lt;"&amp;RecipientList)-SUM(COUNTIF(RecipientList,B$64:B82)),0)),"")</f>
        <v/>
      </c>
      <c r="C83" s="371" t="str">
        <f t="shared" si="8"/>
        <v/>
      </c>
      <c r="D83" s="44" t="str">
        <f>IF(SUMIF('Detailed Budget'!$M$5:$M$1005,$C83,'Detailed Budget'!$AA$5:$AA$1005)&gt;0,SUMIF('Detailed Budget'!$M$5:$M$1005,$C83,'Detailed Budget'!$AA$5:$AA$1005),"")</f>
        <v/>
      </c>
      <c r="E83" s="44" t="str">
        <f>IF(SUMIF('Detailed Budget'!$M$5:$M$1005,$C83,'Detailed Budget'!$AC$5:$AC$1005)&gt;0,SUMIF('Detailed Budget'!$M$5:$M$1005,$C83,'Detailed Budget'!$AC$5:$AC$1005),"")</f>
        <v/>
      </c>
      <c r="F83" s="44" t="str">
        <f>IF(SUMIF('Detailed Budget'!$M$5:$M$1005,$C83,'Detailed Budget'!$AE$5:$AE$1005)&gt;0,SUMIF('Detailed Budget'!$M$5:$M$1005,$C83,'Detailed Budget'!$AE$5:$AE$1005),"")</f>
        <v/>
      </c>
      <c r="G83" s="44" t="str">
        <f>IF(SUMIF('Detailed Budget'!$M$5:$M$1005,$C83,'Detailed Budget'!$AG$5:$AG$1005)&gt;0,SUMIF('Detailed Budget'!$M$5:$M$1005,$C83,'Detailed Budget'!$AG$5:$AG$1005),"")</f>
        <v/>
      </c>
      <c r="H83" s="45" t="str">
        <f>IF(SUMIF('Detailed Budget'!$M$5:$M$1005,$C83,'Detailed Budget'!$AI$5:$AI$1005)&gt;0,SUMIF('Detailed Budget'!$M$5:$M$1005,$C83,'Detailed Budget'!$AI$5:$AI$1005),"")</f>
        <v/>
      </c>
      <c r="I83" s="44" t="str">
        <f>IF(SUMIF('Detailed Budget'!$M$5:$M$1005,$C83,'Detailed Budget'!$AN$5:$AN$1005)&gt;0,SUMIF('Detailed Budget'!$M$5:$M$1005,$C83,'Detailed Budget'!$AN$5:$AN$1005),"")</f>
        <v/>
      </c>
      <c r="J83" s="44" t="str">
        <f>IF(SUMIF('Detailed Budget'!$M$5:$M$1005,$C83,'Detailed Budget'!$AP$5:$AP$1005)&gt;0,SUMIF('Detailed Budget'!$M$5:$M$1005,$C83,'Detailed Budget'!$AP$5:$AP$1005),"")</f>
        <v/>
      </c>
      <c r="K83" s="44" t="str">
        <f>IF(SUMIF('Detailed Budget'!$M$5:$M$1005,$C83,'Detailed Budget'!$AR$5:$AR$1005)&gt;0,SUMIF('Detailed Budget'!$M$5:$M$1005,$C83,'Detailed Budget'!$AR$5:$AR$1005),"")</f>
        <v/>
      </c>
      <c r="L83" s="44" t="str">
        <f>IF(SUMIF('Detailed Budget'!$M$5:$M$1005,$C83,'Detailed Budget'!$AT$5:$AT$1005)&gt;0,SUMIF('Detailed Budget'!$M$5:$M$1005,$C83,'Detailed Budget'!$AT$5:$AT$1005),"")</f>
        <v/>
      </c>
      <c r="M83" s="45" t="str">
        <f>IF(SUMIF('Detailed Budget'!$M$5:$M$1005,$C83,'Detailed Budget'!$AV$5:$AV$1005)&gt;0,SUMIF('Detailed Budget'!$M$5:$M$1005,$C83,'Detailed Budget'!$AV$5:$AV$1005),"")</f>
        <v/>
      </c>
      <c r="N83" s="44" t="str">
        <f>IF(SUMIF('Detailed Budget'!$M$5:$M$1005,$C83,'Detailed Budget'!$BA$5:$BA$1005)&gt;0,SUMIF('Detailed Budget'!$M$5:$M$1005,$C83,'Detailed Budget'!$BA$5:$BA$1005),"")</f>
        <v/>
      </c>
      <c r="O83" s="44" t="str">
        <f>IF(SUMIF('Detailed Budget'!$M$5:$M$1005,$C83,'Detailed Budget'!$BC$5:$BC$1005)&gt;0,SUMIF('Detailed Budget'!$M$5:$M$1005,$C83,'Detailed Budget'!$BC$5:$BC$1005),"")</f>
        <v/>
      </c>
      <c r="P83" s="44" t="str">
        <f>IF(SUMIF('Detailed Budget'!$M$5:$M$1005,$C83,'Detailed Budget'!$BE$5:$BE$1005)&gt;0,SUMIF('Detailed Budget'!$M$5:$M$1005,$C83,'Detailed Budget'!$BE$5:$BE$1005),"")</f>
        <v/>
      </c>
      <c r="Q83" s="44" t="str">
        <f>IF(SUMIF('Detailed Budget'!$M$5:$M$1005,$C83,'Detailed Budget'!$BG$5:$BG$1005)&gt;0,SUMIF('Detailed Budget'!$M$5:$M$1005,$C83,'Detailed Budget'!$BG$5:$BG$1005),"")</f>
        <v/>
      </c>
      <c r="R83" s="45" t="str">
        <f>IF(SUMIF('Detailed Budget'!$M$5:$M$1005,$C83,'Detailed Budget'!$BI$5:$BI$1005)&gt;0,SUMIF('Detailed Budget'!$M$5:$M$1005,$C83,'Detailed Budget'!$BI$5:$BI$1005),"")</f>
        <v/>
      </c>
      <c r="S83" s="44" t="str">
        <f>IF(SUMIF('Detailed Budget'!$M$5:$M$1005,$C83,'Detailed Budget'!$BN$5:$BN$1005)&gt;0,SUMIF('Detailed Budget'!$M$5:$M$1005,$C83,'Detailed Budget'!$BN$5:$BN$1005),"")</f>
        <v/>
      </c>
      <c r="T83" s="44" t="str">
        <f>IF(SUMIF('Detailed Budget'!$M$5:$M$1005,$C83,'Detailed Budget'!$BP$5:$BP$1005)&gt;0,SUMIF('Detailed Budget'!$M$5:$M$1005,$C83,'Detailed Budget'!$BP$5:$BP$1005),"")</f>
        <v/>
      </c>
      <c r="U83" s="44" t="str">
        <f>IF(SUMIF('Detailed Budget'!$M$5:$M$1005,$C83,'Detailed Budget'!$BR$5:$BR$1005)&gt;0,SUMIF('Detailed Budget'!$M$5:$M$1005,$C83,'Detailed Budget'!$BR$5:$BR$1005),"")</f>
        <v/>
      </c>
      <c r="V83" s="44" t="str">
        <f>IF(SUMIF('Detailed Budget'!$M$5:$M$1005,$C83,'Detailed Budget'!$BT$5:$BT$1005)&gt;0,SUMIF('Detailed Budget'!$M$5:$M$1005,$C83,'Detailed Budget'!$BT$5:$BT$1005),"")</f>
        <v/>
      </c>
      <c r="W83" s="45" t="str">
        <f>IF(SUMIF('Detailed Budget'!$M$5:$M$1005,$C83,'Detailed Budget'!$BV$5:$BV$1005)&gt;0,SUMIF('Detailed Budget'!$M$5:$M$1005,$C83,'Detailed Budget'!$BV$5:$BV$1005),"")</f>
        <v/>
      </c>
      <c r="X83" s="44" t="str">
        <f t="shared" si="9"/>
        <v/>
      </c>
      <c r="Y83" s="122" t="str">
        <f t="shared" si="10"/>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row>
    <row r="84" spans="2:49" s="35" customFormat="1" hidden="1" x14ac:dyDescent="0.2">
      <c r="B84" s="39" t="str">
        <f t="array" ref="B84">IFERROR(INDEX(RecipientList,MATCH(0,COUNTIF(RecipientList,"&lt;"&amp;RecipientList)-SUM(COUNTIF(RecipientList,B$64:B83)),0)),"")</f>
        <v/>
      </c>
      <c r="C84" s="371" t="str">
        <f t="shared" si="8"/>
        <v/>
      </c>
      <c r="D84" s="44" t="str">
        <f>IF(SUMIF('Detailed Budget'!$M$5:$M$1005,$C84,'Detailed Budget'!$AA$5:$AA$1005)&gt;0,SUMIF('Detailed Budget'!$M$5:$M$1005,$C84,'Detailed Budget'!$AA$5:$AA$1005),"")</f>
        <v/>
      </c>
      <c r="E84" s="44" t="str">
        <f>IF(SUMIF('Detailed Budget'!$M$5:$M$1005,$C84,'Detailed Budget'!$AC$5:$AC$1005)&gt;0,SUMIF('Detailed Budget'!$M$5:$M$1005,$C84,'Detailed Budget'!$AC$5:$AC$1005),"")</f>
        <v/>
      </c>
      <c r="F84" s="44" t="str">
        <f>IF(SUMIF('Detailed Budget'!$M$5:$M$1005,$C84,'Detailed Budget'!$AE$5:$AE$1005)&gt;0,SUMIF('Detailed Budget'!$M$5:$M$1005,$C84,'Detailed Budget'!$AE$5:$AE$1005),"")</f>
        <v/>
      </c>
      <c r="G84" s="44" t="str">
        <f>IF(SUMIF('Detailed Budget'!$M$5:$M$1005,$C84,'Detailed Budget'!$AG$5:$AG$1005)&gt;0,SUMIF('Detailed Budget'!$M$5:$M$1005,$C84,'Detailed Budget'!$AG$5:$AG$1005),"")</f>
        <v/>
      </c>
      <c r="H84" s="45" t="str">
        <f>IF(SUMIF('Detailed Budget'!$M$5:$M$1005,$C84,'Detailed Budget'!$AI$5:$AI$1005)&gt;0,SUMIF('Detailed Budget'!$M$5:$M$1005,$C84,'Detailed Budget'!$AI$5:$AI$1005),"")</f>
        <v/>
      </c>
      <c r="I84" s="44" t="str">
        <f>IF(SUMIF('Detailed Budget'!$M$5:$M$1005,$C84,'Detailed Budget'!$AN$5:$AN$1005)&gt;0,SUMIF('Detailed Budget'!$M$5:$M$1005,$C84,'Detailed Budget'!$AN$5:$AN$1005),"")</f>
        <v/>
      </c>
      <c r="J84" s="44" t="str">
        <f>IF(SUMIF('Detailed Budget'!$M$5:$M$1005,$C84,'Detailed Budget'!$AP$5:$AP$1005)&gt;0,SUMIF('Detailed Budget'!$M$5:$M$1005,$C84,'Detailed Budget'!$AP$5:$AP$1005),"")</f>
        <v/>
      </c>
      <c r="K84" s="44" t="str">
        <f>IF(SUMIF('Detailed Budget'!$M$5:$M$1005,$C84,'Detailed Budget'!$AR$5:$AR$1005)&gt;0,SUMIF('Detailed Budget'!$M$5:$M$1005,$C84,'Detailed Budget'!$AR$5:$AR$1005),"")</f>
        <v/>
      </c>
      <c r="L84" s="44" t="str">
        <f>IF(SUMIF('Detailed Budget'!$M$5:$M$1005,$C84,'Detailed Budget'!$AT$5:$AT$1005)&gt;0,SUMIF('Detailed Budget'!$M$5:$M$1005,$C84,'Detailed Budget'!$AT$5:$AT$1005),"")</f>
        <v/>
      </c>
      <c r="M84" s="45" t="str">
        <f>IF(SUMIF('Detailed Budget'!$M$5:$M$1005,$C84,'Detailed Budget'!$AV$5:$AV$1005)&gt;0,SUMIF('Detailed Budget'!$M$5:$M$1005,$C84,'Detailed Budget'!$AV$5:$AV$1005),"")</f>
        <v/>
      </c>
      <c r="N84" s="44" t="str">
        <f>IF(SUMIF('Detailed Budget'!$M$5:$M$1005,$C84,'Detailed Budget'!$BA$5:$BA$1005)&gt;0,SUMIF('Detailed Budget'!$M$5:$M$1005,$C84,'Detailed Budget'!$BA$5:$BA$1005),"")</f>
        <v/>
      </c>
      <c r="O84" s="44" t="str">
        <f>IF(SUMIF('Detailed Budget'!$M$5:$M$1005,$C84,'Detailed Budget'!$BC$5:$BC$1005)&gt;0,SUMIF('Detailed Budget'!$M$5:$M$1005,$C84,'Detailed Budget'!$BC$5:$BC$1005),"")</f>
        <v/>
      </c>
      <c r="P84" s="44" t="str">
        <f>IF(SUMIF('Detailed Budget'!$M$5:$M$1005,$C84,'Detailed Budget'!$BE$5:$BE$1005)&gt;0,SUMIF('Detailed Budget'!$M$5:$M$1005,$C84,'Detailed Budget'!$BE$5:$BE$1005),"")</f>
        <v/>
      </c>
      <c r="Q84" s="44" t="str">
        <f>IF(SUMIF('Detailed Budget'!$M$5:$M$1005,$C84,'Detailed Budget'!$BG$5:$BG$1005)&gt;0,SUMIF('Detailed Budget'!$M$5:$M$1005,$C84,'Detailed Budget'!$BG$5:$BG$1005),"")</f>
        <v/>
      </c>
      <c r="R84" s="45" t="str">
        <f>IF(SUMIF('Detailed Budget'!$M$5:$M$1005,$C84,'Detailed Budget'!$BI$5:$BI$1005)&gt;0,SUMIF('Detailed Budget'!$M$5:$M$1005,$C84,'Detailed Budget'!$BI$5:$BI$1005),"")</f>
        <v/>
      </c>
      <c r="S84" s="44" t="str">
        <f>IF(SUMIF('Detailed Budget'!$M$5:$M$1005,$C84,'Detailed Budget'!$BN$5:$BN$1005)&gt;0,SUMIF('Detailed Budget'!$M$5:$M$1005,$C84,'Detailed Budget'!$BN$5:$BN$1005),"")</f>
        <v/>
      </c>
      <c r="T84" s="44" t="str">
        <f>IF(SUMIF('Detailed Budget'!$M$5:$M$1005,$C84,'Detailed Budget'!$BP$5:$BP$1005)&gt;0,SUMIF('Detailed Budget'!$M$5:$M$1005,$C84,'Detailed Budget'!$BP$5:$BP$1005),"")</f>
        <v/>
      </c>
      <c r="U84" s="44" t="str">
        <f>IF(SUMIF('Detailed Budget'!$M$5:$M$1005,$C84,'Detailed Budget'!$BR$5:$BR$1005)&gt;0,SUMIF('Detailed Budget'!$M$5:$M$1005,$C84,'Detailed Budget'!$BR$5:$BR$1005),"")</f>
        <v/>
      </c>
      <c r="V84" s="44" t="str">
        <f>IF(SUMIF('Detailed Budget'!$M$5:$M$1005,$C84,'Detailed Budget'!$BT$5:$BT$1005)&gt;0,SUMIF('Detailed Budget'!$M$5:$M$1005,$C84,'Detailed Budget'!$BT$5:$BT$1005),"")</f>
        <v/>
      </c>
      <c r="W84" s="45" t="str">
        <f>IF(SUMIF('Detailed Budget'!$M$5:$M$1005,$C84,'Detailed Budget'!$BV$5:$BV$1005)&gt;0,SUMIF('Detailed Budget'!$M$5:$M$1005,$C84,'Detailed Budget'!$BV$5:$BV$1005),"")</f>
        <v/>
      </c>
      <c r="X84" s="44" t="str">
        <f t="shared" si="9"/>
        <v/>
      </c>
      <c r="Y84" s="122" t="str">
        <f t="shared" si="10"/>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row>
    <row r="85" spans="2:49" s="35" customFormat="1" hidden="1" x14ac:dyDescent="0.2">
      <c r="B85" s="39" t="str">
        <f t="array" ref="B85">IFERROR(INDEX(RecipientList,MATCH(0,COUNTIF(RecipientList,"&lt;"&amp;RecipientList)-SUM(COUNTIF(RecipientList,B$64:B84)),0)),"")</f>
        <v/>
      </c>
      <c r="C85" s="371" t="str">
        <f t="shared" si="8"/>
        <v/>
      </c>
      <c r="D85" s="44" t="str">
        <f>IF(SUMIF('Detailed Budget'!$M$5:$M$1005,$C85,'Detailed Budget'!$AA$5:$AA$1005)&gt;0,SUMIF('Detailed Budget'!$M$5:$M$1005,$C85,'Detailed Budget'!$AA$5:$AA$1005),"")</f>
        <v/>
      </c>
      <c r="E85" s="44" t="str">
        <f>IF(SUMIF('Detailed Budget'!$M$5:$M$1005,$C85,'Detailed Budget'!$AC$5:$AC$1005)&gt;0,SUMIF('Detailed Budget'!$M$5:$M$1005,$C85,'Detailed Budget'!$AC$5:$AC$1005),"")</f>
        <v/>
      </c>
      <c r="F85" s="44" t="str">
        <f>IF(SUMIF('Detailed Budget'!$M$5:$M$1005,$C85,'Detailed Budget'!$AE$5:$AE$1005)&gt;0,SUMIF('Detailed Budget'!$M$5:$M$1005,$C85,'Detailed Budget'!$AE$5:$AE$1005),"")</f>
        <v/>
      </c>
      <c r="G85" s="44" t="str">
        <f>IF(SUMIF('Detailed Budget'!$M$5:$M$1005,$C85,'Detailed Budget'!$AG$5:$AG$1005)&gt;0,SUMIF('Detailed Budget'!$M$5:$M$1005,$C85,'Detailed Budget'!$AG$5:$AG$1005),"")</f>
        <v/>
      </c>
      <c r="H85" s="45" t="str">
        <f>IF(SUMIF('Detailed Budget'!$M$5:$M$1005,$C85,'Detailed Budget'!$AI$5:$AI$1005)&gt;0,SUMIF('Detailed Budget'!$M$5:$M$1005,$C85,'Detailed Budget'!$AI$5:$AI$1005),"")</f>
        <v/>
      </c>
      <c r="I85" s="44" t="str">
        <f>IF(SUMIF('Detailed Budget'!$M$5:$M$1005,$C85,'Detailed Budget'!$AN$5:$AN$1005)&gt;0,SUMIF('Detailed Budget'!$M$5:$M$1005,$C85,'Detailed Budget'!$AN$5:$AN$1005),"")</f>
        <v/>
      </c>
      <c r="J85" s="44" t="str">
        <f>IF(SUMIF('Detailed Budget'!$M$5:$M$1005,$C85,'Detailed Budget'!$AP$5:$AP$1005)&gt;0,SUMIF('Detailed Budget'!$M$5:$M$1005,$C85,'Detailed Budget'!$AP$5:$AP$1005),"")</f>
        <v/>
      </c>
      <c r="K85" s="44" t="str">
        <f>IF(SUMIF('Detailed Budget'!$M$5:$M$1005,$C85,'Detailed Budget'!$AR$5:$AR$1005)&gt;0,SUMIF('Detailed Budget'!$M$5:$M$1005,$C85,'Detailed Budget'!$AR$5:$AR$1005),"")</f>
        <v/>
      </c>
      <c r="L85" s="44" t="str">
        <f>IF(SUMIF('Detailed Budget'!$M$5:$M$1005,$C85,'Detailed Budget'!$AT$5:$AT$1005)&gt;0,SUMIF('Detailed Budget'!$M$5:$M$1005,$C85,'Detailed Budget'!$AT$5:$AT$1005),"")</f>
        <v/>
      </c>
      <c r="M85" s="45" t="str">
        <f>IF(SUMIF('Detailed Budget'!$M$5:$M$1005,$C85,'Detailed Budget'!$AV$5:$AV$1005)&gt;0,SUMIF('Detailed Budget'!$M$5:$M$1005,$C85,'Detailed Budget'!$AV$5:$AV$1005),"")</f>
        <v/>
      </c>
      <c r="N85" s="44" t="str">
        <f>IF(SUMIF('Detailed Budget'!$M$5:$M$1005,$C85,'Detailed Budget'!$BA$5:$BA$1005)&gt;0,SUMIF('Detailed Budget'!$M$5:$M$1005,$C85,'Detailed Budget'!$BA$5:$BA$1005),"")</f>
        <v/>
      </c>
      <c r="O85" s="44" t="str">
        <f>IF(SUMIF('Detailed Budget'!$M$5:$M$1005,$C85,'Detailed Budget'!$BC$5:$BC$1005)&gt;0,SUMIF('Detailed Budget'!$M$5:$M$1005,$C85,'Detailed Budget'!$BC$5:$BC$1005),"")</f>
        <v/>
      </c>
      <c r="P85" s="44" t="str">
        <f>IF(SUMIF('Detailed Budget'!$M$5:$M$1005,$C85,'Detailed Budget'!$BE$5:$BE$1005)&gt;0,SUMIF('Detailed Budget'!$M$5:$M$1005,$C85,'Detailed Budget'!$BE$5:$BE$1005),"")</f>
        <v/>
      </c>
      <c r="Q85" s="44" t="str">
        <f>IF(SUMIF('Detailed Budget'!$M$5:$M$1005,$C85,'Detailed Budget'!$BG$5:$BG$1005)&gt;0,SUMIF('Detailed Budget'!$M$5:$M$1005,$C85,'Detailed Budget'!$BG$5:$BG$1005),"")</f>
        <v/>
      </c>
      <c r="R85" s="45" t="str">
        <f>IF(SUMIF('Detailed Budget'!$M$5:$M$1005,$C85,'Detailed Budget'!$BI$5:$BI$1005)&gt;0,SUMIF('Detailed Budget'!$M$5:$M$1005,$C85,'Detailed Budget'!$BI$5:$BI$1005),"")</f>
        <v/>
      </c>
      <c r="S85" s="44" t="str">
        <f>IF(SUMIF('Detailed Budget'!$M$5:$M$1005,$C85,'Detailed Budget'!$BN$5:$BN$1005)&gt;0,SUMIF('Detailed Budget'!$M$5:$M$1005,$C85,'Detailed Budget'!$BN$5:$BN$1005),"")</f>
        <v/>
      </c>
      <c r="T85" s="44" t="str">
        <f>IF(SUMIF('Detailed Budget'!$M$5:$M$1005,$C85,'Detailed Budget'!$BP$5:$BP$1005)&gt;0,SUMIF('Detailed Budget'!$M$5:$M$1005,$C85,'Detailed Budget'!$BP$5:$BP$1005),"")</f>
        <v/>
      </c>
      <c r="U85" s="44" t="str">
        <f>IF(SUMIF('Detailed Budget'!$M$5:$M$1005,$C85,'Detailed Budget'!$BR$5:$BR$1005)&gt;0,SUMIF('Detailed Budget'!$M$5:$M$1005,$C85,'Detailed Budget'!$BR$5:$BR$1005),"")</f>
        <v/>
      </c>
      <c r="V85" s="44" t="str">
        <f>IF(SUMIF('Detailed Budget'!$M$5:$M$1005,$C85,'Detailed Budget'!$BT$5:$BT$1005)&gt;0,SUMIF('Detailed Budget'!$M$5:$M$1005,$C85,'Detailed Budget'!$BT$5:$BT$1005),"")</f>
        <v/>
      </c>
      <c r="W85" s="45" t="str">
        <f>IF(SUMIF('Detailed Budget'!$M$5:$M$1005,$C85,'Detailed Budget'!$BV$5:$BV$1005)&gt;0,SUMIF('Detailed Budget'!$M$5:$M$1005,$C85,'Detailed Budget'!$BV$5:$BV$1005),"")</f>
        <v/>
      </c>
      <c r="X85" s="44" t="str">
        <f t="shared" si="9"/>
        <v/>
      </c>
      <c r="Y85" s="122" t="str">
        <f t="shared" si="10"/>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row>
    <row r="86" spans="2:49" s="35" customFormat="1" hidden="1" x14ac:dyDescent="0.2">
      <c r="B86" s="39" t="str">
        <f t="array" ref="B86">IFERROR(INDEX(RecipientList,MATCH(0,COUNTIF(RecipientList,"&lt;"&amp;RecipientList)-SUM(COUNTIF(RecipientList,B$64:B85)),0)),"")</f>
        <v/>
      </c>
      <c r="C86" s="371" t="str">
        <f t="shared" si="8"/>
        <v/>
      </c>
      <c r="D86" s="44" t="str">
        <f>IF(SUMIF('Detailed Budget'!$M$5:$M$1005,$C86,'Detailed Budget'!$AA$5:$AA$1005)&gt;0,SUMIF('Detailed Budget'!$M$5:$M$1005,$C86,'Detailed Budget'!$AA$5:$AA$1005),"")</f>
        <v/>
      </c>
      <c r="E86" s="44" t="str">
        <f>IF(SUMIF('Detailed Budget'!$M$5:$M$1005,$C86,'Detailed Budget'!$AC$5:$AC$1005)&gt;0,SUMIF('Detailed Budget'!$M$5:$M$1005,$C86,'Detailed Budget'!$AC$5:$AC$1005),"")</f>
        <v/>
      </c>
      <c r="F86" s="44" t="str">
        <f>IF(SUMIF('Detailed Budget'!$M$5:$M$1005,$C86,'Detailed Budget'!$AE$5:$AE$1005)&gt;0,SUMIF('Detailed Budget'!$M$5:$M$1005,$C86,'Detailed Budget'!$AE$5:$AE$1005),"")</f>
        <v/>
      </c>
      <c r="G86" s="44" t="str">
        <f>IF(SUMIF('Detailed Budget'!$M$5:$M$1005,$C86,'Detailed Budget'!$AG$5:$AG$1005)&gt;0,SUMIF('Detailed Budget'!$M$5:$M$1005,$C86,'Detailed Budget'!$AG$5:$AG$1005),"")</f>
        <v/>
      </c>
      <c r="H86" s="45" t="str">
        <f>IF(SUMIF('Detailed Budget'!$M$5:$M$1005,$C86,'Detailed Budget'!$AI$5:$AI$1005)&gt;0,SUMIF('Detailed Budget'!$M$5:$M$1005,$C86,'Detailed Budget'!$AI$5:$AI$1005),"")</f>
        <v/>
      </c>
      <c r="I86" s="44" t="str">
        <f>IF(SUMIF('Detailed Budget'!$M$5:$M$1005,$C86,'Detailed Budget'!$AN$5:$AN$1005)&gt;0,SUMIF('Detailed Budget'!$M$5:$M$1005,$C86,'Detailed Budget'!$AN$5:$AN$1005),"")</f>
        <v/>
      </c>
      <c r="J86" s="44" t="str">
        <f>IF(SUMIF('Detailed Budget'!$M$5:$M$1005,$C86,'Detailed Budget'!$AP$5:$AP$1005)&gt;0,SUMIF('Detailed Budget'!$M$5:$M$1005,$C86,'Detailed Budget'!$AP$5:$AP$1005),"")</f>
        <v/>
      </c>
      <c r="K86" s="44" t="str">
        <f>IF(SUMIF('Detailed Budget'!$M$5:$M$1005,$C86,'Detailed Budget'!$AR$5:$AR$1005)&gt;0,SUMIF('Detailed Budget'!$M$5:$M$1005,$C86,'Detailed Budget'!$AR$5:$AR$1005),"")</f>
        <v/>
      </c>
      <c r="L86" s="44" t="str">
        <f>IF(SUMIF('Detailed Budget'!$M$5:$M$1005,$C86,'Detailed Budget'!$AT$5:$AT$1005)&gt;0,SUMIF('Detailed Budget'!$M$5:$M$1005,$C86,'Detailed Budget'!$AT$5:$AT$1005),"")</f>
        <v/>
      </c>
      <c r="M86" s="45" t="str">
        <f>IF(SUMIF('Detailed Budget'!$M$5:$M$1005,$C86,'Detailed Budget'!$AV$5:$AV$1005)&gt;0,SUMIF('Detailed Budget'!$M$5:$M$1005,$C86,'Detailed Budget'!$AV$5:$AV$1005),"")</f>
        <v/>
      </c>
      <c r="N86" s="44" t="str">
        <f>IF(SUMIF('Detailed Budget'!$M$5:$M$1005,$C86,'Detailed Budget'!$BA$5:$BA$1005)&gt;0,SUMIF('Detailed Budget'!$M$5:$M$1005,$C86,'Detailed Budget'!$BA$5:$BA$1005),"")</f>
        <v/>
      </c>
      <c r="O86" s="44" t="str">
        <f>IF(SUMIF('Detailed Budget'!$M$5:$M$1005,$C86,'Detailed Budget'!$BC$5:$BC$1005)&gt;0,SUMIF('Detailed Budget'!$M$5:$M$1005,$C86,'Detailed Budget'!$BC$5:$BC$1005),"")</f>
        <v/>
      </c>
      <c r="P86" s="44" t="str">
        <f>IF(SUMIF('Detailed Budget'!$M$5:$M$1005,$C86,'Detailed Budget'!$BE$5:$BE$1005)&gt;0,SUMIF('Detailed Budget'!$M$5:$M$1005,$C86,'Detailed Budget'!$BE$5:$BE$1005),"")</f>
        <v/>
      </c>
      <c r="Q86" s="44" t="str">
        <f>IF(SUMIF('Detailed Budget'!$M$5:$M$1005,$C86,'Detailed Budget'!$BG$5:$BG$1005)&gt;0,SUMIF('Detailed Budget'!$M$5:$M$1005,$C86,'Detailed Budget'!$BG$5:$BG$1005),"")</f>
        <v/>
      </c>
      <c r="R86" s="45" t="str">
        <f>IF(SUMIF('Detailed Budget'!$M$5:$M$1005,$C86,'Detailed Budget'!$BI$5:$BI$1005)&gt;0,SUMIF('Detailed Budget'!$M$5:$M$1005,$C86,'Detailed Budget'!$BI$5:$BI$1005),"")</f>
        <v/>
      </c>
      <c r="S86" s="44" t="str">
        <f>IF(SUMIF('Detailed Budget'!$M$5:$M$1005,$C86,'Detailed Budget'!$BN$5:$BN$1005)&gt;0,SUMIF('Detailed Budget'!$M$5:$M$1005,$C86,'Detailed Budget'!$BN$5:$BN$1005),"")</f>
        <v/>
      </c>
      <c r="T86" s="44" t="str">
        <f>IF(SUMIF('Detailed Budget'!$M$5:$M$1005,$C86,'Detailed Budget'!$BP$5:$BP$1005)&gt;0,SUMIF('Detailed Budget'!$M$5:$M$1005,$C86,'Detailed Budget'!$BP$5:$BP$1005),"")</f>
        <v/>
      </c>
      <c r="U86" s="44" t="str">
        <f>IF(SUMIF('Detailed Budget'!$M$5:$M$1005,$C86,'Detailed Budget'!$BR$5:$BR$1005)&gt;0,SUMIF('Detailed Budget'!$M$5:$M$1005,$C86,'Detailed Budget'!$BR$5:$BR$1005),"")</f>
        <v/>
      </c>
      <c r="V86" s="44" t="str">
        <f>IF(SUMIF('Detailed Budget'!$M$5:$M$1005,$C86,'Detailed Budget'!$BT$5:$BT$1005)&gt;0,SUMIF('Detailed Budget'!$M$5:$M$1005,$C86,'Detailed Budget'!$BT$5:$BT$1005),"")</f>
        <v/>
      </c>
      <c r="W86" s="45" t="str">
        <f>IF(SUMIF('Detailed Budget'!$M$5:$M$1005,$C86,'Detailed Budget'!$BV$5:$BV$1005)&gt;0,SUMIF('Detailed Budget'!$M$5:$M$1005,$C86,'Detailed Budget'!$BV$5:$BV$1005),"")</f>
        <v/>
      </c>
      <c r="X86" s="44" t="str">
        <f t="shared" si="9"/>
        <v/>
      </c>
      <c r="Y86" s="122" t="str">
        <f t="shared" si="10"/>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row>
    <row r="87" spans="2:49" s="35" customFormat="1" hidden="1" x14ac:dyDescent="0.2">
      <c r="B87" s="39" t="str">
        <f t="array" ref="B87">IFERROR(INDEX(RecipientList,MATCH(0,COUNTIF(RecipientList,"&lt;"&amp;RecipientList)-SUM(COUNTIF(RecipientList,B$64:B86)),0)),"")</f>
        <v/>
      </c>
      <c r="C87" s="371" t="str">
        <f t="shared" si="8"/>
        <v/>
      </c>
      <c r="D87" s="44" t="str">
        <f>IF(SUMIF('Detailed Budget'!$M$5:$M$1005,$C87,'Detailed Budget'!$AA$5:$AA$1005)&gt;0,SUMIF('Detailed Budget'!$M$5:$M$1005,$C87,'Detailed Budget'!$AA$5:$AA$1005),"")</f>
        <v/>
      </c>
      <c r="E87" s="44" t="str">
        <f>IF(SUMIF('Detailed Budget'!$M$5:$M$1005,$C87,'Detailed Budget'!$AC$5:$AC$1005)&gt;0,SUMIF('Detailed Budget'!$M$5:$M$1005,$C87,'Detailed Budget'!$AC$5:$AC$1005),"")</f>
        <v/>
      </c>
      <c r="F87" s="44" t="str">
        <f>IF(SUMIF('Detailed Budget'!$M$5:$M$1005,$C87,'Detailed Budget'!$AE$5:$AE$1005)&gt;0,SUMIF('Detailed Budget'!$M$5:$M$1005,$C87,'Detailed Budget'!$AE$5:$AE$1005),"")</f>
        <v/>
      </c>
      <c r="G87" s="44" t="str">
        <f>IF(SUMIF('Detailed Budget'!$M$5:$M$1005,$C87,'Detailed Budget'!$AG$5:$AG$1005)&gt;0,SUMIF('Detailed Budget'!$M$5:$M$1005,$C87,'Detailed Budget'!$AG$5:$AG$1005),"")</f>
        <v/>
      </c>
      <c r="H87" s="45" t="str">
        <f>IF(SUMIF('Detailed Budget'!$M$5:$M$1005,$C87,'Detailed Budget'!$AI$5:$AI$1005)&gt;0,SUMIF('Detailed Budget'!$M$5:$M$1005,$C87,'Detailed Budget'!$AI$5:$AI$1005),"")</f>
        <v/>
      </c>
      <c r="I87" s="44" t="str">
        <f>IF(SUMIF('Detailed Budget'!$M$5:$M$1005,$C87,'Detailed Budget'!$AN$5:$AN$1005)&gt;0,SUMIF('Detailed Budget'!$M$5:$M$1005,$C87,'Detailed Budget'!$AN$5:$AN$1005),"")</f>
        <v/>
      </c>
      <c r="J87" s="44" t="str">
        <f>IF(SUMIF('Detailed Budget'!$M$5:$M$1005,$C87,'Detailed Budget'!$AP$5:$AP$1005)&gt;0,SUMIF('Detailed Budget'!$M$5:$M$1005,$C87,'Detailed Budget'!$AP$5:$AP$1005),"")</f>
        <v/>
      </c>
      <c r="K87" s="44" t="str">
        <f>IF(SUMIF('Detailed Budget'!$M$5:$M$1005,$C87,'Detailed Budget'!$AR$5:$AR$1005)&gt;0,SUMIF('Detailed Budget'!$M$5:$M$1005,$C87,'Detailed Budget'!$AR$5:$AR$1005),"")</f>
        <v/>
      </c>
      <c r="L87" s="44" t="str">
        <f>IF(SUMIF('Detailed Budget'!$M$5:$M$1005,$C87,'Detailed Budget'!$AT$5:$AT$1005)&gt;0,SUMIF('Detailed Budget'!$M$5:$M$1005,$C87,'Detailed Budget'!$AT$5:$AT$1005),"")</f>
        <v/>
      </c>
      <c r="M87" s="45" t="str">
        <f>IF(SUMIF('Detailed Budget'!$M$5:$M$1005,$C87,'Detailed Budget'!$AV$5:$AV$1005)&gt;0,SUMIF('Detailed Budget'!$M$5:$M$1005,$C87,'Detailed Budget'!$AV$5:$AV$1005),"")</f>
        <v/>
      </c>
      <c r="N87" s="44" t="str">
        <f>IF(SUMIF('Detailed Budget'!$M$5:$M$1005,$C87,'Detailed Budget'!$BA$5:$BA$1005)&gt;0,SUMIF('Detailed Budget'!$M$5:$M$1005,$C87,'Detailed Budget'!$BA$5:$BA$1005),"")</f>
        <v/>
      </c>
      <c r="O87" s="44" t="str">
        <f>IF(SUMIF('Detailed Budget'!$M$5:$M$1005,$C87,'Detailed Budget'!$BC$5:$BC$1005)&gt;0,SUMIF('Detailed Budget'!$M$5:$M$1005,$C87,'Detailed Budget'!$BC$5:$BC$1005),"")</f>
        <v/>
      </c>
      <c r="P87" s="44" t="str">
        <f>IF(SUMIF('Detailed Budget'!$M$5:$M$1005,$C87,'Detailed Budget'!$BE$5:$BE$1005)&gt;0,SUMIF('Detailed Budget'!$M$5:$M$1005,$C87,'Detailed Budget'!$BE$5:$BE$1005),"")</f>
        <v/>
      </c>
      <c r="Q87" s="44" t="str">
        <f>IF(SUMIF('Detailed Budget'!$M$5:$M$1005,$C87,'Detailed Budget'!$BG$5:$BG$1005)&gt;0,SUMIF('Detailed Budget'!$M$5:$M$1005,$C87,'Detailed Budget'!$BG$5:$BG$1005),"")</f>
        <v/>
      </c>
      <c r="R87" s="45" t="str">
        <f>IF(SUMIF('Detailed Budget'!$M$5:$M$1005,$C87,'Detailed Budget'!$BI$5:$BI$1005)&gt;0,SUMIF('Detailed Budget'!$M$5:$M$1005,$C87,'Detailed Budget'!$BI$5:$BI$1005),"")</f>
        <v/>
      </c>
      <c r="S87" s="44" t="str">
        <f>IF(SUMIF('Detailed Budget'!$M$5:$M$1005,$C87,'Detailed Budget'!$BN$5:$BN$1005)&gt;0,SUMIF('Detailed Budget'!$M$5:$M$1005,$C87,'Detailed Budget'!$BN$5:$BN$1005),"")</f>
        <v/>
      </c>
      <c r="T87" s="44" t="str">
        <f>IF(SUMIF('Detailed Budget'!$M$5:$M$1005,$C87,'Detailed Budget'!$BP$5:$BP$1005)&gt;0,SUMIF('Detailed Budget'!$M$5:$M$1005,$C87,'Detailed Budget'!$BP$5:$BP$1005),"")</f>
        <v/>
      </c>
      <c r="U87" s="44" t="str">
        <f>IF(SUMIF('Detailed Budget'!$M$5:$M$1005,$C87,'Detailed Budget'!$BR$5:$BR$1005)&gt;0,SUMIF('Detailed Budget'!$M$5:$M$1005,$C87,'Detailed Budget'!$BR$5:$BR$1005),"")</f>
        <v/>
      </c>
      <c r="V87" s="44" t="str">
        <f>IF(SUMIF('Detailed Budget'!$M$5:$M$1005,$C87,'Detailed Budget'!$BT$5:$BT$1005)&gt;0,SUMIF('Detailed Budget'!$M$5:$M$1005,$C87,'Detailed Budget'!$BT$5:$BT$1005),"")</f>
        <v/>
      </c>
      <c r="W87" s="45" t="str">
        <f>IF(SUMIF('Detailed Budget'!$M$5:$M$1005,$C87,'Detailed Budget'!$BV$5:$BV$1005)&gt;0,SUMIF('Detailed Budget'!$M$5:$M$1005,$C87,'Detailed Budget'!$BV$5:$BV$1005),"")</f>
        <v/>
      </c>
      <c r="X87" s="44" t="str">
        <f t="shared" si="9"/>
        <v/>
      </c>
      <c r="Y87" s="122" t="str">
        <f t="shared" si="10"/>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row>
    <row r="88" spans="2:49" s="35" customFormat="1" hidden="1" x14ac:dyDescent="0.2">
      <c r="B88" s="39" t="str">
        <f t="array" ref="B88">IFERROR(INDEX(RecipientList,MATCH(0,COUNTIF(RecipientList,"&lt;"&amp;RecipientList)-SUM(COUNTIF(RecipientList,B$64:B87)),0)),"")</f>
        <v/>
      </c>
      <c r="C88" s="371" t="str">
        <f t="shared" si="8"/>
        <v/>
      </c>
      <c r="D88" s="44" t="str">
        <f>IF(SUMIF('Detailed Budget'!$M$5:$M$1005,$C88,'Detailed Budget'!$AA$5:$AA$1005)&gt;0,SUMIF('Detailed Budget'!$M$5:$M$1005,$C88,'Detailed Budget'!$AA$5:$AA$1005),"")</f>
        <v/>
      </c>
      <c r="E88" s="44" t="str">
        <f>IF(SUMIF('Detailed Budget'!$M$5:$M$1005,$C88,'Detailed Budget'!$AC$5:$AC$1005)&gt;0,SUMIF('Detailed Budget'!$M$5:$M$1005,$C88,'Detailed Budget'!$AC$5:$AC$1005),"")</f>
        <v/>
      </c>
      <c r="F88" s="44" t="str">
        <f>IF(SUMIF('Detailed Budget'!$M$5:$M$1005,$C88,'Detailed Budget'!$AE$5:$AE$1005)&gt;0,SUMIF('Detailed Budget'!$M$5:$M$1005,$C88,'Detailed Budget'!$AE$5:$AE$1005),"")</f>
        <v/>
      </c>
      <c r="G88" s="44" t="str">
        <f>IF(SUMIF('Detailed Budget'!$M$5:$M$1005,$C88,'Detailed Budget'!$AG$5:$AG$1005)&gt;0,SUMIF('Detailed Budget'!$M$5:$M$1005,$C88,'Detailed Budget'!$AG$5:$AG$1005),"")</f>
        <v/>
      </c>
      <c r="H88" s="45" t="str">
        <f>IF(SUMIF('Detailed Budget'!$M$5:$M$1005,$C88,'Detailed Budget'!$AI$5:$AI$1005)&gt;0,SUMIF('Detailed Budget'!$M$5:$M$1005,$C88,'Detailed Budget'!$AI$5:$AI$1005),"")</f>
        <v/>
      </c>
      <c r="I88" s="44" t="str">
        <f>IF(SUMIF('Detailed Budget'!$M$5:$M$1005,$C88,'Detailed Budget'!$AN$5:$AN$1005)&gt;0,SUMIF('Detailed Budget'!$M$5:$M$1005,$C88,'Detailed Budget'!$AN$5:$AN$1005),"")</f>
        <v/>
      </c>
      <c r="J88" s="44" t="str">
        <f>IF(SUMIF('Detailed Budget'!$M$5:$M$1005,$C88,'Detailed Budget'!$AP$5:$AP$1005)&gt;0,SUMIF('Detailed Budget'!$M$5:$M$1005,$C88,'Detailed Budget'!$AP$5:$AP$1005),"")</f>
        <v/>
      </c>
      <c r="K88" s="44" t="str">
        <f>IF(SUMIF('Detailed Budget'!$M$5:$M$1005,$C88,'Detailed Budget'!$AR$5:$AR$1005)&gt;0,SUMIF('Detailed Budget'!$M$5:$M$1005,$C88,'Detailed Budget'!$AR$5:$AR$1005),"")</f>
        <v/>
      </c>
      <c r="L88" s="44" t="str">
        <f>IF(SUMIF('Detailed Budget'!$M$5:$M$1005,$C88,'Detailed Budget'!$AT$5:$AT$1005)&gt;0,SUMIF('Detailed Budget'!$M$5:$M$1005,$C88,'Detailed Budget'!$AT$5:$AT$1005),"")</f>
        <v/>
      </c>
      <c r="M88" s="45" t="str">
        <f>IF(SUMIF('Detailed Budget'!$M$5:$M$1005,$C88,'Detailed Budget'!$AV$5:$AV$1005)&gt;0,SUMIF('Detailed Budget'!$M$5:$M$1005,$C88,'Detailed Budget'!$AV$5:$AV$1005),"")</f>
        <v/>
      </c>
      <c r="N88" s="44" t="str">
        <f>IF(SUMIF('Detailed Budget'!$M$5:$M$1005,$C88,'Detailed Budget'!$BA$5:$BA$1005)&gt;0,SUMIF('Detailed Budget'!$M$5:$M$1005,$C88,'Detailed Budget'!$BA$5:$BA$1005),"")</f>
        <v/>
      </c>
      <c r="O88" s="44" t="str">
        <f>IF(SUMIF('Detailed Budget'!$M$5:$M$1005,$C88,'Detailed Budget'!$BC$5:$BC$1005)&gt;0,SUMIF('Detailed Budget'!$M$5:$M$1005,$C88,'Detailed Budget'!$BC$5:$BC$1005),"")</f>
        <v/>
      </c>
      <c r="P88" s="44" t="str">
        <f>IF(SUMIF('Detailed Budget'!$M$5:$M$1005,$C88,'Detailed Budget'!$BE$5:$BE$1005)&gt;0,SUMIF('Detailed Budget'!$M$5:$M$1005,$C88,'Detailed Budget'!$BE$5:$BE$1005),"")</f>
        <v/>
      </c>
      <c r="Q88" s="44" t="str">
        <f>IF(SUMIF('Detailed Budget'!$M$5:$M$1005,$C88,'Detailed Budget'!$BG$5:$BG$1005)&gt;0,SUMIF('Detailed Budget'!$M$5:$M$1005,$C88,'Detailed Budget'!$BG$5:$BG$1005),"")</f>
        <v/>
      </c>
      <c r="R88" s="45" t="str">
        <f>IF(SUMIF('Detailed Budget'!$M$5:$M$1005,$C88,'Detailed Budget'!$BI$5:$BI$1005)&gt;0,SUMIF('Detailed Budget'!$M$5:$M$1005,$C88,'Detailed Budget'!$BI$5:$BI$1005),"")</f>
        <v/>
      </c>
      <c r="S88" s="44" t="str">
        <f>IF(SUMIF('Detailed Budget'!$M$5:$M$1005,$C88,'Detailed Budget'!$BN$5:$BN$1005)&gt;0,SUMIF('Detailed Budget'!$M$5:$M$1005,$C88,'Detailed Budget'!$BN$5:$BN$1005),"")</f>
        <v/>
      </c>
      <c r="T88" s="44" t="str">
        <f>IF(SUMIF('Detailed Budget'!$M$5:$M$1005,$C88,'Detailed Budget'!$BP$5:$BP$1005)&gt;0,SUMIF('Detailed Budget'!$M$5:$M$1005,$C88,'Detailed Budget'!$BP$5:$BP$1005),"")</f>
        <v/>
      </c>
      <c r="U88" s="44" t="str">
        <f>IF(SUMIF('Detailed Budget'!$M$5:$M$1005,$C88,'Detailed Budget'!$BR$5:$BR$1005)&gt;0,SUMIF('Detailed Budget'!$M$5:$M$1005,$C88,'Detailed Budget'!$BR$5:$BR$1005),"")</f>
        <v/>
      </c>
      <c r="V88" s="44" t="str">
        <f>IF(SUMIF('Detailed Budget'!$M$5:$M$1005,$C88,'Detailed Budget'!$BT$5:$BT$1005)&gt;0,SUMIF('Detailed Budget'!$M$5:$M$1005,$C88,'Detailed Budget'!$BT$5:$BT$1005),"")</f>
        <v/>
      </c>
      <c r="W88" s="45" t="str">
        <f>IF(SUMIF('Detailed Budget'!$M$5:$M$1005,$C88,'Detailed Budget'!$BV$5:$BV$1005)&gt;0,SUMIF('Detailed Budget'!$M$5:$M$1005,$C88,'Detailed Budget'!$BV$5:$BV$1005),"")</f>
        <v/>
      </c>
      <c r="X88" s="44" t="str">
        <f t="shared" si="9"/>
        <v/>
      </c>
      <c r="Y88" s="122" t="str">
        <f t="shared" si="10"/>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row>
    <row r="89" spans="2:49" s="35" customFormat="1" hidden="1" x14ac:dyDescent="0.2">
      <c r="B89" s="39" t="str">
        <f t="array" ref="B89">IFERROR(INDEX(RecipientList,MATCH(0,COUNTIF(RecipientList,"&lt;"&amp;RecipientList)-SUM(COUNTIF(RecipientList,B$64:B88)),0)),"")</f>
        <v/>
      </c>
      <c r="C89" s="371" t="str">
        <f t="shared" si="8"/>
        <v/>
      </c>
      <c r="D89" s="44" t="str">
        <f>IF(SUMIF('Detailed Budget'!$M$5:$M$1005,$C89,'Detailed Budget'!$AA$5:$AA$1005)&gt;0,SUMIF('Detailed Budget'!$M$5:$M$1005,$C89,'Detailed Budget'!$AA$5:$AA$1005),"")</f>
        <v/>
      </c>
      <c r="E89" s="44" t="str">
        <f>IF(SUMIF('Detailed Budget'!$M$5:$M$1005,$C89,'Detailed Budget'!$AC$5:$AC$1005)&gt;0,SUMIF('Detailed Budget'!$M$5:$M$1005,$C89,'Detailed Budget'!$AC$5:$AC$1005),"")</f>
        <v/>
      </c>
      <c r="F89" s="44" t="str">
        <f>IF(SUMIF('Detailed Budget'!$M$5:$M$1005,$C89,'Detailed Budget'!$AE$5:$AE$1005)&gt;0,SUMIF('Detailed Budget'!$M$5:$M$1005,$C89,'Detailed Budget'!$AE$5:$AE$1005),"")</f>
        <v/>
      </c>
      <c r="G89" s="44" t="str">
        <f>IF(SUMIF('Detailed Budget'!$M$5:$M$1005,$C89,'Detailed Budget'!$AG$5:$AG$1005)&gt;0,SUMIF('Detailed Budget'!$M$5:$M$1005,$C89,'Detailed Budget'!$AG$5:$AG$1005),"")</f>
        <v/>
      </c>
      <c r="H89" s="45" t="str">
        <f>IF(SUMIF('Detailed Budget'!$M$5:$M$1005,$C89,'Detailed Budget'!$AI$5:$AI$1005)&gt;0,SUMIF('Detailed Budget'!$M$5:$M$1005,$C89,'Detailed Budget'!$AI$5:$AI$1005),"")</f>
        <v/>
      </c>
      <c r="I89" s="44" t="str">
        <f>IF(SUMIF('Detailed Budget'!$M$5:$M$1005,$C89,'Detailed Budget'!$AN$5:$AN$1005)&gt;0,SUMIF('Detailed Budget'!$M$5:$M$1005,$C89,'Detailed Budget'!$AN$5:$AN$1005),"")</f>
        <v/>
      </c>
      <c r="J89" s="44" t="str">
        <f>IF(SUMIF('Detailed Budget'!$M$5:$M$1005,$C89,'Detailed Budget'!$AP$5:$AP$1005)&gt;0,SUMIF('Detailed Budget'!$M$5:$M$1005,$C89,'Detailed Budget'!$AP$5:$AP$1005),"")</f>
        <v/>
      </c>
      <c r="K89" s="44" t="str">
        <f>IF(SUMIF('Detailed Budget'!$M$5:$M$1005,$C89,'Detailed Budget'!$AR$5:$AR$1005)&gt;0,SUMIF('Detailed Budget'!$M$5:$M$1005,$C89,'Detailed Budget'!$AR$5:$AR$1005),"")</f>
        <v/>
      </c>
      <c r="L89" s="44" t="str">
        <f>IF(SUMIF('Detailed Budget'!$M$5:$M$1005,$C89,'Detailed Budget'!$AT$5:$AT$1005)&gt;0,SUMIF('Detailed Budget'!$M$5:$M$1005,$C89,'Detailed Budget'!$AT$5:$AT$1005),"")</f>
        <v/>
      </c>
      <c r="M89" s="45" t="str">
        <f>IF(SUMIF('Detailed Budget'!$M$5:$M$1005,$C89,'Detailed Budget'!$AV$5:$AV$1005)&gt;0,SUMIF('Detailed Budget'!$M$5:$M$1005,$C89,'Detailed Budget'!$AV$5:$AV$1005),"")</f>
        <v/>
      </c>
      <c r="N89" s="44" t="str">
        <f>IF(SUMIF('Detailed Budget'!$M$5:$M$1005,$C89,'Detailed Budget'!$BA$5:$BA$1005)&gt;0,SUMIF('Detailed Budget'!$M$5:$M$1005,$C89,'Detailed Budget'!$BA$5:$BA$1005),"")</f>
        <v/>
      </c>
      <c r="O89" s="44" t="str">
        <f>IF(SUMIF('Detailed Budget'!$M$5:$M$1005,$C89,'Detailed Budget'!$BC$5:$BC$1005)&gt;0,SUMIF('Detailed Budget'!$M$5:$M$1005,$C89,'Detailed Budget'!$BC$5:$BC$1005),"")</f>
        <v/>
      </c>
      <c r="P89" s="44" t="str">
        <f>IF(SUMIF('Detailed Budget'!$M$5:$M$1005,$C89,'Detailed Budget'!$BE$5:$BE$1005)&gt;0,SUMIF('Detailed Budget'!$M$5:$M$1005,$C89,'Detailed Budget'!$BE$5:$BE$1005),"")</f>
        <v/>
      </c>
      <c r="Q89" s="44" t="str">
        <f>IF(SUMIF('Detailed Budget'!$M$5:$M$1005,$C89,'Detailed Budget'!$BG$5:$BG$1005)&gt;0,SUMIF('Detailed Budget'!$M$5:$M$1005,$C89,'Detailed Budget'!$BG$5:$BG$1005),"")</f>
        <v/>
      </c>
      <c r="R89" s="45" t="str">
        <f>IF(SUMIF('Detailed Budget'!$M$5:$M$1005,$C89,'Detailed Budget'!$BI$5:$BI$1005)&gt;0,SUMIF('Detailed Budget'!$M$5:$M$1005,$C89,'Detailed Budget'!$BI$5:$BI$1005),"")</f>
        <v/>
      </c>
      <c r="S89" s="44" t="str">
        <f>IF(SUMIF('Detailed Budget'!$M$5:$M$1005,$C89,'Detailed Budget'!$BN$5:$BN$1005)&gt;0,SUMIF('Detailed Budget'!$M$5:$M$1005,$C89,'Detailed Budget'!$BN$5:$BN$1005),"")</f>
        <v/>
      </c>
      <c r="T89" s="44" t="str">
        <f>IF(SUMIF('Detailed Budget'!$M$5:$M$1005,$C89,'Detailed Budget'!$BP$5:$BP$1005)&gt;0,SUMIF('Detailed Budget'!$M$5:$M$1005,$C89,'Detailed Budget'!$BP$5:$BP$1005),"")</f>
        <v/>
      </c>
      <c r="U89" s="44" t="str">
        <f>IF(SUMIF('Detailed Budget'!$M$5:$M$1005,$C89,'Detailed Budget'!$BR$5:$BR$1005)&gt;0,SUMIF('Detailed Budget'!$M$5:$M$1005,$C89,'Detailed Budget'!$BR$5:$BR$1005),"")</f>
        <v/>
      </c>
      <c r="V89" s="44" t="str">
        <f>IF(SUMIF('Detailed Budget'!$M$5:$M$1005,$C89,'Detailed Budget'!$BT$5:$BT$1005)&gt;0,SUMIF('Detailed Budget'!$M$5:$M$1005,$C89,'Detailed Budget'!$BT$5:$BT$1005),"")</f>
        <v/>
      </c>
      <c r="W89" s="45" t="str">
        <f>IF(SUMIF('Detailed Budget'!$M$5:$M$1005,$C89,'Detailed Budget'!$BV$5:$BV$1005)&gt;0,SUMIF('Detailed Budget'!$M$5:$M$1005,$C89,'Detailed Budget'!$BV$5:$BV$1005),"")</f>
        <v/>
      </c>
      <c r="X89" s="44" t="str">
        <f t="shared" si="9"/>
        <v/>
      </c>
      <c r="Y89" s="122" t="str">
        <f t="shared" si="10"/>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row>
    <row r="90" spans="2:49" s="35" customFormat="1" hidden="1" x14ac:dyDescent="0.2">
      <c r="B90" s="39" t="str">
        <f t="array" ref="B90">IFERROR(INDEX(RecipientList,MATCH(0,COUNTIF(RecipientList,"&lt;"&amp;RecipientList)-SUM(COUNTIF(RecipientList,B$64:B89)),0)),"")</f>
        <v/>
      </c>
      <c r="C90" s="371" t="str">
        <f t="shared" si="8"/>
        <v/>
      </c>
      <c r="D90" s="44" t="str">
        <f>IF(SUMIF('Detailed Budget'!$M$5:$M$1005,$C90,'Detailed Budget'!$AA$5:$AA$1005)&gt;0,SUMIF('Detailed Budget'!$M$5:$M$1005,$C90,'Detailed Budget'!$AA$5:$AA$1005),"")</f>
        <v/>
      </c>
      <c r="E90" s="44" t="str">
        <f>IF(SUMIF('Detailed Budget'!$M$5:$M$1005,$C90,'Detailed Budget'!$AC$5:$AC$1005)&gt;0,SUMIF('Detailed Budget'!$M$5:$M$1005,$C90,'Detailed Budget'!$AC$5:$AC$1005),"")</f>
        <v/>
      </c>
      <c r="F90" s="44" t="str">
        <f>IF(SUMIF('Detailed Budget'!$M$5:$M$1005,$C90,'Detailed Budget'!$AE$5:$AE$1005)&gt;0,SUMIF('Detailed Budget'!$M$5:$M$1005,$C90,'Detailed Budget'!$AE$5:$AE$1005),"")</f>
        <v/>
      </c>
      <c r="G90" s="44" t="str">
        <f>IF(SUMIF('Detailed Budget'!$M$5:$M$1005,$C90,'Detailed Budget'!$AG$5:$AG$1005)&gt;0,SUMIF('Detailed Budget'!$M$5:$M$1005,$C90,'Detailed Budget'!$AG$5:$AG$1005),"")</f>
        <v/>
      </c>
      <c r="H90" s="45" t="str">
        <f>IF(SUMIF('Detailed Budget'!$M$5:$M$1005,$C90,'Detailed Budget'!$AI$5:$AI$1005)&gt;0,SUMIF('Detailed Budget'!$M$5:$M$1005,$C90,'Detailed Budget'!$AI$5:$AI$1005),"")</f>
        <v/>
      </c>
      <c r="I90" s="44" t="str">
        <f>IF(SUMIF('Detailed Budget'!$M$5:$M$1005,$C90,'Detailed Budget'!$AN$5:$AN$1005)&gt;0,SUMIF('Detailed Budget'!$M$5:$M$1005,$C90,'Detailed Budget'!$AN$5:$AN$1005),"")</f>
        <v/>
      </c>
      <c r="J90" s="44" t="str">
        <f>IF(SUMIF('Detailed Budget'!$M$5:$M$1005,$C90,'Detailed Budget'!$AP$5:$AP$1005)&gt;0,SUMIF('Detailed Budget'!$M$5:$M$1005,$C90,'Detailed Budget'!$AP$5:$AP$1005),"")</f>
        <v/>
      </c>
      <c r="K90" s="44" t="str">
        <f>IF(SUMIF('Detailed Budget'!$M$5:$M$1005,$C90,'Detailed Budget'!$AR$5:$AR$1005)&gt;0,SUMIF('Detailed Budget'!$M$5:$M$1005,$C90,'Detailed Budget'!$AR$5:$AR$1005),"")</f>
        <v/>
      </c>
      <c r="L90" s="44" t="str">
        <f>IF(SUMIF('Detailed Budget'!$M$5:$M$1005,$C90,'Detailed Budget'!$AT$5:$AT$1005)&gt;0,SUMIF('Detailed Budget'!$M$5:$M$1005,$C90,'Detailed Budget'!$AT$5:$AT$1005),"")</f>
        <v/>
      </c>
      <c r="M90" s="45" t="str">
        <f>IF(SUMIF('Detailed Budget'!$M$5:$M$1005,$C90,'Detailed Budget'!$AV$5:$AV$1005)&gt;0,SUMIF('Detailed Budget'!$M$5:$M$1005,$C90,'Detailed Budget'!$AV$5:$AV$1005),"")</f>
        <v/>
      </c>
      <c r="N90" s="44" t="str">
        <f>IF(SUMIF('Detailed Budget'!$M$5:$M$1005,$C90,'Detailed Budget'!$BA$5:$BA$1005)&gt;0,SUMIF('Detailed Budget'!$M$5:$M$1005,$C90,'Detailed Budget'!$BA$5:$BA$1005),"")</f>
        <v/>
      </c>
      <c r="O90" s="44" t="str">
        <f>IF(SUMIF('Detailed Budget'!$M$5:$M$1005,$C90,'Detailed Budget'!$BC$5:$BC$1005)&gt;0,SUMIF('Detailed Budget'!$M$5:$M$1005,$C90,'Detailed Budget'!$BC$5:$BC$1005),"")</f>
        <v/>
      </c>
      <c r="P90" s="44" t="str">
        <f>IF(SUMIF('Detailed Budget'!$M$5:$M$1005,$C90,'Detailed Budget'!$BE$5:$BE$1005)&gt;0,SUMIF('Detailed Budget'!$M$5:$M$1005,$C90,'Detailed Budget'!$BE$5:$BE$1005),"")</f>
        <v/>
      </c>
      <c r="Q90" s="44" t="str">
        <f>IF(SUMIF('Detailed Budget'!$M$5:$M$1005,$C90,'Detailed Budget'!$BG$5:$BG$1005)&gt;0,SUMIF('Detailed Budget'!$M$5:$M$1005,$C90,'Detailed Budget'!$BG$5:$BG$1005),"")</f>
        <v/>
      </c>
      <c r="R90" s="45" t="str">
        <f>IF(SUMIF('Detailed Budget'!$M$5:$M$1005,$C90,'Detailed Budget'!$BI$5:$BI$1005)&gt;0,SUMIF('Detailed Budget'!$M$5:$M$1005,$C90,'Detailed Budget'!$BI$5:$BI$1005),"")</f>
        <v/>
      </c>
      <c r="S90" s="44" t="str">
        <f>IF(SUMIF('Detailed Budget'!$M$5:$M$1005,$C90,'Detailed Budget'!$BN$5:$BN$1005)&gt;0,SUMIF('Detailed Budget'!$M$5:$M$1005,$C90,'Detailed Budget'!$BN$5:$BN$1005),"")</f>
        <v/>
      </c>
      <c r="T90" s="44" t="str">
        <f>IF(SUMIF('Detailed Budget'!$M$5:$M$1005,$C90,'Detailed Budget'!$BP$5:$BP$1005)&gt;0,SUMIF('Detailed Budget'!$M$5:$M$1005,$C90,'Detailed Budget'!$BP$5:$BP$1005),"")</f>
        <v/>
      </c>
      <c r="U90" s="44" t="str">
        <f>IF(SUMIF('Detailed Budget'!$M$5:$M$1005,$C90,'Detailed Budget'!$BR$5:$BR$1005)&gt;0,SUMIF('Detailed Budget'!$M$5:$M$1005,$C90,'Detailed Budget'!$BR$5:$BR$1005),"")</f>
        <v/>
      </c>
      <c r="V90" s="44" t="str">
        <f>IF(SUMIF('Detailed Budget'!$M$5:$M$1005,$C90,'Detailed Budget'!$BT$5:$BT$1005)&gt;0,SUMIF('Detailed Budget'!$M$5:$M$1005,$C90,'Detailed Budget'!$BT$5:$BT$1005),"")</f>
        <v/>
      </c>
      <c r="W90" s="45" t="str">
        <f>IF(SUMIF('Detailed Budget'!$M$5:$M$1005,$C90,'Detailed Budget'!$BV$5:$BV$1005)&gt;0,SUMIF('Detailed Budget'!$M$5:$M$1005,$C90,'Detailed Budget'!$BV$5:$BV$1005),"")</f>
        <v/>
      </c>
      <c r="X90" s="44" t="str">
        <f t="shared" si="9"/>
        <v/>
      </c>
      <c r="Y90" s="122" t="str">
        <f t="shared" si="10"/>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row>
    <row r="91" spans="2:49" s="35" customFormat="1" hidden="1" x14ac:dyDescent="0.2">
      <c r="B91" s="39" t="str">
        <f t="array" ref="B91">IFERROR(INDEX(RecipientList,MATCH(0,COUNTIF(RecipientList,"&lt;"&amp;RecipientList)-SUM(COUNTIF(RecipientList,B$64:B90)),0)),"")</f>
        <v/>
      </c>
      <c r="C91" s="371" t="str">
        <f t="shared" si="8"/>
        <v/>
      </c>
      <c r="D91" s="44" t="str">
        <f>IF(SUMIF('Detailed Budget'!$M$5:$M$1005,$C91,'Detailed Budget'!$AA$5:$AA$1005)&gt;0,SUMIF('Detailed Budget'!$M$5:$M$1005,$C91,'Detailed Budget'!$AA$5:$AA$1005),"")</f>
        <v/>
      </c>
      <c r="E91" s="44" t="str">
        <f>IF(SUMIF('Detailed Budget'!$M$5:$M$1005,$C91,'Detailed Budget'!$AC$5:$AC$1005)&gt;0,SUMIF('Detailed Budget'!$M$5:$M$1005,$C91,'Detailed Budget'!$AC$5:$AC$1005),"")</f>
        <v/>
      </c>
      <c r="F91" s="44" t="str">
        <f>IF(SUMIF('Detailed Budget'!$M$5:$M$1005,$C91,'Detailed Budget'!$AE$5:$AE$1005)&gt;0,SUMIF('Detailed Budget'!$M$5:$M$1005,$C91,'Detailed Budget'!$AE$5:$AE$1005),"")</f>
        <v/>
      </c>
      <c r="G91" s="44" t="str">
        <f>IF(SUMIF('Detailed Budget'!$M$5:$M$1005,$C91,'Detailed Budget'!$AG$5:$AG$1005)&gt;0,SUMIF('Detailed Budget'!$M$5:$M$1005,$C91,'Detailed Budget'!$AG$5:$AG$1005),"")</f>
        <v/>
      </c>
      <c r="H91" s="45" t="str">
        <f>IF(SUMIF('Detailed Budget'!$M$5:$M$1005,$C91,'Detailed Budget'!$AI$5:$AI$1005)&gt;0,SUMIF('Detailed Budget'!$M$5:$M$1005,$C91,'Detailed Budget'!$AI$5:$AI$1005),"")</f>
        <v/>
      </c>
      <c r="I91" s="44" t="str">
        <f>IF(SUMIF('Detailed Budget'!$M$5:$M$1005,$C91,'Detailed Budget'!$AN$5:$AN$1005)&gt;0,SUMIF('Detailed Budget'!$M$5:$M$1005,$C91,'Detailed Budget'!$AN$5:$AN$1005),"")</f>
        <v/>
      </c>
      <c r="J91" s="44" t="str">
        <f>IF(SUMIF('Detailed Budget'!$M$5:$M$1005,$C91,'Detailed Budget'!$AP$5:$AP$1005)&gt;0,SUMIF('Detailed Budget'!$M$5:$M$1005,$C91,'Detailed Budget'!$AP$5:$AP$1005),"")</f>
        <v/>
      </c>
      <c r="K91" s="44" t="str">
        <f>IF(SUMIF('Detailed Budget'!$M$5:$M$1005,$C91,'Detailed Budget'!$AR$5:$AR$1005)&gt;0,SUMIF('Detailed Budget'!$M$5:$M$1005,$C91,'Detailed Budget'!$AR$5:$AR$1005),"")</f>
        <v/>
      </c>
      <c r="L91" s="44" t="str">
        <f>IF(SUMIF('Detailed Budget'!$M$5:$M$1005,$C91,'Detailed Budget'!$AT$5:$AT$1005)&gt;0,SUMIF('Detailed Budget'!$M$5:$M$1005,$C91,'Detailed Budget'!$AT$5:$AT$1005),"")</f>
        <v/>
      </c>
      <c r="M91" s="45" t="str">
        <f>IF(SUMIF('Detailed Budget'!$M$5:$M$1005,$C91,'Detailed Budget'!$AV$5:$AV$1005)&gt;0,SUMIF('Detailed Budget'!$M$5:$M$1005,$C91,'Detailed Budget'!$AV$5:$AV$1005),"")</f>
        <v/>
      </c>
      <c r="N91" s="44" t="str">
        <f>IF(SUMIF('Detailed Budget'!$M$5:$M$1005,$C91,'Detailed Budget'!$BA$5:$BA$1005)&gt;0,SUMIF('Detailed Budget'!$M$5:$M$1005,$C91,'Detailed Budget'!$BA$5:$BA$1005),"")</f>
        <v/>
      </c>
      <c r="O91" s="44" t="str">
        <f>IF(SUMIF('Detailed Budget'!$M$5:$M$1005,$C91,'Detailed Budget'!$BC$5:$BC$1005)&gt;0,SUMIF('Detailed Budget'!$M$5:$M$1005,$C91,'Detailed Budget'!$BC$5:$BC$1005),"")</f>
        <v/>
      </c>
      <c r="P91" s="44" t="str">
        <f>IF(SUMIF('Detailed Budget'!$M$5:$M$1005,$C91,'Detailed Budget'!$BE$5:$BE$1005)&gt;0,SUMIF('Detailed Budget'!$M$5:$M$1005,$C91,'Detailed Budget'!$BE$5:$BE$1005),"")</f>
        <v/>
      </c>
      <c r="Q91" s="44" t="str">
        <f>IF(SUMIF('Detailed Budget'!$M$5:$M$1005,$C91,'Detailed Budget'!$BG$5:$BG$1005)&gt;0,SUMIF('Detailed Budget'!$M$5:$M$1005,$C91,'Detailed Budget'!$BG$5:$BG$1005),"")</f>
        <v/>
      </c>
      <c r="R91" s="45" t="str">
        <f>IF(SUMIF('Detailed Budget'!$M$5:$M$1005,$C91,'Detailed Budget'!$BI$5:$BI$1005)&gt;0,SUMIF('Detailed Budget'!$M$5:$M$1005,$C91,'Detailed Budget'!$BI$5:$BI$1005),"")</f>
        <v/>
      </c>
      <c r="S91" s="44" t="str">
        <f>IF(SUMIF('Detailed Budget'!$M$5:$M$1005,$C91,'Detailed Budget'!$BN$5:$BN$1005)&gt;0,SUMIF('Detailed Budget'!$M$5:$M$1005,$C91,'Detailed Budget'!$BN$5:$BN$1005),"")</f>
        <v/>
      </c>
      <c r="T91" s="44" t="str">
        <f>IF(SUMIF('Detailed Budget'!$M$5:$M$1005,$C91,'Detailed Budget'!$BP$5:$BP$1005)&gt;0,SUMIF('Detailed Budget'!$M$5:$M$1005,$C91,'Detailed Budget'!$BP$5:$BP$1005),"")</f>
        <v/>
      </c>
      <c r="U91" s="44" t="str">
        <f>IF(SUMIF('Detailed Budget'!$M$5:$M$1005,$C91,'Detailed Budget'!$BR$5:$BR$1005)&gt;0,SUMIF('Detailed Budget'!$M$5:$M$1005,$C91,'Detailed Budget'!$BR$5:$BR$1005),"")</f>
        <v/>
      </c>
      <c r="V91" s="44" t="str">
        <f>IF(SUMIF('Detailed Budget'!$M$5:$M$1005,$C91,'Detailed Budget'!$BT$5:$BT$1005)&gt;0,SUMIF('Detailed Budget'!$M$5:$M$1005,$C91,'Detailed Budget'!$BT$5:$BT$1005),"")</f>
        <v/>
      </c>
      <c r="W91" s="45" t="str">
        <f>IF(SUMIF('Detailed Budget'!$M$5:$M$1005,$C91,'Detailed Budget'!$BV$5:$BV$1005)&gt;0,SUMIF('Detailed Budget'!$M$5:$M$1005,$C91,'Detailed Budget'!$BV$5:$BV$1005),"")</f>
        <v/>
      </c>
      <c r="X91" s="44" t="str">
        <f t="shared" si="9"/>
        <v/>
      </c>
      <c r="Y91" s="122" t="str">
        <f t="shared" si="10"/>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row>
    <row r="92" spans="2:49" s="35" customFormat="1" hidden="1" x14ac:dyDescent="0.2">
      <c r="B92" s="39" t="str">
        <f t="array" ref="B92">IFERROR(INDEX(RecipientList,MATCH(0,COUNTIF(RecipientList,"&lt;"&amp;RecipientList)-SUM(COUNTIF(RecipientList,B$64:B91)),0)),"")</f>
        <v/>
      </c>
      <c r="C92" s="371" t="str">
        <f t="shared" si="8"/>
        <v/>
      </c>
      <c r="D92" s="44" t="str">
        <f>IF(SUMIF('Detailed Budget'!$M$5:$M$1005,$C92,'Detailed Budget'!$AA$5:$AA$1005)&gt;0,SUMIF('Detailed Budget'!$M$5:$M$1005,$C92,'Detailed Budget'!$AA$5:$AA$1005),"")</f>
        <v/>
      </c>
      <c r="E92" s="44" t="str">
        <f>IF(SUMIF('Detailed Budget'!$M$5:$M$1005,$C92,'Detailed Budget'!$AC$5:$AC$1005)&gt;0,SUMIF('Detailed Budget'!$M$5:$M$1005,$C92,'Detailed Budget'!$AC$5:$AC$1005),"")</f>
        <v/>
      </c>
      <c r="F92" s="44" t="str">
        <f>IF(SUMIF('Detailed Budget'!$M$5:$M$1005,$C92,'Detailed Budget'!$AE$5:$AE$1005)&gt;0,SUMIF('Detailed Budget'!$M$5:$M$1005,$C92,'Detailed Budget'!$AE$5:$AE$1005),"")</f>
        <v/>
      </c>
      <c r="G92" s="44" t="str">
        <f>IF(SUMIF('Detailed Budget'!$M$5:$M$1005,$C92,'Detailed Budget'!$AG$5:$AG$1005)&gt;0,SUMIF('Detailed Budget'!$M$5:$M$1005,$C92,'Detailed Budget'!$AG$5:$AG$1005),"")</f>
        <v/>
      </c>
      <c r="H92" s="45" t="str">
        <f>IF(SUMIF('Detailed Budget'!$M$5:$M$1005,$C92,'Detailed Budget'!$AI$5:$AI$1005)&gt;0,SUMIF('Detailed Budget'!$M$5:$M$1005,$C92,'Detailed Budget'!$AI$5:$AI$1005),"")</f>
        <v/>
      </c>
      <c r="I92" s="44" t="str">
        <f>IF(SUMIF('Detailed Budget'!$M$5:$M$1005,$C92,'Detailed Budget'!$AN$5:$AN$1005)&gt;0,SUMIF('Detailed Budget'!$M$5:$M$1005,$C92,'Detailed Budget'!$AN$5:$AN$1005),"")</f>
        <v/>
      </c>
      <c r="J92" s="44" t="str">
        <f>IF(SUMIF('Detailed Budget'!$M$5:$M$1005,$C92,'Detailed Budget'!$AP$5:$AP$1005)&gt;0,SUMIF('Detailed Budget'!$M$5:$M$1005,$C92,'Detailed Budget'!$AP$5:$AP$1005),"")</f>
        <v/>
      </c>
      <c r="K92" s="44" t="str">
        <f>IF(SUMIF('Detailed Budget'!$M$5:$M$1005,$C92,'Detailed Budget'!$AR$5:$AR$1005)&gt;0,SUMIF('Detailed Budget'!$M$5:$M$1005,$C92,'Detailed Budget'!$AR$5:$AR$1005),"")</f>
        <v/>
      </c>
      <c r="L92" s="44" t="str">
        <f>IF(SUMIF('Detailed Budget'!$M$5:$M$1005,$C92,'Detailed Budget'!$AT$5:$AT$1005)&gt;0,SUMIF('Detailed Budget'!$M$5:$M$1005,$C92,'Detailed Budget'!$AT$5:$AT$1005),"")</f>
        <v/>
      </c>
      <c r="M92" s="45" t="str">
        <f>IF(SUMIF('Detailed Budget'!$M$5:$M$1005,$C92,'Detailed Budget'!$AV$5:$AV$1005)&gt;0,SUMIF('Detailed Budget'!$M$5:$M$1005,$C92,'Detailed Budget'!$AV$5:$AV$1005),"")</f>
        <v/>
      </c>
      <c r="N92" s="44" t="str">
        <f>IF(SUMIF('Detailed Budget'!$M$5:$M$1005,$C92,'Detailed Budget'!$BA$5:$BA$1005)&gt;0,SUMIF('Detailed Budget'!$M$5:$M$1005,$C92,'Detailed Budget'!$BA$5:$BA$1005),"")</f>
        <v/>
      </c>
      <c r="O92" s="44" t="str">
        <f>IF(SUMIF('Detailed Budget'!$M$5:$M$1005,$C92,'Detailed Budget'!$BC$5:$BC$1005)&gt;0,SUMIF('Detailed Budget'!$M$5:$M$1005,$C92,'Detailed Budget'!$BC$5:$BC$1005),"")</f>
        <v/>
      </c>
      <c r="P92" s="44" t="str">
        <f>IF(SUMIF('Detailed Budget'!$M$5:$M$1005,$C92,'Detailed Budget'!$BE$5:$BE$1005)&gt;0,SUMIF('Detailed Budget'!$M$5:$M$1005,$C92,'Detailed Budget'!$BE$5:$BE$1005),"")</f>
        <v/>
      </c>
      <c r="Q92" s="44" t="str">
        <f>IF(SUMIF('Detailed Budget'!$M$5:$M$1005,$C92,'Detailed Budget'!$BG$5:$BG$1005)&gt;0,SUMIF('Detailed Budget'!$M$5:$M$1005,$C92,'Detailed Budget'!$BG$5:$BG$1005),"")</f>
        <v/>
      </c>
      <c r="R92" s="45" t="str">
        <f>IF(SUMIF('Detailed Budget'!$M$5:$M$1005,$C92,'Detailed Budget'!$BI$5:$BI$1005)&gt;0,SUMIF('Detailed Budget'!$M$5:$M$1005,$C92,'Detailed Budget'!$BI$5:$BI$1005),"")</f>
        <v/>
      </c>
      <c r="S92" s="44" t="str">
        <f>IF(SUMIF('Detailed Budget'!$M$5:$M$1005,$C92,'Detailed Budget'!$BN$5:$BN$1005)&gt;0,SUMIF('Detailed Budget'!$M$5:$M$1005,$C92,'Detailed Budget'!$BN$5:$BN$1005),"")</f>
        <v/>
      </c>
      <c r="T92" s="44" t="str">
        <f>IF(SUMIF('Detailed Budget'!$M$5:$M$1005,$C92,'Detailed Budget'!$BP$5:$BP$1005)&gt;0,SUMIF('Detailed Budget'!$M$5:$M$1005,$C92,'Detailed Budget'!$BP$5:$BP$1005),"")</f>
        <v/>
      </c>
      <c r="U92" s="44" t="str">
        <f>IF(SUMIF('Detailed Budget'!$M$5:$M$1005,$C92,'Detailed Budget'!$BR$5:$BR$1005)&gt;0,SUMIF('Detailed Budget'!$M$5:$M$1005,$C92,'Detailed Budget'!$BR$5:$BR$1005),"")</f>
        <v/>
      </c>
      <c r="V92" s="44" t="str">
        <f>IF(SUMIF('Detailed Budget'!$M$5:$M$1005,$C92,'Detailed Budget'!$BT$5:$BT$1005)&gt;0,SUMIF('Detailed Budget'!$M$5:$M$1005,$C92,'Detailed Budget'!$BT$5:$BT$1005),"")</f>
        <v/>
      </c>
      <c r="W92" s="45" t="str">
        <f>IF(SUMIF('Detailed Budget'!$M$5:$M$1005,$C92,'Detailed Budget'!$BV$5:$BV$1005)&gt;0,SUMIF('Detailed Budget'!$M$5:$M$1005,$C92,'Detailed Budget'!$BV$5:$BV$1005),"")</f>
        <v/>
      </c>
      <c r="X92" s="44" t="str">
        <f t="shared" si="9"/>
        <v/>
      </c>
      <c r="Y92" s="122" t="str">
        <f t="shared" si="10"/>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row>
    <row r="93" spans="2:49" s="35" customFormat="1" hidden="1" x14ac:dyDescent="0.2">
      <c r="B93" s="39" t="str">
        <f t="array" ref="B93">IFERROR(INDEX(RecipientList,MATCH(0,COUNTIF(RecipientList,"&lt;"&amp;RecipientList)-SUM(COUNTIF(RecipientList,B$64:B92)),0)),"")</f>
        <v/>
      </c>
      <c r="C93" s="371" t="str">
        <f t="shared" si="8"/>
        <v/>
      </c>
      <c r="D93" s="44" t="str">
        <f>IF(SUMIF('Detailed Budget'!$M$5:$M$1005,$C93,'Detailed Budget'!$AA$5:$AA$1005)&gt;0,SUMIF('Detailed Budget'!$M$5:$M$1005,$C93,'Detailed Budget'!$AA$5:$AA$1005),"")</f>
        <v/>
      </c>
      <c r="E93" s="44" t="str">
        <f>IF(SUMIF('Detailed Budget'!$M$5:$M$1005,$C93,'Detailed Budget'!$AC$5:$AC$1005)&gt;0,SUMIF('Detailed Budget'!$M$5:$M$1005,$C93,'Detailed Budget'!$AC$5:$AC$1005),"")</f>
        <v/>
      </c>
      <c r="F93" s="44" t="str">
        <f>IF(SUMIF('Detailed Budget'!$M$5:$M$1005,$C93,'Detailed Budget'!$AE$5:$AE$1005)&gt;0,SUMIF('Detailed Budget'!$M$5:$M$1005,$C93,'Detailed Budget'!$AE$5:$AE$1005),"")</f>
        <v/>
      </c>
      <c r="G93" s="44" t="str">
        <f>IF(SUMIF('Detailed Budget'!$M$5:$M$1005,$C93,'Detailed Budget'!$AG$5:$AG$1005)&gt;0,SUMIF('Detailed Budget'!$M$5:$M$1005,$C93,'Detailed Budget'!$AG$5:$AG$1005),"")</f>
        <v/>
      </c>
      <c r="H93" s="45" t="str">
        <f>IF(SUMIF('Detailed Budget'!$M$5:$M$1005,$C93,'Detailed Budget'!$AI$5:$AI$1005)&gt;0,SUMIF('Detailed Budget'!$M$5:$M$1005,$C93,'Detailed Budget'!$AI$5:$AI$1005),"")</f>
        <v/>
      </c>
      <c r="I93" s="44" t="str">
        <f>IF(SUMIF('Detailed Budget'!$M$5:$M$1005,$C93,'Detailed Budget'!$AN$5:$AN$1005)&gt;0,SUMIF('Detailed Budget'!$M$5:$M$1005,$C93,'Detailed Budget'!$AN$5:$AN$1005),"")</f>
        <v/>
      </c>
      <c r="J93" s="44" t="str">
        <f>IF(SUMIF('Detailed Budget'!$M$5:$M$1005,$C93,'Detailed Budget'!$AP$5:$AP$1005)&gt;0,SUMIF('Detailed Budget'!$M$5:$M$1005,$C93,'Detailed Budget'!$AP$5:$AP$1005),"")</f>
        <v/>
      </c>
      <c r="K93" s="44" t="str">
        <f>IF(SUMIF('Detailed Budget'!$M$5:$M$1005,$C93,'Detailed Budget'!$AR$5:$AR$1005)&gt;0,SUMIF('Detailed Budget'!$M$5:$M$1005,$C93,'Detailed Budget'!$AR$5:$AR$1005),"")</f>
        <v/>
      </c>
      <c r="L93" s="44" t="str">
        <f>IF(SUMIF('Detailed Budget'!$M$5:$M$1005,$C93,'Detailed Budget'!$AT$5:$AT$1005)&gt;0,SUMIF('Detailed Budget'!$M$5:$M$1005,$C93,'Detailed Budget'!$AT$5:$AT$1005),"")</f>
        <v/>
      </c>
      <c r="M93" s="45" t="str">
        <f>IF(SUMIF('Detailed Budget'!$M$5:$M$1005,$C93,'Detailed Budget'!$AV$5:$AV$1005)&gt;0,SUMIF('Detailed Budget'!$M$5:$M$1005,$C93,'Detailed Budget'!$AV$5:$AV$1005),"")</f>
        <v/>
      </c>
      <c r="N93" s="44" t="str">
        <f>IF(SUMIF('Detailed Budget'!$M$5:$M$1005,$C93,'Detailed Budget'!$BA$5:$BA$1005)&gt;0,SUMIF('Detailed Budget'!$M$5:$M$1005,$C93,'Detailed Budget'!$BA$5:$BA$1005),"")</f>
        <v/>
      </c>
      <c r="O93" s="44" t="str">
        <f>IF(SUMIF('Detailed Budget'!$M$5:$M$1005,$C93,'Detailed Budget'!$BC$5:$BC$1005)&gt;0,SUMIF('Detailed Budget'!$M$5:$M$1005,$C93,'Detailed Budget'!$BC$5:$BC$1005),"")</f>
        <v/>
      </c>
      <c r="P93" s="44" t="str">
        <f>IF(SUMIF('Detailed Budget'!$M$5:$M$1005,$C93,'Detailed Budget'!$BE$5:$BE$1005)&gt;0,SUMIF('Detailed Budget'!$M$5:$M$1005,$C93,'Detailed Budget'!$BE$5:$BE$1005),"")</f>
        <v/>
      </c>
      <c r="Q93" s="44" t="str">
        <f>IF(SUMIF('Detailed Budget'!$M$5:$M$1005,$C93,'Detailed Budget'!$BG$5:$BG$1005)&gt;0,SUMIF('Detailed Budget'!$M$5:$M$1005,$C93,'Detailed Budget'!$BG$5:$BG$1005),"")</f>
        <v/>
      </c>
      <c r="R93" s="45" t="str">
        <f>IF(SUMIF('Detailed Budget'!$M$5:$M$1005,$C93,'Detailed Budget'!$BI$5:$BI$1005)&gt;0,SUMIF('Detailed Budget'!$M$5:$M$1005,$C93,'Detailed Budget'!$BI$5:$BI$1005),"")</f>
        <v/>
      </c>
      <c r="S93" s="44" t="str">
        <f>IF(SUMIF('Detailed Budget'!$M$5:$M$1005,$C93,'Detailed Budget'!$BN$5:$BN$1005)&gt;0,SUMIF('Detailed Budget'!$M$5:$M$1005,$C93,'Detailed Budget'!$BN$5:$BN$1005),"")</f>
        <v/>
      </c>
      <c r="T93" s="44" t="str">
        <f>IF(SUMIF('Detailed Budget'!$M$5:$M$1005,$C93,'Detailed Budget'!$BP$5:$BP$1005)&gt;0,SUMIF('Detailed Budget'!$M$5:$M$1005,$C93,'Detailed Budget'!$BP$5:$BP$1005),"")</f>
        <v/>
      </c>
      <c r="U93" s="44" t="str">
        <f>IF(SUMIF('Detailed Budget'!$M$5:$M$1005,$C93,'Detailed Budget'!$BR$5:$BR$1005)&gt;0,SUMIF('Detailed Budget'!$M$5:$M$1005,$C93,'Detailed Budget'!$BR$5:$BR$1005),"")</f>
        <v/>
      </c>
      <c r="V93" s="44" t="str">
        <f>IF(SUMIF('Detailed Budget'!$M$5:$M$1005,$C93,'Detailed Budget'!$BT$5:$BT$1005)&gt;0,SUMIF('Detailed Budget'!$M$5:$M$1005,$C93,'Detailed Budget'!$BT$5:$BT$1005),"")</f>
        <v/>
      </c>
      <c r="W93" s="45" t="str">
        <f>IF(SUMIF('Detailed Budget'!$M$5:$M$1005,$C93,'Detailed Budget'!$BV$5:$BV$1005)&gt;0,SUMIF('Detailed Budget'!$M$5:$M$1005,$C93,'Detailed Budget'!$BV$5:$BV$1005),"")</f>
        <v/>
      </c>
      <c r="X93" s="44" t="str">
        <f t="shared" si="9"/>
        <v/>
      </c>
      <c r="Y93" s="122" t="str">
        <f t="shared" si="10"/>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row>
    <row r="94" spans="2:49" s="35" customFormat="1" hidden="1" x14ac:dyDescent="0.2">
      <c r="B94" s="39" t="str">
        <f t="array" ref="B94">IFERROR(INDEX(RecipientList,MATCH(0,COUNTIF(RecipientList,"&lt;"&amp;RecipientList)-SUM(COUNTIF(RecipientList,B$64:B93)),0)),"")</f>
        <v/>
      </c>
      <c r="C94" s="371" t="str">
        <f t="shared" si="8"/>
        <v/>
      </c>
      <c r="D94" s="44" t="str">
        <f>IF(SUMIF('Detailed Budget'!$M$5:$M$1005,$C94,'Detailed Budget'!$AA$5:$AA$1005)&gt;0,SUMIF('Detailed Budget'!$M$5:$M$1005,$C94,'Detailed Budget'!$AA$5:$AA$1005),"")</f>
        <v/>
      </c>
      <c r="E94" s="44" t="str">
        <f>IF(SUMIF('Detailed Budget'!$M$5:$M$1005,$C94,'Detailed Budget'!$AC$5:$AC$1005)&gt;0,SUMIF('Detailed Budget'!$M$5:$M$1005,$C94,'Detailed Budget'!$AC$5:$AC$1005),"")</f>
        <v/>
      </c>
      <c r="F94" s="44" t="str">
        <f>IF(SUMIF('Detailed Budget'!$M$5:$M$1005,$C94,'Detailed Budget'!$AE$5:$AE$1005)&gt;0,SUMIF('Detailed Budget'!$M$5:$M$1005,$C94,'Detailed Budget'!$AE$5:$AE$1005),"")</f>
        <v/>
      </c>
      <c r="G94" s="44" t="str">
        <f>IF(SUMIF('Detailed Budget'!$M$5:$M$1005,$C94,'Detailed Budget'!$AG$5:$AG$1005)&gt;0,SUMIF('Detailed Budget'!$M$5:$M$1005,$C94,'Detailed Budget'!$AG$5:$AG$1005),"")</f>
        <v/>
      </c>
      <c r="H94" s="45" t="str">
        <f>IF(SUMIF('Detailed Budget'!$M$5:$M$1005,$C94,'Detailed Budget'!$AI$5:$AI$1005)&gt;0,SUMIF('Detailed Budget'!$M$5:$M$1005,$C94,'Detailed Budget'!$AI$5:$AI$1005),"")</f>
        <v/>
      </c>
      <c r="I94" s="44" t="str">
        <f>IF(SUMIF('Detailed Budget'!$M$5:$M$1005,$C94,'Detailed Budget'!$AN$5:$AN$1005)&gt;0,SUMIF('Detailed Budget'!$M$5:$M$1005,$C94,'Detailed Budget'!$AN$5:$AN$1005),"")</f>
        <v/>
      </c>
      <c r="J94" s="44" t="str">
        <f>IF(SUMIF('Detailed Budget'!$M$5:$M$1005,$C94,'Detailed Budget'!$AP$5:$AP$1005)&gt;0,SUMIF('Detailed Budget'!$M$5:$M$1005,$C94,'Detailed Budget'!$AP$5:$AP$1005),"")</f>
        <v/>
      </c>
      <c r="K94" s="44" t="str">
        <f>IF(SUMIF('Detailed Budget'!$M$5:$M$1005,$C94,'Detailed Budget'!$AR$5:$AR$1005)&gt;0,SUMIF('Detailed Budget'!$M$5:$M$1005,$C94,'Detailed Budget'!$AR$5:$AR$1005),"")</f>
        <v/>
      </c>
      <c r="L94" s="44" t="str">
        <f>IF(SUMIF('Detailed Budget'!$M$5:$M$1005,$C94,'Detailed Budget'!$AT$5:$AT$1005)&gt;0,SUMIF('Detailed Budget'!$M$5:$M$1005,$C94,'Detailed Budget'!$AT$5:$AT$1005),"")</f>
        <v/>
      </c>
      <c r="M94" s="45" t="str">
        <f>IF(SUMIF('Detailed Budget'!$M$5:$M$1005,$C94,'Detailed Budget'!$AV$5:$AV$1005)&gt;0,SUMIF('Detailed Budget'!$M$5:$M$1005,$C94,'Detailed Budget'!$AV$5:$AV$1005),"")</f>
        <v/>
      </c>
      <c r="N94" s="44" t="str">
        <f>IF(SUMIF('Detailed Budget'!$M$5:$M$1005,$C94,'Detailed Budget'!$BA$5:$BA$1005)&gt;0,SUMIF('Detailed Budget'!$M$5:$M$1005,$C94,'Detailed Budget'!$BA$5:$BA$1005),"")</f>
        <v/>
      </c>
      <c r="O94" s="44" t="str">
        <f>IF(SUMIF('Detailed Budget'!$M$5:$M$1005,$C94,'Detailed Budget'!$BC$5:$BC$1005)&gt;0,SUMIF('Detailed Budget'!$M$5:$M$1005,$C94,'Detailed Budget'!$BC$5:$BC$1005),"")</f>
        <v/>
      </c>
      <c r="P94" s="44" t="str">
        <f>IF(SUMIF('Detailed Budget'!$M$5:$M$1005,$C94,'Detailed Budget'!$BE$5:$BE$1005)&gt;0,SUMIF('Detailed Budget'!$M$5:$M$1005,$C94,'Detailed Budget'!$BE$5:$BE$1005),"")</f>
        <v/>
      </c>
      <c r="Q94" s="44" t="str">
        <f>IF(SUMIF('Detailed Budget'!$M$5:$M$1005,$C94,'Detailed Budget'!$BG$5:$BG$1005)&gt;0,SUMIF('Detailed Budget'!$M$5:$M$1005,$C94,'Detailed Budget'!$BG$5:$BG$1005),"")</f>
        <v/>
      </c>
      <c r="R94" s="45" t="str">
        <f>IF(SUMIF('Detailed Budget'!$M$5:$M$1005,$C94,'Detailed Budget'!$BI$5:$BI$1005)&gt;0,SUMIF('Detailed Budget'!$M$5:$M$1005,$C94,'Detailed Budget'!$BI$5:$BI$1005),"")</f>
        <v/>
      </c>
      <c r="S94" s="44" t="str">
        <f>IF(SUMIF('Detailed Budget'!$M$5:$M$1005,$C94,'Detailed Budget'!$BN$5:$BN$1005)&gt;0,SUMIF('Detailed Budget'!$M$5:$M$1005,$C94,'Detailed Budget'!$BN$5:$BN$1005),"")</f>
        <v/>
      </c>
      <c r="T94" s="44" t="str">
        <f>IF(SUMIF('Detailed Budget'!$M$5:$M$1005,$C94,'Detailed Budget'!$BP$5:$BP$1005)&gt;0,SUMIF('Detailed Budget'!$M$5:$M$1005,$C94,'Detailed Budget'!$BP$5:$BP$1005),"")</f>
        <v/>
      </c>
      <c r="U94" s="44" t="str">
        <f>IF(SUMIF('Detailed Budget'!$M$5:$M$1005,$C94,'Detailed Budget'!$BR$5:$BR$1005)&gt;0,SUMIF('Detailed Budget'!$M$5:$M$1005,$C94,'Detailed Budget'!$BR$5:$BR$1005),"")</f>
        <v/>
      </c>
      <c r="V94" s="44" t="str">
        <f>IF(SUMIF('Detailed Budget'!$M$5:$M$1005,$C94,'Detailed Budget'!$BT$5:$BT$1005)&gt;0,SUMIF('Detailed Budget'!$M$5:$M$1005,$C94,'Detailed Budget'!$BT$5:$BT$1005),"")</f>
        <v/>
      </c>
      <c r="W94" s="45" t="str">
        <f>IF(SUMIF('Detailed Budget'!$M$5:$M$1005,$C94,'Detailed Budget'!$BV$5:$BV$1005)&gt;0,SUMIF('Detailed Budget'!$M$5:$M$1005,$C94,'Detailed Budget'!$BV$5:$BV$1005),"")</f>
        <v/>
      </c>
      <c r="X94" s="44" t="str">
        <f t="shared" si="9"/>
        <v/>
      </c>
      <c r="Y94" s="122" t="str">
        <f t="shared" si="10"/>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row>
    <row r="95" spans="2:49" s="35" customFormat="1" hidden="1" x14ac:dyDescent="0.2">
      <c r="B95" s="39" t="str">
        <f t="array" ref="B95">IFERROR(INDEX(RecipientList,MATCH(0,COUNTIF(RecipientList,"&lt;"&amp;RecipientList)-SUM(COUNTIF(RecipientList,B$64:B94)),0)),"")</f>
        <v/>
      </c>
      <c r="C95" s="371" t="str">
        <f t="shared" si="8"/>
        <v/>
      </c>
      <c r="D95" s="44" t="str">
        <f>IF(SUMIF('Detailed Budget'!$M$5:$M$1005,$C95,'Detailed Budget'!$AA$5:$AA$1005)&gt;0,SUMIF('Detailed Budget'!$M$5:$M$1005,$C95,'Detailed Budget'!$AA$5:$AA$1005),"")</f>
        <v/>
      </c>
      <c r="E95" s="44" t="str">
        <f>IF(SUMIF('Detailed Budget'!$M$5:$M$1005,$C95,'Detailed Budget'!$AC$5:$AC$1005)&gt;0,SUMIF('Detailed Budget'!$M$5:$M$1005,$C95,'Detailed Budget'!$AC$5:$AC$1005),"")</f>
        <v/>
      </c>
      <c r="F95" s="44" t="str">
        <f>IF(SUMIF('Detailed Budget'!$M$5:$M$1005,$C95,'Detailed Budget'!$AE$5:$AE$1005)&gt;0,SUMIF('Detailed Budget'!$M$5:$M$1005,$C95,'Detailed Budget'!$AE$5:$AE$1005),"")</f>
        <v/>
      </c>
      <c r="G95" s="44" t="str">
        <f>IF(SUMIF('Detailed Budget'!$M$5:$M$1005,$C95,'Detailed Budget'!$AG$5:$AG$1005)&gt;0,SUMIF('Detailed Budget'!$M$5:$M$1005,$C95,'Detailed Budget'!$AG$5:$AG$1005),"")</f>
        <v/>
      </c>
      <c r="H95" s="45" t="str">
        <f>IF(SUMIF('Detailed Budget'!$M$5:$M$1005,$C95,'Detailed Budget'!$AI$5:$AI$1005)&gt;0,SUMIF('Detailed Budget'!$M$5:$M$1005,$C95,'Detailed Budget'!$AI$5:$AI$1005),"")</f>
        <v/>
      </c>
      <c r="I95" s="44" t="str">
        <f>IF(SUMIF('Detailed Budget'!$M$5:$M$1005,$C95,'Detailed Budget'!$AN$5:$AN$1005)&gt;0,SUMIF('Detailed Budget'!$M$5:$M$1005,$C95,'Detailed Budget'!$AN$5:$AN$1005),"")</f>
        <v/>
      </c>
      <c r="J95" s="44" t="str">
        <f>IF(SUMIF('Detailed Budget'!$M$5:$M$1005,$C95,'Detailed Budget'!$AP$5:$AP$1005)&gt;0,SUMIF('Detailed Budget'!$M$5:$M$1005,$C95,'Detailed Budget'!$AP$5:$AP$1005),"")</f>
        <v/>
      </c>
      <c r="K95" s="44" t="str">
        <f>IF(SUMIF('Detailed Budget'!$M$5:$M$1005,$C95,'Detailed Budget'!$AR$5:$AR$1005)&gt;0,SUMIF('Detailed Budget'!$M$5:$M$1005,$C95,'Detailed Budget'!$AR$5:$AR$1005),"")</f>
        <v/>
      </c>
      <c r="L95" s="44" t="str">
        <f>IF(SUMIF('Detailed Budget'!$M$5:$M$1005,$C95,'Detailed Budget'!$AT$5:$AT$1005)&gt;0,SUMIF('Detailed Budget'!$M$5:$M$1005,$C95,'Detailed Budget'!$AT$5:$AT$1005),"")</f>
        <v/>
      </c>
      <c r="M95" s="45" t="str">
        <f>IF(SUMIF('Detailed Budget'!$M$5:$M$1005,$C95,'Detailed Budget'!$AV$5:$AV$1005)&gt;0,SUMIF('Detailed Budget'!$M$5:$M$1005,$C95,'Detailed Budget'!$AV$5:$AV$1005),"")</f>
        <v/>
      </c>
      <c r="N95" s="44" t="str">
        <f>IF(SUMIF('Detailed Budget'!$M$5:$M$1005,$C95,'Detailed Budget'!$BA$5:$BA$1005)&gt;0,SUMIF('Detailed Budget'!$M$5:$M$1005,$C95,'Detailed Budget'!$BA$5:$BA$1005),"")</f>
        <v/>
      </c>
      <c r="O95" s="44" t="str">
        <f>IF(SUMIF('Detailed Budget'!$M$5:$M$1005,$C95,'Detailed Budget'!$BC$5:$BC$1005)&gt;0,SUMIF('Detailed Budget'!$M$5:$M$1005,$C95,'Detailed Budget'!$BC$5:$BC$1005),"")</f>
        <v/>
      </c>
      <c r="P95" s="44" t="str">
        <f>IF(SUMIF('Detailed Budget'!$M$5:$M$1005,$C95,'Detailed Budget'!$BE$5:$BE$1005)&gt;0,SUMIF('Detailed Budget'!$M$5:$M$1005,$C95,'Detailed Budget'!$BE$5:$BE$1005),"")</f>
        <v/>
      </c>
      <c r="Q95" s="44" t="str">
        <f>IF(SUMIF('Detailed Budget'!$M$5:$M$1005,$C95,'Detailed Budget'!$BG$5:$BG$1005)&gt;0,SUMIF('Detailed Budget'!$M$5:$M$1005,$C95,'Detailed Budget'!$BG$5:$BG$1005),"")</f>
        <v/>
      </c>
      <c r="R95" s="45" t="str">
        <f>IF(SUMIF('Detailed Budget'!$M$5:$M$1005,$C95,'Detailed Budget'!$BI$5:$BI$1005)&gt;0,SUMIF('Detailed Budget'!$M$5:$M$1005,$C95,'Detailed Budget'!$BI$5:$BI$1005),"")</f>
        <v/>
      </c>
      <c r="S95" s="44" t="str">
        <f>IF(SUMIF('Detailed Budget'!$M$5:$M$1005,$C95,'Detailed Budget'!$BN$5:$BN$1005)&gt;0,SUMIF('Detailed Budget'!$M$5:$M$1005,$C95,'Detailed Budget'!$BN$5:$BN$1005),"")</f>
        <v/>
      </c>
      <c r="T95" s="44" t="str">
        <f>IF(SUMIF('Detailed Budget'!$M$5:$M$1005,$C95,'Detailed Budget'!$BP$5:$BP$1005)&gt;0,SUMIF('Detailed Budget'!$M$5:$M$1005,$C95,'Detailed Budget'!$BP$5:$BP$1005),"")</f>
        <v/>
      </c>
      <c r="U95" s="44" t="str">
        <f>IF(SUMIF('Detailed Budget'!$M$5:$M$1005,$C95,'Detailed Budget'!$BR$5:$BR$1005)&gt;0,SUMIF('Detailed Budget'!$M$5:$M$1005,$C95,'Detailed Budget'!$BR$5:$BR$1005),"")</f>
        <v/>
      </c>
      <c r="V95" s="44" t="str">
        <f>IF(SUMIF('Detailed Budget'!$M$5:$M$1005,$C95,'Detailed Budget'!$BT$5:$BT$1005)&gt;0,SUMIF('Detailed Budget'!$M$5:$M$1005,$C95,'Detailed Budget'!$BT$5:$BT$1005),"")</f>
        <v/>
      </c>
      <c r="W95" s="45" t="str">
        <f>IF(SUMIF('Detailed Budget'!$M$5:$M$1005,$C95,'Detailed Budget'!$BV$5:$BV$1005)&gt;0,SUMIF('Detailed Budget'!$M$5:$M$1005,$C95,'Detailed Budget'!$BV$5:$BV$1005),"")</f>
        <v/>
      </c>
      <c r="X95" s="44" t="str">
        <f t="shared" si="9"/>
        <v/>
      </c>
      <c r="Y95" s="122" t="str">
        <f t="shared" si="10"/>
        <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row>
    <row r="96" spans="2:49" s="35" customFormat="1" hidden="1" x14ac:dyDescent="0.2">
      <c r="B96" s="39" t="str">
        <f t="array" ref="B96">IFERROR(INDEX(RecipientList,MATCH(0,COUNTIF(RecipientList,"&lt;"&amp;RecipientList)-SUM(COUNTIF(RecipientList,B$64:B95)),0)),"")</f>
        <v/>
      </c>
      <c r="C96" s="371" t="str">
        <f t="shared" si="8"/>
        <v/>
      </c>
      <c r="D96" s="44" t="str">
        <f>IF(SUMIF('Detailed Budget'!$M$5:$M$1005,$C96,'Detailed Budget'!$AA$5:$AA$1005)&gt;0,SUMIF('Detailed Budget'!$M$5:$M$1005,$C96,'Detailed Budget'!$AA$5:$AA$1005),"")</f>
        <v/>
      </c>
      <c r="E96" s="44" t="str">
        <f>IF(SUMIF('Detailed Budget'!$M$5:$M$1005,$C96,'Detailed Budget'!$AC$5:$AC$1005)&gt;0,SUMIF('Detailed Budget'!$M$5:$M$1005,$C96,'Detailed Budget'!$AC$5:$AC$1005),"")</f>
        <v/>
      </c>
      <c r="F96" s="44" t="str">
        <f>IF(SUMIF('Detailed Budget'!$M$5:$M$1005,$C96,'Detailed Budget'!$AE$5:$AE$1005)&gt;0,SUMIF('Detailed Budget'!$M$5:$M$1005,$C96,'Detailed Budget'!$AE$5:$AE$1005),"")</f>
        <v/>
      </c>
      <c r="G96" s="44" t="str">
        <f>IF(SUMIF('Detailed Budget'!$M$5:$M$1005,$C96,'Detailed Budget'!$AG$5:$AG$1005)&gt;0,SUMIF('Detailed Budget'!$M$5:$M$1005,$C96,'Detailed Budget'!$AG$5:$AG$1005),"")</f>
        <v/>
      </c>
      <c r="H96" s="45" t="str">
        <f>IF(SUMIF('Detailed Budget'!$M$5:$M$1005,$C96,'Detailed Budget'!$AI$5:$AI$1005)&gt;0,SUMIF('Detailed Budget'!$M$5:$M$1005,$C96,'Detailed Budget'!$AI$5:$AI$1005),"")</f>
        <v/>
      </c>
      <c r="I96" s="44" t="str">
        <f>IF(SUMIF('Detailed Budget'!$M$5:$M$1005,$C96,'Detailed Budget'!$AN$5:$AN$1005)&gt;0,SUMIF('Detailed Budget'!$M$5:$M$1005,$C96,'Detailed Budget'!$AN$5:$AN$1005),"")</f>
        <v/>
      </c>
      <c r="J96" s="44" t="str">
        <f>IF(SUMIF('Detailed Budget'!$M$5:$M$1005,$C96,'Detailed Budget'!$AP$5:$AP$1005)&gt;0,SUMIF('Detailed Budget'!$M$5:$M$1005,$C96,'Detailed Budget'!$AP$5:$AP$1005),"")</f>
        <v/>
      </c>
      <c r="K96" s="44" t="str">
        <f>IF(SUMIF('Detailed Budget'!$M$5:$M$1005,$C96,'Detailed Budget'!$AR$5:$AR$1005)&gt;0,SUMIF('Detailed Budget'!$M$5:$M$1005,$C96,'Detailed Budget'!$AR$5:$AR$1005),"")</f>
        <v/>
      </c>
      <c r="L96" s="44" t="str">
        <f>IF(SUMIF('Detailed Budget'!$M$5:$M$1005,$C96,'Detailed Budget'!$AT$5:$AT$1005)&gt;0,SUMIF('Detailed Budget'!$M$5:$M$1005,$C96,'Detailed Budget'!$AT$5:$AT$1005),"")</f>
        <v/>
      </c>
      <c r="M96" s="45" t="str">
        <f>IF(SUMIF('Detailed Budget'!$M$5:$M$1005,$C96,'Detailed Budget'!$AV$5:$AV$1005)&gt;0,SUMIF('Detailed Budget'!$M$5:$M$1005,$C96,'Detailed Budget'!$AV$5:$AV$1005),"")</f>
        <v/>
      </c>
      <c r="N96" s="44" t="str">
        <f>IF(SUMIF('Detailed Budget'!$M$5:$M$1005,$C96,'Detailed Budget'!$BA$5:$BA$1005)&gt;0,SUMIF('Detailed Budget'!$M$5:$M$1005,$C96,'Detailed Budget'!$BA$5:$BA$1005),"")</f>
        <v/>
      </c>
      <c r="O96" s="44" t="str">
        <f>IF(SUMIF('Detailed Budget'!$M$5:$M$1005,$C96,'Detailed Budget'!$BC$5:$BC$1005)&gt;0,SUMIF('Detailed Budget'!$M$5:$M$1005,$C96,'Detailed Budget'!$BC$5:$BC$1005),"")</f>
        <v/>
      </c>
      <c r="P96" s="44" t="str">
        <f>IF(SUMIF('Detailed Budget'!$M$5:$M$1005,$C96,'Detailed Budget'!$BE$5:$BE$1005)&gt;0,SUMIF('Detailed Budget'!$M$5:$M$1005,$C96,'Detailed Budget'!$BE$5:$BE$1005),"")</f>
        <v/>
      </c>
      <c r="Q96" s="44" t="str">
        <f>IF(SUMIF('Detailed Budget'!$M$5:$M$1005,$C96,'Detailed Budget'!$BG$5:$BG$1005)&gt;0,SUMIF('Detailed Budget'!$M$5:$M$1005,$C96,'Detailed Budget'!$BG$5:$BG$1005),"")</f>
        <v/>
      </c>
      <c r="R96" s="45" t="str">
        <f>IF(SUMIF('Detailed Budget'!$M$5:$M$1005,$C96,'Detailed Budget'!$BI$5:$BI$1005)&gt;0,SUMIF('Detailed Budget'!$M$5:$M$1005,$C96,'Detailed Budget'!$BI$5:$BI$1005),"")</f>
        <v/>
      </c>
      <c r="S96" s="44" t="str">
        <f>IF(SUMIF('Detailed Budget'!$M$5:$M$1005,$C96,'Detailed Budget'!$BN$5:$BN$1005)&gt;0,SUMIF('Detailed Budget'!$M$5:$M$1005,$C96,'Detailed Budget'!$BN$5:$BN$1005),"")</f>
        <v/>
      </c>
      <c r="T96" s="44" t="str">
        <f>IF(SUMIF('Detailed Budget'!$M$5:$M$1005,$C96,'Detailed Budget'!$BP$5:$BP$1005)&gt;0,SUMIF('Detailed Budget'!$M$5:$M$1005,$C96,'Detailed Budget'!$BP$5:$BP$1005),"")</f>
        <v/>
      </c>
      <c r="U96" s="44" t="str">
        <f>IF(SUMIF('Detailed Budget'!$M$5:$M$1005,$C96,'Detailed Budget'!$BR$5:$BR$1005)&gt;0,SUMIF('Detailed Budget'!$M$5:$M$1005,$C96,'Detailed Budget'!$BR$5:$BR$1005),"")</f>
        <v/>
      </c>
      <c r="V96" s="44" t="str">
        <f>IF(SUMIF('Detailed Budget'!$M$5:$M$1005,$C96,'Detailed Budget'!$BT$5:$BT$1005)&gt;0,SUMIF('Detailed Budget'!$M$5:$M$1005,$C96,'Detailed Budget'!$BT$5:$BT$1005),"")</f>
        <v/>
      </c>
      <c r="W96" s="45" t="str">
        <f>IF(SUMIF('Detailed Budget'!$M$5:$M$1005,$C96,'Detailed Budget'!$BV$5:$BV$1005)&gt;0,SUMIF('Detailed Budget'!$M$5:$M$1005,$C96,'Detailed Budget'!$BV$5:$BV$1005),"")</f>
        <v/>
      </c>
      <c r="X96" s="44" t="str">
        <f t="shared" si="9"/>
        <v/>
      </c>
      <c r="Y96" s="122" t="str">
        <f t="shared" si="10"/>
        <v/>
      </c>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row>
    <row r="97" spans="2:49" s="35" customFormat="1" hidden="1" x14ac:dyDescent="0.2">
      <c r="B97" s="39" t="str">
        <f t="array" ref="B97">IFERROR(INDEX(RecipientList,MATCH(0,COUNTIF(RecipientList,"&lt;"&amp;RecipientList)-SUM(COUNTIF(RecipientList,B$64:B96)),0)),"")</f>
        <v/>
      </c>
      <c r="C97" s="371" t="str">
        <f t="shared" si="8"/>
        <v/>
      </c>
      <c r="D97" s="44" t="str">
        <f>IF(SUMIF('Detailed Budget'!$M$5:$M$1005,$C97,'Detailed Budget'!$AA$5:$AA$1005)&gt;0,SUMIF('Detailed Budget'!$M$5:$M$1005,$C97,'Detailed Budget'!$AA$5:$AA$1005),"")</f>
        <v/>
      </c>
      <c r="E97" s="44" t="str">
        <f>IF(SUMIF('Detailed Budget'!$M$5:$M$1005,$C97,'Detailed Budget'!$AC$5:$AC$1005)&gt;0,SUMIF('Detailed Budget'!$M$5:$M$1005,$C97,'Detailed Budget'!$AC$5:$AC$1005),"")</f>
        <v/>
      </c>
      <c r="F97" s="44" t="str">
        <f>IF(SUMIF('Detailed Budget'!$M$5:$M$1005,$C97,'Detailed Budget'!$AE$5:$AE$1005)&gt;0,SUMIF('Detailed Budget'!$M$5:$M$1005,$C97,'Detailed Budget'!$AE$5:$AE$1005),"")</f>
        <v/>
      </c>
      <c r="G97" s="44" t="str">
        <f>IF(SUMIF('Detailed Budget'!$M$5:$M$1005,$C97,'Detailed Budget'!$AG$5:$AG$1005)&gt;0,SUMIF('Detailed Budget'!$M$5:$M$1005,$C97,'Detailed Budget'!$AG$5:$AG$1005),"")</f>
        <v/>
      </c>
      <c r="H97" s="45" t="str">
        <f>IF(SUMIF('Detailed Budget'!$M$5:$M$1005,$C97,'Detailed Budget'!$AI$5:$AI$1005)&gt;0,SUMIF('Detailed Budget'!$M$5:$M$1005,$C97,'Detailed Budget'!$AI$5:$AI$1005),"")</f>
        <v/>
      </c>
      <c r="I97" s="44" t="str">
        <f>IF(SUMIF('Detailed Budget'!$M$5:$M$1005,$C97,'Detailed Budget'!$AN$5:$AN$1005)&gt;0,SUMIF('Detailed Budget'!$M$5:$M$1005,$C97,'Detailed Budget'!$AN$5:$AN$1005),"")</f>
        <v/>
      </c>
      <c r="J97" s="44" t="str">
        <f>IF(SUMIF('Detailed Budget'!$M$5:$M$1005,$C97,'Detailed Budget'!$AP$5:$AP$1005)&gt;0,SUMIF('Detailed Budget'!$M$5:$M$1005,$C97,'Detailed Budget'!$AP$5:$AP$1005),"")</f>
        <v/>
      </c>
      <c r="K97" s="44" t="str">
        <f>IF(SUMIF('Detailed Budget'!$M$5:$M$1005,$C97,'Detailed Budget'!$AR$5:$AR$1005)&gt;0,SUMIF('Detailed Budget'!$M$5:$M$1005,$C97,'Detailed Budget'!$AR$5:$AR$1005),"")</f>
        <v/>
      </c>
      <c r="L97" s="44" t="str">
        <f>IF(SUMIF('Detailed Budget'!$M$5:$M$1005,$C97,'Detailed Budget'!$AT$5:$AT$1005)&gt;0,SUMIF('Detailed Budget'!$M$5:$M$1005,$C97,'Detailed Budget'!$AT$5:$AT$1005),"")</f>
        <v/>
      </c>
      <c r="M97" s="45" t="str">
        <f>IF(SUMIF('Detailed Budget'!$M$5:$M$1005,$C97,'Detailed Budget'!$AV$5:$AV$1005)&gt;0,SUMIF('Detailed Budget'!$M$5:$M$1005,$C97,'Detailed Budget'!$AV$5:$AV$1005),"")</f>
        <v/>
      </c>
      <c r="N97" s="44" t="str">
        <f>IF(SUMIF('Detailed Budget'!$M$5:$M$1005,$C97,'Detailed Budget'!$BA$5:$BA$1005)&gt;0,SUMIF('Detailed Budget'!$M$5:$M$1005,$C97,'Detailed Budget'!$BA$5:$BA$1005),"")</f>
        <v/>
      </c>
      <c r="O97" s="44" t="str">
        <f>IF(SUMIF('Detailed Budget'!$M$5:$M$1005,$C97,'Detailed Budget'!$BC$5:$BC$1005)&gt;0,SUMIF('Detailed Budget'!$M$5:$M$1005,$C97,'Detailed Budget'!$BC$5:$BC$1005),"")</f>
        <v/>
      </c>
      <c r="P97" s="44" t="str">
        <f>IF(SUMIF('Detailed Budget'!$M$5:$M$1005,$C97,'Detailed Budget'!$BE$5:$BE$1005)&gt;0,SUMIF('Detailed Budget'!$M$5:$M$1005,$C97,'Detailed Budget'!$BE$5:$BE$1005),"")</f>
        <v/>
      </c>
      <c r="Q97" s="44" t="str">
        <f>IF(SUMIF('Detailed Budget'!$M$5:$M$1005,$C97,'Detailed Budget'!$BG$5:$BG$1005)&gt;0,SUMIF('Detailed Budget'!$M$5:$M$1005,$C97,'Detailed Budget'!$BG$5:$BG$1005),"")</f>
        <v/>
      </c>
      <c r="R97" s="45" t="str">
        <f>IF(SUMIF('Detailed Budget'!$M$5:$M$1005,$C97,'Detailed Budget'!$BI$5:$BI$1005)&gt;0,SUMIF('Detailed Budget'!$M$5:$M$1005,$C97,'Detailed Budget'!$BI$5:$BI$1005),"")</f>
        <v/>
      </c>
      <c r="S97" s="44" t="str">
        <f>IF(SUMIF('Detailed Budget'!$M$5:$M$1005,$C97,'Detailed Budget'!$BN$5:$BN$1005)&gt;0,SUMIF('Detailed Budget'!$M$5:$M$1005,$C97,'Detailed Budget'!$BN$5:$BN$1005),"")</f>
        <v/>
      </c>
      <c r="T97" s="44" t="str">
        <f>IF(SUMIF('Detailed Budget'!$M$5:$M$1005,$C97,'Detailed Budget'!$BP$5:$BP$1005)&gt;0,SUMIF('Detailed Budget'!$M$5:$M$1005,$C97,'Detailed Budget'!$BP$5:$BP$1005),"")</f>
        <v/>
      </c>
      <c r="U97" s="44" t="str">
        <f>IF(SUMIF('Detailed Budget'!$M$5:$M$1005,$C97,'Detailed Budget'!$BR$5:$BR$1005)&gt;0,SUMIF('Detailed Budget'!$M$5:$M$1005,$C97,'Detailed Budget'!$BR$5:$BR$1005),"")</f>
        <v/>
      </c>
      <c r="V97" s="44" t="str">
        <f>IF(SUMIF('Detailed Budget'!$M$5:$M$1005,$C97,'Detailed Budget'!$BT$5:$BT$1005)&gt;0,SUMIF('Detailed Budget'!$M$5:$M$1005,$C97,'Detailed Budget'!$BT$5:$BT$1005),"")</f>
        <v/>
      </c>
      <c r="W97" s="45" t="str">
        <f>IF(SUMIF('Detailed Budget'!$M$5:$M$1005,$C97,'Detailed Budget'!$BV$5:$BV$1005)&gt;0,SUMIF('Detailed Budget'!$M$5:$M$1005,$C97,'Detailed Budget'!$BV$5:$BV$1005),"")</f>
        <v/>
      </c>
      <c r="X97" s="44" t="str">
        <f t="shared" si="9"/>
        <v/>
      </c>
      <c r="Y97" s="122" t="str">
        <f t="shared" si="10"/>
        <v/>
      </c>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row>
    <row r="98" spans="2:49" s="35" customFormat="1" hidden="1" x14ac:dyDescent="0.2">
      <c r="B98" s="39" t="str">
        <f t="array" ref="B98">IFERROR(INDEX(RecipientList,MATCH(0,COUNTIF(RecipientList,"&lt;"&amp;RecipientList)-SUM(COUNTIF(RecipientList,B$64:B97)),0)),"")</f>
        <v/>
      </c>
      <c r="C98" s="371" t="str">
        <f t="shared" si="8"/>
        <v/>
      </c>
      <c r="D98" s="44" t="str">
        <f>IF(SUMIF('Detailed Budget'!$M$5:$M$1005,$C98,'Detailed Budget'!$AA$5:$AA$1005)&gt;0,SUMIF('Detailed Budget'!$M$5:$M$1005,$C98,'Detailed Budget'!$AA$5:$AA$1005),"")</f>
        <v/>
      </c>
      <c r="E98" s="44" t="str">
        <f>IF(SUMIF('Detailed Budget'!$M$5:$M$1005,$C98,'Detailed Budget'!$AC$5:$AC$1005)&gt;0,SUMIF('Detailed Budget'!$M$5:$M$1005,$C98,'Detailed Budget'!$AC$5:$AC$1005),"")</f>
        <v/>
      </c>
      <c r="F98" s="44" t="str">
        <f>IF(SUMIF('Detailed Budget'!$M$5:$M$1005,$C98,'Detailed Budget'!$AE$5:$AE$1005)&gt;0,SUMIF('Detailed Budget'!$M$5:$M$1005,$C98,'Detailed Budget'!$AE$5:$AE$1005),"")</f>
        <v/>
      </c>
      <c r="G98" s="44" t="str">
        <f>IF(SUMIF('Detailed Budget'!$M$5:$M$1005,$C98,'Detailed Budget'!$AG$5:$AG$1005)&gt;0,SUMIF('Detailed Budget'!$M$5:$M$1005,$C98,'Detailed Budget'!$AG$5:$AG$1005),"")</f>
        <v/>
      </c>
      <c r="H98" s="45" t="str">
        <f>IF(SUMIF('Detailed Budget'!$M$5:$M$1005,$C98,'Detailed Budget'!$AI$5:$AI$1005)&gt;0,SUMIF('Detailed Budget'!$M$5:$M$1005,$C98,'Detailed Budget'!$AI$5:$AI$1005),"")</f>
        <v/>
      </c>
      <c r="I98" s="44" t="str">
        <f>IF(SUMIF('Detailed Budget'!$M$5:$M$1005,$C98,'Detailed Budget'!$AN$5:$AN$1005)&gt;0,SUMIF('Detailed Budget'!$M$5:$M$1005,$C98,'Detailed Budget'!$AN$5:$AN$1005),"")</f>
        <v/>
      </c>
      <c r="J98" s="44" t="str">
        <f>IF(SUMIF('Detailed Budget'!$M$5:$M$1005,$C98,'Detailed Budget'!$AP$5:$AP$1005)&gt;0,SUMIF('Detailed Budget'!$M$5:$M$1005,$C98,'Detailed Budget'!$AP$5:$AP$1005),"")</f>
        <v/>
      </c>
      <c r="K98" s="44" t="str">
        <f>IF(SUMIF('Detailed Budget'!$M$5:$M$1005,$C98,'Detailed Budget'!$AR$5:$AR$1005)&gt;0,SUMIF('Detailed Budget'!$M$5:$M$1005,$C98,'Detailed Budget'!$AR$5:$AR$1005),"")</f>
        <v/>
      </c>
      <c r="L98" s="44" t="str">
        <f>IF(SUMIF('Detailed Budget'!$M$5:$M$1005,$C98,'Detailed Budget'!$AT$5:$AT$1005)&gt;0,SUMIF('Detailed Budget'!$M$5:$M$1005,$C98,'Detailed Budget'!$AT$5:$AT$1005),"")</f>
        <v/>
      </c>
      <c r="M98" s="45" t="str">
        <f>IF(SUMIF('Detailed Budget'!$M$5:$M$1005,$C98,'Detailed Budget'!$AV$5:$AV$1005)&gt;0,SUMIF('Detailed Budget'!$M$5:$M$1005,$C98,'Detailed Budget'!$AV$5:$AV$1005),"")</f>
        <v/>
      </c>
      <c r="N98" s="44" t="str">
        <f>IF(SUMIF('Detailed Budget'!$M$5:$M$1005,$C98,'Detailed Budget'!$BA$5:$BA$1005)&gt;0,SUMIF('Detailed Budget'!$M$5:$M$1005,$C98,'Detailed Budget'!$BA$5:$BA$1005),"")</f>
        <v/>
      </c>
      <c r="O98" s="44" t="str">
        <f>IF(SUMIF('Detailed Budget'!$M$5:$M$1005,$C98,'Detailed Budget'!$BC$5:$BC$1005)&gt;0,SUMIF('Detailed Budget'!$M$5:$M$1005,$C98,'Detailed Budget'!$BC$5:$BC$1005),"")</f>
        <v/>
      </c>
      <c r="P98" s="44" t="str">
        <f>IF(SUMIF('Detailed Budget'!$M$5:$M$1005,$C98,'Detailed Budget'!$BE$5:$BE$1005)&gt;0,SUMIF('Detailed Budget'!$M$5:$M$1005,$C98,'Detailed Budget'!$BE$5:$BE$1005),"")</f>
        <v/>
      </c>
      <c r="Q98" s="44" t="str">
        <f>IF(SUMIF('Detailed Budget'!$M$5:$M$1005,$C98,'Detailed Budget'!$BG$5:$BG$1005)&gt;0,SUMIF('Detailed Budget'!$M$5:$M$1005,$C98,'Detailed Budget'!$BG$5:$BG$1005),"")</f>
        <v/>
      </c>
      <c r="R98" s="45" t="str">
        <f>IF(SUMIF('Detailed Budget'!$M$5:$M$1005,$C98,'Detailed Budget'!$BI$5:$BI$1005)&gt;0,SUMIF('Detailed Budget'!$M$5:$M$1005,$C98,'Detailed Budget'!$BI$5:$BI$1005),"")</f>
        <v/>
      </c>
      <c r="S98" s="44" t="str">
        <f>IF(SUMIF('Detailed Budget'!$M$5:$M$1005,$C98,'Detailed Budget'!$BN$5:$BN$1005)&gt;0,SUMIF('Detailed Budget'!$M$5:$M$1005,$C98,'Detailed Budget'!$BN$5:$BN$1005),"")</f>
        <v/>
      </c>
      <c r="T98" s="44" t="str">
        <f>IF(SUMIF('Detailed Budget'!$M$5:$M$1005,$C98,'Detailed Budget'!$BP$5:$BP$1005)&gt;0,SUMIF('Detailed Budget'!$M$5:$M$1005,$C98,'Detailed Budget'!$BP$5:$BP$1005),"")</f>
        <v/>
      </c>
      <c r="U98" s="44" t="str">
        <f>IF(SUMIF('Detailed Budget'!$M$5:$M$1005,$C98,'Detailed Budget'!$BR$5:$BR$1005)&gt;0,SUMIF('Detailed Budget'!$M$5:$M$1005,$C98,'Detailed Budget'!$BR$5:$BR$1005),"")</f>
        <v/>
      </c>
      <c r="V98" s="44" t="str">
        <f>IF(SUMIF('Detailed Budget'!$M$5:$M$1005,$C98,'Detailed Budget'!$BT$5:$BT$1005)&gt;0,SUMIF('Detailed Budget'!$M$5:$M$1005,$C98,'Detailed Budget'!$BT$5:$BT$1005),"")</f>
        <v/>
      </c>
      <c r="W98" s="45" t="str">
        <f>IF(SUMIF('Detailed Budget'!$M$5:$M$1005,$C98,'Detailed Budget'!$BV$5:$BV$1005)&gt;0,SUMIF('Detailed Budget'!$M$5:$M$1005,$C98,'Detailed Budget'!$BV$5:$BV$1005),"")</f>
        <v/>
      </c>
      <c r="X98" s="44" t="str">
        <f t="shared" si="9"/>
        <v/>
      </c>
      <c r="Y98" s="122" t="str">
        <f t="shared" si="10"/>
        <v/>
      </c>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row>
    <row r="99" spans="2:49" s="35" customFormat="1" hidden="1" x14ac:dyDescent="0.2">
      <c r="B99" s="39" t="str">
        <f t="array" ref="B99">IFERROR(INDEX(RecipientList,MATCH(0,COUNTIF(RecipientList,"&lt;"&amp;RecipientList)-SUM(COUNTIF(RecipientList,B$64:B98)),0)),"")</f>
        <v/>
      </c>
      <c r="C99" s="371" t="str">
        <f t="shared" si="8"/>
        <v/>
      </c>
      <c r="D99" s="44" t="str">
        <f>IF(SUMIF('Detailed Budget'!$M$5:$M$1005,$C99,'Detailed Budget'!$AA$5:$AA$1005)&gt;0,SUMIF('Detailed Budget'!$M$5:$M$1005,$C99,'Detailed Budget'!$AA$5:$AA$1005),"")</f>
        <v/>
      </c>
      <c r="E99" s="44" t="str">
        <f>IF(SUMIF('Detailed Budget'!$M$5:$M$1005,$C99,'Detailed Budget'!$AC$5:$AC$1005)&gt;0,SUMIF('Detailed Budget'!$M$5:$M$1005,$C99,'Detailed Budget'!$AC$5:$AC$1005),"")</f>
        <v/>
      </c>
      <c r="F99" s="44" t="str">
        <f>IF(SUMIF('Detailed Budget'!$M$5:$M$1005,$C99,'Detailed Budget'!$AE$5:$AE$1005)&gt;0,SUMIF('Detailed Budget'!$M$5:$M$1005,$C99,'Detailed Budget'!$AE$5:$AE$1005),"")</f>
        <v/>
      </c>
      <c r="G99" s="44" t="str">
        <f>IF(SUMIF('Detailed Budget'!$M$5:$M$1005,$C99,'Detailed Budget'!$AG$5:$AG$1005)&gt;0,SUMIF('Detailed Budget'!$M$5:$M$1005,$C99,'Detailed Budget'!$AG$5:$AG$1005),"")</f>
        <v/>
      </c>
      <c r="H99" s="45" t="str">
        <f>IF(SUMIF('Detailed Budget'!$M$5:$M$1005,$C99,'Detailed Budget'!$AI$5:$AI$1005)&gt;0,SUMIF('Detailed Budget'!$M$5:$M$1005,$C99,'Detailed Budget'!$AI$5:$AI$1005),"")</f>
        <v/>
      </c>
      <c r="I99" s="44" t="str">
        <f>IF(SUMIF('Detailed Budget'!$M$5:$M$1005,$C99,'Detailed Budget'!$AN$5:$AN$1005)&gt;0,SUMIF('Detailed Budget'!$M$5:$M$1005,$C99,'Detailed Budget'!$AN$5:$AN$1005),"")</f>
        <v/>
      </c>
      <c r="J99" s="44" t="str">
        <f>IF(SUMIF('Detailed Budget'!$M$5:$M$1005,$C99,'Detailed Budget'!$AP$5:$AP$1005)&gt;0,SUMIF('Detailed Budget'!$M$5:$M$1005,$C99,'Detailed Budget'!$AP$5:$AP$1005),"")</f>
        <v/>
      </c>
      <c r="K99" s="44" t="str">
        <f>IF(SUMIF('Detailed Budget'!$M$5:$M$1005,$C99,'Detailed Budget'!$AR$5:$AR$1005)&gt;0,SUMIF('Detailed Budget'!$M$5:$M$1005,$C99,'Detailed Budget'!$AR$5:$AR$1005),"")</f>
        <v/>
      </c>
      <c r="L99" s="44" t="str">
        <f>IF(SUMIF('Detailed Budget'!$M$5:$M$1005,$C99,'Detailed Budget'!$AT$5:$AT$1005)&gt;0,SUMIF('Detailed Budget'!$M$5:$M$1005,$C99,'Detailed Budget'!$AT$5:$AT$1005),"")</f>
        <v/>
      </c>
      <c r="M99" s="45" t="str">
        <f>IF(SUMIF('Detailed Budget'!$M$5:$M$1005,$C99,'Detailed Budget'!$AV$5:$AV$1005)&gt;0,SUMIF('Detailed Budget'!$M$5:$M$1005,$C99,'Detailed Budget'!$AV$5:$AV$1005),"")</f>
        <v/>
      </c>
      <c r="N99" s="44" t="str">
        <f>IF(SUMIF('Detailed Budget'!$M$5:$M$1005,$C99,'Detailed Budget'!$BA$5:$BA$1005)&gt;0,SUMIF('Detailed Budget'!$M$5:$M$1005,$C99,'Detailed Budget'!$BA$5:$BA$1005),"")</f>
        <v/>
      </c>
      <c r="O99" s="44" t="str">
        <f>IF(SUMIF('Detailed Budget'!$M$5:$M$1005,$C99,'Detailed Budget'!$BC$5:$BC$1005)&gt;0,SUMIF('Detailed Budget'!$M$5:$M$1005,$C99,'Detailed Budget'!$BC$5:$BC$1005),"")</f>
        <v/>
      </c>
      <c r="P99" s="44" t="str">
        <f>IF(SUMIF('Detailed Budget'!$M$5:$M$1005,$C99,'Detailed Budget'!$BE$5:$BE$1005)&gt;0,SUMIF('Detailed Budget'!$M$5:$M$1005,$C99,'Detailed Budget'!$BE$5:$BE$1005),"")</f>
        <v/>
      </c>
      <c r="Q99" s="44" t="str">
        <f>IF(SUMIF('Detailed Budget'!$M$5:$M$1005,$C99,'Detailed Budget'!$BG$5:$BG$1005)&gt;0,SUMIF('Detailed Budget'!$M$5:$M$1005,$C99,'Detailed Budget'!$BG$5:$BG$1005),"")</f>
        <v/>
      </c>
      <c r="R99" s="45" t="str">
        <f>IF(SUMIF('Detailed Budget'!$M$5:$M$1005,$C99,'Detailed Budget'!$BI$5:$BI$1005)&gt;0,SUMIF('Detailed Budget'!$M$5:$M$1005,$C99,'Detailed Budget'!$BI$5:$BI$1005),"")</f>
        <v/>
      </c>
      <c r="S99" s="44" t="str">
        <f>IF(SUMIF('Detailed Budget'!$M$5:$M$1005,$C99,'Detailed Budget'!$BN$5:$BN$1005)&gt;0,SUMIF('Detailed Budget'!$M$5:$M$1005,$C99,'Detailed Budget'!$BN$5:$BN$1005),"")</f>
        <v/>
      </c>
      <c r="T99" s="44" t="str">
        <f>IF(SUMIF('Detailed Budget'!$M$5:$M$1005,$C99,'Detailed Budget'!$BP$5:$BP$1005)&gt;0,SUMIF('Detailed Budget'!$M$5:$M$1005,$C99,'Detailed Budget'!$BP$5:$BP$1005),"")</f>
        <v/>
      </c>
      <c r="U99" s="44" t="str">
        <f>IF(SUMIF('Detailed Budget'!$M$5:$M$1005,$C99,'Detailed Budget'!$BR$5:$BR$1005)&gt;0,SUMIF('Detailed Budget'!$M$5:$M$1005,$C99,'Detailed Budget'!$BR$5:$BR$1005),"")</f>
        <v/>
      </c>
      <c r="V99" s="44" t="str">
        <f>IF(SUMIF('Detailed Budget'!$M$5:$M$1005,$C99,'Detailed Budget'!$BT$5:$BT$1005)&gt;0,SUMIF('Detailed Budget'!$M$5:$M$1005,$C99,'Detailed Budget'!$BT$5:$BT$1005),"")</f>
        <v/>
      </c>
      <c r="W99" s="45" t="str">
        <f>IF(SUMIF('Detailed Budget'!$M$5:$M$1005,$C99,'Detailed Budget'!$BV$5:$BV$1005)&gt;0,SUMIF('Detailed Budget'!$M$5:$M$1005,$C99,'Detailed Budget'!$BV$5:$BV$1005),"")</f>
        <v/>
      </c>
      <c r="X99" s="44" t="str">
        <f t="shared" si="9"/>
        <v/>
      </c>
      <c r="Y99" s="122" t="str">
        <f t="shared" si="10"/>
        <v/>
      </c>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row>
    <row r="100" spans="2:49" s="35" customFormat="1" hidden="1" x14ac:dyDescent="0.2">
      <c r="B100" s="39" t="str">
        <f t="array" ref="B100">IFERROR(INDEX(RecipientList,MATCH(0,COUNTIF(RecipientList,"&lt;"&amp;RecipientList)-SUM(COUNTIF(RecipientList,B$64:B99)),0)),"")</f>
        <v/>
      </c>
      <c r="C100" s="371" t="str">
        <f t="shared" si="8"/>
        <v/>
      </c>
      <c r="D100" s="44" t="str">
        <f>IF(SUMIF('Detailed Budget'!$M$5:$M$1005,$C100,'Detailed Budget'!$AA$5:$AA$1005)&gt;0,SUMIF('Detailed Budget'!$M$5:$M$1005,$C100,'Detailed Budget'!$AA$5:$AA$1005),"")</f>
        <v/>
      </c>
      <c r="E100" s="44" t="str">
        <f>IF(SUMIF('Detailed Budget'!$M$5:$M$1005,$C100,'Detailed Budget'!$AC$5:$AC$1005)&gt;0,SUMIF('Detailed Budget'!$M$5:$M$1005,$C100,'Detailed Budget'!$AC$5:$AC$1005),"")</f>
        <v/>
      </c>
      <c r="F100" s="44" t="str">
        <f>IF(SUMIF('Detailed Budget'!$M$5:$M$1005,$C100,'Detailed Budget'!$AE$5:$AE$1005)&gt;0,SUMIF('Detailed Budget'!$M$5:$M$1005,$C100,'Detailed Budget'!$AE$5:$AE$1005),"")</f>
        <v/>
      </c>
      <c r="G100" s="44" t="str">
        <f>IF(SUMIF('Detailed Budget'!$M$5:$M$1005,$C100,'Detailed Budget'!$AG$5:$AG$1005)&gt;0,SUMIF('Detailed Budget'!$M$5:$M$1005,$C100,'Detailed Budget'!$AG$5:$AG$1005),"")</f>
        <v/>
      </c>
      <c r="H100" s="45" t="str">
        <f>IF(SUMIF('Detailed Budget'!$M$5:$M$1005,$C100,'Detailed Budget'!$AI$5:$AI$1005)&gt;0,SUMIF('Detailed Budget'!$M$5:$M$1005,$C100,'Detailed Budget'!$AI$5:$AI$1005),"")</f>
        <v/>
      </c>
      <c r="I100" s="44" t="str">
        <f>IF(SUMIF('Detailed Budget'!$M$5:$M$1005,$C100,'Detailed Budget'!$AN$5:$AN$1005)&gt;0,SUMIF('Detailed Budget'!$M$5:$M$1005,$C100,'Detailed Budget'!$AN$5:$AN$1005),"")</f>
        <v/>
      </c>
      <c r="J100" s="44" t="str">
        <f>IF(SUMIF('Detailed Budget'!$M$5:$M$1005,$C100,'Detailed Budget'!$AP$5:$AP$1005)&gt;0,SUMIF('Detailed Budget'!$M$5:$M$1005,$C100,'Detailed Budget'!$AP$5:$AP$1005),"")</f>
        <v/>
      </c>
      <c r="K100" s="44" t="str">
        <f>IF(SUMIF('Detailed Budget'!$M$5:$M$1005,$C100,'Detailed Budget'!$AR$5:$AR$1005)&gt;0,SUMIF('Detailed Budget'!$M$5:$M$1005,$C100,'Detailed Budget'!$AR$5:$AR$1005),"")</f>
        <v/>
      </c>
      <c r="L100" s="44" t="str">
        <f>IF(SUMIF('Detailed Budget'!$M$5:$M$1005,$C100,'Detailed Budget'!$AT$5:$AT$1005)&gt;0,SUMIF('Detailed Budget'!$M$5:$M$1005,$C100,'Detailed Budget'!$AT$5:$AT$1005),"")</f>
        <v/>
      </c>
      <c r="M100" s="45" t="str">
        <f>IF(SUMIF('Detailed Budget'!$M$5:$M$1005,$C100,'Detailed Budget'!$AV$5:$AV$1005)&gt;0,SUMIF('Detailed Budget'!$M$5:$M$1005,$C100,'Detailed Budget'!$AV$5:$AV$1005),"")</f>
        <v/>
      </c>
      <c r="N100" s="44" t="str">
        <f>IF(SUMIF('Detailed Budget'!$M$5:$M$1005,$C100,'Detailed Budget'!$BA$5:$BA$1005)&gt;0,SUMIF('Detailed Budget'!$M$5:$M$1005,$C100,'Detailed Budget'!$BA$5:$BA$1005),"")</f>
        <v/>
      </c>
      <c r="O100" s="44" t="str">
        <f>IF(SUMIF('Detailed Budget'!$M$5:$M$1005,$C100,'Detailed Budget'!$BC$5:$BC$1005)&gt;0,SUMIF('Detailed Budget'!$M$5:$M$1005,$C100,'Detailed Budget'!$BC$5:$BC$1005),"")</f>
        <v/>
      </c>
      <c r="P100" s="44" t="str">
        <f>IF(SUMIF('Detailed Budget'!$M$5:$M$1005,$C100,'Detailed Budget'!$BE$5:$BE$1005)&gt;0,SUMIF('Detailed Budget'!$M$5:$M$1005,$C100,'Detailed Budget'!$BE$5:$BE$1005),"")</f>
        <v/>
      </c>
      <c r="Q100" s="44" t="str">
        <f>IF(SUMIF('Detailed Budget'!$M$5:$M$1005,$C100,'Detailed Budget'!$BG$5:$BG$1005)&gt;0,SUMIF('Detailed Budget'!$M$5:$M$1005,$C100,'Detailed Budget'!$BG$5:$BG$1005),"")</f>
        <v/>
      </c>
      <c r="R100" s="45" t="str">
        <f>IF(SUMIF('Detailed Budget'!$M$5:$M$1005,$C100,'Detailed Budget'!$BI$5:$BI$1005)&gt;0,SUMIF('Detailed Budget'!$M$5:$M$1005,$C100,'Detailed Budget'!$BI$5:$BI$1005),"")</f>
        <v/>
      </c>
      <c r="S100" s="44" t="str">
        <f>IF(SUMIF('Detailed Budget'!$M$5:$M$1005,$C100,'Detailed Budget'!$BN$5:$BN$1005)&gt;0,SUMIF('Detailed Budget'!$M$5:$M$1005,$C100,'Detailed Budget'!$BN$5:$BN$1005),"")</f>
        <v/>
      </c>
      <c r="T100" s="44" t="str">
        <f>IF(SUMIF('Detailed Budget'!$M$5:$M$1005,$C100,'Detailed Budget'!$BP$5:$BP$1005)&gt;0,SUMIF('Detailed Budget'!$M$5:$M$1005,$C100,'Detailed Budget'!$BP$5:$BP$1005),"")</f>
        <v/>
      </c>
      <c r="U100" s="44" t="str">
        <f>IF(SUMIF('Detailed Budget'!$M$5:$M$1005,$C100,'Detailed Budget'!$BR$5:$BR$1005)&gt;0,SUMIF('Detailed Budget'!$M$5:$M$1005,$C100,'Detailed Budget'!$BR$5:$BR$1005),"")</f>
        <v/>
      </c>
      <c r="V100" s="44" t="str">
        <f>IF(SUMIF('Detailed Budget'!$M$5:$M$1005,$C100,'Detailed Budget'!$BT$5:$BT$1005)&gt;0,SUMIF('Detailed Budget'!$M$5:$M$1005,$C100,'Detailed Budget'!$BT$5:$BT$1005),"")</f>
        <v/>
      </c>
      <c r="W100" s="45" t="str">
        <f>IF(SUMIF('Detailed Budget'!$M$5:$M$1005,$C100,'Detailed Budget'!$BV$5:$BV$1005)&gt;0,SUMIF('Detailed Budget'!$M$5:$M$1005,$C100,'Detailed Budget'!$BV$5:$BV$1005),"")</f>
        <v/>
      </c>
      <c r="X100" s="44" t="str">
        <f t="shared" si="9"/>
        <v/>
      </c>
      <c r="Y100" s="122" t="str">
        <f t="shared" si="10"/>
        <v/>
      </c>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row>
    <row r="101" spans="2:49" s="35" customFormat="1" hidden="1" x14ac:dyDescent="0.2">
      <c r="B101" s="39" t="str">
        <f t="array" ref="B101">IFERROR(INDEX(RecipientList,MATCH(0,COUNTIF(RecipientList,"&lt;"&amp;RecipientList)-SUM(COUNTIF(RecipientList,B$64:B100)),0)),"")</f>
        <v/>
      </c>
      <c r="C101" s="371" t="str">
        <f t="shared" si="8"/>
        <v/>
      </c>
      <c r="D101" s="44" t="str">
        <f>IF(SUMIF('Detailed Budget'!$M$5:$M$1005,$C101,'Detailed Budget'!$AA$5:$AA$1005)&gt;0,SUMIF('Detailed Budget'!$M$5:$M$1005,$C101,'Detailed Budget'!$AA$5:$AA$1005),"")</f>
        <v/>
      </c>
      <c r="E101" s="44" t="str">
        <f>IF(SUMIF('Detailed Budget'!$M$5:$M$1005,$C101,'Detailed Budget'!$AC$5:$AC$1005)&gt;0,SUMIF('Detailed Budget'!$M$5:$M$1005,$C101,'Detailed Budget'!$AC$5:$AC$1005),"")</f>
        <v/>
      </c>
      <c r="F101" s="44" t="str">
        <f>IF(SUMIF('Detailed Budget'!$M$5:$M$1005,$C101,'Detailed Budget'!$AE$5:$AE$1005)&gt;0,SUMIF('Detailed Budget'!$M$5:$M$1005,$C101,'Detailed Budget'!$AE$5:$AE$1005),"")</f>
        <v/>
      </c>
      <c r="G101" s="44" t="str">
        <f>IF(SUMIF('Detailed Budget'!$M$5:$M$1005,$C101,'Detailed Budget'!$AG$5:$AG$1005)&gt;0,SUMIF('Detailed Budget'!$M$5:$M$1005,$C101,'Detailed Budget'!$AG$5:$AG$1005),"")</f>
        <v/>
      </c>
      <c r="H101" s="45" t="str">
        <f>IF(SUMIF('Detailed Budget'!$M$5:$M$1005,$C101,'Detailed Budget'!$AI$5:$AI$1005)&gt;0,SUMIF('Detailed Budget'!$M$5:$M$1005,$C101,'Detailed Budget'!$AI$5:$AI$1005),"")</f>
        <v/>
      </c>
      <c r="I101" s="44" t="str">
        <f>IF(SUMIF('Detailed Budget'!$M$5:$M$1005,$C101,'Detailed Budget'!$AN$5:$AN$1005)&gt;0,SUMIF('Detailed Budget'!$M$5:$M$1005,$C101,'Detailed Budget'!$AN$5:$AN$1005),"")</f>
        <v/>
      </c>
      <c r="J101" s="44" t="str">
        <f>IF(SUMIF('Detailed Budget'!$M$5:$M$1005,$C101,'Detailed Budget'!$AP$5:$AP$1005)&gt;0,SUMIF('Detailed Budget'!$M$5:$M$1005,$C101,'Detailed Budget'!$AP$5:$AP$1005),"")</f>
        <v/>
      </c>
      <c r="K101" s="44" t="str">
        <f>IF(SUMIF('Detailed Budget'!$M$5:$M$1005,$C101,'Detailed Budget'!$AR$5:$AR$1005)&gt;0,SUMIF('Detailed Budget'!$M$5:$M$1005,$C101,'Detailed Budget'!$AR$5:$AR$1005),"")</f>
        <v/>
      </c>
      <c r="L101" s="44" t="str">
        <f>IF(SUMIF('Detailed Budget'!$M$5:$M$1005,$C101,'Detailed Budget'!$AT$5:$AT$1005)&gt;0,SUMIF('Detailed Budget'!$M$5:$M$1005,$C101,'Detailed Budget'!$AT$5:$AT$1005),"")</f>
        <v/>
      </c>
      <c r="M101" s="45" t="str">
        <f>IF(SUMIF('Detailed Budget'!$M$5:$M$1005,$C101,'Detailed Budget'!$AV$5:$AV$1005)&gt;0,SUMIF('Detailed Budget'!$M$5:$M$1005,$C101,'Detailed Budget'!$AV$5:$AV$1005),"")</f>
        <v/>
      </c>
      <c r="N101" s="44" t="str">
        <f>IF(SUMIF('Detailed Budget'!$M$5:$M$1005,$C101,'Detailed Budget'!$BA$5:$BA$1005)&gt;0,SUMIF('Detailed Budget'!$M$5:$M$1005,$C101,'Detailed Budget'!$BA$5:$BA$1005),"")</f>
        <v/>
      </c>
      <c r="O101" s="44" t="str">
        <f>IF(SUMIF('Detailed Budget'!$M$5:$M$1005,$C101,'Detailed Budget'!$BC$5:$BC$1005)&gt;0,SUMIF('Detailed Budget'!$M$5:$M$1005,$C101,'Detailed Budget'!$BC$5:$BC$1005),"")</f>
        <v/>
      </c>
      <c r="P101" s="44" t="str">
        <f>IF(SUMIF('Detailed Budget'!$M$5:$M$1005,$C101,'Detailed Budget'!$BE$5:$BE$1005)&gt;0,SUMIF('Detailed Budget'!$M$5:$M$1005,$C101,'Detailed Budget'!$BE$5:$BE$1005),"")</f>
        <v/>
      </c>
      <c r="Q101" s="44" t="str">
        <f>IF(SUMIF('Detailed Budget'!$M$5:$M$1005,$C101,'Detailed Budget'!$BG$5:$BG$1005)&gt;0,SUMIF('Detailed Budget'!$M$5:$M$1005,$C101,'Detailed Budget'!$BG$5:$BG$1005),"")</f>
        <v/>
      </c>
      <c r="R101" s="45" t="str">
        <f>IF(SUMIF('Detailed Budget'!$M$5:$M$1005,$C101,'Detailed Budget'!$BI$5:$BI$1005)&gt;0,SUMIF('Detailed Budget'!$M$5:$M$1005,$C101,'Detailed Budget'!$BI$5:$BI$1005),"")</f>
        <v/>
      </c>
      <c r="S101" s="44" t="str">
        <f>IF(SUMIF('Detailed Budget'!$M$5:$M$1005,$C101,'Detailed Budget'!$BN$5:$BN$1005)&gt;0,SUMIF('Detailed Budget'!$M$5:$M$1005,$C101,'Detailed Budget'!$BN$5:$BN$1005),"")</f>
        <v/>
      </c>
      <c r="T101" s="44" t="str">
        <f>IF(SUMIF('Detailed Budget'!$M$5:$M$1005,$C101,'Detailed Budget'!$BP$5:$BP$1005)&gt;0,SUMIF('Detailed Budget'!$M$5:$M$1005,$C101,'Detailed Budget'!$BP$5:$BP$1005),"")</f>
        <v/>
      </c>
      <c r="U101" s="44" t="str">
        <f>IF(SUMIF('Detailed Budget'!$M$5:$M$1005,$C101,'Detailed Budget'!$BR$5:$BR$1005)&gt;0,SUMIF('Detailed Budget'!$M$5:$M$1005,$C101,'Detailed Budget'!$BR$5:$BR$1005),"")</f>
        <v/>
      </c>
      <c r="V101" s="44" t="str">
        <f>IF(SUMIF('Detailed Budget'!$M$5:$M$1005,$C101,'Detailed Budget'!$BT$5:$BT$1005)&gt;0,SUMIF('Detailed Budget'!$M$5:$M$1005,$C101,'Detailed Budget'!$BT$5:$BT$1005),"")</f>
        <v/>
      </c>
      <c r="W101" s="45" t="str">
        <f>IF(SUMIF('Detailed Budget'!$M$5:$M$1005,$C101,'Detailed Budget'!$BV$5:$BV$1005)&gt;0,SUMIF('Detailed Budget'!$M$5:$M$1005,$C101,'Detailed Budget'!$BV$5:$BV$1005),"")</f>
        <v/>
      </c>
      <c r="X101" s="44" t="str">
        <f t="shared" si="9"/>
        <v/>
      </c>
      <c r="Y101" s="122" t="str">
        <f t="shared" si="10"/>
        <v/>
      </c>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row>
    <row r="102" spans="2:49" s="35" customFormat="1" hidden="1" x14ac:dyDescent="0.2">
      <c r="B102" s="39" t="str">
        <f t="array" ref="B102">IFERROR(INDEX(RecipientList,MATCH(0,COUNTIF(RecipientList,"&lt;"&amp;RecipientList)-SUM(COUNTIF(RecipientList,B$64:B101)),0)),"")</f>
        <v/>
      </c>
      <c r="C102" s="371" t="str">
        <f t="shared" si="8"/>
        <v/>
      </c>
      <c r="D102" s="44" t="str">
        <f>IF(SUMIF('Detailed Budget'!$M$5:$M$1005,$C102,'Detailed Budget'!$AA$5:$AA$1005)&gt;0,SUMIF('Detailed Budget'!$M$5:$M$1005,$C102,'Detailed Budget'!$AA$5:$AA$1005),"")</f>
        <v/>
      </c>
      <c r="E102" s="44" t="str">
        <f>IF(SUMIF('Detailed Budget'!$M$5:$M$1005,$C102,'Detailed Budget'!$AC$5:$AC$1005)&gt;0,SUMIF('Detailed Budget'!$M$5:$M$1005,$C102,'Detailed Budget'!$AC$5:$AC$1005),"")</f>
        <v/>
      </c>
      <c r="F102" s="44" t="str">
        <f>IF(SUMIF('Detailed Budget'!$M$5:$M$1005,$C102,'Detailed Budget'!$AE$5:$AE$1005)&gt;0,SUMIF('Detailed Budget'!$M$5:$M$1005,$C102,'Detailed Budget'!$AE$5:$AE$1005),"")</f>
        <v/>
      </c>
      <c r="G102" s="44" t="str">
        <f>IF(SUMIF('Detailed Budget'!$M$5:$M$1005,$C102,'Detailed Budget'!$AG$5:$AG$1005)&gt;0,SUMIF('Detailed Budget'!$M$5:$M$1005,$C102,'Detailed Budget'!$AG$5:$AG$1005),"")</f>
        <v/>
      </c>
      <c r="H102" s="45" t="str">
        <f>IF(SUMIF('Detailed Budget'!$M$5:$M$1005,$C102,'Detailed Budget'!$AI$5:$AI$1005)&gt;0,SUMIF('Detailed Budget'!$M$5:$M$1005,$C102,'Detailed Budget'!$AI$5:$AI$1005),"")</f>
        <v/>
      </c>
      <c r="I102" s="44" t="str">
        <f>IF(SUMIF('Detailed Budget'!$M$5:$M$1005,$C102,'Detailed Budget'!$AN$5:$AN$1005)&gt;0,SUMIF('Detailed Budget'!$M$5:$M$1005,$C102,'Detailed Budget'!$AN$5:$AN$1005),"")</f>
        <v/>
      </c>
      <c r="J102" s="44" t="str">
        <f>IF(SUMIF('Detailed Budget'!$M$5:$M$1005,$C102,'Detailed Budget'!$AP$5:$AP$1005)&gt;0,SUMIF('Detailed Budget'!$M$5:$M$1005,$C102,'Detailed Budget'!$AP$5:$AP$1005),"")</f>
        <v/>
      </c>
      <c r="K102" s="44" t="str">
        <f>IF(SUMIF('Detailed Budget'!$M$5:$M$1005,$C102,'Detailed Budget'!$AR$5:$AR$1005)&gt;0,SUMIF('Detailed Budget'!$M$5:$M$1005,$C102,'Detailed Budget'!$AR$5:$AR$1005),"")</f>
        <v/>
      </c>
      <c r="L102" s="44" t="str">
        <f>IF(SUMIF('Detailed Budget'!$M$5:$M$1005,$C102,'Detailed Budget'!$AT$5:$AT$1005)&gt;0,SUMIF('Detailed Budget'!$M$5:$M$1005,$C102,'Detailed Budget'!$AT$5:$AT$1005),"")</f>
        <v/>
      </c>
      <c r="M102" s="45" t="str">
        <f>IF(SUMIF('Detailed Budget'!$M$5:$M$1005,$C102,'Detailed Budget'!$AV$5:$AV$1005)&gt;0,SUMIF('Detailed Budget'!$M$5:$M$1005,$C102,'Detailed Budget'!$AV$5:$AV$1005),"")</f>
        <v/>
      </c>
      <c r="N102" s="44" t="str">
        <f>IF(SUMIF('Detailed Budget'!$M$5:$M$1005,$C102,'Detailed Budget'!$BA$5:$BA$1005)&gt;0,SUMIF('Detailed Budget'!$M$5:$M$1005,$C102,'Detailed Budget'!$BA$5:$BA$1005),"")</f>
        <v/>
      </c>
      <c r="O102" s="44" t="str">
        <f>IF(SUMIF('Detailed Budget'!$M$5:$M$1005,$C102,'Detailed Budget'!$BC$5:$BC$1005)&gt;0,SUMIF('Detailed Budget'!$M$5:$M$1005,$C102,'Detailed Budget'!$BC$5:$BC$1005),"")</f>
        <v/>
      </c>
      <c r="P102" s="44" t="str">
        <f>IF(SUMIF('Detailed Budget'!$M$5:$M$1005,$C102,'Detailed Budget'!$BE$5:$BE$1005)&gt;0,SUMIF('Detailed Budget'!$M$5:$M$1005,$C102,'Detailed Budget'!$BE$5:$BE$1005),"")</f>
        <v/>
      </c>
      <c r="Q102" s="44" t="str">
        <f>IF(SUMIF('Detailed Budget'!$M$5:$M$1005,$C102,'Detailed Budget'!$BG$5:$BG$1005)&gt;0,SUMIF('Detailed Budget'!$M$5:$M$1005,$C102,'Detailed Budget'!$BG$5:$BG$1005),"")</f>
        <v/>
      </c>
      <c r="R102" s="45" t="str">
        <f>IF(SUMIF('Detailed Budget'!$M$5:$M$1005,$C102,'Detailed Budget'!$BI$5:$BI$1005)&gt;0,SUMIF('Detailed Budget'!$M$5:$M$1005,$C102,'Detailed Budget'!$BI$5:$BI$1005),"")</f>
        <v/>
      </c>
      <c r="S102" s="44" t="str">
        <f>IF(SUMIF('Detailed Budget'!$M$5:$M$1005,$C102,'Detailed Budget'!$BN$5:$BN$1005)&gt;0,SUMIF('Detailed Budget'!$M$5:$M$1005,$C102,'Detailed Budget'!$BN$5:$BN$1005),"")</f>
        <v/>
      </c>
      <c r="T102" s="44" t="str">
        <f>IF(SUMIF('Detailed Budget'!$M$5:$M$1005,$C102,'Detailed Budget'!$BP$5:$BP$1005)&gt;0,SUMIF('Detailed Budget'!$M$5:$M$1005,$C102,'Detailed Budget'!$BP$5:$BP$1005),"")</f>
        <v/>
      </c>
      <c r="U102" s="44" t="str">
        <f>IF(SUMIF('Detailed Budget'!$M$5:$M$1005,$C102,'Detailed Budget'!$BR$5:$BR$1005)&gt;0,SUMIF('Detailed Budget'!$M$5:$M$1005,$C102,'Detailed Budget'!$BR$5:$BR$1005),"")</f>
        <v/>
      </c>
      <c r="V102" s="44" t="str">
        <f>IF(SUMIF('Detailed Budget'!$M$5:$M$1005,$C102,'Detailed Budget'!$BT$5:$BT$1005)&gt;0,SUMIF('Detailed Budget'!$M$5:$M$1005,$C102,'Detailed Budget'!$BT$5:$BT$1005),"")</f>
        <v/>
      </c>
      <c r="W102" s="45" t="str">
        <f>IF(SUMIF('Detailed Budget'!$M$5:$M$1005,$C102,'Detailed Budget'!$BV$5:$BV$1005)&gt;0,SUMIF('Detailed Budget'!$M$5:$M$1005,$C102,'Detailed Budget'!$BV$5:$BV$1005),"")</f>
        <v/>
      </c>
      <c r="X102" s="44" t="str">
        <f t="shared" si="9"/>
        <v/>
      </c>
      <c r="Y102" s="122" t="str">
        <f t="shared" si="10"/>
        <v/>
      </c>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row>
    <row r="103" spans="2:49" s="35" customFormat="1" hidden="1" x14ac:dyDescent="0.2">
      <c r="B103" s="39" t="str">
        <f t="array" ref="B103">IFERROR(INDEX(RecipientList,MATCH(0,COUNTIF(RecipientList,"&lt;"&amp;RecipientList)-SUM(COUNTIF(RecipientList,B$64:B102)),0)),"")</f>
        <v/>
      </c>
      <c r="C103" s="371" t="str">
        <f t="shared" si="8"/>
        <v/>
      </c>
      <c r="D103" s="44" t="str">
        <f>IF(SUMIF('Detailed Budget'!$M$5:$M$1005,$C103,'Detailed Budget'!$AA$5:$AA$1005)&gt;0,SUMIF('Detailed Budget'!$M$5:$M$1005,$C103,'Detailed Budget'!$AA$5:$AA$1005),"")</f>
        <v/>
      </c>
      <c r="E103" s="44" t="str">
        <f>IF(SUMIF('Detailed Budget'!$M$5:$M$1005,$C103,'Detailed Budget'!$AC$5:$AC$1005)&gt;0,SUMIF('Detailed Budget'!$M$5:$M$1005,$C103,'Detailed Budget'!$AC$5:$AC$1005),"")</f>
        <v/>
      </c>
      <c r="F103" s="44" t="str">
        <f>IF(SUMIF('Detailed Budget'!$M$5:$M$1005,$C103,'Detailed Budget'!$AE$5:$AE$1005)&gt;0,SUMIF('Detailed Budget'!$M$5:$M$1005,$C103,'Detailed Budget'!$AE$5:$AE$1005),"")</f>
        <v/>
      </c>
      <c r="G103" s="44" t="str">
        <f>IF(SUMIF('Detailed Budget'!$M$5:$M$1005,$C103,'Detailed Budget'!$AG$5:$AG$1005)&gt;0,SUMIF('Detailed Budget'!$M$5:$M$1005,$C103,'Detailed Budget'!$AG$5:$AG$1005),"")</f>
        <v/>
      </c>
      <c r="H103" s="45" t="str">
        <f>IF(SUMIF('Detailed Budget'!$M$5:$M$1005,$C103,'Detailed Budget'!$AI$5:$AI$1005)&gt;0,SUMIF('Detailed Budget'!$M$5:$M$1005,$C103,'Detailed Budget'!$AI$5:$AI$1005),"")</f>
        <v/>
      </c>
      <c r="I103" s="44" t="str">
        <f>IF(SUMIF('Detailed Budget'!$M$5:$M$1005,$C103,'Detailed Budget'!$AN$5:$AN$1005)&gt;0,SUMIF('Detailed Budget'!$M$5:$M$1005,$C103,'Detailed Budget'!$AN$5:$AN$1005),"")</f>
        <v/>
      </c>
      <c r="J103" s="44" t="str">
        <f>IF(SUMIF('Detailed Budget'!$M$5:$M$1005,$C103,'Detailed Budget'!$AP$5:$AP$1005)&gt;0,SUMIF('Detailed Budget'!$M$5:$M$1005,$C103,'Detailed Budget'!$AP$5:$AP$1005),"")</f>
        <v/>
      </c>
      <c r="K103" s="44" t="str">
        <f>IF(SUMIF('Detailed Budget'!$M$5:$M$1005,$C103,'Detailed Budget'!$AR$5:$AR$1005)&gt;0,SUMIF('Detailed Budget'!$M$5:$M$1005,$C103,'Detailed Budget'!$AR$5:$AR$1005),"")</f>
        <v/>
      </c>
      <c r="L103" s="44" t="str">
        <f>IF(SUMIF('Detailed Budget'!$M$5:$M$1005,$C103,'Detailed Budget'!$AT$5:$AT$1005)&gt;0,SUMIF('Detailed Budget'!$M$5:$M$1005,$C103,'Detailed Budget'!$AT$5:$AT$1005),"")</f>
        <v/>
      </c>
      <c r="M103" s="45" t="str">
        <f>IF(SUMIF('Detailed Budget'!$M$5:$M$1005,$C103,'Detailed Budget'!$AV$5:$AV$1005)&gt;0,SUMIF('Detailed Budget'!$M$5:$M$1005,$C103,'Detailed Budget'!$AV$5:$AV$1005),"")</f>
        <v/>
      </c>
      <c r="N103" s="44" t="str">
        <f>IF(SUMIF('Detailed Budget'!$M$5:$M$1005,$C103,'Detailed Budget'!$BA$5:$BA$1005)&gt;0,SUMIF('Detailed Budget'!$M$5:$M$1005,$C103,'Detailed Budget'!$BA$5:$BA$1005),"")</f>
        <v/>
      </c>
      <c r="O103" s="44" t="str">
        <f>IF(SUMIF('Detailed Budget'!$M$5:$M$1005,$C103,'Detailed Budget'!$BC$5:$BC$1005)&gt;0,SUMIF('Detailed Budget'!$M$5:$M$1005,$C103,'Detailed Budget'!$BC$5:$BC$1005),"")</f>
        <v/>
      </c>
      <c r="P103" s="44" t="str">
        <f>IF(SUMIF('Detailed Budget'!$M$5:$M$1005,$C103,'Detailed Budget'!$BE$5:$BE$1005)&gt;0,SUMIF('Detailed Budget'!$M$5:$M$1005,$C103,'Detailed Budget'!$BE$5:$BE$1005),"")</f>
        <v/>
      </c>
      <c r="Q103" s="44" t="str">
        <f>IF(SUMIF('Detailed Budget'!$M$5:$M$1005,$C103,'Detailed Budget'!$BG$5:$BG$1005)&gt;0,SUMIF('Detailed Budget'!$M$5:$M$1005,$C103,'Detailed Budget'!$BG$5:$BG$1005),"")</f>
        <v/>
      </c>
      <c r="R103" s="45" t="str">
        <f>IF(SUMIF('Detailed Budget'!$M$5:$M$1005,$C103,'Detailed Budget'!$BI$5:$BI$1005)&gt;0,SUMIF('Detailed Budget'!$M$5:$M$1005,$C103,'Detailed Budget'!$BI$5:$BI$1005),"")</f>
        <v/>
      </c>
      <c r="S103" s="44" t="str">
        <f>IF(SUMIF('Detailed Budget'!$M$5:$M$1005,$C103,'Detailed Budget'!$BN$5:$BN$1005)&gt;0,SUMIF('Detailed Budget'!$M$5:$M$1005,$C103,'Detailed Budget'!$BN$5:$BN$1005),"")</f>
        <v/>
      </c>
      <c r="T103" s="44" t="str">
        <f>IF(SUMIF('Detailed Budget'!$M$5:$M$1005,$C103,'Detailed Budget'!$BP$5:$BP$1005)&gt;0,SUMIF('Detailed Budget'!$M$5:$M$1005,$C103,'Detailed Budget'!$BP$5:$BP$1005),"")</f>
        <v/>
      </c>
      <c r="U103" s="44" t="str">
        <f>IF(SUMIF('Detailed Budget'!$M$5:$M$1005,$C103,'Detailed Budget'!$BR$5:$BR$1005)&gt;0,SUMIF('Detailed Budget'!$M$5:$M$1005,$C103,'Detailed Budget'!$BR$5:$BR$1005),"")</f>
        <v/>
      </c>
      <c r="V103" s="44" t="str">
        <f>IF(SUMIF('Detailed Budget'!$M$5:$M$1005,$C103,'Detailed Budget'!$BT$5:$BT$1005)&gt;0,SUMIF('Detailed Budget'!$M$5:$M$1005,$C103,'Detailed Budget'!$BT$5:$BT$1005),"")</f>
        <v/>
      </c>
      <c r="W103" s="45" t="str">
        <f>IF(SUMIF('Detailed Budget'!$M$5:$M$1005,$C103,'Detailed Budget'!$BV$5:$BV$1005)&gt;0,SUMIF('Detailed Budget'!$M$5:$M$1005,$C103,'Detailed Budget'!$BV$5:$BV$1005),"")</f>
        <v/>
      </c>
      <c r="X103" s="44" t="str">
        <f t="shared" si="9"/>
        <v/>
      </c>
      <c r="Y103" s="122" t="str">
        <f t="shared" si="10"/>
        <v/>
      </c>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row>
    <row r="104" spans="2:49" s="35" customFormat="1" hidden="1" x14ac:dyDescent="0.2">
      <c r="B104" s="39" t="str">
        <f t="array" ref="B104">IFERROR(INDEX(RecipientList,MATCH(0,COUNTIF(RecipientList,"&lt;"&amp;RecipientList)-SUM(COUNTIF(RecipientList,B$64:B103)),0)),"")</f>
        <v/>
      </c>
      <c r="C104" s="371" t="str">
        <f t="shared" si="8"/>
        <v/>
      </c>
      <c r="D104" s="44" t="str">
        <f>IF(SUMIF('Detailed Budget'!$M$5:$M$1005,$C104,'Detailed Budget'!$AA$5:$AA$1005)&gt;0,SUMIF('Detailed Budget'!$M$5:$M$1005,$C104,'Detailed Budget'!$AA$5:$AA$1005),"")</f>
        <v/>
      </c>
      <c r="E104" s="44" t="str">
        <f>IF(SUMIF('Detailed Budget'!$M$5:$M$1005,$C104,'Detailed Budget'!$AC$5:$AC$1005)&gt;0,SUMIF('Detailed Budget'!$M$5:$M$1005,$C104,'Detailed Budget'!$AC$5:$AC$1005),"")</f>
        <v/>
      </c>
      <c r="F104" s="44" t="str">
        <f>IF(SUMIF('Detailed Budget'!$M$5:$M$1005,$C104,'Detailed Budget'!$AE$5:$AE$1005)&gt;0,SUMIF('Detailed Budget'!$M$5:$M$1005,$C104,'Detailed Budget'!$AE$5:$AE$1005),"")</f>
        <v/>
      </c>
      <c r="G104" s="44" t="str">
        <f>IF(SUMIF('Detailed Budget'!$M$5:$M$1005,$C104,'Detailed Budget'!$AG$5:$AG$1005)&gt;0,SUMIF('Detailed Budget'!$M$5:$M$1005,$C104,'Detailed Budget'!$AG$5:$AG$1005),"")</f>
        <v/>
      </c>
      <c r="H104" s="45" t="str">
        <f>IF(SUMIF('Detailed Budget'!$M$5:$M$1005,$C104,'Detailed Budget'!$AI$5:$AI$1005)&gt;0,SUMIF('Detailed Budget'!$M$5:$M$1005,$C104,'Detailed Budget'!$AI$5:$AI$1005),"")</f>
        <v/>
      </c>
      <c r="I104" s="44" t="str">
        <f>IF(SUMIF('Detailed Budget'!$M$5:$M$1005,$C104,'Detailed Budget'!$AN$5:$AN$1005)&gt;0,SUMIF('Detailed Budget'!$M$5:$M$1005,$C104,'Detailed Budget'!$AN$5:$AN$1005),"")</f>
        <v/>
      </c>
      <c r="J104" s="44" t="str">
        <f>IF(SUMIF('Detailed Budget'!$M$5:$M$1005,$C104,'Detailed Budget'!$AP$5:$AP$1005)&gt;0,SUMIF('Detailed Budget'!$M$5:$M$1005,$C104,'Detailed Budget'!$AP$5:$AP$1005),"")</f>
        <v/>
      </c>
      <c r="K104" s="44" t="str">
        <f>IF(SUMIF('Detailed Budget'!$M$5:$M$1005,$C104,'Detailed Budget'!$AR$5:$AR$1005)&gt;0,SUMIF('Detailed Budget'!$M$5:$M$1005,$C104,'Detailed Budget'!$AR$5:$AR$1005),"")</f>
        <v/>
      </c>
      <c r="L104" s="44" t="str">
        <f>IF(SUMIF('Detailed Budget'!$M$5:$M$1005,$C104,'Detailed Budget'!$AT$5:$AT$1005)&gt;0,SUMIF('Detailed Budget'!$M$5:$M$1005,$C104,'Detailed Budget'!$AT$5:$AT$1005),"")</f>
        <v/>
      </c>
      <c r="M104" s="45" t="str">
        <f>IF(SUMIF('Detailed Budget'!$M$5:$M$1005,$C104,'Detailed Budget'!$AV$5:$AV$1005)&gt;0,SUMIF('Detailed Budget'!$M$5:$M$1005,$C104,'Detailed Budget'!$AV$5:$AV$1005),"")</f>
        <v/>
      </c>
      <c r="N104" s="44" t="str">
        <f>IF(SUMIF('Detailed Budget'!$M$5:$M$1005,$C104,'Detailed Budget'!$BA$5:$BA$1005)&gt;0,SUMIF('Detailed Budget'!$M$5:$M$1005,$C104,'Detailed Budget'!$BA$5:$BA$1005),"")</f>
        <v/>
      </c>
      <c r="O104" s="44" t="str">
        <f>IF(SUMIF('Detailed Budget'!$M$5:$M$1005,$C104,'Detailed Budget'!$BC$5:$BC$1005)&gt;0,SUMIF('Detailed Budget'!$M$5:$M$1005,$C104,'Detailed Budget'!$BC$5:$BC$1005),"")</f>
        <v/>
      </c>
      <c r="P104" s="44" t="str">
        <f>IF(SUMIF('Detailed Budget'!$M$5:$M$1005,$C104,'Detailed Budget'!$BE$5:$BE$1005)&gt;0,SUMIF('Detailed Budget'!$M$5:$M$1005,$C104,'Detailed Budget'!$BE$5:$BE$1005),"")</f>
        <v/>
      </c>
      <c r="Q104" s="44" t="str">
        <f>IF(SUMIF('Detailed Budget'!$M$5:$M$1005,$C104,'Detailed Budget'!$BG$5:$BG$1005)&gt;0,SUMIF('Detailed Budget'!$M$5:$M$1005,$C104,'Detailed Budget'!$BG$5:$BG$1005),"")</f>
        <v/>
      </c>
      <c r="R104" s="45" t="str">
        <f>IF(SUMIF('Detailed Budget'!$M$5:$M$1005,$C104,'Detailed Budget'!$BI$5:$BI$1005)&gt;0,SUMIF('Detailed Budget'!$M$5:$M$1005,$C104,'Detailed Budget'!$BI$5:$BI$1005),"")</f>
        <v/>
      </c>
      <c r="S104" s="44" t="str">
        <f>IF(SUMIF('Detailed Budget'!$M$5:$M$1005,$C104,'Detailed Budget'!$BN$5:$BN$1005)&gt;0,SUMIF('Detailed Budget'!$M$5:$M$1005,$C104,'Detailed Budget'!$BN$5:$BN$1005),"")</f>
        <v/>
      </c>
      <c r="T104" s="44" t="str">
        <f>IF(SUMIF('Detailed Budget'!$M$5:$M$1005,$C104,'Detailed Budget'!$BP$5:$BP$1005)&gt;0,SUMIF('Detailed Budget'!$M$5:$M$1005,$C104,'Detailed Budget'!$BP$5:$BP$1005),"")</f>
        <v/>
      </c>
      <c r="U104" s="44" t="str">
        <f>IF(SUMIF('Detailed Budget'!$M$5:$M$1005,$C104,'Detailed Budget'!$BR$5:$BR$1005)&gt;0,SUMIF('Detailed Budget'!$M$5:$M$1005,$C104,'Detailed Budget'!$BR$5:$BR$1005),"")</f>
        <v/>
      </c>
      <c r="V104" s="44" t="str">
        <f>IF(SUMIF('Detailed Budget'!$M$5:$M$1005,$C104,'Detailed Budget'!$BT$5:$BT$1005)&gt;0,SUMIF('Detailed Budget'!$M$5:$M$1005,$C104,'Detailed Budget'!$BT$5:$BT$1005),"")</f>
        <v/>
      </c>
      <c r="W104" s="45" t="str">
        <f>IF(SUMIF('Detailed Budget'!$M$5:$M$1005,$C104,'Detailed Budget'!$BV$5:$BV$1005)&gt;0,SUMIF('Detailed Budget'!$M$5:$M$1005,$C104,'Detailed Budget'!$BV$5:$BV$1005),"")</f>
        <v/>
      </c>
      <c r="X104" s="44" t="str">
        <f t="shared" si="9"/>
        <v/>
      </c>
      <c r="Y104" s="122" t="str">
        <f t="shared" si="10"/>
        <v/>
      </c>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row>
    <row r="105" spans="2:49" s="35" customFormat="1" x14ac:dyDescent="0.2">
      <c r="C105" s="46" t="str">
        <f ca="1">Translations!A$174</f>
        <v>Total</v>
      </c>
      <c r="D105" s="47">
        <f t="shared" ref="D105:W105" si="11">IF(SUM(D65:D104)&gt;0,SUM(D65:D104),"")</f>
        <v>1451516.5496134602</v>
      </c>
      <c r="E105" s="47">
        <f t="shared" si="11"/>
        <v>294720.31315088738</v>
      </c>
      <c r="F105" s="47">
        <f t="shared" si="11"/>
        <v>217075.38567376207</v>
      </c>
      <c r="G105" s="47">
        <f t="shared" si="11"/>
        <v>283621.58501355274</v>
      </c>
      <c r="H105" s="48">
        <f t="shared" si="11"/>
        <v>2246933.8334516622</v>
      </c>
      <c r="I105" s="47">
        <f t="shared" si="11"/>
        <v>1460333.3750126862</v>
      </c>
      <c r="J105" s="47">
        <f t="shared" si="11"/>
        <v>276858.99165088742</v>
      </c>
      <c r="K105" s="47">
        <f t="shared" si="11"/>
        <v>208593.54817376207</v>
      </c>
      <c r="L105" s="47">
        <f t="shared" si="11"/>
        <v>284139.74751355272</v>
      </c>
      <c r="M105" s="48">
        <f t="shared" si="11"/>
        <v>2229925.6623508884</v>
      </c>
      <c r="N105" s="47">
        <f t="shared" si="11"/>
        <v>1486191.8176191491</v>
      </c>
      <c r="O105" s="47">
        <f t="shared" si="11"/>
        <v>500118.16648696346</v>
      </c>
      <c r="P105" s="47">
        <f t="shared" si="11"/>
        <v>218121.76317376204</v>
      </c>
      <c r="Q105" s="47">
        <f t="shared" si="11"/>
        <v>250358.46326418841</v>
      </c>
      <c r="R105" s="48">
        <f t="shared" si="11"/>
        <v>2454790.2105440632</v>
      </c>
      <c r="S105" s="47" t="str">
        <f t="shared" si="11"/>
        <v/>
      </c>
      <c r="T105" s="47" t="str">
        <f t="shared" si="11"/>
        <v/>
      </c>
      <c r="U105" s="47" t="str">
        <f t="shared" si="11"/>
        <v/>
      </c>
      <c r="V105" s="47" t="str">
        <f t="shared" si="11"/>
        <v/>
      </c>
      <c r="W105" s="48" t="str">
        <f t="shared" si="11"/>
        <v/>
      </c>
      <c r="X105" s="47">
        <f>IF(SUM(H105,M105,R105,W105)&gt;0,SUM(H105,M105,R105,W105),"")</f>
        <v>6931649.7063466143</v>
      </c>
      <c r="Y105" s="122">
        <f t="shared" si="10"/>
        <v>1</v>
      </c>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row>
    <row r="106" spans="2:49" s="35" customFormat="1" x14ac:dyDescent="0.2">
      <c r="D106" s="36"/>
      <c r="E106" s="36"/>
      <c r="F106" s="36"/>
      <c r="G106" s="36"/>
      <c r="H106" s="36"/>
      <c r="I106" s="36"/>
      <c r="J106" s="36"/>
      <c r="K106" s="36"/>
      <c r="L106" s="36"/>
      <c r="M106" s="36"/>
      <c r="N106" s="36"/>
      <c r="O106" s="36"/>
      <c r="P106" s="36"/>
      <c r="Q106" s="36"/>
      <c r="R106" s="36"/>
      <c r="S106" s="36"/>
      <c r="T106" s="36"/>
      <c r="U106" s="36"/>
      <c r="V106" s="36"/>
      <c r="W106" s="36"/>
      <c r="X106" s="36"/>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row>
    <row r="107" spans="2:49" s="35" customFormat="1" x14ac:dyDescent="0.2">
      <c r="D107" s="36"/>
      <c r="E107" s="36"/>
      <c r="F107" s="36"/>
      <c r="G107" s="36"/>
      <c r="H107" s="36"/>
      <c r="I107" s="36"/>
      <c r="J107" s="36"/>
      <c r="K107" s="36"/>
      <c r="L107" s="36"/>
      <c r="M107" s="36"/>
      <c r="N107" s="36"/>
      <c r="O107" s="36"/>
      <c r="P107" s="36"/>
      <c r="Q107" s="36"/>
      <c r="R107" s="36"/>
      <c r="S107" s="36"/>
      <c r="T107" s="36"/>
      <c r="U107" s="36"/>
      <c r="V107" s="36"/>
      <c r="W107" s="36"/>
      <c r="X107" s="36"/>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row>
    <row r="108" spans="2:49" s="35" customFormat="1" x14ac:dyDescent="0.2">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row>
    <row r="109" spans="2:49" s="35" customFormat="1" x14ac:dyDescent="0.2">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row>
    <row r="110" spans="2:49" s="35" customFormat="1" x14ac:dyDescent="0.2">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row>
    <row r="111" spans="2:49" s="35" customFormat="1" x14ac:dyDescent="0.2">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row>
    <row r="112" spans="2:49" s="35" customFormat="1" x14ac:dyDescent="0.2">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row>
    <row r="113" spans="4:49" s="35" customFormat="1" x14ac:dyDescent="0.2">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row>
    <row r="114" spans="4:49" s="35" customFormat="1" x14ac:dyDescent="0.2">
      <c r="D114" s="36"/>
      <c r="E114" s="36"/>
      <c r="F114" s="36"/>
      <c r="G114" s="36"/>
      <c r="H114" s="36"/>
      <c r="I114" s="36"/>
      <c r="J114" s="36"/>
      <c r="K114" s="36"/>
      <c r="L114" s="36"/>
      <c r="M114" s="36"/>
      <c r="N114" s="36"/>
      <c r="O114" s="36"/>
      <c r="P114" s="36"/>
      <c r="Q114" s="36"/>
      <c r="R114" s="36"/>
      <c r="S114" s="36"/>
      <c r="T114" s="36"/>
      <c r="U114" s="36"/>
      <c r="V114" s="36"/>
      <c r="W114" s="36"/>
      <c r="X114" s="36"/>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row>
    <row r="115" spans="4:49" s="35" customFormat="1" x14ac:dyDescent="0.2">
      <c r="D115" s="36"/>
      <c r="E115" s="36"/>
      <c r="F115" s="36"/>
      <c r="G115" s="36"/>
      <c r="H115" s="36"/>
      <c r="I115" s="36"/>
      <c r="J115" s="36"/>
      <c r="K115" s="36"/>
      <c r="L115" s="36"/>
      <c r="M115" s="36"/>
      <c r="N115" s="36"/>
      <c r="O115" s="36"/>
      <c r="P115" s="36"/>
      <c r="Q115" s="36"/>
      <c r="R115" s="36"/>
      <c r="S115" s="36"/>
      <c r="T115" s="36"/>
      <c r="U115" s="36"/>
      <c r="V115" s="36"/>
      <c r="W115" s="36"/>
      <c r="X115" s="36"/>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row>
    <row r="116" spans="4:49" s="35" customFormat="1" x14ac:dyDescent="0.2">
      <c r="D116" s="36"/>
      <c r="E116" s="36"/>
      <c r="F116" s="36"/>
      <c r="G116" s="36"/>
      <c r="H116" s="36"/>
      <c r="I116" s="36"/>
      <c r="J116" s="36"/>
      <c r="K116" s="36"/>
      <c r="L116" s="36"/>
      <c r="M116" s="36"/>
      <c r="N116" s="36"/>
      <c r="O116" s="36"/>
      <c r="P116" s="36"/>
      <c r="Q116" s="36"/>
      <c r="R116" s="36"/>
      <c r="S116" s="36"/>
      <c r="T116" s="36"/>
      <c r="U116" s="36"/>
      <c r="V116" s="36"/>
      <c r="W116" s="36"/>
      <c r="X116" s="36"/>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row>
    <row r="117" spans="4:49" s="35" customFormat="1" x14ac:dyDescent="0.2">
      <c r="D117" s="36"/>
      <c r="E117" s="36"/>
      <c r="F117" s="36"/>
      <c r="G117" s="36"/>
      <c r="H117" s="36"/>
      <c r="I117" s="36"/>
      <c r="J117" s="36"/>
      <c r="K117" s="36"/>
      <c r="L117" s="36"/>
      <c r="M117" s="36"/>
      <c r="N117" s="36"/>
      <c r="O117" s="36"/>
      <c r="P117" s="36"/>
      <c r="Q117" s="36"/>
      <c r="R117" s="36"/>
      <c r="S117" s="36"/>
      <c r="T117" s="36"/>
      <c r="U117" s="36"/>
      <c r="V117" s="36"/>
      <c r="W117" s="36"/>
      <c r="X117" s="36"/>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row>
    <row r="118" spans="4:49" s="35" customFormat="1" x14ac:dyDescent="0.2">
      <c r="D118" s="36"/>
      <c r="E118" s="36"/>
      <c r="F118" s="36"/>
      <c r="G118" s="36"/>
      <c r="H118" s="36"/>
      <c r="I118" s="36"/>
      <c r="J118" s="36"/>
      <c r="K118" s="36"/>
      <c r="L118" s="36"/>
      <c r="M118" s="36"/>
      <c r="N118" s="36"/>
      <c r="O118" s="36"/>
      <c r="P118" s="36"/>
      <c r="Q118" s="36"/>
      <c r="R118" s="36"/>
      <c r="S118" s="36"/>
      <c r="T118" s="36"/>
      <c r="U118" s="36"/>
      <c r="V118" s="36"/>
      <c r="W118" s="36"/>
      <c r="X118" s="36"/>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row>
    <row r="119" spans="4:49" s="35" customFormat="1" x14ac:dyDescent="0.2">
      <c r="D119" s="36"/>
      <c r="E119" s="36"/>
      <c r="F119" s="36"/>
      <c r="G119" s="36"/>
      <c r="H119" s="36"/>
      <c r="I119" s="36"/>
      <c r="J119" s="36"/>
      <c r="K119" s="36"/>
      <c r="L119" s="36"/>
      <c r="M119" s="36"/>
      <c r="N119" s="36"/>
      <c r="O119" s="36"/>
      <c r="P119" s="36"/>
      <c r="Q119" s="36"/>
      <c r="R119" s="36"/>
      <c r="S119" s="36"/>
      <c r="T119" s="36"/>
      <c r="U119" s="36"/>
      <c r="V119" s="36"/>
      <c r="W119" s="36"/>
      <c r="X119" s="36"/>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row>
    <row r="120" spans="4:49" s="35" customFormat="1" x14ac:dyDescent="0.2">
      <c r="D120" s="36"/>
      <c r="E120" s="36"/>
      <c r="F120" s="36"/>
      <c r="G120" s="36"/>
      <c r="H120" s="36"/>
      <c r="I120" s="36"/>
      <c r="J120" s="36"/>
      <c r="K120" s="36"/>
      <c r="L120" s="36"/>
      <c r="M120" s="36"/>
      <c r="N120" s="36"/>
      <c r="O120" s="36"/>
      <c r="P120" s="36"/>
      <c r="Q120" s="36"/>
      <c r="R120" s="36"/>
      <c r="S120" s="36"/>
      <c r="T120" s="36"/>
      <c r="U120" s="36"/>
      <c r="V120" s="36"/>
      <c r="W120" s="36"/>
      <c r="X120" s="36"/>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row>
    <row r="121" spans="4:49" s="35" customFormat="1" x14ac:dyDescent="0.2">
      <c r="D121" s="36"/>
      <c r="E121" s="36"/>
      <c r="F121" s="36"/>
      <c r="G121" s="36"/>
      <c r="H121" s="36"/>
      <c r="I121" s="36"/>
      <c r="J121" s="36"/>
      <c r="K121" s="36"/>
      <c r="L121" s="36"/>
      <c r="M121" s="36"/>
      <c r="N121" s="36"/>
      <c r="O121" s="36"/>
      <c r="P121" s="36"/>
      <c r="Q121" s="36"/>
      <c r="R121" s="36"/>
      <c r="S121" s="36"/>
      <c r="T121" s="36"/>
      <c r="U121" s="36"/>
      <c r="V121" s="36"/>
      <c r="W121" s="36"/>
      <c r="X121" s="36"/>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row>
    <row r="122" spans="4:49" s="35" customFormat="1" x14ac:dyDescent="0.2">
      <c r="D122" s="36"/>
      <c r="E122" s="36"/>
      <c r="F122" s="36"/>
      <c r="G122" s="36"/>
      <c r="H122" s="36"/>
      <c r="I122" s="36"/>
      <c r="J122" s="36"/>
      <c r="K122" s="36"/>
      <c r="L122" s="36"/>
      <c r="M122" s="36"/>
      <c r="N122" s="36"/>
      <c r="O122" s="36"/>
      <c r="P122" s="36"/>
      <c r="Q122" s="36"/>
      <c r="R122" s="36"/>
      <c r="S122" s="36"/>
      <c r="T122" s="36"/>
      <c r="U122" s="36"/>
      <c r="V122" s="36"/>
      <c r="W122" s="36"/>
      <c r="X122" s="36"/>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row>
    <row r="123" spans="4:49" s="35" customFormat="1" x14ac:dyDescent="0.2">
      <c r="D123" s="36"/>
      <c r="E123" s="36"/>
      <c r="F123" s="36"/>
      <c r="G123" s="36"/>
      <c r="H123" s="36"/>
      <c r="I123" s="36"/>
      <c r="J123" s="36"/>
      <c r="K123" s="36"/>
      <c r="L123" s="36"/>
      <c r="M123" s="36"/>
      <c r="N123" s="36"/>
      <c r="O123" s="36"/>
      <c r="P123" s="36"/>
      <c r="Q123" s="36"/>
      <c r="R123" s="36"/>
      <c r="S123" s="36"/>
      <c r="T123" s="36"/>
      <c r="U123" s="36"/>
      <c r="V123" s="36"/>
      <c r="W123" s="36"/>
      <c r="X123" s="36"/>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row>
    <row r="124" spans="4:49" s="35" customFormat="1" x14ac:dyDescent="0.2">
      <c r="D124" s="36"/>
      <c r="E124" s="36"/>
      <c r="F124" s="36"/>
      <c r="G124" s="36"/>
      <c r="H124" s="36"/>
      <c r="I124" s="36"/>
      <c r="J124" s="36"/>
      <c r="K124" s="36"/>
      <c r="L124" s="36"/>
      <c r="M124" s="36"/>
      <c r="N124" s="36"/>
      <c r="O124" s="36"/>
      <c r="P124" s="36"/>
      <c r="Q124" s="36"/>
      <c r="R124" s="36"/>
      <c r="S124" s="36"/>
      <c r="T124" s="36"/>
      <c r="U124" s="36"/>
      <c r="V124" s="36"/>
      <c r="W124" s="36"/>
      <c r="X124" s="36"/>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row>
  </sheetData>
  <sheetProtection algorithmName="SHA-512" hashValue="6vIaCoy31470jsGiG9Bs0ho4Wrr3bwNfrwsI+aa6SpZAtCS23asjQ9nbcSq1krSr7PgHRDUBndu5wPht1L+R2Q==" saltValue="rluiP7jSNU0AyLQYetKG3Q==" spinCount="100000" sheet="1" objects="1" scenarios="1" formatColumns="0" formatRows="0" sort="0" autoFilter="0"/>
  <autoFilter ref="C64:X64"/>
  <mergeCells count="7">
    <mergeCell ref="D7:F7"/>
    <mergeCell ref="D1:F1"/>
    <mergeCell ref="D2:F2"/>
    <mergeCell ref="D3:F3"/>
    <mergeCell ref="D4:F4"/>
    <mergeCell ref="D5:F5"/>
    <mergeCell ref="D6:F6"/>
  </mergeCells>
  <pageMargins left="0.70866141732283472" right="0.70866141732283472" top="0.74803149606299213" bottom="0.74803149606299213" header="0.31496062992125984" footer="0.31496062992125984"/>
  <pageSetup paperSize="9"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king Document" ma:contentTypeID="0x01010014768F94803F42BEA62C5B7969543DC70032EB8D18A0CB6D47B4C65FDBE6E84423" ma:contentTypeVersion="119" ma:contentTypeDescription="A work in progress document. &#10;Retention period upon archiving: 0 years." ma:contentTypeScope="" ma:versionID="a8b607065ca78356b9a0f7cb95d3209e">
  <xsd:schema xmlns:xsd="http://www.w3.org/2001/XMLSchema" xmlns:xs="http://www.w3.org/2001/XMLSchema" xmlns:p="http://schemas.microsoft.com/office/2006/metadata/properties" xmlns:ns2="4b429a0e-e9d9-43ea-a845-36a7a3ccfe5c" xmlns:ns3="fa473315-44a4-4518-8a4f-31f7017f3642" targetNamespace="http://schemas.microsoft.com/office/2006/metadata/properties" ma:root="true" ma:fieldsID="5478b878a3fe3f84d3b9591ac5fd0156" ns2:_="" ns3:_="">
    <xsd:import namespace="4b429a0e-e9d9-43ea-a845-36a7a3ccfe5c"/>
    <xsd:import namespace="fa473315-44a4-4518-8a4f-31f7017f3642"/>
    <xsd:element name="properties">
      <xsd:complexType>
        <xsd:sequence>
          <xsd:element name="documentManagement">
            <xsd:complexType>
              <xsd:all>
                <xsd:element ref="ns2:Grant_x0020_Name" minOccurs="0"/>
                <xsd:element ref="ns3:_dlc_DocId" minOccurs="0"/>
                <xsd:element ref="ns3:_dlc_DocIdUrl" minOccurs="0"/>
                <xsd:element ref="ns3:_dlc_DocIdPersistId"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429a0e-e9d9-43ea-a845-36a7a3ccfe5c" elementFormDefault="qualified">
    <xsd:import namespace="http://schemas.microsoft.com/office/2006/documentManagement/types"/>
    <xsd:import namespace="http://schemas.microsoft.com/office/infopath/2007/PartnerControls"/>
    <xsd:element name="Grant_x0020_Name" ma:index="5" nillable="true" ma:displayName="Grant Name" ma:internalName="Grant_x0020_Name" ma:readOnly="false">
      <xsd:simpleType>
        <xsd:restriction base="dms:Text">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473315-44a4-4518-8a4f-31f7017f3642"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rant_x0020_Name xmlns="4b429a0e-e9d9-43ea-a845-36a7a3ccfe5c" xsi:nil="true"/>
    <_dlc_DocId xmlns="fa473315-44a4-4518-8a4f-31f7017f3642">HHFFXVFNZ7RQ-435225074-1391</_dlc_DocId>
    <_dlc_DocIdUrl xmlns="fa473315-44a4-4518-8a4f-31f7017f3642">
      <Url>https://tgf.sharepoint.com/sites/TSGMT10/LAO3/_layouts/15/DocIdRedir.aspx?ID=HHFFXVFNZ7RQ-435225074-1391</Url>
      <Description>HHFFXVFNZ7RQ-435225074-1391</Description>
    </_dlc_DocIdUrl>
  </documentManagement>
</p:properties>
</file>

<file path=customXml/item5.xml><?xml version="1.0" encoding="utf-8"?>
<?mso-contentType ?>
<SharedContentType xmlns="Microsoft.SharePoint.Taxonomy.ContentTypeSync" SourceId="c097f1e6-5941-48e7-ac45-8c5509127d4f" ContentTypeId="0x01010014768F94803F42BEA62C5B7969543DC7" PreviousValue="false"/>
</file>

<file path=customXml/itemProps1.xml><?xml version="1.0" encoding="utf-8"?>
<ds:datastoreItem xmlns:ds="http://schemas.openxmlformats.org/officeDocument/2006/customXml" ds:itemID="{290DEBDA-DE00-416D-9E4A-73F1BDE684FA}">
  <ds:schemaRefs>
    <ds:schemaRef ds:uri="http://schemas.microsoft.com/sharepoint/events"/>
  </ds:schemaRefs>
</ds:datastoreItem>
</file>

<file path=customXml/itemProps2.xml><?xml version="1.0" encoding="utf-8"?>
<ds:datastoreItem xmlns:ds="http://schemas.openxmlformats.org/officeDocument/2006/customXml" ds:itemID="{1048E7D2-57AA-457C-9652-3CF180A44462}">
  <ds:schemaRefs>
    <ds:schemaRef ds:uri="http://schemas.microsoft.com/sharepoint/v3/contenttype/forms"/>
  </ds:schemaRefs>
</ds:datastoreItem>
</file>

<file path=customXml/itemProps3.xml><?xml version="1.0" encoding="utf-8"?>
<ds:datastoreItem xmlns:ds="http://schemas.openxmlformats.org/officeDocument/2006/customXml" ds:itemID="{7B89C413-73F0-4295-8B05-CDDDA702A8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429a0e-e9d9-43ea-a845-36a7a3ccfe5c"/>
    <ds:schemaRef ds:uri="fa473315-44a4-4518-8a4f-31f7017f36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0A47BE8-6194-4C6F-9E0A-42ACE2ABEFCC}">
  <ds:schemaRefs>
    <ds:schemaRef ds:uri="http://purl.org/dc/terms/"/>
    <ds:schemaRef ds:uri="http://purl.org/dc/elements/1.1/"/>
    <ds:schemaRef ds:uri="http://www.w3.org/XML/1998/namespace"/>
    <ds:schemaRef ds:uri="fa473315-44a4-4518-8a4f-31f7017f3642"/>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4b429a0e-e9d9-43ea-a845-36a7a3ccfe5c"/>
    <ds:schemaRef ds:uri="http://schemas.microsoft.com/office/2006/metadata/properties"/>
  </ds:schemaRefs>
</ds:datastoreItem>
</file>

<file path=customXml/itemProps5.xml><?xml version="1.0" encoding="utf-8"?>
<ds:datastoreItem xmlns:ds="http://schemas.openxmlformats.org/officeDocument/2006/customXml" ds:itemID="{95661D02-4491-48B9-B721-3626D035401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448</vt:i4>
      </vt:variant>
    </vt:vector>
  </HeadingPairs>
  <TitlesOfParts>
    <vt:vector size="460" baseType="lpstr">
      <vt:lpstr>Setup</vt:lpstr>
      <vt:lpstr>Detailed Budget</vt:lpstr>
      <vt:lpstr>Budget Summary En</vt:lpstr>
      <vt:lpstr>Summary by Intervention</vt:lpstr>
      <vt:lpstr>Summary by Cost Input</vt:lpstr>
      <vt:lpstr>AdditionalFundingRequestInfo</vt:lpstr>
      <vt:lpstr>Assumptions HR</vt:lpstr>
      <vt:lpstr>Assumptions TRC</vt:lpstr>
      <vt:lpstr>Assumptions Other</vt:lpstr>
      <vt:lpstr>Free sheet-enter what you need</vt:lpstr>
      <vt:lpstr>Free pivot table</vt:lpstr>
      <vt:lpstr>Financial Triggers - Budget</vt:lpstr>
      <vt:lpstr>_00014306_e053_4d2f_a03b_11d5316f6214</vt:lpstr>
      <vt:lpstr>_00c35e70_58e5_4930_ba9e_ebafffba2527</vt:lpstr>
      <vt:lpstr>_015c8523_100e_43c9_ab46_84a271015723</vt:lpstr>
      <vt:lpstr>_0241193b_f00c_4f04_9e53_b7598e513d43</vt:lpstr>
      <vt:lpstr>_02574099_4190_4970_b9b7_f2af805d74f9</vt:lpstr>
      <vt:lpstr>_02630c05_ad59_4431_9c99_46229c108b0a</vt:lpstr>
      <vt:lpstr>_0293a1a0_baf2_472c_bb95_74678e966e39</vt:lpstr>
      <vt:lpstr>_02aa6af0_1791_48c5_8fe7_e231ea2af947</vt:lpstr>
      <vt:lpstr>_02b38c0a_d119_414d_b934_8def132dac5a</vt:lpstr>
      <vt:lpstr>_02fcf189_20c2_44a3_a2b7_74754bbb6925</vt:lpstr>
      <vt:lpstr>_02fe8d3f_2231_403e_bf23_dc9ac86f4e66</vt:lpstr>
      <vt:lpstr>_030e392c_83b9_446c_a20a_878895df0e80</vt:lpstr>
      <vt:lpstr>_037173a5_9196_4099_a18a_d4f3a222fdde</vt:lpstr>
      <vt:lpstr>_0420018b_fcd7_4f24_bf5d_fe9810c50a22</vt:lpstr>
      <vt:lpstr>_04aadb37_73db_4f32_bff6_7cb997aef0e0</vt:lpstr>
      <vt:lpstr>_0628074d_be97_416b_af4e_f9e9a74b76cd</vt:lpstr>
      <vt:lpstr>_06d25ecf_ee4d_4cfa_a3c9_e69530688806</vt:lpstr>
      <vt:lpstr>_07bad9b4_afa6_4ae5_b056_49e33d12f3fe</vt:lpstr>
      <vt:lpstr>_07ece160_70c0_47f0_9a71_6b3086b3b526</vt:lpstr>
      <vt:lpstr>_0861aad7_0016_4555_b151_d72378469ce2</vt:lpstr>
      <vt:lpstr>_092506f7_e423_4a1e_8908_c1949efefab4</vt:lpstr>
      <vt:lpstr>_0a78ba4f_5e53_48a6_9484_d2f58366b7a0</vt:lpstr>
      <vt:lpstr>_0b4b4ca9_e5b7_4ef2_ace5_f20c8dd52ee4</vt:lpstr>
      <vt:lpstr>_0c5e07c1_a427_4a29_967d_db94606ecb12</vt:lpstr>
      <vt:lpstr>_0d0de004_1d22_41de_ab61_12ebe0c6ec88</vt:lpstr>
      <vt:lpstr>_0d52b731_ffe4_406f_93c8_e2a799bda008</vt:lpstr>
      <vt:lpstr>_0d64d549_80dc_4b49_b138_beb2245c0b75</vt:lpstr>
      <vt:lpstr>_0e22f398_ccff_4dfa_b55f_52bacedd5d10</vt:lpstr>
      <vt:lpstr>_0e76caeb_9e0e_4dc5_bf7d_23619327684e</vt:lpstr>
      <vt:lpstr>_0eee0dbf_584d_4e64_91cb_a12077ec0f6a</vt:lpstr>
      <vt:lpstr>_0eff4366_c93f_4be5_b3d3_ef90501c5483</vt:lpstr>
      <vt:lpstr>_0f4a9b4d_3e29_40eb_9b36_74cf2e74c9ac</vt:lpstr>
      <vt:lpstr>_0f6011f8_dc6f_49cf_b2a0_817fddabee5b</vt:lpstr>
      <vt:lpstr>_136b9ce8_8209_4df2_9c64_41b69bdeb0b2</vt:lpstr>
      <vt:lpstr>_137ac50c_e2fb_40e6_8435_18b378fce7e4</vt:lpstr>
      <vt:lpstr>_1465441b_8cd4_486a_a82e_2b0671f4b0bf</vt:lpstr>
      <vt:lpstr>_149e1136_054e_4a7e_8f21_904cbec9ecc8</vt:lpstr>
      <vt:lpstr>_1779513c_d51b_4d1b_8b11_3c55f98e227d</vt:lpstr>
      <vt:lpstr>_18500cba_9470_41f5_8230_48f2f24407c7</vt:lpstr>
      <vt:lpstr>_199b9147_9b1b_4fdd_ad4b_f0c3cdc80ec8</vt:lpstr>
      <vt:lpstr>_19bf1525_e625_44ca_8501_cdc22fb2760d</vt:lpstr>
      <vt:lpstr>_19c1d485_2b5b_4986_aa4b_c4841981804b</vt:lpstr>
      <vt:lpstr>_19c46fa4_3baa_4aa0_a366_b3ddede6094a</vt:lpstr>
      <vt:lpstr>_19f40266_368b_4974_ad8b_4e617977b060</vt:lpstr>
      <vt:lpstr>_1a284e20_9a7c_4716_bcae_ae8f440dd5b7</vt:lpstr>
      <vt:lpstr>_1a8a4bd4_31d6_456a_87e3_030f6f423c20</vt:lpstr>
      <vt:lpstr>_1ba52aa8_2688_4bb5_963a_e16752281857</vt:lpstr>
      <vt:lpstr>_1bb2406f_8121_4bde_bdbb_94037ea76608</vt:lpstr>
      <vt:lpstr>_1bbb08d9_4375_4830_bf28_f931ab65eb61</vt:lpstr>
      <vt:lpstr>_1bda0005_c52b_46cc_b349_56b484ec8764</vt:lpstr>
      <vt:lpstr>_1c0c0adf_3e55_48df_9490_7ee3ae74ffa2</vt:lpstr>
      <vt:lpstr>_1c902844_a9f0_4c7a_9694_687273c801e4</vt:lpstr>
      <vt:lpstr>_1cae6d00_5d3e_47e4_be7d_258c457150b2</vt:lpstr>
      <vt:lpstr>_1d02fec2_1430_4165_8aeb_3c7da0adcbb1</vt:lpstr>
      <vt:lpstr>_1d9924d0_3d7d_4b9d_af01_16543a518aca</vt:lpstr>
      <vt:lpstr>_1efe6e9b_4436_42af_a41e_04cd69d2746c</vt:lpstr>
      <vt:lpstr>_1f5240cb_34ea_4af0_9a8f_f34360e25953</vt:lpstr>
      <vt:lpstr>_1f5e7b97_aa70_4db7_bab8_83ac524de5a2</vt:lpstr>
      <vt:lpstr>_20c061ed_90ad_4b62_a8c5_ea0563127ce8</vt:lpstr>
      <vt:lpstr>_21424801_df1d_4e21_b438_220262d5d533</vt:lpstr>
      <vt:lpstr>_227628d7_30f4_4b2c_9956_f0850a36aaaa</vt:lpstr>
      <vt:lpstr>_22fcabbc_e990_467e_8de4_83630b31d9c4</vt:lpstr>
      <vt:lpstr>_23849d59_a3b0_4683_863c_46d8f7dd6c0a</vt:lpstr>
      <vt:lpstr>_23e882d0_cdf5_4f57_9447_3e85f7b4d0f6</vt:lpstr>
      <vt:lpstr>_23fd14cc_fc5b_435a_9caa_21fcc468823b</vt:lpstr>
      <vt:lpstr>_24b9af2b_2862_4a4b_8da5_24fcf2ab5c21</vt:lpstr>
      <vt:lpstr>_251d3909_b293_492d_825e_87ce02b50b6d</vt:lpstr>
      <vt:lpstr>_25424f26_53f7_43c8_8e11_df68d32248e7</vt:lpstr>
      <vt:lpstr>_2615b7e8_cc5f_48a0_b414_21b20f6ad84b</vt:lpstr>
      <vt:lpstr>_26556d11_9bb3_4812_a154_e5c14dba3aca</vt:lpstr>
      <vt:lpstr>_2766a577_52aa_4fa8_9791_76a6873ac125</vt:lpstr>
      <vt:lpstr>_27b1bc44_02c4_4df4_9e7c_e9bb9325f3ee</vt:lpstr>
      <vt:lpstr>_28494807_7fc9_44b8_bce0_aee0c2dadccb</vt:lpstr>
      <vt:lpstr>_290e3aec_540b_4e20_a027_2e42aa36a9f4</vt:lpstr>
      <vt:lpstr>_2a35a9cb_b0bc_48ee_bcfc_5fc782f5b6a5</vt:lpstr>
      <vt:lpstr>_2abc5cf5_ba5d_47ad_ad63_970b1602fdef</vt:lpstr>
      <vt:lpstr>_2b6c6913_2106_48b8_b780_651a223ed149</vt:lpstr>
      <vt:lpstr>_2c5574cb_28ce_402c_8f28_bdedcaf26c63</vt:lpstr>
      <vt:lpstr>_2dc0cdc2_facb_4934_8688_528cdfec953a</vt:lpstr>
      <vt:lpstr>_2de0407e_b227_495e_b597_203f64144940</vt:lpstr>
      <vt:lpstr>_2ff23564_2814_463a_82a0_feb34e93af7e</vt:lpstr>
      <vt:lpstr>_303bb236_a13b_4eff_99ee_5fe0f30225d4</vt:lpstr>
      <vt:lpstr>_30fb4fdb_756b_4ac8_af86_3835b5e8255b</vt:lpstr>
      <vt:lpstr>_313f91c5_0fa2_4fed_a7b5_6961798f3b78</vt:lpstr>
      <vt:lpstr>_31c092f7_54d2_4a2e_bf4f_99b8b030c2cf</vt:lpstr>
      <vt:lpstr>_320a5e46_c35a_4ad0_9dce_24304240690e</vt:lpstr>
      <vt:lpstr>_321caffb_4326_4ac3_a6d0_21f04e0b4942</vt:lpstr>
      <vt:lpstr>_3386fb25_6f93_4caf_8fb6_f1d046b7927f</vt:lpstr>
      <vt:lpstr>_34a556c5_f12d_497f_8f57_de2376c54211</vt:lpstr>
      <vt:lpstr>_36ce6b71_99bc_49da_ae33_3d8bd8154614</vt:lpstr>
      <vt:lpstr>_37226c6d_70fd_437c_a91f_f0a90513ac0b</vt:lpstr>
      <vt:lpstr>_373c8607_f9fb_47bf_8015_4407bf0d0a88</vt:lpstr>
      <vt:lpstr>_375d778b_8f60_42c3_8eb5_0b0993a0c7c4</vt:lpstr>
      <vt:lpstr>_37bff342_00d1_4e90_9ab2_f062c1ef5822</vt:lpstr>
      <vt:lpstr>_383627f4_0d08_47c1_9870_759b81bc1569</vt:lpstr>
      <vt:lpstr>_38b4038c_a00a_42d2_8376_083e7c1c0c0b</vt:lpstr>
      <vt:lpstr>_39ac6bf4_dcf4_4783_88cd_5895f19c82d7</vt:lpstr>
      <vt:lpstr>_39fe7ee6_5d44_4f46_b0c9_7c027c40aad9</vt:lpstr>
      <vt:lpstr>_3a05d51c_d27a_4e4e_9a01_9742ce335275</vt:lpstr>
      <vt:lpstr>_3aca96d3_0cd2_434c_be61_7ddd23e1a71c</vt:lpstr>
      <vt:lpstr>_3b5d2805_5233_410e_bbd4_1361ca147bbd</vt:lpstr>
      <vt:lpstr>_3d31132f_2452_45b8_9362_ead620ee5a05</vt:lpstr>
      <vt:lpstr>_3d7e64c0_5a99_44e1_8142_111884fe7144</vt:lpstr>
      <vt:lpstr>_3dbf69b5_323b_4fd9_815f_c1e4c825670f</vt:lpstr>
      <vt:lpstr>_3dfe07b7_7307_409d_b7de_34dc04ee2d47</vt:lpstr>
      <vt:lpstr>_3e11dc47_92ce_4907_aaa5_c10102443e26</vt:lpstr>
      <vt:lpstr>_3ec4b970_f5b6_485c_9f9f_cd4a36e29228</vt:lpstr>
      <vt:lpstr>_3f3c3606_367b_487e_b66b_907795d422b4</vt:lpstr>
      <vt:lpstr>_3f51feca_4f0b_40a2_8703_1e9f0f3896a7</vt:lpstr>
      <vt:lpstr>_3f69f771_04d7_42ce_b42d_2829634b92c3</vt:lpstr>
      <vt:lpstr>_3fe0ba01_b5db_45a8_930a_1b57f3fe0b01</vt:lpstr>
      <vt:lpstr>_4057e5bf_0d99_4fb6_8278_c2e06564c963</vt:lpstr>
      <vt:lpstr>_40e9daac_ea45_4655_a12a_3a0fea2926c5</vt:lpstr>
      <vt:lpstr>_416b1b25_a4f8_4285_954b_e7ba059161d1</vt:lpstr>
      <vt:lpstr>_41e8cacb_2b90_42d5_9de4_169990011044</vt:lpstr>
      <vt:lpstr>_43285d61_6202_4459_bba7_c91def129299</vt:lpstr>
      <vt:lpstr>_471266be_2e55_4ff2_8044_5b7ef268dc03</vt:lpstr>
      <vt:lpstr>_47ac9a9c_acd3_4913_a0d2_ef175c33588d</vt:lpstr>
      <vt:lpstr>_47d84129_9b30_4228_a5d8_b743be5549b2</vt:lpstr>
      <vt:lpstr>_481f1df6_15f5_493a_a761_5347f7653f04</vt:lpstr>
      <vt:lpstr>_48455ad6_749a_4549_9765_06ba400a19cd</vt:lpstr>
      <vt:lpstr>_48ac8350_de87_4980_9c27_786d26753fbe</vt:lpstr>
      <vt:lpstr>_49415d03_c0cb_4e4d_924b_ee50ad85b363</vt:lpstr>
      <vt:lpstr>_494a54d4_701e_40cf_8d44_f231bca860bc</vt:lpstr>
      <vt:lpstr>_495ebc3c_36ec_4c89_8b4a_6bb84f1140f8</vt:lpstr>
      <vt:lpstr>_49fd2731_f4ae_4deb_80dc_854f4e1ac66e</vt:lpstr>
      <vt:lpstr>_4c07235d_cc00_4f64_836c_122803b68cda</vt:lpstr>
      <vt:lpstr>_4d003277_c2f4_4122_90b0_abb08884576e</vt:lpstr>
      <vt:lpstr>_4d86e007_e704_439f_a5bb_21c58cf55922</vt:lpstr>
      <vt:lpstr>_4dedea7b_1933_4ced_a8a0_ab554ba5c241</vt:lpstr>
      <vt:lpstr>_4f121f97_9207_4a2b_8abf_b06a7522743e</vt:lpstr>
      <vt:lpstr>_4f8d47fa_7eb4_4fb4_9db4_28483c7e72f4</vt:lpstr>
      <vt:lpstr>_50066798_81bf_40d3_a065_f632a51a24be</vt:lpstr>
      <vt:lpstr>_50330a42_d678_4410_8fd0_697dfad95391</vt:lpstr>
      <vt:lpstr>_50469944_4621_4b8e_8d12_d5c6452cddb2</vt:lpstr>
      <vt:lpstr>_5069a0fe_60fe_42fb_9b0a_b94c79e372f2</vt:lpstr>
      <vt:lpstr>_50f8e249_0348_4ca0_9e02_9b4e66585a59</vt:lpstr>
      <vt:lpstr>_51e1c750_1220_40a9_8344_6984e1ade8be</vt:lpstr>
      <vt:lpstr>_529ca412_cb2c_4131_a10b_124b1ee494f8</vt:lpstr>
      <vt:lpstr>_52e59192_0e12_4d48_ab86_aa5795563e55</vt:lpstr>
      <vt:lpstr>_537a90ad_293c_4c5f_ab8d_e16ae3cc6f25</vt:lpstr>
      <vt:lpstr>_550e4b31_8328_48f2_b90f_c42b571fab2c</vt:lpstr>
      <vt:lpstr>_558daf63_5427_4e94_ae05_120c0194d367</vt:lpstr>
      <vt:lpstr>_55ea5428_86e5_4b51_aef9_c4fea30808de</vt:lpstr>
      <vt:lpstr>_56606da0_43a9_4f8e_8753_a6ae0af018cb</vt:lpstr>
      <vt:lpstr>_5727b709_bfc3_4663_8482_a06cb5b36d36</vt:lpstr>
      <vt:lpstr>_5756030e_1ac9_4d85_a490_4f4b09e4e089</vt:lpstr>
      <vt:lpstr>_58111fff_f8af_48fc_a333_bb419858ac27</vt:lpstr>
      <vt:lpstr>_5a2aed55_1f57_4ae6_bb58_7dc6d870d2ad</vt:lpstr>
      <vt:lpstr>_5a2bf18b_1f14_4a15_849a_1188c4eff3c0</vt:lpstr>
      <vt:lpstr>_5a5e0fbf_823e_4f53_8f92_389e8b9eed10</vt:lpstr>
      <vt:lpstr>_5a6bb86e_8ea5_4f32_a7af_fce8d3be8593</vt:lpstr>
      <vt:lpstr>_5b57394c_9ebc_4bec_a730_542fea512a56</vt:lpstr>
      <vt:lpstr>_5b7dcb43_c5c0_4eec_88d8_de84ed65f732</vt:lpstr>
      <vt:lpstr>_5ba84441_1dc5_4be4_85c9_cd54144c27b9</vt:lpstr>
      <vt:lpstr>_5bb6a22d_3174_4360_8267_950fba484a89</vt:lpstr>
      <vt:lpstr>_5cbfb405_bc63_42bb_85d3_ed9904c591bb</vt:lpstr>
      <vt:lpstr>_5e850797_e972_45d1_9ab0_b096a1c5bfdf</vt:lpstr>
      <vt:lpstr>_5e94fdaf_7969_49ff_b9e9_17ada3f862d8</vt:lpstr>
      <vt:lpstr>_5f06196a_ffcc_4d84_84df_2730c45054f9</vt:lpstr>
      <vt:lpstr>_5f121f56_f976_4f5d_9d93_6be294f087ee</vt:lpstr>
      <vt:lpstr>_5f12910c_10da_4edd_845b_b6a28e735e97</vt:lpstr>
      <vt:lpstr>_5ff7892c_e417_4006_a8d1_2f1d55f78ed0</vt:lpstr>
      <vt:lpstr>_6120d102_c4bf_4f61_8150_12aa8b95cba4</vt:lpstr>
      <vt:lpstr>_61eb91c2_6602_4abf_9912_b2539449c4a6</vt:lpstr>
      <vt:lpstr>_62009a8a_cb7a_4858_bde8_2b0001123ec9</vt:lpstr>
      <vt:lpstr>_621fa43e_2149_41e5_b4fd_d972d45eaf12</vt:lpstr>
      <vt:lpstr>_62815cb4_8380_4f46_af3e_05292aa0e712</vt:lpstr>
      <vt:lpstr>_635dace6_0f43_41ef_88c1_746a9d9e4e68</vt:lpstr>
      <vt:lpstr>_649ad647_654c_4e96_bb13_65360c307a1f</vt:lpstr>
      <vt:lpstr>_64aa86d0_5320_49e9_be4d_a735186aac20</vt:lpstr>
      <vt:lpstr>_65b49451_3215_469b_a9b8_1c7aed73c04d</vt:lpstr>
      <vt:lpstr>_66479354_b114_452d_a88f_3c06a98dd2cd</vt:lpstr>
      <vt:lpstr>_67c93d34_f094_4421_b577_4fef2310f8d7</vt:lpstr>
      <vt:lpstr>_68ab3cc7_44fe_4dca_9c9a_cfd6b95d1884</vt:lpstr>
      <vt:lpstr>_68fc4999_8263_48a8_b68b_9417ef78afcd</vt:lpstr>
      <vt:lpstr>_6984bb19_6d44_47e3_a6ed_9c149468c788</vt:lpstr>
      <vt:lpstr>_6ad27568_8f0f_4d43_a17d_59459dd30f31</vt:lpstr>
      <vt:lpstr>_6b1f3c7b_a26b_4ad9_bb30_74ea70c1b358</vt:lpstr>
      <vt:lpstr>_6bbcea6e_e4d3_45c6_a6b7_800111651b71</vt:lpstr>
      <vt:lpstr>_6c237802_62f6_4139_afd2_14162579a1bf</vt:lpstr>
      <vt:lpstr>_6cfe6851_3eb2_4163_9801_b78cac8c4e41</vt:lpstr>
      <vt:lpstr>_6d661af8_29d6_4e8e_a5b0_cc84ee4eb720</vt:lpstr>
      <vt:lpstr>_6e57c845_44c0_46e4_887d_bec006c6ea9f</vt:lpstr>
      <vt:lpstr>_6f897ea2_32ca_407f_9249_74be7386ad17</vt:lpstr>
      <vt:lpstr>_70b6967b_13d6_4d18_8449_2352689fb19b</vt:lpstr>
      <vt:lpstr>_7327d7ad_8047_4022_8c44_30e0f7be4707</vt:lpstr>
      <vt:lpstr>_73b9c2ab_dcbe_40c3_aa5d_5155aca56588</vt:lpstr>
      <vt:lpstr>_7419e3ba_dd94_40e4_aa3e_ce3f67f6e4f7</vt:lpstr>
      <vt:lpstr>_7530e07f_3ebf_4eed_9c69_d167429377e6</vt:lpstr>
      <vt:lpstr>_760aadbd_677f_40e2_a6a2_41b2762f47b1</vt:lpstr>
      <vt:lpstr>_7656d9cf_f2cb_49ba_b463_e35afb95281b</vt:lpstr>
      <vt:lpstr>_7737a758_6e12_48a1_b80b_3fb101010dc4</vt:lpstr>
      <vt:lpstr>_774dd9e5_48a1_454c_9fba_673e36c42942</vt:lpstr>
      <vt:lpstr>_77c9d67b_f23b_41d5_aca4_4f80df1321b4</vt:lpstr>
      <vt:lpstr>_780b4e94_fb9c_495d_8a69_34c6d68a3c32</vt:lpstr>
      <vt:lpstr>_784968f2_57ca_4a10_b733_e7f9c93d1c3b</vt:lpstr>
      <vt:lpstr>_787e97be_1a5d_436c_a74f_41e07b973ee3</vt:lpstr>
      <vt:lpstr>_78932e60_246e_4aec_90dc_4db07f63e459</vt:lpstr>
      <vt:lpstr>_79449196_77e6_41c7_906c_21626fc4ec73</vt:lpstr>
      <vt:lpstr>_7c6fbd41_2277_4dd5_803c_0a1b5327c793</vt:lpstr>
      <vt:lpstr>_7cfac35a_87e0_40ae_bab3_f899b27ea202</vt:lpstr>
      <vt:lpstr>_7e891f54_7fdc_44af_b1d2_b12e77b5c952</vt:lpstr>
      <vt:lpstr>_7ead6b92_0891_4931_aaeb_50e3ff30049a</vt:lpstr>
      <vt:lpstr>_813962bc_3a7b_4489_af08_2ee50beb679a</vt:lpstr>
      <vt:lpstr>_81ab7b88_c47f_44b7_8ad6_de94abe5f8fd</vt:lpstr>
      <vt:lpstr>_81f0ed53_61e1_4f16_b4db_b16798a34f56</vt:lpstr>
      <vt:lpstr>_82d3dfd9_2e07_4b89_b705_92cc9308284c</vt:lpstr>
      <vt:lpstr>_830528a9_db84_4fc0_9b6a_c3171e4dd35c</vt:lpstr>
      <vt:lpstr>_83364f44_3f1e_412e_b5e4_ec8fdd2633e3</vt:lpstr>
      <vt:lpstr>_834f37ef_9ac7_42dc_93ee_07d0574ae530</vt:lpstr>
      <vt:lpstr>_83e345cb_8da3_4b61_af08_03c1a6e5dfda</vt:lpstr>
      <vt:lpstr>_843bbfaf_f0d9_49c7_8ae5_ba9296701635</vt:lpstr>
      <vt:lpstr>_84d4018b_d723_46e8_96c0_193fc2e458b4</vt:lpstr>
      <vt:lpstr>_84de2c28_39e5_4f86_b6b4_ef670374a004</vt:lpstr>
      <vt:lpstr>_857cfc01_4587_4296_a9a6_0ef3e1ea5260</vt:lpstr>
      <vt:lpstr>_86905cad_af18_4ee3_8d24_fb40b0dfb75d</vt:lpstr>
      <vt:lpstr>_8735eaea_99e5_41d1_845a_6601e0937595</vt:lpstr>
      <vt:lpstr>_876523bd_5aef_4a26_a5b2_d6283fed6bee</vt:lpstr>
      <vt:lpstr>_87f39b4a_6b31_4940_b9bf_eb82ea06f64d</vt:lpstr>
      <vt:lpstr>_88babac7_72f1_4e95_8a0d_1cc998122653</vt:lpstr>
      <vt:lpstr>_88c7c6d7_2d65_43f3_84e5_a4092acc84d7</vt:lpstr>
      <vt:lpstr>_8aa7501c_246e_4382_8e66_5716a08af401</vt:lpstr>
      <vt:lpstr>_8b309ef0_e67a_4500_9a06_45c1ee324871</vt:lpstr>
      <vt:lpstr>_8c9d94fd_a6ea_4e49_8439_2de36db9e81b</vt:lpstr>
      <vt:lpstr>_8cbc4cd8_7c7c_41f5_b583_0aa0b647fe19</vt:lpstr>
      <vt:lpstr>_8cdb1766_29e4_4fa4_be15_7f1b8e1ebe5b</vt:lpstr>
      <vt:lpstr>_8e0f5535_0bb1_447e_9dce_0056601db388</vt:lpstr>
      <vt:lpstr>_8ebec4a0_ec9e_4f62_b655_2d9aea69d3ca</vt:lpstr>
      <vt:lpstr>_909da30c_1043_4d96_9383_21d765badb47</vt:lpstr>
      <vt:lpstr>_90a6aa48_4818_4ad4_9226_6e553d9077a3</vt:lpstr>
      <vt:lpstr>_90e119dc_49dd_4603_ad5d_416d7d54ff8f</vt:lpstr>
      <vt:lpstr>_90ecf5bd_7c9a_403f_b589_3b383fac36ce</vt:lpstr>
      <vt:lpstr>_915af145_90ba_4caa_9402_2fff215e668d</vt:lpstr>
      <vt:lpstr>_915dcde0_fe0d_478b_b4c0_6306a0412734</vt:lpstr>
      <vt:lpstr>_91d82761_69bb_4448_98e8_e9d77350a942</vt:lpstr>
      <vt:lpstr>_91fb8e45_0e64_4c68_a304_5acd2e96c207</vt:lpstr>
      <vt:lpstr>_923c2fc6_273d_4a11_8ddd_1343baf9f260</vt:lpstr>
      <vt:lpstr>_92491d21_5acf_4863_9392_5f3ac9cd76b0</vt:lpstr>
      <vt:lpstr>_926710e3_ee5e_40d1_a297_4bcee75de00e</vt:lpstr>
      <vt:lpstr>_92797c1d_2eb8_4d52_bac6_9551ade95572</vt:lpstr>
      <vt:lpstr>_9409bf09_5eb1_4332_bf42_e44b8399d028</vt:lpstr>
      <vt:lpstr>_9442837f_5007_4866_b120_994ef921580c</vt:lpstr>
      <vt:lpstr>_9447e68e_02ff_45df_b304_49aa8364fd83</vt:lpstr>
      <vt:lpstr>_95545550_03f9_45ef_9e78_cbf591c56950</vt:lpstr>
      <vt:lpstr>_973b23e7_cd31_40db_b565_06bff732d0e5</vt:lpstr>
      <vt:lpstr>_97db5e86_284d_4ae2_ba6c_d13835ce06db</vt:lpstr>
      <vt:lpstr>_983dfc88_bb65_4fb2_b3f5_a33205b48f06</vt:lpstr>
      <vt:lpstr>_98d0c29e_f336_428c_ab38_10d598d4267d</vt:lpstr>
      <vt:lpstr>_9907f168_6552_49df_8574_530b63a692f3</vt:lpstr>
      <vt:lpstr>_9a132129_8ae1_42cc_bbc1_aea9b1ffc65c</vt:lpstr>
      <vt:lpstr>_9bbad406_890d_49c5_a0f0_3967a9937cac</vt:lpstr>
      <vt:lpstr>_9bd5e2ce_40a8_459a_befd_201d8631eb5e</vt:lpstr>
      <vt:lpstr>_9bdd360c_14f3_4d6b_b023_ae8e1e3b3463</vt:lpstr>
      <vt:lpstr>_9c88c49a_dae1_4610_bc04_dc8c0cff472b</vt:lpstr>
      <vt:lpstr>_9cd3002f_a007_47b3_8e60_d95baf80104c</vt:lpstr>
      <vt:lpstr>_9e0197e8_9fb5_4a2b_aa98_409086a4f039</vt:lpstr>
      <vt:lpstr>_9ee0e020_bddf_47e7_8465_94af50d14d54</vt:lpstr>
      <vt:lpstr>_9f074ebe_a4aa_4aaa_acbd_02e94157972d</vt:lpstr>
      <vt:lpstr>_9fc2742e_2c2e_4126_8f60_7655b1bed8da</vt:lpstr>
      <vt:lpstr>_a01147c2_3dfa_4eda_a98c_e2b6a7aea5d2</vt:lpstr>
      <vt:lpstr>_a1e974f1_98d0_4ab5_ad07_283c58f49522</vt:lpstr>
      <vt:lpstr>_a1f91564_5a93_42b9_89d0_64ab570c5875</vt:lpstr>
      <vt:lpstr>_a21e1f6c_9d80_4029_a062_5a2936040cde</vt:lpstr>
      <vt:lpstr>_a2252abd_4fc1_48bc_9da6_a709170703f2</vt:lpstr>
      <vt:lpstr>_a23ec5ef_bd8e_4bfe_8894_8230062f7b01</vt:lpstr>
      <vt:lpstr>_a44587f5_73da_458a_8064_fcd3a2d89cb2</vt:lpstr>
      <vt:lpstr>_a4843f16_c731_4952_99af_554f0f5b4582</vt:lpstr>
      <vt:lpstr>_a4c8478f_6a1e_481e_a8d5_8406897db5a4</vt:lpstr>
      <vt:lpstr>_a5b9b4f2_9c00_4e31_87bb_61b1a7eef852</vt:lpstr>
      <vt:lpstr>_a5c2f19a_5d22_4eaa_8da1_c87792f82f00</vt:lpstr>
      <vt:lpstr>_a68be984_8a92_48f8_820f_c237cbe65fb1</vt:lpstr>
      <vt:lpstr>_a6ea64e4_0634_4ced_8d24_2c97d4fde94b</vt:lpstr>
      <vt:lpstr>_a7423df1_a9fd_461c_a440_fdf7a9b7ad9f</vt:lpstr>
      <vt:lpstr>_a790de2c_5229_49a4_88ea_c1b97bea515b</vt:lpstr>
      <vt:lpstr>_a81653be_67f6_48de_984b_a6e610a19cfb</vt:lpstr>
      <vt:lpstr>_a83dcac5_150a_43ef_ae64_797de1ed1e3c</vt:lpstr>
      <vt:lpstr>_a84e4450_7573_434e_b7f7_3ad1368d206f</vt:lpstr>
      <vt:lpstr>_a920fced_f974_4ef8_9745_959efedccd84</vt:lpstr>
      <vt:lpstr>_aa2e1306_dd05_4864_af69_6d25d6af7264</vt:lpstr>
      <vt:lpstr>_ab01b111_a891_4e4d_b08d_7f21d8b936e0</vt:lpstr>
      <vt:lpstr>_ab8d76c0_a1cb_4434_b416_06a4c462924e</vt:lpstr>
      <vt:lpstr>_abea09ee_a218_42a5_90ee_961e46f9be79</vt:lpstr>
      <vt:lpstr>_ada6f6a7_401d_4b3c_b586_64f26600c7b6</vt:lpstr>
      <vt:lpstr>_af05181d_7330_4950_b4de_f2112e93a3a3</vt:lpstr>
      <vt:lpstr>_af1c330f_b9db_48c3_84be_e4dbed1439a1</vt:lpstr>
      <vt:lpstr>_afd1526e_1c12_46cf_890c_e37639bfeb9f</vt:lpstr>
      <vt:lpstr>_b0807573_6c82_40bf_ad66_92e1be0b33f9</vt:lpstr>
      <vt:lpstr>_b0c537c2_79c4_4794_bc05_92ad710d2762</vt:lpstr>
      <vt:lpstr>_b1e54fdd_ef4b_4345_baec_76738512e403</vt:lpstr>
      <vt:lpstr>_b20a4b7e_81a8_4e2d_9fcf_afd6eae2ec1f</vt:lpstr>
      <vt:lpstr>_b22e4eb0_8f58_4cfc_9a93_308d638b7882</vt:lpstr>
      <vt:lpstr>_b267eceb_4ed8_41f2_998e_1932dfaf0d6c</vt:lpstr>
      <vt:lpstr>_b2c19972_3f90_4368_a5f5_89f890ea7ba7</vt:lpstr>
      <vt:lpstr>_b33dd721_fd74_4b19_ac8e_8ff4398e1f4b</vt:lpstr>
      <vt:lpstr>_b366183f_bf47_47ef_80b2_62f5a643178a</vt:lpstr>
      <vt:lpstr>_b36cddb5_5882_4b74_920f_95c8c4e35420</vt:lpstr>
      <vt:lpstr>_b4ecd4a4_bce1_4958_b519_b0dc2ec31821</vt:lpstr>
      <vt:lpstr>_b5826942_2f64_4689_82df_d4dec5e4b996</vt:lpstr>
      <vt:lpstr>_b5dec808_aba7_4426_9234_7f9708ca58b2</vt:lpstr>
      <vt:lpstr>_b5e9cc4d_7006_4373_a506_c7e7e63a9cf1</vt:lpstr>
      <vt:lpstr>_b77da7bf_82d9_4512_8bbb_4cc5df2d2dc8</vt:lpstr>
      <vt:lpstr>_b7bfa0d9_029b_48f4_b3c3_2b7b8bfae850</vt:lpstr>
      <vt:lpstr>_b807489d_3dea_4c11_9941_e543594a7585</vt:lpstr>
      <vt:lpstr>_b9230bac_39ac_427d_bd0f_d44b3a686bb2</vt:lpstr>
      <vt:lpstr>_b9becd89_a6fd_4ec5_953a_80bb4a386805</vt:lpstr>
      <vt:lpstr>_bbaf14e6_541a_4d5a_9263_ae12c3fab039</vt:lpstr>
      <vt:lpstr>_bc235992_cdbd_4e74_b767_68e6b2ac8d58</vt:lpstr>
      <vt:lpstr>_bc85d5cd_ef66_4b8e_b88c_9f3767cc7f6b</vt:lpstr>
      <vt:lpstr>_bd0be139_d555_41ca_96f6_c90195205251</vt:lpstr>
      <vt:lpstr>_bd534cbe_3f52_4e6a_b4ec_b05d5f9ebb01</vt:lpstr>
      <vt:lpstr>_bdc95953_cd01_4843_a09f_d61c6fd11d6b</vt:lpstr>
      <vt:lpstr>_be96783c_d318_487c_8bda_f968ce58e459</vt:lpstr>
      <vt:lpstr>_bee9760c_1094_4d78_9dfc_e20cccbdea1c</vt:lpstr>
      <vt:lpstr>_bf616a3b_b72f_44a7_a972_3e0d30dd8e9b</vt:lpstr>
      <vt:lpstr>_bfb16c5a_bc64_4eb6_95f7_302c744b7738</vt:lpstr>
      <vt:lpstr>_bff58b41_2bbe_470a_826a_288c87e3af10</vt:lpstr>
      <vt:lpstr>_c21889b0_2d86_4f9a_8b56_5007e9417ab5</vt:lpstr>
      <vt:lpstr>_c273ec4e_742e_4a77_b1d6_3fa450c6d028</vt:lpstr>
      <vt:lpstr>_c3618027_5237_477f_bc9e_1c10f2ac9581</vt:lpstr>
      <vt:lpstr>_c4a6627e_3c0b_40fe_9717_c63f93b4a7d8</vt:lpstr>
      <vt:lpstr>_c4d0adda_8b5d_40d6_bf5c_2777fe99d51c</vt:lpstr>
      <vt:lpstr>_c5513c70_6f61_4550_a11a_2cafd2955e09</vt:lpstr>
      <vt:lpstr>_c5608ccd_f554_4c1e_ab30_66815fe1b9ff</vt:lpstr>
      <vt:lpstr>_c59e0bac_0e8c_467b_b26e_02b05312dd58</vt:lpstr>
      <vt:lpstr>_c5cacf8f_3dda_4ba8_8f8a_91899a40851f</vt:lpstr>
      <vt:lpstr>_c7b71d99_eeb2_40d1_aeb4_76abed9c4585</vt:lpstr>
      <vt:lpstr>_c8260a96_b7f3_4fd8_8cbb_c269b4e5d6d2</vt:lpstr>
      <vt:lpstr>_c97ffbad_78a9_4558_8573_7c0291767d25</vt:lpstr>
      <vt:lpstr>_cbd72e7c_a9f2_418f_ab7f_1c74aedcf62c</vt:lpstr>
      <vt:lpstr>_cc0cc47a_c055_42b1_8882_4eb499a5f0e9</vt:lpstr>
      <vt:lpstr>_cc62bf55_cf85_4b01_8785_2cc808d4dbd7</vt:lpstr>
      <vt:lpstr>_ccbbac50_4106_4285_86d7_8d936aff1156</vt:lpstr>
      <vt:lpstr>_ce7f5aae_0db1_44e8_b879_6fb7ee0c4e7c</vt:lpstr>
      <vt:lpstr>_cef96f31_8847_42b0_b2cb_94a6a6b36b2f</vt:lpstr>
      <vt:lpstr>_cf5c730e_9d52_42f1_a669_fc37325ebf1f</vt:lpstr>
      <vt:lpstr>_cf97189c_0ef2_456c_b141_4b7da828a7b8</vt:lpstr>
      <vt:lpstr>_cfa047d6_4ddc_4b7c_b25f_d24966c57ac7</vt:lpstr>
      <vt:lpstr>_cfb553dd_2c32_4b32_8aa6_0005d884e23b</vt:lpstr>
      <vt:lpstr>_d0b37e04_328f_46ce_a469_cc73410fb065</vt:lpstr>
      <vt:lpstr>_d17274d5_2f30_44c9_9f4b_3c0bfd25c9d0</vt:lpstr>
      <vt:lpstr>_d1e49137_9d83_4937_9f6f_519f9e13e479</vt:lpstr>
      <vt:lpstr>_d2453dc3_cbc1_4170_a600_2ecb40bba922</vt:lpstr>
      <vt:lpstr>_d2d2d864_9b03_45ca_b37d_616ec497e900</vt:lpstr>
      <vt:lpstr>_d325e530_89ff_48b3_90ca_35f4ae55bfbf</vt:lpstr>
      <vt:lpstr>_d3ff0b7e_5537_4c63_9eb5_d61ec85f16da</vt:lpstr>
      <vt:lpstr>_d447e57f_bbc6_4a3b_9ab5_a781d4383a26</vt:lpstr>
      <vt:lpstr>_d44cfa06_9089_473c_9d17_206731533e82</vt:lpstr>
      <vt:lpstr>_d48a07cb_210d_43ec_b6e0_da83771791db</vt:lpstr>
      <vt:lpstr>_d5c71f5d_2ae7_4828_8d08_20531afa3dc0</vt:lpstr>
      <vt:lpstr>_d68f4baf_42e7_4c20_8083_b68b07c7162f</vt:lpstr>
      <vt:lpstr>_d6ae41a6_b226_4c8a_b70f_0272fdf2983b</vt:lpstr>
      <vt:lpstr>_d7345976_4523_4207_9c30_c120143b922d</vt:lpstr>
      <vt:lpstr>_d77ebbab_4679_4822_a7ca_a0eaedc17015</vt:lpstr>
      <vt:lpstr>_d8019bdf_0399_4f2f_8ab6_c8bc320d363f</vt:lpstr>
      <vt:lpstr>_d8803fac_51ca_4210_b72e_20dc8456f867</vt:lpstr>
      <vt:lpstr>_d8d8326d_01cf_4143_b845_b540b08580fe</vt:lpstr>
      <vt:lpstr>_db188359_6902_4a8a_86c0_3acc28f33d6b</vt:lpstr>
      <vt:lpstr>_db577edc_0d58_42e3_acb2_662bd337633a</vt:lpstr>
      <vt:lpstr>_dbae0a8b_3bcc_4842_a1ca_77545866f9b5</vt:lpstr>
      <vt:lpstr>_dc76ebf0_48f4_4579_a17a_651b3649877d</vt:lpstr>
      <vt:lpstr>_dcb49011_4a55_47b1_8b1d_fe1093c85a41</vt:lpstr>
      <vt:lpstr>_dd058416_0a99_4785_808c_5ed1df8cd28e</vt:lpstr>
      <vt:lpstr>_dd598c82_73c4_4fcc_bc64_564d012a6068</vt:lpstr>
      <vt:lpstr>_dd9b19c1_8566_4b27_a28d_e895912395f3</vt:lpstr>
      <vt:lpstr>_ddd4e649_9768_4668_9c3a_e7a47f9904c2</vt:lpstr>
      <vt:lpstr>_de9e66c2_9404_4d6a_ad12_2b09781e9a98</vt:lpstr>
      <vt:lpstr>_df42c16a_5f39_4886_84be_3de6c432ab8c</vt:lpstr>
      <vt:lpstr>_dfa43edd_b437_4182_972c_5b67da53d693</vt:lpstr>
      <vt:lpstr>_dff613f8_32ad_4fd2_8852_bf8df5ad4147</vt:lpstr>
      <vt:lpstr>_dffd1dfc_0650_4e3f_949c_6c6486003bf4</vt:lpstr>
      <vt:lpstr>_e0504a3c_5aad_4b26_bd6e_cb646f2e8c60</vt:lpstr>
      <vt:lpstr>_e0d3716b_f826_447c_bccd_adabe3fc5b91</vt:lpstr>
      <vt:lpstr>_e0fd6490_1ddf_4de7_ac83_7e7f46001245</vt:lpstr>
      <vt:lpstr>_e17b392d_d035_41af_b013_a285d62fc593</vt:lpstr>
      <vt:lpstr>_e1c7c0dc_3945_4693_9f8b_69ca3beca880</vt:lpstr>
      <vt:lpstr>_e1e8ed42_893f_4e14_a197_046c7a580a7b</vt:lpstr>
      <vt:lpstr>_e2b72c2a_5cf9_4802_ab67_4a20a9693aeb</vt:lpstr>
      <vt:lpstr>_e2cafed7_8515_414d_9f79_f8de1f6fdfa0</vt:lpstr>
      <vt:lpstr>_e51e7c02_2ce6_4d9a_80a4_93735c04941e</vt:lpstr>
      <vt:lpstr>_e7afc1f1_782e_45ba_8cdc_e2fc43cdaea6</vt:lpstr>
      <vt:lpstr>_e7e7b9f9_1482_4a32_b282_58cff150a8c8</vt:lpstr>
      <vt:lpstr>_e80f2ab8_a807_493b_b087_af411f4fc4e0</vt:lpstr>
      <vt:lpstr>_e8ba9312_4baa_4c3b_a885_9a1a159b0c92</vt:lpstr>
      <vt:lpstr>_e9377785_ebef_47c7_bd40_2d50d6b54812</vt:lpstr>
      <vt:lpstr>_e9682cc3_eb7a_4d7b_a7e9_c990d66a6d08</vt:lpstr>
      <vt:lpstr>_e9ab91cf_1bf6_4dc7_b7fc_74e968c90c75</vt:lpstr>
      <vt:lpstr>_ea24185f_0eb1_4608_b60d_5f9d7ba559f5</vt:lpstr>
      <vt:lpstr>_eadd4f45_d417_433a_bcd3_be5d4ef7cf3c</vt:lpstr>
      <vt:lpstr>_eaf814ce_d4c5_48e9_9275_5a49216c8ff2</vt:lpstr>
      <vt:lpstr>_eafc2fbe_6c57_41b2_9ec2_6e1adf6473e3</vt:lpstr>
      <vt:lpstr>_eb427bca_6dff_4ac8_b151_936263635805</vt:lpstr>
      <vt:lpstr>_eb589fc9_4efb_44c3_9b5a_4e9cedf2f153</vt:lpstr>
      <vt:lpstr>_ec2b3c66_da78_46d2_8486_1afa6ea8a607</vt:lpstr>
      <vt:lpstr>_ec6f09a0_2e8d_421d_9f61_6b29505eb2f4</vt:lpstr>
      <vt:lpstr>_eea37f06_9fd0_49ce_8eb9_65ca9723ba3c</vt:lpstr>
      <vt:lpstr>_eea3b01d_57e6_4093_bee9_7d75171b0049</vt:lpstr>
      <vt:lpstr>_eea6d800_a19c_459c_8708_606c8a7dd52a</vt:lpstr>
      <vt:lpstr>_ef24dff4_3d95_4a73_a2db_e9c05f22de2e</vt:lpstr>
      <vt:lpstr>_ef50e006_6b65_4f30_86b5_b9fbd92dbee7</vt:lpstr>
      <vt:lpstr>_f383e712_d83b_4d37_8b71_79ee7060b68a</vt:lpstr>
      <vt:lpstr>_f4e3e136_1b7b_4cc5_8cce_93485c48152f</vt:lpstr>
      <vt:lpstr>_f5100367_6b58_4e4e_ae29_aeca7214787d</vt:lpstr>
      <vt:lpstr>_f5cfe8bd_290b_4004_90df_bcd3f2d65626</vt:lpstr>
      <vt:lpstr>_f713dbfc_53fb_4f7c_89b7_45d5119b117a</vt:lpstr>
      <vt:lpstr>_f78b1d38_a28d_4d54_b976_b695aa06c15c</vt:lpstr>
      <vt:lpstr>_f7a73e3b_8878_44ec_980d_83a59426a26a</vt:lpstr>
      <vt:lpstr>_f7c2f17c_9c1d_4fc5_a3ce_94aaeaa30a0f</vt:lpstr>
      <vt:lpstr>_f8f110bd_e238_4b0b_be96_0b286d6e8fe5</vt:lpstr>
      <vt:lpstr>_f94f5b59_c61b_455b_8d4c_6ff65699a922</vt:lpstr>
      <vt:lpstr>_fa23a5e5_5d3d_4a03_b6a2_63891bd76fab</vt:lpstr>
      <vt:lpstr>_fac63272_f42e_4147_ac3d_14981643e85a</vt:lpstr>
      <vt:lpstr>_facb351a_e223_48f6_90b1_5f249f294f3c</vt:lpstr>
      <vt:lpstr>_fae4e0e7_d6d3_4c9d_9014_421e4fd2262b</vt:lpstr>
      <vt:lpstr>_fc0c6e8c_f172_4f90_950c_13a41aa01c57</vt:lpstr>
      <vt:lpstr>_fc3f044f_4ad1_4fb5_912d_7e1beab3857b</vt:lpstr>
      <vt:lpstr>_fc965a75_6188_43be_b78b_fad9a862f94d</vt:lpstr>
      <vt:lpstr>_fde20c02_1828_4292_8edb_dbc372c4c7a9</vt:lpstr>
      <vt:lpstr>_fe786939_80d9_4d9f_bcc0_717e7cb0b1f0</vt:lpstr>
      <vt:lpstr>AIM_Cost_Grouping__c.AIM_Unit_Cost_Definition__c</vt:lpstr>
      <vt:lpstr>AIM_Detailed_Budget_Line__c.AIM_Currency__c</vt:lpstr>
      <vt:lpstr>AIM_Detailed_Budget_Line__c.AIM_Payment_currency__c</vt:lpstr>
      <vt:lpstr>AIM_Detailed_Budget_Line__c.AIM_Quarter__c</vt:lpstr>
      <vt:lpstr>AIM_Detailed_Budget_Line__c.AIM_Recipient_Type__c</vt:lpstr>
      <vt:lpstr>AIM_Detailed_Budget_Line__c.AIM_Type_of_Implementing_Entity__c</vt:lpstr>
      <vt:lpstr>AIM_Detailed_Budget_Line__c.AIM_Year__c</vt:lpstr>
      <vt:lpstr>Budget_PivotRange</vt:lpstr>
      <vt:lpstr>ComponentList</vt:lpstr>
      <vt:lpstr>ComponentSelected</vt:lpstr>
      <vt:lpstr>CostInpNoList</vt:lpstr>
      <vt:lpstr>Currencies</vt:lpstr>
      <vt:lpstr>DetailedBudget_PivotRange</vt:lpstr>
      <vt:lpstr>Geographylocation</vt:lpstr>
      <vt:lpstr>IntIdList</vt:lpstr>
      <vt:lpstr>LangOffset</vt:lpstr>
      <vt:lpstr>Language</vt:lpstr>
      <vt:lpstr>ModuleColumn</vt:lpstr>
      <vt:lpstr>ModuleIdList</vt:lpstr>
      <vt:lpstr>ModuleStart</vt:lpstr>
      <vt:lpstr>PICKLISTKEYVALUEPAIR</vt:lpstr>
      <vt:lpstr>Setup!Print_Area</vt:lpstr>
      <vt:lpstr>RecipientIdList</vt:lpstr>
      <vt:lpstr>RecipientList</vt:lpstr>
      <vt:lpstr>Test</vt:lpstr>
      <vt:lpstr>'Budget Summary En'!Uniques</vt:lpstr>
      <vt:lpstr>Uniques</vt:lpstr>
      <vt:lpstr>XAuthorInvalidPicklistData</vt:lpstr>
      <vt:lpstr>YesNo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Detailed Budget Template</dc:title>
  <dc:creator>Zak Kaufman</dc:creator>
  <cp:lastModifiedBy>dell</cp:lastModifiedBy>
  <cp:lastPrinted>2015-03-19T09:42:20Z</cp:lastPrinted>
  <dcterms:created xsi:type="dcterms:W3CDTF">2013-08-30T08:23:40Z</dcterms:created>
  <dcterms:modified xsi:type="dcterms:W3CDTF">2017-08-25T11:17:39Z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Iteration">
    <vt:lpwstr>Sprint 1</vt:lpwstr>
  </property>
  <property fmtid="{D5CDD505-2E9C-101B-9397-08002B2CF9AE}" pid="4" name="Document Type">
    <vt:lpwstr>Background, Context</vt:lpwstr>
  </property>
  <property fmtid="{D5CDD505-2E9C-101B-9397-08002B2CF9AE}" pid="5" name="ContentTypeId">
    <vt:lpwstr>0x01010014768F94803F42BEA62C5B7969543DC70032EB8D18A0CB6D47B4C65FDBE6E84423</vt:lpwstr>
  </property>
  <property fmtid="{D5CDD505-2E9C-101B-9397-08002B2CF9AE}" pid="6" name="APPBUILDER_RUNTIME_FILE">
    <vt:lpwstr>true</vt:lpwstr>
  </property>
  <property fmtid="{D5CDD505-2E9C-101B-9397-08002B2CF9AE}" pid="7" name="_dlc_DocIdItemGuid">
    <vt:lpwstr>35a7c1e9-bbc3-429e-b31e-0a6e46136544</vt:lpwstr>
  </property>
</Properties>
</file>